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omments2.xml" ContentType="application/vnd.openxmlformats-officedocument.spreadsheetml.comments+xml"/>
  <Override PartName="/xl/drawings/drawing6.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7.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45.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omments5.xml" ContentType="application/vnd.openxmlformats-officedocument.spreadsheetml.comments+xml"/>
  <Override PartName="/xl/drawings/drawing10.xml" ContentType="application/vnd.openxmlformats-officedocument.drawing+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drawings/drawing11.xml" ContentType="application/vnd.openxmlformats-officedocument.drawing+xml"/>
  <Override PartName="/xl/drawings/drawing12.xml" ContentType="application/vnd.openxmlformats-officedocument.drawing+xml"/>
  <Override PartName="/xl/ctrlProps/ctrlProp82.xml" ContentType="application/vnd.ms-excel.controlproperties+xml"/>
  <Override PartName="/xl/ctrlProps/ctrlProp83.xml" ContentType="application/vnd.ms-excel.controlproperties+xml"/>
  <Override PartName="/xl/drawings/drawing13.xml" ContentType="application/vnd.openxmlformats-officedocument.drawing+xml"/>
  <Override PartName="/xl/ctrlProps/ctrlProp84.xml" ContentType="application/vnd.ms-excel.controlproperties+xml"/>
  <Override PartName="/xl/ctrlProps/ctrlProp85.xml" ContentType="application/vnd.ms-excel.controlproperties+xml"/>
  <Override PartName="/xl/comments6.xml" ContentType="application/vnd.openxmlformats-officedocument.spreadsheetml.comments+xml"/>
  <Override PartName="/xl/drawings/drawing14.xml" ContentType="application/vnd.openxmlformats-officedocument.drawing+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omments7.xml" ContentType="application/vnd.openxmlformats-officedocument.spreadsheetml.comments+xml"/>
  <Override PartName="/xl/drawings/drawing15.xml" ContentType="application/vnd.openxmlformats-officedocument.drawing+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drawings/drawing16.xml" ContentType="application/vnd.openxmlformats-officedocument.drawing+xml"/>
  <Override PartName="/xl/ctrlProps/ctrlProp101.xml" ContentType="application/vnd.ms-excel.controlproperties+xml"/>
  <Override PartName="/xl/comments8.xml" ContentType="application/vnd.openxmlformats-officedocument.spreadsheetml.comments+xml"/>
  <Override PartName="/xl/drawings/drawing17.xml" ContentType="application/vnd.openxmlformats-officedocument.drawing+xml"/>
  <Override PartName="/xl/ctrlProps/ctrlProp102.xml" ContentType="application/vnd.ms-excel.controlproperties+xml"/>
  <Override PartName="/xl/drawings/drawing18.xml" ContentType="application/vnd.openxmlformats-officedocument.drawing+xml"/>
  <Override PartName="/xl/ctrlProps/ctrlProp103.xml" ContentType="application/vnd.ms-excel.controlproperties+xml"/>
  <Override PartName="/xl/drawings/drawing19.xml" ContentType="application/vnd.openxmlformats-officedocument.drawing+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omments9.xml" ContentType="application/vnd.openxmlformats-officedocument.spreadsheetml.comments+xml"/>
  <Override PartName="/xl/drawings/drawing20.xml" ContentType="application/vnd.openxmlformats-officedocument.drawing+xml"/>
  <Override PartName="/xl/ctrlProps/ctrlProp109.xml" ContentType="application/vnd.ms-excel.controlproperties+xml"/>
  <Override PartName="/xl/ctrlProps/ctrlProp1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2946829a6b8c4da0"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9126" codeName="{526614CA-9299-8FEA-EDB2-C8A7E91AD4E6}"/>
  <workbookPr showInkAnnotation="0" codeName="ThisWorkbook" defaultThemeVersion="124226"/>
  <mc:AlternateContent xmlns:mc="http://schemas.openxmlformats.org/markup-compatibility/2006">
    <mc:Choice Requires="x15">
      <x15ac:absPath xmlns:x15ac="http://schemas.microsoft.com/office/spreadsheetml/2010/11/ac" url="C:\Users\sd1843\Documents\AAIMS2_Staging\"/>
    </mc:Choice>
  </mc:AlternateContent>
  <xr:revisionPtr revIDLastSave="0" documentId="10_ncr:100000_{3AD08A82-44BC-4605-AC08-07DBC0FDB082}" xr6:coauthVersionLast="31" xr6:coauthVersionMax="31" xr10:uidLastSave="{00000000-0000-0000-0000-000000000000}"/>
  <bookViews>
    <workbookView xWindow="0" yWindow="0" windowWidth="10995" windowHeight="9225" tabRatio="838" xr2:uid="{00000000-000D-0000-FFFF-FFFF00000000}"/>
  </bookViews>
  <sheets>
    <sheet name="MacroWarning" sheetId="340" r:id="rId1"/>
    <sheet name="TabRefs" sheetId="80" state="hidden" r:id="rId2"/>
    <sheet name="ProductList" sheetId="91" state="hidden" r:id="rId3"/>
    <sheet name="NSS_OEMAC" sheetId="411" state="hidden" r:id="rId4"/>
    <sheet name="Inv_Detail" sheetId="394" state="hidden" r:id="rId5"/>
    <sheet name="Step 0" sheetId="1" r:id="rId6"/>
    <sheet name="Proposal" sheetId="422" state="hidden" r:id="rId7"/>
    <sheet name="Customer_Opportunity" sheetId="4" state="hidden" r:id="rId8"/>
    <sheet name="Product_Summary" sheetId="93" state="hidden" r:id="rId9"/>
    <sheet name="Step 1" sheetId="3" state="hidden" r:id="rId10"/>
    <sheet name="TemplateProduct" sheetId="339" state="hidden" r:id="rId11"/>
    <sheet name="RLTemplateVoltage" sheetId="434" state="hidden" r:id="rId12"/>
    <sheet name="RLTemplate" sheetId="393" state="hidden" r:id="rId13"/>
    <sheet name="Templates" sheetId="34" state="hidden" r:id="rId14"/>
    <sheet name="Log" sheetId="6" state="hidden" r:id="rId15"/>
    <sheet name="SOAP" sheetId="13" state="hidden" r:id="rId16"/>
    <sheet name="ScratchPad" sheetId="7" state="hidden" r:id="rId17"/>
    <sheet name="AisFormatting" sheetId="97" state="hidden" r:id="rId18"/>
    <sheet name="Pulldowns" sheetId="9" state="hidden" r:id="rId19"/>
    <sheet name="TemplateASEoD" sheetId="441" state="hidden" r:id="rId20"/>
    <sheet name="Misc Calculations" sheetId="436" state="hidden" r:id="rId21"/>
    <sheet name="SalesLinks" sheetId="36" state="hidden" r:id="rId22"/>
    <sheet name="PricerLinks" sheetId="37" state="hidden" r:id="rId23"/>
    <sheet name="--" sheetId="81" state="hidden" r:id="rId24"/>
    <sheet name="x_Mobility_Prem_Calc" sheetId="372" state="hidden" r:id="rId25"/>
    <sheet name="x_Mobility_WriteDown" sheetId="373" state="hidden" r:id="rId26"/>
    <sheet name="OtherTables" sheetId="377" state="hidden" r:id="rId27"/>
    <sheet name="DefaultTables" sheetId="426" state="hidden" r:id="rId28"/>
    <sheet name="AcceleratorTables" sheetId="430" state="veryHidden" r:id="rId29"/>
    <sheet name="Accelerator" sheetId="433" state="veryHidden" r:id="rId30"/>
    <sheet name="AcceleratorAccess" sheetId="429" state="veryHidden" r:id="rId31"/>
    <sheet name="debug2" sheetId="435" state="hidden" r:id="rId32"/>
  </sheets>
  <functionGroups builtInGroupCount="19"/>
  <externalReferences>
    <externalReference r:id="rId33"/>
    <externalReference r:id="rId34"/>
    <externalReference r:id="rId35"/>
  </externalReferences>
  <definedNames>
    <definedName name="_kvl1">Pulldowns!$AB$5</definedName>
    <definedName name="_kvl2">Pulldowns!$AG$5</definedName>
    <definedName name="_kvl3">Pulldowns!$AL$5</definedName>
    <definedName name="_Order1">255</definedName>
    <definedName name="ABNMARC">RLTemplateVoltage!$W$14</definedName>
    <definedName name="Accelerator_Baseline" localSheetId="11">AcceleratorTables!$P$5:$T$5</definedName>
    <definedName name="Accelerator_Baseline">AcceleratorTables!$P$5:$T$5</definedName>
    <definedName name="Accelerator_Baseline_headers">AcceleratorTables!$P$5:$T$5</definedName>
    <definedName name="Accelerator_Baseline_key">"unassigned"</definedName>
    <definedName name="Accelerator_CLBaseline" localSheetId="11">AcceleratorTables!$AM$5:$AP$5</definedName>
    <definedName name="Accelerator_CLBaseline">AcceleratorTables!$AM$5:$AP$5</definedName>
    <definedName name="Accelerator_CLBaseline_headers">AcceleratorTables!$AM$5:$AP$5</definedName>
    <definedName name="Accelerator_CLBaseline_key">"unassigned"</definedName>
    <definedName name="Accelerator_CLMobility" localSheetId="11">AcceleratorTables!$AR$5:$AS$5</definedName>
    <definedName name="Accelerator_CLMobility">AcceleratorTables!$AR$5:$AS$5</definedName>
    <definedName name="Accelerator_CLMobility_headers">AcceleratorTables!$AR$5:$AS$5</definedName>
    <definedName name="Accelerator_CLMobility_key">"unassigned"</definedName>
    <definedName name="Accelerator_CLRevenueTiers" localSheetId="11">AcceleratorTables!$AJ$5:$AK$5</definedName>
    <definedName name="Accelerator_CLRevenueTiers">AcceleratorTables!$AJ$5:$AK$5</definedName>
    <definedName name="Accelerator_CLRevenueTiers_headers">AcceleratorTables!$AJ$5:$AK$5</definedName>
    <definedName name="Accelerator_CLRevenueTiers_key">"unassigned"</definedName>
    <definedName name="Accelerator_Constants" localSheetId="11">AcceleratorTables!$A$5:$B$5</definedName>
    <definedName name="Accelerator_Constants">AcceleratorTables!$A$5:$B$5</definedName>
    <definedName name="Accelerator_Constants_headers">AcceleratorTables!$A$5:$B$5</definedName>
    <definedName name="Accelerator_Constants_key">"unassigned"</definedName>
    <definedName name="Accelerator_DealSize" localSheetId="11">AcceleratorTables!$V$5:$W$5</definedName>
    <definedName name="Accelerator_DealSize">AcceleratorTables!$V$5:$W$5</definedName>
    <definedName name="Accelerator_DealSize_headers">AcceleratorTables!$V$5:$W$5</definedName>
    <definedName name="Accelerator_DealSize_key">"unassigned"</definedName>
    <definedName name="Accelerator_Footprint" localSheetId="11">AcceleratorTables!$AD$5:$AE$5</definedName>
    <definedName name="Accelerator_Footprint">AcceleratorTables!$AD$5:$AE$5</definedName>
    <definedName name="Accelerator_Footprint_headers">AcceleratorTables!$AD$5:$AE$5</definedName>
    <definedName name="Accelerator_Footprint_key">"unassigned"</definedName>
    <definedName name="Accelerator_FootprintServices" localSheetId="11">AcceleratorTables!$AB$5:$AB$5</definedName>
    <definedName name="Accelerator_FootprintServices">AcceleratorTables!$AB$5:$AB$5</definedName>
    <definedName name="Accelerator_FootprintServices_headers">AcceleratorTables!$AB$5</definedName>
    <definedName name="Accelerator_FootprintServices_key">"unassigned"</definedName>
    <definedName name="Accelerator_Formulas">AcceleratorTables!$AV$5:$BP$5</definedName>
    <definedName name="Accelerator_Formulas_headers">AcceleratorTables!$AV$5:$BP$5</definedName>
    <definedName name="Accelerator_Formulas_key">"unassigned"</definedName>
    <definedName name="Accelerator_RevenueTiers" localSheetId="11">AcceleratorTables!$M$5:$N$5</definedName>
    <definedName name="Accelerator_RevenueTiers">AcceleratorTables!$M$5:$N$5</definedName>
    <definedName name="Accelerator_RevenueTiers_headers">AcceleratorTables!$M$5:$N$5</definedName>
    <definedName name="Accelerator_RevenueTiers_key">"unassigned"</definedName>
    <definedName name="Accelerator_ScvpDiscounts" localSheetId="11">AcceleratorTables!$G$5:$K$5</definedName>
    <definedName name="Accelerator_ScvpDiscounts">AcceleratorTables!$G$5:$K$5</definedName>
    <definedName name="Accelerator_ScvpDiscounts_headers">AcceleratorTables!$G$5:$K$5</definedName>
    <definedName name="Accelerator_ScvpDiscounts_key">"unassigned"</definedName>
    <definedName name="Accelerator_SelectedTerm" localSheetId="11">Accelerator!$F$13</definedName>
    <definedName name="Accelerator_SelectedTerm">Accelerator!$F$13</definedName>
    <definedName name="Accelerator_ServicesPackaged" localSheetId="11">AcceleratorTables!$Y$5:$Z$5</definedName>
    <definedName name="Accelerator_ServicesPackaged">AcceleratorTables!$Y$5:$Z$5</definedName>
    <definedName name="Accelerator_ServicesPackaged_headers">AcceleratorTables!$Y$5:$Z$5</definedName>
    <definedName name="Accelerator_ServicesPackaged_key">"unassigned"</definedName>
    <definedName name="Accelerator_Term" localSheetId="11">AcceleratorTables!$AG$5:$AH$5</definedName>
    <definedName name="Accelerator_Term">AcceleratorTables!$AG$5:$AH$5</definedName>
    <definedName name="Accelerator_Term_headers">AcceleratorTables!$AG$5:$AH$5</definedName>
    <definedName name="Accelerator_Term_key">"unassigned"</definedName>
    <definedName name="AcceleratorAbnOther">Accelerator!$B$110:$B$111</definedName>
    <definedName name="AcceleratorAccessHeader">AcceleratorAccess!$A$13:$B$13</definedName>
    <definedName name="AcceleratorAccessList">"unassigned"</definedName>
    <definedName name="AcceleratorCreditsRange" localSheetId="11">Accelerator!$H$16:$T$17</definedName>
    <definedName name="AcceleratorCreditsRange">Accelerator!$H$16:$T$17</definedName>
    <definedName name="AcceleratorFormulasRange" localSheetId="11">Accelerator!$B$16:$V$17</definedName>
    <definedName name="AcceleratorFormulasRange">Accelerator!$B$16:$V$17</definedName>
    <definedName name="AcceleratorRamp" localSheetId="11">Accelerator!$E$22</definedName>
    <definedName name="AcceleratorRamp">Accelerator!$E$22</definedName>
    <definedName name="AcceleratorRampMonths" localSheetId="11">Accelerator!$E$23</definedName>
    <definedName name="AcceleratorRampMonths">Accelerator!$E$23</definedName>
    <definedName name="AcceleratorRampRows">Accelerator!$23:$25</definedName>
    <definedName name="AcceleratorTables" localSheetId="28">AcceleratorTables!$4:$4</definedName>
    <definedName name="AcceleratorTemplateTerm">Accelerator!$F$51:$F$100</definedName>
    <definedName name="actionStart">'Step 1'!$J$21</definedName>
    <definedName name="Adjust2011" localSheetId="11">Log!$I$68:$I$167</definedName>
    <definedName name="Adjust2011">Log!$I$68:$I$167</definedName>
    <definedName name="Affiliate_Type" localSheetId="11">'Step 1'!$C$22:$C$31</definedName>
    <definedName name="Affiliate_Type">'Step 1'!$C$22:$C$31</definedName>
    <definedName name="affiliates">'Step 1'!$C$22:$C$31</definedName>
    <definedName name="AisCases" localSheetId="19">TemplateASEoD!$CX$1</definedName>
    <definedName name="AisCases" localSheetId="10">TemplateProduct!$CX$1</definedName>
    <definedName name="AllowDiscOffExisting" localSheetId="19">TemplateASEoD!$BL$1</definedName>
    <definedName name="AllowDiscOffExisting" localSheetId="10">TemplateProduct!$BL$1</definedName>
    <definedName name="altPrimary">Pulldowns!$W$6:$W$7</definedName>
    <definedName name="ASE_SalesExpress" localSheetId="3">NSS_OEMAC!$ER$2</definedName>
    <definedName name="assignedToBam" localSheetId="11">'Step 0'!$C$136</definedName>
    <definedName name="assignedToBam">'Step 0'!$C$136</definedName>
    <definedName name="ATT_Data" localSheetId="24">x_Mobility_Prem_Calc!$A$23:$F$24</definedName>
    <definedName name="ATT_Devices" localSheetId="24">x_Mobility_Prem_Calc!$A$43:$E$44</definedName>
    <definedName name="ATT_Features" localSheetId="24">x_Mobility_Prem_Calc!$A$29:$F$30</definedName>
    <definedName name="ATT_Voice" localSheetId="24">x_Mobility_Prem_Calc!$A$17:$F$18</definedName>
    <definedName name="AvpnCondenseNo">Pulldowns!$BI$26</definedName>
    <definedName name="AVPNLoad">DefaultTables!$I$1</definedName>
    <definedName name="bIgnoreDups" localSheetId="19">TemplateASEoD!$CH$1:$CQ$1</definedName>
    <definedName name="bIgnoreDups">TemplateProduct!$CH$1:$CQ$1</definedName>
    <definedName name="BlankFile">Pulldowns!$AR$15</definedName>
    <definedName name="bLocked" localSheetId="19">TemplateASEoD!$CZ$1</definedName>
    <definedName name="bLocked" localSheetId="10">TemplateProduct!$CZ$1</definedName>
    <definedName name="bMinMaxDollarPrices" localSheetId="19">TemplateASEoD!$BV$1:$CE$1</definedName>
    <definedName name="bMinMaxDollarPrices" localSheetId="10">TemplateProduct!$BV$1:$CE$1</definedName>
    <definedName name="bSort" localSheetId="19">TemplateASEoD!$BS$1</definedName>
    <definedName name="bSort" localSheetId="10">TemplateProduct!$BS$1</definedName>
    <definedName name="cbContractNum">Customer_Opportunity!$G$14</definedName>
    <definedName name="cbCoterminous">Customer_Opportunity!$B$14</definedName>
    <definedName name="cbIACell">Customer_Opportunity!$X$3</definedName>
    <definedName name="cbOnlineCell" localSheetId="11">Customer_Opportunity!$D$14</definedName>
    <definedName name="cbOnlineCell">Customer_Opportunity!$D$14</definedName>
    <definedName name="cbSignedOn">Customer_Opportunity!$G$15</definedName>
    <definedName name="cbSupersede" localSheetId="11">Customer_Opportunity!$C$14</definedName>
    <definedName name="cbSupersede">Customer_Opportunity!$C$14</definedName>
    <definedName name="cbTimeRemaining">Customer_Opportunity!$G$16</definedName>
    <definedName name="CDT_DupFieldVals">OtherTables!$A$4:$C$7</definedName>
    <definedName name="CDT_DupFieldVals_headers">OtherTables!$A$4:$C$4</definedName>
    <definedName name="CDT_DupFieldVals_key">OtherTables!$A$5:$A$7</definedName>
    <definedName name="CenturyLinkPercentage" localSheetId="11">AcceleratorAccess!$C$8</definedName>
    <definedName name="CenturyLinkPercentage">AcceleratorAccess!$C$8</definedName>
    <definedName name="clearDeal">'Step 0'!$C$6:$C$37</definedName>
    <definedName name="ClearDealDesc">'Step 0'!$C$22:$C$37</definedName>
    <definedName name="clearEbuilder">Proposal!$B$10:$B$25</definedName>
    <definedName name="clearINRstart">'Step 1'!$L$21:$O$21</definedName>
    <definedName name="clearINRstart2">'Step 1'!$P$21</definedName>
    <definedName name="clearINRstart3">'Step 1'!$Q$21</definedName>
    <definedName name="clearScenariosStart">'Step 1'!$C$21:$I$21</definedName>
    <definedName name="ClliCount" localSheetId="11">AcceleratorAccess!$B$10</definedName>
    <definedName name="ClliCount">AcceleratorAccess!$B$10</definedName>
    <definedName name="contracts" localSheetId="11">Pulldowns!$BD$12:$BD$20</definedName>
    <definedName name="contracts">Pulldowns!$BD$12:$BD$20</definedName>
    <definedName name="costDetail.timeStamp">"unassigned"</definedName>
    <definedName name="Credit">'Step 1'!$D$42:$N$51</definedName>
    <definedName name="Credit_GEM_Text">Pulldowns!$BI$18</definedName>
    <definedName name="Credit_Mobility_Text">Pulldowns!$BI$17</definedName>
    <definedName name="Credit_Text_Show">'Step 1'!$D$39</definedName>
    <definedName name="CreditClear">'Step 1'!$E$42:$N$51</definedName>
    <definedName name="CreditHide">'Step 1'!$40:$52</definedName>
    <definedName name="creditS1" localSheetId="11">'Step 1'!$I$42:$I$51</definedName>
    <definedName name="creditS1">'Step 1'!$I$42:$I$51</definedName>
    <definedName name="creditS2" localSheetId="11">'Step 1'!$K$42:$K$51</definedName>
    <definedName name="creditS2">'Step 1'!$K$42:$K$51</definedName>
    <definedName name="creditS3" localSheetId="11">'Step 1'!$M$42:$M$51</definedName>
    <definedName name="creditS3">'Step 1'!$M$42:$M$51</definedName>
    <definedName name="creditYS1" localSheetId="11">'Step 1'!$J$42:$J$51</definedName>
    <definedName name="creditYS1">'Step 1'!$J$42:$J$51</definedName>
    <definedName name="creditYS2" localSheetId="11">'Step 1'!$L$42:$L$51</definedName>
    <definedName name="creditYS2">'Step 1'!$L$42:$L$51</definedName>
    <definedName name="creditYS3" localSheetId="11">'Step 1'!$N$42:$N$51</definedName>
    <definedName name="creditYS3">'Step 1'!$N$42:$N$51</definedName>
    <definedName name="CurrencyName" hidden="1">[1]tables!$B$5</definedName>
    <definedName name="CurrTerm">'Step 1'!$G$42</definedName>
    <definedName name="Customer" hidden="1">[1]RateLetter!$G$6</definedName>
    <definedName name="custOppClear">Customer_Opportunity!$B$4:$H$110</definedName>
    <definedName name="custOppClear2">Customer_Opportunity!$F$104:$H$110</definedName>
    <definedName name="custOppInternational">Customer_Opportunity!$20:$27</definedName>
    <definedName name="custOppOnline">Customer_Opportunity!$14:$17</definedName>
    <definedName name="custOppReset">Customer_Opportunity!$B$253:$H$359</definedName>
    <definedName name="custOpptyInfo">Customer_Opportunity!$A$1:$H$112</definedName>
    <definedName name="custOpptyServiceInput" localSheetId="11">Customer_Opportunity!$B$70,Customer_Opportunity!$B$72,Customer_Opportunity!$B$74,Customer_Opportunity!$B$76,Customer_Opportunity!$B$78,Customer_Opportunity!$B$80,Customer_Opportunity!$B$82,Customer_Opportunity!$B$84,Customer_Opportunity!$B$86,Customer_Opportunity!$B$88,Customer_Opportunity!$B$90</definedName>
    <definedName name="custOpptyServiceInput">Customer_Opportunity!$B$70,Customer_Opportunity!$B$72,Customer_Opportunity!$B$74,Customer_Opportunity!$B$76,Customer_Opportunity!$B$78,Customer_Opportunity!$B$80,Customer_Opportunity!$B$82,Customer_Opportunity!$B$84,Customer_Opportunity!$B$86,Customer_Opportunity!$B$88,Customer_Opportunity!$B$90</definedName>
    <definedName name="custOpptyServiceSelect" localSheetId="11">Customer_Opportunity!$B$70,Customer_Opportunity!$B$72,Customer_Opportunity!$B$74,Customer_Opportunity!$B$76,Customer_Opportunity!$B$78,Customer_Opportunity!$B$80,Customer_Opportunity!$B$82,Customer_Opportunity!$B$84,Customer_Opportunity!$B$86,Customer_Opportunity!$B$88,Customer_Opportunity!$B$90</definedName>
    <definedName name="custOpptyServiceSelect">Customer_Opportunity!$B$70,Customer_Opportunity!$B$72,Customer_Opportunity!$B$74,Customer_Opportunity!$B$76,Customer_Opportunity!$B$78,Customer_Opportunity!$B$80,Customer_Opportunity!$B$82,Customer_Opportunity!$B$84,Customer_Opportunity!$B$86,Customer_Opportunity!$B$88,Customer_Opportunity!$B$90</definedName>
    <definedName name="dates" localSheetId="11">Pulldowns!$Y$14:$Y$26</definedName>
    <definedName name="dates">Pulldowns!$Y$14:$Y$26</definedName>
    <definedName name="ddAssignedBam">'Step 0'!$F$15</definedName>
    <definedName name="ddDealNum" localSheetId="11">'Step 0'!$F$11</definedName>
    <definedName name="ddDealNum">'Step 0'!$F$11</definedName>
    <definedName name="ddDealStatus" localSheetId="11">'Step 0'!$F$14</definedName>
    <definedName name="ddDealStatus">'Step 0'!$F$14</definedName>
    <definedName name="ddIms2Status" localSheetId="11">'Step 0'!$C$131</definedName>
    <definedName name="ddIms2Status">'Step 0'!$C$131</definedName>
    <definedName name="ddPermissions">'Step 0'!$H$12:$H$38</definedName>
    <definedName name="ddVersion" localSheetId="11">'Step 0'!$F$12</definedName>
    <definedName name="ddVersion">'Step 0'!$F$12</definedName>
    <definedName name="dealName">"'Oppty Level Information'!$E$10"</definedName>
    <definedName name="defaultTables" localSheetId="27">DefaultTables!$3:$3</definedName>
    <definedName name="DefDB">"IMSICB"</definedName>
    <definedName name="Divisor" hidden="1">[1]tables!$B$4</definedName>
    <definedName name="eCRMsoap">'Step 0'!$C$130</definedName>
    <definedName name="Effort2011" localSheetId="11">Log!$G$68:$I$167</definedName>
    <definedName name="Effort2011">Log!$G$68:$I$167</definedName>
    <definedName name="emr.hide.c1">'Step 1'!$K:$AF</definedName>
    <definedName name="emr.hide.r1">'Step 0'!$4:$9</definedName>
    <definedName name="emr.hide.r2">'Step 0'!$13:$13</definedName>
    <definedName name="emr.hide.r3">'Step 0'!$34:$37</definedName>
    <definedName name="emr.hide.r4">'Step 1'!$33:$58</definedName>
    <definedName name="emr.hide.r5">'Step 1'!$8:$8</definedName>
    <definedName name="emr.hide.r6">'Step 1'!$10:$12</definedName>
    <definedName name="emr.hide.r7">'Step 1'!$14:$15</definedName>
    <definedName name="emr.hide.r9">'Step 0'!$30:$30</definedName>
    <definedName name="emr.unhide.r1">'Step 0'!$31:$32</definedName>
    <definedName name="Enhance2011" localSheetId="11">Log!$H$68:$H$167</definedName>
    <definedName name="Enhance2011">Log!$H$68:$H$167</definedName>
    <definedName name="entervalue" localSheetId="11">Pulldowns!$BB$13</definedName>
    <definedName name="entervalue">Pulldowns!$BB$13</definedName>
    <definedName name="ErateSchoolQuestion">Pulldowns!$AI$3</definedName>
    <definedName name="errorMsg1">'Step 0'!$K$12:$K$43</definedName>
    <definedName name="exists">'Step 0'!$C$119</definedName>
    <definedName name="expRange">Pulldowns!$Z$2</definedName>
    <definedName name="extSrcStart" localSheetId="11">'Step 1'!$L$21</definedName>
    <definedName name="extSrcStart">'Step 1'!$L$21</definedName>
    <definedName name="fileVersion">'Step 1'!$M$1</definedName>
    <definedName name="formatAis1">AisFormatting!$A$1:$K$73</definedName>
    <definedName name="formatAis2">AisFormatting!$M$1:$Z$73</definedName>
    <definedName name="formatNotes">AisFormatting!$AB$1:$AM$29</definedName>
    <definedName name="GEM_Deal">Pulldowns!$BK$15</definedName>
    <definedName name="Group2011">Log!$G$68:$G$167</definedName>
    <definedName name="hasAis" localSheetId="19">TemplateASEoD!$CT$1</definedName>
    <definedName name="hasAis" localSheetId="10">TemplateProduct!$CT$1</definedName>
    <definedName name="hasSSS" localSheetId="19">TemplateASEoD!$CV$1</definedName>
    <definedName name="hasSSS" localSheetId="10">TemplateProduct!$CV$1</definedName>
    <definedName name="headerFormat">Templates!$C$12:$C$13</definedName>
    <definedName name="headersEnd">Templates!$BK$12</definedName>
    <definedName name="Hide_Credit">Pulldowns!$BI$12</definedName>
    <definedName name="HideEbuilder">Proposal!$B$7:$B$25</definedName>
    <definedName name="hyperlinkERate">Pulldowns!$BA$5</definedName>
    <definedName name="hyperlinkNormal">Pulldowns!$BA$4</definedName>
    <definedName name="icbVersion" localSheetId="2">2</definedName>
    <definedName name="icbVersion">5</definedName>
    <definedName name="InFootprintPercentage" localSheetId="11">AcceleratorAccess!$C$7</definedName>
    <definedName name="InFootprintPercentage">AcceleratorAccess!$C$7</definedName>
    <definedName name="InputFormVersion">"5"</definedName>
    <definedName name="iProdInvID" localSheetId="19">TemplateASEoD!$D$1</definedName>
    <definedName name="iProdInvID" localSheetId="10">TemplateProduct!$D$1</definedName>
    <definedName name="IsASE" localSheetId="19">TemplateASEoD!$BP$1</definedName>
    <definedName name="IsASE" localSheetId="10">TemplateProduct!$BP$1</definedName>
    <definedName name="Jurisdiction" localSheetId="19">TemplateASEoD!$D$8</definedName>
    <definedName name="Jurisdiction" localSheetId="10">TemplateProduct!$D$8</definedName>
    <definedName name="K2_WBEVMODE">-1</definedName>
    <definedName name="kvl1Count">Pulldowns!$AC$4</definedName>
    <definedName name="kvl1first">Pulldowns!$AC$2</definedName>
    <definedName name="kvl2Count">Pulldowns!$AH$4</definedName>
    <definedName name="kvl2first">Pulldowns!$AH$2</definedName>
    <definedName name="kvl3count">Pulldowns!$AM$4</definedName>
    <definedName name="kvl3first">Pulldowns!$AM$2</definedName>
    <definedName name="kvlBuCount">Pulldowns!$AH$4</definedName>
    <definedName name="kvlBus" localSheetId="4">OFFSET([2]Pulldowns!$Y$5,[2]Pulldowns!$Y$2,0,[2]Pulldowns!$Y$4,1)</definedName>
    <definedName name="kvlBus" localSheetId="11">OFFSET(Pulldowns!$AH$5,Pulldowns!$AH$2,0,Pulldowns!$AH$4,1)</definedName>
    <definedName name="kvlBus">OFFSET(Pulldowns!$AH$5,Pulldowns!$AH$2,0,Pulldowns!$AH$4,1)</definedName>
    <definedName name="kvlSalesChannelCount">Pulldowns!$AC$4</definedName>
    <definedName name="kvlSalesChannels" localSheetId="4">OFFSET([2]Pulldowns!$V$5,[2]Pulldowns!$V$2,0,[2]Pulldowns!$V$4,1)</definedName>
    <definedName name="kvlSalesChannels" localSheetId="11">OFFSET(Pulldowns!$AC$5,Pulldowns!$AC$2,0,Pulldowns!$AC$4,1)</definedName>
    <definedName name="kvlSalesChannels">OFFSET(Pulldowns!$AC$5,Pulldowns!$AC$2,0,Pulldowns!$AC$4,1)</definedName>
    <definedName name="kvlSalesVps" localSheetId="4">OFFSET([2]Pulldowns!$AB$5,[2]Pulldowns!$AB$2,0,[2]Pulldowns!$AB$4,1)</definedName>
    <definedName name="kvlSalesVps" localSheetId="11">OFFSET(Pulldowns!$AM$5,Pulldowns!$AM$2,0,Pulldowns!$AM$4,1)</definedName>
    <definedName name="kvlSalesVps">OFFSET(Pulldowns!$AM$5,Pulldowns!$AM$2,0,Pulldowns!$AM$4,1)</definedName>
    <definedName name="kvlSegmentCount">Pulldowns!$AC$4</definedName>
    <definedName name="kvlSegments" localSheetId="4">OFFSET([2]Pulldowns!$V$5,[2]Pulldowns!$V$2,0,[2]Pulldowns!$V$4,1)</definedName>
    <definedName name="kvlSegments" localSheetId="11">OFFSET(Pulldowns!$AC$5,Pulldowns!$AC$2,0,Pulldowns!$AC$4,1)</definedName>
    <definedName name="kvlSegments">OFFSET(Pulldowns!$AC$5,Pulldowns!$AC$2,0,Pulldowns!$AC$4,1)</definedName>
    <definedName name="lastProduct">'Step 1'!$W$22:$W$31</definedName>
    <definedName name="lastSave">'Step 0'!$F$17</definedName>
    <definedName name="liDetailScenario">Inv_Detail!$D$2</definedName>
    <definedName name="LittleProdIDs" localSheetId="19">TemplateASEoD!$I$1:$R$1</definedName>
    <definedName name="LittleProdIDs" localSheetId="10">TemplateProduct!$I$1:$R$1</definedName>
    <definedName name="LittleProdInvNums" localSheetId="19">TemplateASEoD!$AZ$1:$BI$1</definedName>
    <definedName name="LittleProdInvNums">TemplateProduct!$AZ$1:$BI$1</definedName>
    <definedName name="LoadBackground">'Step 1'!$I$14:$J$15</definedName>
    <definedName name="loadedInModel" localSheetId="11">'Step 0'!$C$137</definedName>
    <definedName name="loadedInModel">'Step 0'!$C$137</definedName>
    <definedName name="locked" localSheetId="11">'Step 0'!$C$139</definedName>
    <definedName name="locked">'Step 0'!$C$139</definedName>
    <definedName name="lockedBy" localSheetId="11">'Step 0'!$C$140</definedName>
    <definedName name="lockedBy">'Step 0'!$C$140</definedName>
    <definedName name="LookupTables_AbnMarcs.AbnMarcs">Pulldowns!$K$3:$K$134</definedName>
    <definedName name="LookupTables_Competitors.Competitor">Pulldowns!$P$3:$P$32</definedName>
    <definedName name="LookupTables_ContractPlatforms.ContractPlatform">Pulldowns!$Q$3:$Q$15</definedName>
    <definedName name="LookupTables_eRate_MobilityStateAgreements.sErateContract">Pulldowns!$U$3:$U$55</definedName>
    <definedName name="LookupTables_eRate_MobilityStateContractList.sErateContract">Pulldowns!$T$3:$T$54</definedName>
    <definedName name="LookupTables_eRate_MobilityStateContractList.sState">Pulldowns!$R$3:$R$55</definedName>
    <definedName name="LookupTables_eRate_MobilityStateContracts.sErateContract">Pulldowns!$T$3:$T$55</definedName>
    <definedName name="LookupTables_MobilityAssociation.MobilityAssociation">Pulldowns!$O$3:$O$18</definedName>
    <definedName name="LookupTables_MobilityAttainment.MobilityAttainment">Pulldowns!$M$3:$M$17</definedName>
    <definedName name="LookupTables_MobilityMACAttainment.MobilityMAC">Pulldowns!$N$3:$N$34</definedName>
    <definedName name="LookupTables_MobilityMACs.MobilityMAC">Pulldowns!$L$3:$L$17</definedName>
    <definedName name="LRate" localSheetId="11">Pulldowns!$W$2:$W$3</definedName>
    <definedName name="LRate">Pulldowns!$W$2:$W$3</definedName>
    <definedName name="manageListRate" localSheetId="19">TemplateASEoD!$L$4</definedName>
    <definedName name="manageListRate" localSheetId="10">TemplateProduct!$L$4</definedName>
    <definedName name="mappingSource" localSheetId="19">TemplateASEoD!$U$1</definedName>
    <definedName name="mappingSource" localSheetId="10">TemplateProduct!$U$1</definedName>
    <definedName name="mapSources">'Step 1'!$P$22:$P$31</definedName>
    <definedName name="marcs23">'Step 1'!$F$11:$G$16</definedName>
    <definedName name="maxlen">ScratchPad!$C$1</definedName>
    <definedName name="mfnList">'Step 0'!$E$23:$E$38</definedName>
    <definedName name="miscFeet">'Misc Calculations'!$B$7:$B$25</definedName>
    <definedName name="mobility_attainment" localSheetId="11">"unassigned"</definedName>
    <definedName name="mobility_competitors_dataplans_key">"unassigned"</definedName>
    <definedName name="mobility_competitors_features_key">"unassigned"</definedName>
    <definedName name="mobility_competitors_key">"unassigned"</definedName>
    <definedName name="mobility_competitors_voiceplans_key">"unassigned"</definedName>
    <definedName name="mobility_contracttypes_key">"unassigned"</definedName>
    <definedName name="Mobility_Deal">Pulldowns!$BK$12</definedName>
    <definedName name="Mobility_eRateAgreement" localSheetId="11">Pulldowns!$W$15</definedName>
    <definedName name="Mobility_eRateAgreement">Pulldowns!$W$15</definedName>
    <definedName name="Mobility_eRateContract">Pulldowns!$W$12</definedName>
    <definedName name="mobility_industry_key">"unassigned"</definedName>
    <definedName name="mobility_MAC_Factors_key">"unassigned"</definedName>
    <definedName name="mobility_offertypes_key">"unassigned"</definedName>
    <definedName name="mobility_PAL_Writedown" localSheetId="11">"unassigned"</definedName>
    <definedName name="mobility_PAL_Writedown_key">"unassigned"</definedName>
    <definedName name="mobility_premcalc_formulas_data_key">"unassigned"</definedName>
    <definedName name="mobility_premcalc_formulas_devices_key">"unassigned"</definedName>
    <definedName name="mobility_premcalc_formulas_features_key">"unassigned"</definedName>
    <definedName name="mobility_premcalc_formulas_voice_key">"unassigned"</definedName>
    <definedName name="mobility_premcalc_lookups_key">"unassigned"</definedName>
    <definedName name="mobility_premcalc_password_key">"unassigned"</definedName>
    <definedName name="mobility_PremCalc_ProdIDs_key">"unassigned"</definedName>
    <definedName name="mobility_ReportingElements_key">"unassigned"</definedName>
    <definedName name="mobility_sales_channels_key">"unassigned"</definedName>
    <definedName name="mobility_StateLabel">'Step 1'!$C$17:$D$17</definedName>
    <definedName name="mostLikely">'Step 1'!$E$7</definedName>
    <definedName name="mvlSalesChannel">Pulldowns!$AC$7:$AC$24</definedName>
    <definedName name="NSS_LoopMileage" localSheetId="3">NSS_OEMAC!$EZ$15</definedName>
    <definedName name="nssLata" localSheetId="3">NSS_OEMAC!$V$15</definedName>
    <definedName name="nssState" localSheetId="3">NSS_OEMAC!$J$15</definedName>
    <definedName name="nssSwcClli" localSheetId="3">NSS_OEMAC!$AC$15</definedName>
    <definedName name="oemacHeaders">NSS_OEMAC!$B$15:$DZ$15</definedName>
    <definedName name="OEMACProdNum" localSheetId="3">NSS_OEMAC!$C$3</definedName>
    <definedName name="OEMACScenarios" localSheetId="3">NSS_OEMAC!$C$4</definedName>
    <definedName name="oemacSupportRequestID" localSheetId="3">NSS_OEMAC!$C$5</definedName>
    <definedName name="oppty.accountExecutive" localSheetId="11">'Step 0'!$C$27</definedName>
    <definedName name="oppty.accountExecutive">'Step 0'!$C$27</definedName>
    <definedName name="oppty.Affiliate">'Step 0'!$C$9</definedName>
    <definedName name="oppty.AltPrimary">'Step 0'!$C$6</definedName>
    <definedName name="oppty.AnnualSpend" localSheetId="11">Customer_Opportunity!$D$45</definedName>
    <definedName name="oppty.AnnualSpend">Customer_Opportunity!$D$45</definedName>
    <definedName name="oppty.attUID_acctMgr">'Step 0'!$C$12</definedName>
    <definedName name="oppty.BusinessUnit" localSheetId="11">'Step 0'!$C$24</definedName>
    <definedName name="oppty.BusinessUnit">'Step 0'!$C$24</definedName>
    <definedName name="oppty.ccMode">'Step 0'!$C$126</definedName>
    <definedName name="oppty.CommitmentType" localSheetId="11">'Step 1'!$E$12</definedName>
    <definedName name="oppty.CommitmentType">'Step 1'!$E$12</definedName>
    <definedName name="oppty.competitor" localSheetId="11">'Step 0'!$C$35</definedName>
    <definedName name="oppty.competitor">'Step 0'!$C$35</definedName>
    <definedName name="oppty.CompPrice">'Step 0'!$C$36</definedName>
    <definedName name="oppty.ContractPlatform" localSheetId="11">'Step 1'!$E$11</definedName>
    <definedName name="oppty.ContractPlatform">'Step 1'!$E$11</definedName>
    <definedName name="oppty.CustomerContract" localSheetId="11">'Step 0'!$C$127</definedName>
    <definedName name="oppty.CustomerContract">'Step 0'!$C$127</definedName>
    <definedName name="oppty.CustomerContractID">'Step 0'!$C$128</definedName>
    <definedName name="oppty.customerName" localSheetId="0">'[3]Begin Solution'!$E$19</definedName>
    <definedName name="oppty.customerName" localSheetId="11">'Step 0'!$C$33</definedName>
    <definedName name="oppty.customerName">'Step 0'!$C$33</definedName>
    <definedName name="oppty.dealComments">'Step 0'!$C$38</definedName>
    <definedName name="oppty.dealDescShort" localSheetId="0">'[3]Begin Solution'!$H$12</definedName>
    <definedName name="oppty.dealDescShort">'Step 0'!$C$34</definedName>
    <definedName name="oppty.dealName" localSheetId="0">'[3]Begin Solution'!$H$11</definedName>
    <definedName name="oppty.dealName">'Step 0'!$C$3</definedName>
    <definedName name="oppty.DescScen1">'Step 1'!$E$6</definedName>
    <definedName name="oppty.DescScen2">'Step 1'!$F$6</definedName>
    <definedName name="oppty.DescScen3">'Step 1'!$G$6</definedName>
    <definedName name="oppty.ebA_an">Proposal!$B$11</definedName>
    <definedName name="oppty.ebAddHonorific">Proposal!$B$17</definedName>
    <definedName name="oppty.ebContactDate">Proposal!$B$15</definedName>
    <definedName name="oppty.ebcustcity">Proposal!$B$22</definedName>
    <definedName name="oppty.ebcustCountry">Proposal!$B$25</definedName>
    <definedName name="oppty.ebCustomerOrg">Proposal!$B$13</definedName>
    <definedName name="oppty.ebcuststate">Proposal!$B$23</definedName>
    <definedName name="oppty.ebCustStreetAdd">Proposal!$B$21</definedName>
    <definedName name="oppty.ebcustZipCode">Proposal!$B$24</definedName>
    <definedName name="oppty.ebFirstName">Proposal!$B$18</definedName>
    <definedName name="oppty.ebGoal">Proposal!$B$12</definedName>
    <definedName name="oppty.ebHeader">Proposal!$B$4</definedName>
    <definedName name="oppty.ebLastName">Proposal!$B$19</definedName>
    <definedName name="oppty.ebQuoteYesNo">Proposal!$B$5</definedName>
    <definedName name="oppty.ebSolution">Proposal!$B$10</definedName>
    <definedName name="oppty.ebSolutionNarrative">Proposal!$B$14</definedName>
    <definedName name="oppty.ebTitle">Proposal!$B$20</definedName>
    <definedName name="oppty.ecrmID" localSheetId="0">'[3]Begin Solution'!$E$12</definedName>
    <definedName name="oppty.ecrmRequestID" localSheetId="11">'Step 0'!$C$11</definedName>
    <definedName name="oppty.ecrmRequestID">'Step 0'!$C$11</definedName>
    <definedName name="oppty.ecrmSuppReqID" localSheetId="11">'Step 0'!$C$14</definedName>
    <definedName name="oppty.ecrmSuppReqID">'Step 0'!$C$14</definedName>
    <definedName name="oppty.ecrmWorkReqID" localSheetId="0">'[3]Begin Solution'!$E$14</definedName>
    <definedName name="oppty.ecrmWorkReqID" localSheetId="11">'Step 0'!$C$15</definedName>
    <definedName name="oppty.ecrmWorkReqID">'Step 0'!$C$15</definedName>
    <definedName name="oppty.ErateAuth" localSheetId="11">'Step 0'!$C$124</definedName>
    <definedName name="oppty.ErateAuth">'Step 0'!$C$124</definedName>
    <definedName name="oppty.eRateMktRatesMode" localSheetId="11">'Step 0'!$C$125</definedName>
    <definedName name="oppty.eRateMktRatesMode">'Step 0'!$C$125</definedName>
    <definedName name="oppty.ERateSchoolQuestion">Pulldowns!$AI$5</definedName>
    <definedName name="oppty.EstNetAnnualRevImpactS1">'Step 1'!$E$8</definedName>
    <definedName name="oppty.EstNetAnnualRevImpactS2">'Step 1'!$F$8</definedName>
    <definedName name="oppty.EstNetAnnualRevImpactS3">'Step 1'!$G$8</definedName>
    <definedName name="oppty.Expedited">'Step 0'!$C$5</definedName>
    <definedName name="oppty.HouseAuth" localSheetId="11">'Step 0'!$C$123</definedName>
    <definedName name="oppty.HouseAuth">'Step 0'!$C$123</definedName>
    <definedName name="oppty.IcbpsCase">'Step 0'!$C$30</definedName>
    <definedName name="oppty.ICBPSnum" localSheetId="11">'Step 0'!$C$29</definedName>
    <definedName name="oppty.ICBPSnum">'Step 0'!$C$29</definedName>
    <definedName name="oppty.iScenarios">'Step 0'!$C$120</definedName>
    <definedName name="oppty.iTopScenario" localSheetId="11">'Step 0'!$C$121</definedName>
    <definedName name="oppty.iTopScenario">'Step 0'!$C$121</definedName>
    <definedName name="oppty.iYear">'Step 0'!$C$122</definedName>
    <definedName name="oppty.LDMarcS1" localSheetId="11">'Step 1'!$E$13</definedName>
    <definedName name="oppty.LDMarcS1">'Step 1'!$E$13</definedName>
    <definedName name="oppty.LPeRate">Pulldowns!$AS$27</definedName>
    <definedName name="oppty.LPFMR">Pulldowns!$AS$28</definedName>
    <definedName name="oppty.MobilityAssociation">'Step 1'!$E$14</definedName>
    <definedName name="oppty.MobilityState" localSheetId="11">'Step 1'!$E$17</definedName>
    <definedName name="oppty.MobilityState">'Step 1'!$E$17</definedName>
    <definedName name="oppty.MobilitySubcommitment">'Step 1'!$E$15</definedName>
    <definedName name="oppty.opptyType" localSheetId="11">'Step 0'!$C$7</definedName>
    <definedName name="oppty.opptyType">'Step 0'!$C$7</definedName>
    <definedName name="oppty.RemainTerm">'Step 0'!$C$8</definedName>
    <definedName name="oppty.reqResponseDate">'Step 0'!$C$4</definedName>
    <definedName name="oppty.RequestLabel" localSheetId="11">'Step 0'!$B$29</definedName>
    <definedName name="oppty.RequestLabel">'Step 0'!$B$29</definedName>
    <definedName name="oppty.s470num" localSheetId="11">'Step 0'!$C$31</definedName>
    <definedName name="oppty.s470num">'Step 0'!$C$31</definedName>
    <definedName name="oppty.s470numWireless" localSheetId="11">'Step 0'!$C$32</definedName>
    <definedName name="oppty.s470numWireless">'Step 0'!$C$32</definedName>
    <definedName name="oppty.SAART">'Step 0'!$C$13</definedName>
    <definedName name="oppty.salesChannel" localSheetId="11">'Step 0'!$C$23</definedName>
    <definedName name="oppty.salesChannel">'Step 0'!$C$23</definedName>
    <definedName name="oppty.salesState">'Step 0'!$C$26</definedName>
    <definedName name="oppty.salesVP" localSheetId="11">'Step 0'!$C$25</definedName>
    <definedName name="oppty.salesVP">'Step 0'!$C$25</definedName>
    <definedName name="oppty.segment" localSheetId="11">'Step 0'!$C$22</definedName>
    <definedName name="oppty.segment">'Step 0'!$C$22</definedName>
    <definedName name="oppty.TelcoSubcommitment">'Step 1'!$E$16</definedName>
    <definedName name="oppty.Threshold">'Step 0'!$C$37</definedName>
    <definedName name="oppty.tsebdm" localSheetId="11">'Step 0'!$C$28</definedName>
    <definedName name="oppty.tsebdm">'Step 0'!$C$28</definedName>
    <definedName name="oppty.VoltageMode">'Step 0'!$C$129</definedName>
    <definedName name="OtherTables" localSheetId="26">OtherTables!$3:$3</definedName>
    <definedName name="passListRates" localSheetId="19">TemplateASEoD!$X$1:$AG$1</definedName>
    <definedName name="passListRates" localSheetId="10">TemplateProduct!$X$1:$AG$1</definedName>
    <definedName name="platforms">Pulldowns!$AZ$12:$BB$25</definedName>
    <definedName name="plGroups">ProductList!$V$4:$V$49</definedName>
    <definedName name="plProdList">ProductList!$B$11:$C$392</definedName>
    <definedName name="pricingBegin">Templates!$AN$12</definedName>
    <definedName name="PricingModelVersion">2</definedName>
    <definedName name="_xlnm.Print_Area" localSheetId="29">Accelerator!$A$4:$V$118</definedName>
    <definedName name="_xlnm.Print_Area" localSheetId="24">x_Mobility_Prem_Calc!$A$1:$Q$58</definedName>
    <definedName name="prodAlert1" localSheetId="19">TemplateASEoD!$N$4</definedName>
    <definedName name="prodAlert1" localSheetId="10">TemplateProduct!$N$4</definedName>
    <definedName name="prodGrid">'Step 1'!$C$22:$X$31</definedName>
    <definedName name="prodGrid2">'Step 1'!$Y$22:$AD$31</definedName>
    <definedName name="prodInvNum">'Step 1'!$S$22:$S$31</definedName>
    <definedName name="ProdList">Pulldowns!$BF$1:$BF$36</definedName>
    <definedName name="prodNum" localSheetId="19">TemplateASEoD!$A$1</definedName>
    <definedName name="prodNum" localSheetId="10">TemplateProduct!$A$1</definedName>
    <definedName name="prodNumList" localSheetId="11">'Step 1'!$A$22:$A$31</definedName>
    <definedName name="prodNumList">'Step 1'!$A$22:$A$31</definedName>
    <definedName name="ProdStart" localSheetId="11">'Step 1'!$C$21</definedName>
    <definedName name="ProdStart">'Step 1'!$C$21</definedName>
    <definedName name="prodSumAnnual">Product_Summary!$AB:$AS</definedName>
    <definedName name="prodSumContract">Product_Summary!$AT:$BL</definedName>
    <definedName name="prodSumCurrMrc">Product_Summary!$J$22:$L$31</definedName>
    <definedName name="prodSumHeadersAll">Product_Summary!$15:$15</definedName>
    <definedName name="prodSumHeaderSingleScen">Product_Summary!$12:$14</definedName>
    <definedName name="prodSumManProds" localSheetId="11">Product_Summary!$C$36:$O$39,Product_Summary!$S$36:$U$39</definedName>
    <definedName name="prodSumManProds">Product_Summary!$C$36:$O$39,Product_Summary!$S$36:$U$39</definedName>
    <definedName name="prodSummaryAffiliates">Product_Summary!$C$22:$C$31</definedName>
    <definedName name="prodSumMonthly">Product_Summary!$J:$AA</definedName>
    <definedName name="prodSumPropEMRC">Product_Summary!$M$22:$O$31</definedName>
    <definedName name="prodSumPropMarc">Product_Summary!$G$5:$I$5</definedName>
    <definedName name="prodSumPropMarcLD">Product_Summary!$E$57:$G$57</definedName>
    <definedName name="prodSumPropMarcMob">Product_Summary!$E$64:$G$64</definedName>
    <definedName name="prodSumPropMarcTelco">Product_Summary!$E$50:$G$50</definedName>
    <definedName name="prodSumPropMRC">Product_Summary!$Y$22:$AA$31</definedName>
    <definedName name="prodSumScen1" localSheetId="11">Product_Summary!$J:$J,Product_Summary!$M:$M,Product_Summary!$P:$P,Product_Summary!$S:$S,Product_Summary!$V:$V,Product_Summary!$Y:$Y,Product_Summary!$AB:$AB,Product_Summary!$AE:$AE,Product_Summary!$AH:$AH,Product_Summary!$AK:$AK,Product_Summary!$AN:$AN,Product_Summary!$AQ:$AQ,Product_Summary!$AT:$AT,Product_Summary!$AW:$AW,Product_Summary!$AZ:$AZ,Product_Summary!$BC:$BC,Product_Summary!$BF:$BF,Product_Summary!$BI:$BI</definedName>
    <definedName name="prodSumScen1">Product_Summary!$J:$J,Product_Summary!$M:$M,Product_Summary!$P:$P,Product_Summary!$S:$S,Product_Summary!$V:$V,Product_Summary!$Y:$Y,Product_Summary!$AB:$AB,Product_Summary!$AE:$AE,Product_Summary!$AH:$AH,Product_Summary!$AK:$AK,Product_Summary!$AN:$AN,Product_Summary!$AQ:$AQ,Product_Summary!$AT:$AT,Product_Summary!$AW:$AW,Product_Summary!$AZ:$AZ,Product_Summary!$BC:$BC,Product_Summary!$BF:$BF,Product_Summary!$BI:$BI</definedName>
    <definedName name="prodSumScen2" localSheetId="11">Product_Summary!$K:$K,Product_Summary!$N:$N,Product_Summary!$Q:$Q,Product_Summary!$T:$T,Product_Summary!$W:$W,Product_Summary!$Z:$Z,Product_Summary!$AC:$AC,Product_Summary!$AF:$AF,Product_Summary!$AI:$AI,Product_Summary!$AL:$AL,Product_Summary!$AO:$AO,Product_Summary!$AR:$AR,Product_Summary!$AU:$AU,Product_Summary!$AX:$AX,Product_Summary!$BA:$BA,Product_Summary!$BD:$BD,Product_Summary!$BG:$BG,Product_Summary!$BJ:$BJ</definedName>
    <definedName name="prodSumScen2">Product_Summary!$K:$K,Product_Summary!$N:$N,Product_Summary!$Q:$Q,Product_Summary!$T:$T,Product_Summary!$W:$W,Product_Summary!$Z:$Z,Product_Summary!$AC:$AC,Product_Summary!$AF:$AF,Product_Summary!$AI:$AI,Product_Summary!$AL:$AL,Product_Summary!$AO:$AO,Product_Summary!$AR:$AR,Product_Summary!$AU:$AU,Product_Summary!$AX:$AX,Product_Summary!$BA:$BA,Product_Summary!$BD:$BD,Product_Summary!$BG:$BG,Product_Summary!$BJ:$BJ</definedName>
    <definedName name="prodSumScen3" localSheetId="11">Product_Summary!$L:$L,Product_Summary!$O:$O,Product_Summary!$R:$R,Product_Summary!$U:$U,Product_Summary!$X:$X,Product_Summary!$AA:$AA,Product_Summary!$AD:$AD,Product_Summary!$AG$2,Product_Summary!$AG$2,Product_Summary!$AG:$AG,Product_Summary!$AJ:$AJ,Product_Summary!$AM:$AM,Product_Summary!$AP:$AP,Product_Summary!$AS:$AS,Product_Summary!$AV:$AV,Product_Summary!$AY:$AY,Product_Summary!$BB:$BB,Product_Summary!$BE:$BE,Product_Summary!$BH:$BH,Product_Summary!$BK:$BK</definedName>
    <definedName name="prodSumScen3">Product_Summary!$L:$L,Product_Summary!$O:$O,Product_Summary!$R:$R,Product_Summary!$U:$U,Product_Summary!$X:$X,Product_Summary!$AA:$AA,Product_Summary!$AD:$AD,Product_Summary!$AG$2,Product_Summary!$AG$2,Product_Summary!$AG:$AG,Product_Summary!$AJ:$AJ,Product_Summary!$AM:$AM,Product_Summary!$AP:$AP,Product_Summary!$AS:$AS,Product_Summary!$AV:$AV,Product_Summary!$AY:$AY,Product_Summary!$BB:$BB,Product_Summary!$BE:$BE,Product_Summary!$BH:$BH,Product_Summary!$BK:$BK</definedName>
    <definedName name="prodSumScenChoice">Product_Summary!$D$3</definedName>
    <definedName name="prodSumTimeFrame">Product_Summary!$D$5</definedName>
    <definedName name="prodSumUnAnalyzed">Product_Summary!$G$42:$L$42</definedName>
    <definedName name="prodSumWdMRC">Product_Summary!$P$22:$R$31</definedName>
    <definedName name="prodTermOffsets" localSheetId="19">TemplateASEoD!$AU$1:$AW$1</definedName>
    <definedName name="prodTermOffsets" localSheetId="10">TemplateProduct!$AU$1:$AW$1</definedName>
    <definedName name="prodTerms" localSheetId="19">TemplateASEoD!$AP$1:$AR$1</definedName>
    <definedName name="prodTerms" localSheetId="10">TemplateProduct!$AP$1:$AR$1</definedName>
    <definedName name="Product_Grid" localSheetId="11">'Step 1'!$C$22:$F$31</definedName>
    <definedName name="Product_Grid">'Step 1'!$C$22:$F$31</definedName>
    <definedName name="products" localSheetId="11">'Step 1'!$D$22:$D$31</definedName>
    <definedName name="products">'Step 1'!$D$22:$D$31</definedName>
    <definedName name="productsFormat">'Step 1'!$C$22:$O$31</definedName>
    <definedName name="productsLoaded">'Step 1'!$AD$2</definedName>
    <definedName name="ProposalFMR">Pulldowns!$BA$7</definedName>
    <definedName name="ProposalList1">Proposal!$B$10:$B$15</definedName>
    <definedName name="ProposalList2">Proposal!$B$17:$B$25</definedName>
    <definedName name="readOnly" localSheetId="11">'Step 0'!$C$138</definedName>
    <definedName name="readOnly">'Step 0'!$C$138</definedName>
    <definedName name="recDates" localSheetId="4">OFFSET([2]Pulldowns!$R$1,[2]Pulldowns!$S$5,0,15,1)</definedName>
    <definedName name="recDates" localSheetId="11">OFFSET(Pulldowns!$Y$1,Pulldowns!$Z$5,0,15,1)</definedName>
    <definedName name="recDates">OFFSET(Pulldowns!$Y$1,Pulldowns!$Z$5,0,15,1)</definedName>
    <definedName name="returnvalue" localSheetId="0">[3]SOAP!$B$1</definedName>
    <definedName name="returnvalue" localSheetId="11">SOAP!$B$1</definedName>
    <definedName name="returnvalue">SOAP!$B$1</definedName>
    <definedName name="rl.eBuilderLink" localSheetId="11">RLTemplateVoltage!$M$14</definedName>
    <definedName name="rl.eBuilderLink">RLTemplate!$M$14</definedName>
    <definedName name="rl.header" localSheetId="11">RLTemplateVoltage!$E$6:$N$16</definedName>
    <definedName name="rl.header">RLTemplate!$E$6:$N$16</definedName>
    <definedName name="rl.prodArea" localSheetId="11">RLTemplateVoltage!$18:$24</definedName>
    <definedName name="rl.prodArea">RLTemplate!$18:$24</definedName>
    <definedName name="rl.tcs" localSheetId="11">RLTemplateVoltage!$B$26</definedName>
    <definedName name="rl.tcs">RLTemplate!$B$26</definedName>
    <definedName name="rlSelectedGroup">ProductList!$C$4</definedName>
    <definedName name="save.AcceleratorApprovedCredit">Accelerator!$V$19</definedName>
    <definedName name="save.AcceleratorMarcYr1" localSheetId="11">Accelerator!$E$25</definedName>
    <definedName name="save.AcceleratorMarcYr1">Accelerator!$E$25</definedName>
    <definedName name="save.AcceleratorNetRevenue" localSheetId="11">Accelerator!$E$19</definedName>
    <definedName name="save.AcceleratorNetRevenue">Accelerator!$E$19</definedName>
    <definedName name="save.AcceleratorSelectedMARC" localSheetId="11">Accelerator!$E$21</definedName>
    <definedName name="save.AcceleratorSelectedMARC">Accelerator!$E$21</definedName>
    <definedName name="save.Credit0" localSheetId="11">'Step 1'!$C$42:$C$51</definedName>
    <definedName name="save.Credit0">'Step 1'!$C$42:$C$51</definedName>
    <definedName name="save.Credit1">'Step 1'!$E$42:$F$51</definedName>
    <definedName name="save.Credit2" localSheetId="11">'Step 1'!$G$42</definedName>
    <definedName name="save.Credit2">'Step 1'!$G$42</definedName>
    <definedName name="save.Credit3">'Step 1'!$H$42:$N$51</definedName>
    <definedName name="save.custOppty">Customer_Opportunity!$B$4:$H$110</definedName>
    <definedName name="save.diff.custOppty">Customer_Opportunity!$B$253:$H$359</definedName>
    <definedName name="save.Mobility_ATT_OneTimes">x_Mobility_Prem_Calc!$A$35:$C$36</definedName>
    <definedName name="save.Mobility_Competitor_Data">x_Mobility_Prem_Calc!$J$23:$N$24</definedName>
    <definedName name="save.Mobility_Competitor_Devices">x_Mobility_Prem_Calc!$J$43:$L$44</definedName>
    <definedName name="save.Mobility_Competitor_Features">x_Mobility_Prem_Calc!$J$29:$L$30</definedName>
    <definedName name="save.Mobility_Competitor_OneTimes">x_Mobility_Prem_Calc!$J$35:$L$36</definedName>
    <definedName name="save.Mobility_Competitor_Voice">x_Mobility_Prem_Calc!$J$17:$N$18</definedName>
    <definedName name="save.Mobility_TCO_Misc">x_Mobility_Prem_Calc!$A$65:$C$77</definedName>
    <definedName name="save.mobility_WritedownData">x_Mobility_WriteDown!$G$25:$K$34</definedName>
    <definedName name="save.mobility_WritedownDiscount">x_Mobility_WriteDown!$H$7</definedName>
    <definedName name="save.mobility_WritedownVoice">x_Mobility_WriteDown!$G$11:$K$20</definedName>
    <definedName name="save.MobilityAcqRet">x_Mobility_Prem_Calc!$G$3</definedName>
    <definedName name="save.MobilityAgent">x_Mobility_Prem_Calc!$H$11</definedName>
    <definedName name="save.MobilityAgreementID">x_Mobility_Prem_Calc!$G$9</definedName>
    <definedName name="save.MobilityAttAcquisitionCredit">x_Mobility_Prem_Calc!$H$48</definedName>
    <definedName name="save.MobilityAttCTNs" localSheetId="11">x_Mobility_Prem_Calc!$C$48</definedName>
    <definedName name="save.MobilityAttCTNs">x_Mobility_Prem_Calc!$C$48</definedName>
    <definedName name="save.MobilityCompetitorAcquisitionCredit">x_Mobility_Prem_Calc!$Q$48</definedName>
    <definedName name="save.MobilityCompetitorCTNs">x_Mobility_Prem_Calc!$L$48</definedName>
    <definedName name="save.MobilityCurrentCarrier">x_Mobility_Prem_Calc!$G$7</definedName>
    <definedName name="save.MobilityCurrentCarrierSecondary">x_Mobility_Prem_Calc!$G$8</definedName>
    <definedName name="save.MobilityIndustry">x_Mobility_Prem_Calc!$B$11</definedName>
    <definedName name="save.MobilityMAC_Sales" localSheetId="11">x_Mobility_Prem_Calc!$H$5</definedName>
    <definedName name="save.MobilityMAC_Sales">x_Mobility_Prem_Calc!$H$5</definedName>
    <definedName name="save.MobilityTcoCompetitor">x_Mobility_Prem_Calc!$J$13</definedName>
    <definedName name="save.MobilityTcoCompetitorDiscount">x_Mobility_Prem_Calc!$K$13</definedName>
    <definedName name="save.MscQc_Sales" localSheetId="11">x_Mobility_Prem_Calc!$G$4</definedName>
    <definedName name="save.MscQc_Sales">x_Mobility_Prem_Calc!$G$4</definedName>
    <definedName name="save.prodSummary" localSheetId="11">Product_Summary!$D$3,Product_Summary!$D$5,Product_Summary!$C$36:$O$39,Product_Summary!$S$36:$U$39,Product_Summary!$E$50:$G$50,Product_Summary!$E$57:$G$57,Product_Summary!$E$64:$G$64</definedName>
    <definedName name="save.prodSummary">Product_Summary!$D$3,Product_Summary!$D$5,Product_Summary!$C$36:$O$39,Product_Summary!$S$36:$U$39,Product_Summary!$E$50:$G$50,Product_Summary!$E$57:$G$57,Product_Summary!$E$64:$G$64</definedName>
    <definedName name="save.ScenarioDescriptions">'Step 1'!$E$6:$G$6</definedName>
    <definedName name="save.ScenMARCs">'Step 1'!$N$9:$P$17</definedName>
    <definedName name="save.ScenMARCsNew">'Step 1'!$E$11:$G$17</definedName>
    <definedName name="SBC_BS" hidden="1">[1]Indicators!$M$12</definedName>
    <definedName name="scenarios" localSheetId="11">'Step 1'!$G$22:$I$31</definedName>
    <definedName name="scenarios">'Step 1'!$G$22:$I$31</definedName>
    <definedName name="ScenStart">'Step 1'!$C$6</definedName>
    <definedName name="Scratch" localSheetId="4">OFFSET([0]!ScratchStart,0,0,MAX(1,[0]!Scratch_ValueCount),1)</definedName>
    <definedName name="Scratch" localSheetId="11">OFFSET(RLTemplateVoltage!ScratchStart,0,0,MAX(1,RLTemplateVoltage!Scratch_ValueCount),1)</definedName>
    <definedName name="Scratch">OFFSET(ScratchStart,0,0,MAX(1,Scratch_ValueCount),1)</definedName>
    <definedName name="Scratch_Paste">ScratchPad!$H:$IU</definedName>
    <definedName name="Scratch_ValueCount" localSheetId="11">ScratchPad!$B$1</definedName>
    <definedName name="Scratch_ValueCount">ScratchPad!$B$1</definedName>
    <definedName name="Scratch2Start">ScratchPad!$E$2</definedName>
    <definedName name="ScratchPad_1">ScratchPad!$A$2:$A$65536</definedName>
    <definedName name="ScratchStart" localSheetId="11">ScratchPad!$A$2</definedName>
    <definedName name="ScratchStart">ScratchPad!$A$2</definedName>
    <definedName name="scrub_text" localSheetId="5">'Step 0'!$C$3:$C$9,'Step 0'!$C$11:$C$15,'Step 0'!$C$22:$C$37</definedName>
    <definedName name="sdDataLoad">Inv_Detail!$H$2</definedName>
    <definedName name="sdHeader">Inv_Detail!$C$2</definedName>
    <definedName name="sdHeaders">Inv_Detail!$F$1:$K$3</definedName>
    <definedName name="secrmOpptys.sSalesperson">Pulldowns!$D$4:$D$6589</definedName>
    <definedName name="selectedProducts">'Step 1'!$D$22:$D$31</definedName>
    <definedName name="ServerName">SOAP!$B$34</definedName>
    <definedName name="Sheet1prodAccessLoad">"'Sheet1'!$Q$1"</definedName>
    <definedName name="Sheet1prodClean">"'Sheet1'!$O$1"</definedName>
    <definedName name="Sheet1prodID">"'Sheet1'!$G$1"</definedName>
    <definedName name="sLookupTables_AbnMarcs.AbnMarcs" localSheetId="11">Pulldowns!$K$4:$K$134</definedName>
    <definedName name="sLookupTables_AbnMarcs.AbnMarcs">Pulldowns!$K$4:$K$134</definedName>
    <definedName name="sLookupTables_Competitors.Competitor" localSheetId="11">Pulldowns!$P$4:$P$31</definedName>
    <definedName name="sLookupTables_Competitors.Competitor">Pulldowns!$P$4:$P$32</definedName>
    <definedName name="sLookupTables_ContractPlatforms.ContractPlatform" localSheetId="11">Pulldowns!$Q$4:$Q$17</definedName>
    <definedName name="sLookupTables_ContractPlatforms.ContractPlatform">Pulldowns!$Q$4:$Q$15</definedName>
    <definedName name="sLookupTables_eRate_MobilityStateAgreements.sErateContract" localSheetId="11">Pulldowns!$U$4:$U$55</definedName>
    <definedName name="sLookupTables_eRate_MobilityStateAgreements.sErateContract">Pulldowns!$U$4:$U$55</definedName>
    <definedName name="sLookupTables_eRate_MobilityStateContractList.sErateContract" localSheetId="11">Pulldowns!$T$4:$T$54</definedName>
    <definedName name="sLookupTables_eRate_MobilityStateContractList.sErateContract">Pulldowns!$T$4:$T$54</definedName>
    <definedName name="sLookupTables_eRate_MobilityStateContractList.sState" localSheetId="11">Pulldowns!$R$4:$R$55</definedName>
    <definedName name="sLookupTables_eRate_MobilityStateContractList.sState">Pulldowns!$R$4:$R$55</definedName>
    <definedName name="sLookupTables_eRate_MobilityStateContracts.sErateContract">Pulldowns!$T$4:$T$55</definedName>
    <definedName name="sLookupTables_MobilityAssociation.MobilityAssociation" localSheetId="11">Pulldowns!$O$4:$O$19</definedName>
    <definedName name="sLookupTables_MobilityAssociation.MobilityAssociation">Pulldowns!$O$4:$O$18</definedName>
    <definedName name="sLookupTables_MobilityAttainment.MobilityAttainment" localSheetId="11">Pulldowns!$M$4:$M$17</definedName>
    <definedName name="sLookupTables_MobilityAttainment.MobilityAttainment">Pulldowns!$M$4:$M$17</definedName>
    <definedName name="sLookupTables_MobilityMACAttainment.MobilityMAC" localSheetId="11">Pulldowns!$N$4:$N$34</definedName>
    <definedName name="sLookupTables_MobilityMACAttainment.MobilityMAC">Pulldowns!$N$4:$N$34</definedName>
    <definedName name="sLookupTables_MobilityMACs.MobilityMAC" localSheetId="11">Pulldowns!$L$4:$L$17</definedName>
    <definedName name="sLookupTables_MobilityMACs.MobilityMAC">Pulldowns!$L$4:$L$17</definedName>
    <definedName name="sMISPNT">Pulldowns!$BO$2:$BO$3</definedName>
    <definedName name="soaOrgChart">Pulldowns!$B$3:$B$3</definedName>
    <definedName name="soaOrgChart.sBamName">Pulldowns!$B$3:$B$441</definedName>
    <definedName name="soapIndexes">SOAP!$A$26:$A$28</definedName>
    <definedName name="soapRanges">SOAP!$A$4:$A$22</definedName>
    <definedName name="SOAPstring">SOAP!$A$32</definedName>
    <definedName name="splitScreenProducts">'Step 1'!$A$22:$J$31</definedName>
    <definedName name="ssoaOrgChart.sBamName">Pulldowns!$B$4:$B$441</definedName>
    <definedName name="startECRMHeaders" localSheetId="3">NSS_OEMAC!$B$10</definedName>
    <definedName name="startFoundInSA" localSheetId="3">NSS_OEMAC!$EO$14</definedName>
    <definedName name="startOEMACCDTTemplate" localSheetId="3">NSS_OEMAC!$EB$14</definedName>
    <definedName name="startOEMACCDTTemplate2" localSheetId="3">NSS_OEMAC!$EQ$14</definedName>
    <definedName name="startOEMACLocs" localSheetId="3">NSS_OEMAC!$B$14</definedName>
    <definedName name="startPCGHeaders" localSheetId="3">NSS_OEMAC!$B$12</definedName>
    <definedName name="State" localSheetId="19">TemplateASEoD!$D$7</definedName>
    <definedName name="State" localSheetId="10">TemplateProduct!$D$7</definedName>
    <definedName name="stdTermOffsets" localSheetId="11">Pulldowns!$AV$5:$AV$11</definedName>
    <definedName name="stdTermOffsets">Pulldowns!$AV$5:$AV$11</definedName>
    <definedName name="StdTerms" localSheetId="11">Pulldowns!$AU$5:$AU$11</definedName>
    <definedName name="StdTerms">Pulldowns!$AU$5:$AU$11</definedName>
    <definedName name="step1.permissions">'Step 1'!$M$4</definedName>
    <definedName name="step1.status">'Step 1'!$M$3</definedName>
    <definedName name="Step1_Actions">'Step 1'!$J$22:$J$31</definedName>
    <definedName name="Step1_Jurisdictions">'Step 1'!$F$22:$F$31</definedName>
    <definedName name="Step1_Regions">'Step 1'!$E$22:$E$31</definedName>
    <definedName name="step1Alerts">'Step 1'!$B$22:$B$31</definedName>
    <definedName name="sTop_Products.sJurisdiction" localSheetId="11">Pulldowns!$J$4:$J$22</definedName>
    <definedName name="sTop_Products.sJurisdiction">Pulldowns!$J$4:$J$26</definedName>
    <definedName name="sTop_Products.sJurisdiction.CC">Pulldowns!$BS$6:$BS$8</definedName>
    <definedName name="stratPri.Hidden1">'Step 1'!$A$39:$A$58</definedName>
    <definedName name="submitted">'Step 0'!$C$133</definedName>
    <definedName name="submittedToCost" localSheetId="11">'Step 0'!$C$135</definedName>
    <definedName name="submittedToCost">'Step 0'!$C$135</definedName>
    <definedName name="submittedToCostPP" localSheetId="11">'Step 0'!$C$132</definedName>
    <definedName name="submittedToCostPP">'Step 0'!$C$132</definedName>
    <definedName name="submittedToIcb" localSheetId="11">'Step 0'!$C$134</definedName>
    <definedName name="submittedToIcb">'Step 0'!$C$134</definedName>
    <definedName name="submittedToNss">'Step 0'!$C$135</definedName>
    <definedName name="Subprod_Clear_1" localSheetId="19">TemplateASEoD!$A$10:$BK$17</definedName>
    <definedName name="Subprod_Clear_1" localSheetId="10">TemplateProduct!$A$10:$BK$17</definedName>
    <definedName name="Subprod_clear_10">TemplateProduct!$A$82:$BK$88</definedName>
    <definedName name="Subprod_Clear_2" localSheetId="10">TemplateProduct!$A$18:$BK$25</definedName>
    <definedName name="Subprod_Clear_3" localSheetId="10">TemplateProduct!$A$26:$BK$33</definedName>
    <definedName name="Subprod_Clear_4" localSheetId="10">TemplateProduct!$A$34:$BK$41</definedName>
    <definedName name="Subprod_Clear_5" localSheetId="10">TemplateProduct!$A$42:$BK$49</definedName>
    <definedName name="Subprod_Clear_6" localSheetId="10">TemplateProduct!$A$50:$BK$57</definedName>
    <definedName name="Subprod_Clear_7">TemplateProduct!$A$58:$BK$65</definedName>
    <definedName name="Subprod_clear_8">TemplateProduct!$A$66:$BK$73</definedName>
    <definedName name="Subprod_clear_9">TemplateProduct!$A$74:$BK$81</definedName>
    <definedName name="Subprod_Data_1" localSheetId="11">TemplateProduct!$C$14:$BK$15</definedName>
    <definedName name="Subprod_Data_1" localSheetId="19">TemplateASEoD!$C$14:$AC$15</definedName>
    <definedName name="Subprod_Data_1" localSheetId="13">Templates!$C$14:$AA$17</definedName>
    <definedName name="Subprod_Data_1">TemplateProduct!$C$14:$BK$15</definedName>
    <definedName name="Subprod_Data_10">TemplateProduct!$C$86:$BK$87</definedName>
    <definedName name="Subprod_Data_2">TemplateProduct!$C$22:$BK$23</definedName>
    <definedName name="Subprod_Data_3">TemplateProduct!$C$30:$BK$31</definedName>
    <definedName name="Subprod_Data_4" localSheetId="10">TemplateProduct!$C$38:$BK$39</definedName>
    <definedName name="Subprod_Data_4">"unassigned"</definedName>
    <definedName name="Subprod_Data_5" localSheetId="10">TemplateProduct!$C$46:$BK$47</definedName>
    <definedName name="Subprod_Data_6" localSheetId="10">TemplateProduct!$C$54:$BK$55</definedName>
    <definedName name="Subprod_Data_7">TemplateProduct!$C$62:$BK$63</definedName>
    <definedName name="Subprod_Data_8">TemplateProduct!$C$70:$BK$71</definedName>
    <definedName name="Subprod_Data_9">TemplateProduct!$C$78:$BK$79</definedName>
    <definedName name="Subprod_Headers_1" localSheetId="19">TemplateASEoD!$C$12:$F$12</definedName>
    <definedName name="Subprod_Headers_1" localSheetId="10">TemplateProduct!$C$12:$AI$12</definedName>
    <definedName name="Subprod_Headers_1" localSheetId="13">Templates!$C$12:$D$12</definedName>
    <definedName name="Subprod_Headers_10">TemplateProduct!$C$84:$AI$84</definedName>
    <definedName name="Subprod_Headers_2" localSheetId="10">TemplateProduct!$C$20:$AI$20</definedName>
    <definedName name="Subprod_Headers_3" localSheetId="10">TemplateProduct!$C$28:$AI$28</definedName>
    <definedName name="Subprod_Headers_4" localSheetId="10">TemplateProduct!$C$36:$AI$36</definedName>
    <definedName name="Subprod_Headers_5" localSheetId="10">TemplateProduct!$C$44:$AI$44</definedName>
    <definedName name="Subprod_Headers_6" localSheetId="10">TemplateProduct!$C$52:$AI$52</definedName>
    <definedName name="Subprod_Headers_7">TemplateProduct!$C$60:$AI$60</definedName>
    <definedName name="Subprod_Headers_8">TemplateProduct!$C$68:$AI$68</definedName>
    <definedName name="Subprod_Headers_9">TemplateProduct!$C$76:$AI$76</definedName>
    <definedName name="Subprod_Name_1" localSheetId="19">TemplateASEoD!$C$10</definedName>
    <definedName name="Subprod_Name_1" localSheetId="10">TemplateProduct!$C$10</definedName>
    <definedName name="Subprod_Name_1" localSheetId="13">Templates!$C$10</definedName>
    <definedName name="Subprod_Name_10">TemplateProduct!$C$82</definedName>
    <definedName name="Subprod_Name_2" localSheetId="10">TemplateProduct!$C$18</definedName>
    <definedName name="Subprod_Name_3" localSheetId="10">TemplateProduct!$C$26</definedName>
    <definedName name="Subprod_Name_4" localSheetId="10">TemplateProduct!$C$34</definedName>
    <definedName name="Subprod_Name_5" localSheetId="10">TemplateProduct!$C$42</definedName>
    <definedName name="Subprod_Name_6" localSheetId="10">TemplateProduct!$C$50</definedName>
    <definedName name="Subprod_Name_7">TemplateProduct!$C$58</definedName>
    <definedName name="Subprod_Name_8">TemplateProduct!$C$66</definedName>
    <definedName name="Subprod_Name_9">TemplateProduct!$C$74</definedName>
    <definedName name="SubProdTemplate">Templates!$C$10:$FG$16</definedName>
    <definedName name="svlImsAffiliates.sAffiliate" localSheetId="11">Pulldowns!$A$4:$A$8</definedName>
    <definedName name="svlImsAffiliates.sAffiliate">Pulldowns!$A$4:$A$8</definedName>
    <definedName name="svlImsBundleTypes.sBundleType">Pulldowns!$C$4:$C$8</definedName>
    <definedName name="svlImsContractTypes.sContractType" localSheetId="11">Pulldowns!$G$4:$G$7</definedName>
    <definedName name="svlImsContractTypes.sContractType">Pulldowns!$G$4:$G$7</definedName>
    <definedName name="svlImsSalesCenterVPs.sSalesCenterVP">Pulldowns!$E$4:$E$293</definedName>
    <definedName name="svlImsSalesPersons.sSalesperson" localSheetId="11">Pulldowns!$D$4:$D$7214</definedName>
    <definedName name="svlImsSalesPersons.sSalesperson">Pulldowns!$D$4:$D$7252</definedName>
    <definedName name="svlImsSalesStates.sSalesState" localSheetId="11">Pulldowns!$I$4:$I$56</definedName>
    <definedName name="svlImsSalesStates.sSalesState">Pulldowns!$I$4:$I$56</definedName>
    <definedName name="svlImsSegments.sSegment" localSheetId="11">Pulldowns!$H$4:$H$7</definedName>
    <definedName name="svlImsSegments.sSegment">Pulldowns!$H$4:$H$17</definedName>
    <definedName name="svlImsThresholds.sThreshold">Pulldowns!$S$4:$S$7</definedName>
    <definedName name="svlImsUniverses.sUniverse">Pulldowns!$F$4:$F$9</definedName>
    <definedName name="SWCCLLI_Lookup" localSheetId="11">AcceleratorTables!$D$5:$E$5</definedName>
    <definedName name="SWCCLLI_Lookup">AcceleratorTables!$D$5:$E$5</definedName>
    <definedName name="SWCCLLI_Lookup_headers">AcceleratorTables!$D$5:$E$5</definedName>
    <definedName name="SWCCLLI_Lookup_key">"unassigned"</definedName>
    <definedName name="Sys_All">Pulldowns!$BP$11:$BQ$20</definedName>
    <definedName name="Sys_Case">Pulldowns!$BQ$11:$BQ$20</definedName>
    <definedName name="Sys_Request">Pulldowns!$BP$11:$BP$20</definedName>
    <definedName name="Table_ABN_MARCs">Pulldowns!$BF$12:$BF$144</definedName>
    <definedName name="TemplateBegin">Templates!$B$12</definedName>
    <definedName name="templateCalc">Templates!$D$4</definedName>
    <definedName name="templateDataArea">Templates!$C$14:$BK$15</definedName>
    <definedName name="templateEntry">Templates!$D$3</definedName>
    <definedName name="templateError">Templates!$D$7</definedName>
    <definedName name="templateHeader">Templates!$C$12:$AI$12</definedName>
    <definedName name="templateInactive">Templates!$D$5</definedName>
    <definedName name="templateInactive2">Templates!$D$6</definedName>
    <definedName name="templateLocked">Templates!$D$1</definedName>
    <definedName name="templateRequired">Templates!$D$2</definedName>
    <definedName name="templateTooHigh">Templates!$D$9</definedName>
    <definedName name="templateTooLow">Templates!$D$9</definedName>
    <definedName name="templateWarning">Templates!$D$8</definedName>
    <definedName name="term1Start" localSheetId="11">'Step 1'!$G$21</definedName>
    <definedName name="term1Start">'Step 1'!$G$21</definedName>
    <definedName name="termlist" localSheetId="11">'Step 1'!$AB$3:$AB$12</definedName>
    <definedName name="termlist">'Step 1'!$AB$3:$AB$12</definedName>
    <definedName name="terms">Pulldowns!$X$2:$X$12</definedName>
    <definedName name="Top_Products.sJurisdiction">Pulldowns!$J$3:$J$26</definedName>
    <definedName name="topProdDiscounts">'Step 1'!$X$22:$X$31</definedName>
    <definedName name="TopProdID" localSheetId="19">TemplateASEoD!$F$1</definedName>
    <definedName name="TopProdID" localSheetId="10">TemplateProduct!$F$1</definedName>
    <definedName name="topProdID">'Step 1'!$U$22:$U$31</definedName>
    <definedName name="topProdInvoiceCurrencies">'Step 1'!$AF$22:$AF$31</definedName>
    <definedName name="topProdSoCs">'Step 1'!$AE$22:$AE$31</definedName>
    <definedName name="TopProductName" localSheetId="19">TemplateASEoD!$C$6</definedName>
    <definedName name="TopProductName" localSheetId="10">TemplateProduct!$C$6</definedName>
    <definedName name="TotalAnnualRev">Product_Summary!$AQ$46</definedName>
    <definedName name="Translate_AVPN_Country_Defaults">DefaultTables!$P$4:$X$4</definedName>
    <definedName name="Translate_AVPN_Country_Defaults_headers">DefaultTables!$P$4:$X$4</definedName>
    <definedName name="Translate_AVPN_Country_Defaults_key">"unassigned"</definedName>
    <definedName name="Translate_AVPN_Provider_Default">DefaultTables!$Z$4:$AA$4</definedName>
    <definedName name="Translate_AVPN_Provider_Default_headers">DefaultTables!$Z$4:$AA$4</definedName>
    <definedName name="Translate_AVPN_Provider_Default_key">"unassigned"</definedName>
    <definedName name="Translate_IMS2_5251">DefaultTables!$A$4:$C$4</definedName>
    <definedName name="Translate_IMS2_5251_headers">DefaultTables!$A$4:$C$4</definedName>
    <definedName name="Translate_IMS2_5251_key">"unassigned"</definedName>
    <definedName name="Translate_IMS2_5253">DefaultTables!$AC$4:$AE$4</definedName>
    <definedName name="Translate_IMS2_5253_headers">DefaultTables!$AC$4:$AE$4</definedName>
    <definedName name="Translate_IMS2_5253_key">"unassigned"</definedName>
    <definedName name="Translate_IMS2_5678">DefaultTables!$E$4:$F$4</definedName>
    <definedName name="Translate_IMS2_5678_headers">DefaultTables!$E$4:$F$4</definedName>
    <definedName name="Translate_IMS2_5678_key">"unassigned"</definedName>
    <definedName name="Translate_IMS2_5679">DefaultTables!$H$4:$J$4</definedName>
    <definedName name="Translate_IMS2_5679_headers">DefaultTables!$H$4:$J$4</definedName>
    <definedName name="Translate_IMS2_5679_key">"unassigned"</definedName>
    <definedName name="Translate_IMS2_5680">DefaultTables!$L$4:$N$4</definedName>
    <definedName name="Translate_IMS2_5680_headers">DefaultTables!$L$4:$N$4</definedName>
    <definedName name="Translate_IMS2_5680_key">"unassigned"</definedName>
    <definedName name="Translate_IMS2_5683">DefaultTables!$AG$4:$AI$4</definedName>
    <definedName name="Translate_IMS2_5683_headers">DefaultTables!$AG$4:$AI$4</definedName>
    <definedName name="Translate_IMS2_5683_key">"unassigned"</definedName>
    <definedName name="userGroups">Pulldowns!$AX$5</definedName>
    <definedName name="vDate" localSheetId="11">Log!$A$1</definedName>
    <definedName name="vDate">Log!$A$1</definedName>
    <definedName name="vlImsAffiliates.sAffiliate">Pulldowns!$A$3:$A$8</definedName>
    <definedName name="vlImsBundleTypes.sBundleType">Pulldowns!$C$3:$C$8</definedName>
    <definedName name="vlImsContractTypes.sContractType">Pulldowns!$G$3:$G$7</definedName>
    <definedName name="vlImsSalesCenterVPs.sSalesCenterVP">Pulldowns!$E$3:$E$293</definedName>
    <definedName name="vlImsSalesPersons.sSalesperson">Pulldowns!$D$3:$D$7252</definedName>
    <definedName name="vlImsSalesStates.sSalesState">Pulldowns!$I$3:$I$56</definedName>
    <definedName name="vlImsSegments.sSegment">Pulldowns!$H$3:$H$17</definedName>
    <definedName name="vlImsThresholds.sThreshold" localSheetId="11">Pulldowns!$S$3:$S$7</definedName>
    <definedName name="vlImsThresholds.sThreshold">Pulldowns!$S$3:$S$7</definedName>
    <definedName name="vlImsUniverses.sImsUniverse">Pulldowns!$F$3:$F$3</definedName>
    <definedName name="vlImsUniverses.sUniverse">Pulldowns!$F$3:$F$9</definedName>
    <definedName name="voltageType">'Step 1'!$AG$22:$AG$31</definedName>
    <definedName name="WorksheetVersion">1</definedName>
  </definedNames>
  <calcPr calcId="179017" calcMode="manual"/>
</workbook>
</file>

<file path=xl/calcChain.xml><?xml version="1.0" encoding="utf-8"?>
<calcChain xmlns="http://schemas.openxmlformats.org/spreadsheetml/2006/main">
  <c r="C4" i="4" l="1"/>
  <c r="E34" i="4"/>
  <c r="F34" i="4"/>
  <c r="E35" i="4"/>
  <c r="E45" i="4" s="1"/>
  <c r="F35" i="4"/>
  <c r="E36" i="4"/>
  <c r="F36" i="4"/>
  <c r="E37" i="4"/>
  <c r="F37" i="4"/>
  <c r="E38" i="4"/>
  <c r="F38" i="4"/>
  <c r="E39" i="4"/>
  <c r="F39" i="4"/>
  <c r="E40" i="4"/>
  <c r="F40" i="4"/>
  <c r="E41" i="4"/>
  <c r="F41" i="4"/>
  <c r="E42" i="4"/>
  <c r="F42" i="4"/>
  <c r="E43" i="4"/>
  <c r="F43" i="4"/>
  <c r="E44" i="4"/>
  <c r="F44" i="4"/>
  <c r="C45" i="4"/>
  <c r="D45" i="4"/>
  <c r="F45" i="4"/>
  <c r="F51" i="4"/>
  <c r="F52" i="4"/>
  <c r="F53" i="4"/>
  <c r="F54" i="4"/>
  <c r="F55" i="4"/>
  <c r="F56" i="4"/>
  <c r="F57" i="4"/>
  <c r="F58" i="4"/>
  <c r="F59" i="4"/>
  <c r="F60" i="4"/>
  <c r="F61" i="4"/>
  <c r="C91" i="4"/>
  <c r="D91" i="4"/>
  <c r="E91" i="4"/>
  <c r="G91" i="4"/>
  <c r="H91" i="4"/>
  <c r="BK88" i="339" l="1"/>
  <c r="BJ88" i="339"/>
  <c r="BG88" i="339"/>
  <c r="BI88" i="339" s="1"/>
  <c r="BF88" i="339"/>
  <c r="BH88" i="339" s="1"/>
  <c r="BE88" i="339"/>
  <c r="BD88" i="339"/>
  <c r="BA88" i="339"/>
  <c r="BC88" i="339" s="1"/>
  <c r="AZ88" i="339"/>
  <c r="BB88" i="339" s="1"/>
  <c r="AY88" i="339"/>
  <c r="AX88" i="339"/>
  <c r="AU88" i="339"/>
  <c r="AW88" i="339" s="1"/>
  <c r="AT88" i="339"/>
  <c r="AV88" i="339" s="1"/>
  <c r="AS88" i="339"/>
  <c r="AR88" i="339"/>
  <c r="AQ88" i="339"/>
  <c r="AP88" i="339"/>
  <c r="AO88" i="339"/>
  <c r="BK80" i="339"/>
  <c r="BJ80" i="339"/>
  <c r="BG80" i="339"/>
  <c r="BI80" i="339" s="1"/>
  <c r="BF80" i="339"/>
  <c r="BH80" i="339" s="1"/>
  <c r="BE80" i="339"/>
  <c r="BD80" i="339"/>
  <c r="BA80" i="339"/>
  <c r="BC80" i="339" s="1"/>
  <c r="AZ80" i="339"/>
  <c r="BB80" i="339" s="1"/>
  <c r="AY80" i="339"/>
  <c r="AX80" i="339"/>
  <c r="AU80" i="339"/>
  <c r="AW80" i="339" s="1"/>
  <c r="AT80" i="339"/>
  <c r="AV80" i="339" s="1"/>
  <c r="AS80" i="339"/>
  <c r="AR80" i="339"/>
  <c r="AQ80" i="339"/>
  <c r="AP80" i="339"/>
  <c r="AO80" i="339"/>
  <c r="BK72" i="339"/>
  <c r="BJ72" i="339"/>
  <c r="BG72" i="339"/>
  <c r="BI72" i="339" s="1"/>
  <c r="BF72" i="339"/>
  <c r="BH72" i="339" s="1"/>
  <c r="BE72" i="339"/>
  <c r="BD72" i="339"/>
  <c r="BA72" i="339"/>
  <c r="BC72" i="339" s="1"/>
  <c r="AZ72" i="339"/>
  <c r="BB72" i="339" s="1"/>
  <c r="AY72" i="339"/>
  <c r="AX72" i="339"/>
  <c r="AU72" i="339"/>
  <c r="AW72" i="339" s="1"/>
  <c r="AT72" i="339"/>
  <c r="AV72" i="339" s="1"/>
  <c r="AS72" i="339"/>
  <c r="AR72" i="339"/>
  <c r="AQ72" i="339"/>
  <c r="AP72" i="339"/>
  <c r="AO72" i="339"/>
  <c r="BK64" i="339"/>
  <c r="BJ64" i="339"/>
  <c r="BG64" i="339"/>
  <c r="BI64" i="339" s="1"/>
  <c r="BF64" i="339"/>
  <c r="BH64" i="339" s="1"/>
  <c r="BE64" i="339"/>
  <c r="BD64" i="339"/>
  <c r="BA64" i="339"/>
  <c r="BC64" i="339" s="1"/>
  <c r="AZ64" i="339"/>
  <c r="BB64" i="339" s="1"/>
  <c r="AY64" i="339"/>
  <c r="AX64" i="339"/>
  <c r="AU64" i="339"/>
  <c r="AW64" i="339" s="1"/>
  <c r="AT64" i="339"/>
  <c r="AV64" i="339" s="1"/>
  <c r="AS64" i="339"/>
  <c r="AR64" i="339"/>
  <c r="AQ64" i="339"/>
  <c r="AP64" i="339"/>
  <c r="AO64" i="339"/>
  <c r="BK56" i="339"/>
  <c r="BJ56" i="339"/>
  <c r="BG56" i="339"/>
  <c r="BI56" i="339" s="1"/>
  <c r="BF56" i="339"/>
  <c r="BH56" i="339" s="1"/>
  <c r="BE56" i="339"/>
  <c r="BD56" i="339"/>
  <c r="BA56" i="339"/>
  <c r="BC56" i="339" s="1"/>
  <c r="AZ56" i="339"/>
  <c r="BB56" i="339" s="1"/>
  <c r="AY56" i="339"/>
  <c r="AX56" i="339"/>
  <c r="AU56" i="339"/>
  <c r="AW56" i="339" s="1"/>
  <c r="AT56" i="339"/>
  <c r="AV56" i="339" s="1"/>
  <c r="AS56" i="339"/>
  <c r="AR56" i="339"/>
  <c r="AQ56" i="339"/>
  <c r="AP56" i="339"/>
  <c r="AO56" i="339"/>
  <c r="BK48" i="339"/>
  <c r="BJ48" i="339"/>
  <c r="BG48" i="339"/>
  <c r="BI48" i="339" s="1"/>
  <c r="BF48" i="339"/>
  <c r="BH48" i="339" s="1"/>
  <c r="BE48" i="339"/>
  <c r="BD48" i="339"/>
  <c r="BA48" i="339"/>
  <c r="BC48" i="339" s="1"/>
  <c r="AZ48" i="339"/>
  <c r="BB48" i="339" s="1"/>
  <c r="AY48" i="339"/>
  <c r="AX48" i="339"/>
  <c r="AU48" i="339"/>
  <c r="AW48" i="339" s="1"/>
  <c r="AT48" i="339"/>
  <c r="AV48" i="339" s="1"/>
  <c r="AS48" i="339"/>
  <c r="AR48" i="339"/>
  <c r="AQ48" i="339"/>
  <c r="AP48" i="339"/>
  <c r="AO48" i="339"/>
  <c r="BK40" i="339"/>
  <c r="BJ40" i="339"/>
  <c r="BG40" i="339"/>
  <c r="BI40" i="339" s="1"/>
  <c r="BF40" i="339"/>
  <c r="BH40" i="339" s="1"/>
  <c r="BE40" i="339"/>
  <c r="BD40" i="339"/>
  <c r="BA40" i="339"/>
  <c r="BC40" i="339" s="1"/>
  <c r="AZ40" i="339"/>
  <c r="BB40" i="339" s="1"/>
  <c r="AY40" i="339"/>
  <c r="AX40" i="339"/>
  <c r="AU40" i="339"/>
  <c r="AW40" i="339" s="1"/>
  <c r="AT40" i="339"/>
  <c r="AV40" i="339" s="1"/>
  <c r="AS40" i="339"/>
  <c r="AR40" i="339"/>
  <c r="AQ40" i="339"/>
  <c r="AP40" i="339"/>
  <c r="AO40" i="339"/>
  <c r="BK32" i="339"/>
  <c r="BJ32" i="339"/>
  <c r="BG32" i="339"/>
  <c r="BI32" i="339" s="1"/>
  <c r="BF32" i="339"/>
  <c r="BH32" i="339" s="1"/>
  <c r="BE32" i="339"/>
  <c r="BD32" i="339"/>
  <c r="BA32" i="339"/>
  <c r="BC32" i="339" s="1"/>
  <c r="AZ32" i="339"/>
  <c r="BB32" i="339" s="1"/>
  <c r="AY32" i="339"/>
  <c r="AX32" i="339"/>
  <c r="AU32" i="339"/>
  <c r="AW32" i="339" s="1"/>
  <c r="AT32" i="339"/>
  <c r="AV32" i="339" s="1"/>
  <c r="AS32" i="339"/>
  <c r="AR32" i="339"/>
  <c r="AQ32" i="339"/>
  <c r="AP32" i="339"/>
  <c r="AO32" i="339"/>
  <c r="BK24" i="339"/>
  <c r="BJ24" i="339"/>
  <c r="BG24" i="339"/>
  <c r="BI24" i="339" s="1"/>
  <c r="BF24" i="339"/>
  <c r="BH24" i="339" s="1"/>
  <c r="BE24" i="339"/>
  <c r="BD24" i="339"/>
  <c r="BA24" i="339"/>
  <c r="BC24" i="339" s="1"/>
  <c r="AZ24" i="339"/>
  <c r="BB24" i="339" s="1"/>
  <c r="AY24" i="339"/>
  <c r="AX24" i="339"/>
  <c r="AU24" i="339"/>
  <c r="AW24" i="339" s="1"/>
  <c r="AT24" i="339"/>
  <c r="AV24" i="339" s="1"/>
  <c r="AS24" i="339"/>
  <c r="AR24" i="339"/>
  <c r="AQ24" i="339"/>
  <c r="AP24" i="339"/>
  <c r="AO24" i="339"/>
  <c r="AT16" i="339"/>
  <c r="AU16" i="339"/>
  <c r="AX16" i="339"/>
  <c r="AY16" i="339"/>
  <c r="AZ16" i="339"/>
  <c r="BA16" i="339"/>
  <c r="BD16" i="339"/>
  <c r="BE16" i="339"/>
  <c r="BF16" i="339"/>
  <c r="BG16" i="339"/>
  <c r="BJ16" i="339"/>
  <c r="BK16" i="339"/>
  <c r="AS16" i="339"/>
  <c r="AQ16" i="339"/>
  <c r="AR16" i="339"/>
  <c r="AP16" i="339"/>
  <c r="AO16" i="339"/>
  <c r="Y23" i="3" l="1"/>
  <c r="Z23" i="3"/>
  <c r="AA23" i="3"/>
  <c r="AB23" i="3"/>
  <c r="AC23" i="3"/>
  <c r="AD23" i="3"/>
  <c r="Y24" i="3"/>
  <c r="Z24" i="3"/>
  <c r="AA24" i="3"/>
  <c r="AB24" i="3"/>
  <c r="AC24" i="3"/>
  <c r="AD24" i="3"/>
  <c r="Y25" i="3"/>
  <c r="Z25" i="3"/>
  <c r="AA25" i="3"/>
  <c r="AB25" i="3"/>
  <c r="AC25" i="3"/>
  <c r="AD25" i="3"/>
  <c r="Y26" i="3"/>
  <c r="Z26" i="3"/>
  <c r="AA26" i="3"/>
  <c r="AB26" i="3"/>
  <c r="AC26" i="3"/>
  <c r="AD26" i="3"/>
  <c r="Y27" i="3"/>
  <c r="Z27" i="3"/>
  <c r="AA27" i="3"/>
  <c r="AB27" i="3"/>
  <c r="AC27" i="3"/>
  <c r="AD27" i="3"/>
  <c r="Y28" i="3"/>
  <c r="Z28" i="3"/>
  <c r="AA28" i="3"/>
  <c r="AB28" i="3"/>
  <c r="AC28" i="3"/>
  <c r="AD28" i="3"/>
  <c r="Y29" i="3"/>
  <c r="Z29" i="3"/>
  <c r="AA29" i="3"/>
  <c r="AB29" i="3"/>
  <c r="AC29" i="3"/>
  <c r="AD29" i="3"/>
  <c r="Y30" i="3"/>
  <c r="Z30" i="3"/>
  <c r="AA30" i="3"/>
  <c r="AB30" i="3"/>
  <c r="AC30" i="3"/>
  <c r="AD30" i="3"/>
  <c r="Y31" i="3"/>
  <c r="Z31" i="3"/>
  <c r="AA31" i="3"/>
  <c r="AB31" i="3"/>
  <c r="AC31" i="3"/>
  <c r="AD31" i="3"/>
  <c r="S31" i="93"/>
  <c r="T31" i="93"/>
  <c r="U31" i="93"/>
  <c r="V31" i="93"/>
  <c r="W31" i="93"/>
  <c r="X31" i="93"/>
  <c r="AB31" i="93"/>
  <c r="AC31" i="93"/>
  <c r="AD31" i="93"/>
  <c r="AE31" i="93"/>
  <c r="AF31" i="93"/>
  <c r="AG31" i="93"/>
  <c r="AH31" i="93"/>
  <c r="AI31" i="93"/>
  <c r="AJ31" i="93"/>
  <c r="AK31" i="93"/>
  <c r="AL31" i="93"/>
  <c r="AM31" i="93"/>
  <c r="AN31" i="93"/>
  <c r="AO31" i="93"/>
  <c r="AP31" i="93"/>
  <c r="AQ31" i="93"/>
  <c r="AR31" i="93"/>
  <c r="AS31" i="93"/>
  <c r="BC31" i="93"/>
  <c r="BD31" i="93"/>
  <c r="BE31" i="93"/>
  <c r="BF31" i="93"/>
  <c r="BG31" i="93"/>
  <c r="BH31" i="93"/>
  <c r="S30" i="93"/>
  <c r="T30" i="93"/>
  <c r="U30" i="93"/>
  <c r="V30" i="93"/>
  <c r="W30" i="93"/>
  <c r="X30" i="93"/>
  <c r="AB30" i="93"/>
  <c r="AC30" i="93"/>
  <c r="AD30" i="93"/>
  <c r="AE30" i="93"/>
  <c r="AF30" i="93"/>
  <c r="AG30" i="93"/>
  <c r="AH30" i="93"/>
  <c r="AI30" i="93"/>
  <c r="AJ30" i="93"/>
  <c r="AK30" i="93"/>
  <c r="AL30" i="93"/>
  <c r="AM30" i="93"/>
  <c r="AN30" i="93"/>
  <c r="AO30" i="93"/>
  <c r="AP30" i="93"/>
  <c r="AQ30" i="93"/>
  <c r="AR30" i="93"/>
  <c r="AS30" i="93"/>
  <c r="BC30" i="93"/>
  <c r="BD30" i="93"/>
  <c r="BE30" i="93"/>
  <c r="BF30" i="93"/>
  <c r="BG30" i="93"/>
  <c r="BH30" i="93"/>
  <c r="S29" i="93" l="1"/>
  <c r="T29" i="93"/>
  <c r="U29" i="93"/>
  <c r="V29" i="93"/>
  <c r="W29" i="93"/>
  <c r="X29" i="93"/>
  <c r="AB29" i="93"/>
  <c r="AC29" i="93"/>
  <c r="AD29" i="93"/>
  <c r="AE29" i="93"/>
  <c r="AF29" i="93"/>
  <c r="AG29" i="93"/>
  <c r="AH29" i="93"/>
  <c r="AI29" i="93"/>
  <c r="AJ29" i="93"/>
  <c r="AK29" i="93"/>
  <c r="AL29" i="93"/>
  <c r="AM29" i="93"/>
  <c r="AN29" i="93"/>
  <c r="AO29" i="93"/>
  <c r="AP29" i="93"/>
  <c r="AQ29" i="93"/>
  <c r="AR29" i="93"/>
  <c r="AS29" i="93"/>
  <c r="BC29" i="93"/>
  <c r="BD29" i="93"/>
  <c r="BE29" i="93"/>
  <c r="BF29" i="93"/>
  <c r="BG29" i="93"/>
  <c r="BH29" i="93"/>
  <c r="Y22" i="3" l="1"/>
  <c r="Z22" i="3"/>
  <c r="AA22" i="3"/>
  <c r="AB22" i="3"/>
  <c r="AC22" i="3"/>
  <c r="AD22" i="3"/>
  <c r="S28" i="93"/>
  <c r="U28" i="93"/>
  <c r="V28" i="93"/>
  <c r="W28" i="93"/>
  <c r="T28" i="93" s="1"/>
  <c r="X28" i="93"/>
  <c r="AB28" i="93"/>
  <c r="AC28" i="93"/>
  <c r="AD28" i="93"/>
  <c r="AE28" i="93"/>
  <c r="AF28" i="93"/>
  <c r="AG28" i="93"/>
  <c r="AH28" i="93"/>
  <c r="AI28" i="93"/>
  <c r="AJ28" i="93"/>
  <c r="AK28" i="93"/>
  <c r="AM28" i="93"/>
  <c r="AN28" i="93"/>
  <c r="AP28" i="93"/>
  <c r="AQ28" i="93"/>
  <c r="AR28" i="93"/>
  <c r="AO28" i="93" s="1"/>
  <c r="AL28" i="93" s="1"/>
  <c r="AS28" i="93"/>
  <c r="BC28" i="93"/>
  <c r="BE28" i="93"/>
  <c r="BF28" i="93"/>
  <c r="BH28" i="93"/>
  <c r="S27" i="93"/>
  <c r="U27" i="93"/>
  <c r="V27" i="93"/>
  <c r="W27" i="93"/>
  <c r="T27" i="93" s="1"/>
  <c r="X27" i="93"/>
  <c r="AB27" i="93"/>
  <c r="AC27" i="93"/>
  <c r="AD27" i="93"/>
  <c r="AE27" i="93"/>
  <c r="AF27" i="93"/>
  <c r="AG27" i="93"/>
  <c r="AH27" i="93"/>
  <c r="AI27" i="93"/>
  <c r="AJ27" i="93"/>
  <c r="AK27" i="93"/>
  <c r="AM27" i="93"/>
  <c r="AN27" i="93"/>
  <c r="AO27" i="93"/>
  <c r="AL27" i="93" s="1"/>
  <c r="AP27" i="93"/>
  <c r="AQ27" i="93"/>
  <c r="AR27" i="93"/>
  <c r="AS27" i="93"/>
  <c r="BC27" i="93"/>
  <c r="BE27" i="93"/>
  <c r="BF27" i="93"/>
  <c r="BH27" i="93"/>
  <c r="S26" i="93"/>
  <c r="U26" i="93"/>
  <c r="V26" i="93"/>
  <c r="W26" i="93"/>
  <c r="T26" i="93" s="1"/>
  <c r="X26" i="93"/>
  <c r="AB26" i="93"/>
  <c r="AC26" i="93"/>
  <c r="AD26" i="93"/>
  <c r="AE26" i="93"/>
  <c r="AF26" i="93"/>
  <c r="AG26" i="93"/>
  <c r="AH26" i="93"/>
  <c r="AI26" i="93"/>
  <c r="AJ26" i="93"/>
  <c r="AK26" i="93"/>
  <c r="AM26" i="93"/>
  <c r="AN26" i="93"/>
  <c r="AP26" i="93"/>
  <c r="AQ26" i="93"/>
  <c r="AR26" i="93"/>
  <c r="AO26" i="93" s="1"/>
  <c r="AL26" i="93" s="1"/>
  <c r="AS26" i="93"/>
  <c r="BC26" i="93"/>
  <c r="BE26" i="93"/>
  <c r="BF26" i="93"/>
  <c r="BH26" i="93"/>
  <c r="S25" i="93"/>
  <c r="U25" i="93"/>
  <c r="V25" i="93"/>
  <c r="W25" i="93"/>
  <c r="T25" i="93" s="1"/>
  <c r="X25" i="93"/>
  <c r="AB25" i="93"/>
  <c r="AC25" i="93"/>
  <c r="AD25" i="93"/>
  <c r="AE25" i="93"/>
  <c r="AF25" i="93"/>
  <c r="AG25" i="93"/>
  <c r="AH25" i="93"/>
  <c r="AI25" i="93"/>
  <c r="AJ25" i="93"/>
  <c r="AK25" i="93"/>
  <c r="AM25" i="93"/>
  <c r="AN25" i="93"/>
  <c r="AO25" i="93"/>
  <c r="AL25" i="93" s="1"/>
  <c r="AP25" i="93"/>
  <c r="AQ25" i="93"/>
  <c r="AR25" i="93"/>
  <c r="AS25" i="93"/>
  <c r="BC25" i="93"/>
  <c r="BE25" i="93"/>
  <c r="BF25" i="93"/>
  <c r="BH25" i="93"/>
  <c r="S24" i="93"/>
  <c r="U24" i="93"/>
  <c r="V24" i="93"/>
  <c r="W24" i="93"/>
  <c r="T24" i="93" s="1"/>
  <c r="X24" i="93"/>
  <c r="AB24" i="93"/>
  <c r="AC24" i="93"/>
  <c r="AD24" i="93"/>
  <c r="AE24" i="93"/>
  <c r="AF24" i="93"/>
  <c r="AG24" i="93"/>
  <c r="AH24" i="93"/>
  <c r="AI24" i="93"/>
  <c r="AJ24" i="93"/>
  <c r="AK24" i="93"/>
  <c r="AM24" i="93"/>
  <c r="AN24" i="93"/>
  <c r="AP24" i="93"/>
  <c r="AQ24" i="93"/>
  <c r="AR24" i="93"/>
  <c r="AO24" i="93" s="1"/>
  <c r="AL24" i="93" s="1"/>
  <c r="AS24" i="93"/>
  <c r="BC24" i="93"/>
  <c r="BE24" i="93"/>
  <c r="BF24" i="93"/>
  <c r="BH24" i="93"/>
  <c r="V23" i="93"/>
  <c r="S23" i="93" s="1"/>
  <c r="W23" i="93"/>
  <c r="T23" i="93" s="1"/>
  <c r="X23" i="93"/>
  <c r="U23" i="93" s="1"/>
  <c r="AB23" i="93"/>
  <c r="AC23" i="93"/>
  <c r="AD23" i="93"/>
  <c r="AE23" i="93"/>
  <c r="AF23" i="93"/>
  <c r="AG23" i="93"/>
  <c r="AH23" i="93"/>
  <c r="AI23" i="93"/>
  <c r="AJ23" i="93"/>
  <c r="AQ23" i="93"/>
  <c r="AR23" i="93"/>
  <c r="AS23" i="93"/>
  <c r="ER2" i="411"/>
  <c r="AP23" i="93" l="1"/>
  <c r="AM23" i="93" s="1"/>
  <c r="AN23" i="93"/>
  <c r="AK23" i="93" s="1"/>
  <c r="AO23" i="93"/>
  <c r="AL23" i="93" s="1"/>
  <c r="M1" i="3" l="1"/>
  <c r="H18" i="394" l="1"/>
  <c r="I18" i="394"/>
  <c r="J18" i="394"/>
  <c r="K18" i="394"/>
  <c r="O18" i="394"/>
  <c r="P18" i="394"/>
  <c r="Q18" i="394"/>
  <c r="L5" i="394"/>
  <c r="L6" i="394"/>
  <c r="N6" i="394" s="1"/>
  <c r="L7" i="394"/>
  <c r="N7" i="394" s="1"/>
  <c r="L8" i="394"/>
  <c r="N8" i="394" s="1"/>
  <c r="L9" i="394"/>
  <c r="N9" i="394" s="1"/>
  <c r="L10" i="394"/>
  <c r="N10" i="394" s="1"/>
  <c r="L11" i="394"/>
  <c r="N11" i="394" s="1"/>
  <c r="L12" i="394"/>
  <c r="N12" i="394" s="1"/>
  <c r="L13" i="394"/>
  <c r="N13" i="394" s="1"/>
  <c r="L14" i="394"/>
  <c r="N14" i="394" s="1"/>
  <c r="L15" i="394"/>
  <c r="N15" i="394" s="1"/>
  <c r="L16" i="394"/>
  <c r="N16" i="394" s="1"/>
  <c r="L17" i="394"/>
  <c r="N17" i="394" s="1"/>
  <c r="L18" i="394" l="1"/>
  <c r="M17" i="394"/>
  <c r="M16" i="394"/>
  <c r="M15" i="394"/>
  <c r="M14" i="394"/>
  <c r="M13" i="394"/>
  <c r="M12" i="394"/>
  <c r="M11" i="394"/>
  <c r="M10" i="394"/>
  <c r="M9" i="394"/>
  <c r="M8" i="394"/>
  <c r="M7" i="394"/>
  <c r="M6" i="394"/>
  <c r="M5" i="394"/>
  <c r="N5" i="394"/>
  <c r="N18" i="394" s="1"/>
  <c r="M18" i="394" l="1"/>
  <c r="U21" i="339"/>
  <c r="P18" i="339" l="1" a="1"/>
  <c r="P18" i="339" s="1"/>
  <c r="O18" i="339" l="1" a="1"/>
  <c r="O18" i="339" s="1"/>
  <c r="GN15" i="441" l="1"/>
  <c r="GN14" i="441"/>
  <c r="GB15" i="441" l="1"/>
  <c r="GB14" i="441"/>
  <c r="FV15" i="441"/>
  <c r="FV14" i="441"/>
  <c r="FP15" i="441"/>
  <c r="FP14" i="441"/>
  <c r="GE15" i="441" l="1"/>
  <c r="GE14" i="441"/>
  <c r="FY15" i="441"/>
  <c r="FY14" i="441"/>
  <c r="FS15" i="441"/>
  <c r="FS14" i="441"/>
  <c r="Z73" i="97" l="1"/>
  <c r="Y73" i="97"/>
  <c r="X73" i="97"/>
  <c r="W73" i="97"/>
  <c r="V73" i="97"/>
  <c r="U73" i="97"/>
  <c r="T73" i="97"/>
  <c r="S73" i="97"/>
  <c r="R73" i="97"/>
  <c r="Q73" i="97"/>
  <c r="P73" i="97"/>
  <c r="O73" i="97"/>
  <c r="GM14" i="441" l="1"/>
  <c r="GL14" i="441"/>
  <c r="GK14" i="441"/>
  <c r="GJ14" i="441"/>
  <c r="GI14" i="441"/>
  <c r="GH14" i="441"/>
  <c r="GF14" i="441"/>
  <c r="GG14" i="441" s="1"/>
  <c r="GC14" i="441"/>
  <c r="FZ14" i="441"/>
  <c r="GA14" i="441" s="1"/>
  <c r="FW14" i="441"/>
  <c r="FT14" i="441"/>
  <c r="FU14" i="441" s="1"/>
  <c r="FQ14" i="441"/>
  <c r="GH15" i="441" l="1"/>
  <c r="GH10" i="441" s="1" a="1"/>
  <c r="GH10" i="441" s="1"/>
  <c r="GI15" i="441"/>
  <c r="GI10" i="441" s="1" a="1"/>
  <c r="GI10" i="441" s="1"/>
  <c r="GJ15" i="441"/>
  <c r="GJ10" i="441" s="1" a="1"/>
  <c r="GJ10" i="441" s="1"/>
  <c r="GK15" i="441"/>
  <c r="GK10" i="441" s="1" a="1"/>
  <c r="GK10" i="441" s="1"/>
  <c r="GL15" i="441"/>
  <c r="GL10" i="441" s="1" a="1"/>
  <c r="GL10" i="441" s="1"/>
  <c r="GM15" i="441"/>
  <c r="GM10" i="441" s="1" a="1"/>
  <c r="GM10" i="441" s="1"/>
  <c r="FT15" i="441" l="1"/>
  <c r="Q39" i="3" l="1"/>
  <c r="GF15" i="441" l="1"/>
  <c r="FZ15" i="441"/>
  <c r="FU15" i="441" l="1"/>
  <c r="GG15" i="441"/>
  <c r="GA15" i="441"/>
  <c r="GA11" i="441" l="1"/>
  <c r="V10" i="441" s="1"/>
  <c r="FU11" i="441"/>
  <c r="P10" i="441" s="1"/>
  <c r="GG11" i="441"/>
  <c r="AB10" i="441" s="1"/>
  <c r="J16" i="441"/>
  <c r="I16" i="441"/>
  <c r="GC15" i="441" l="1"/>
  <c r="FW15" i="441"/>
  <c r="FQ15" i="441"/>
  <c r="GC11" i="441" l="1"/>
  <c r="FW11" i="441"/>
  <c r="AC16" i="441" l="1" a="1"/>
  <c r="AC16" i="441" s="1"/>
  <c r="AB16" i="441" a="1"/>
  <c r="AB16" i="441" s="1"/>
  <c r="Y16" i="441" a="1"/>
  <c r="Y16" i="441" s="1"/>
  <c r="AA16" i="441" s="1"/>
  <c r="X16" i="441" a="1"/>
  <c r="X16" i="441" s="1"/>
  <c r="Z16" i="441" s="1"/>
  <c r="W16" i="441" a="1"/>
  <c r="W16" i="441" s="1"/>
  <c r="V16" i="441" a="1"/>
  <c r="V16" i="441" s="1"/>
  <c r="S16" i="441" a="1"/>
  <c r="S16" i="441" s="1"/>
  <c r="U16" i="441" s="1"/>
  <c r="R16" i="441" a="1"/>
  <c r="R16" i="441" s="1"/>
  <c r="T16" i="441" s="1"/>
  <c r="Q16" i="441" a="1"/>
  <c r="Q16" i="441" s="1"/>
  <c r="P16" i="441" a="1"/>
  <c r="P16" i="441" s="1"/>
  <c r="M16" i="441" a="1"/>
  <c r="M16" i="441" s="1"/>
  <c r="O16" i="441" s="1"/>
  <c r="L16" i="441" a="1"/>
  <c r="L16" i="441" s="1"/>
  <c r="N16" i="441" s="1"/>
  <c r="H16" i="441"/>
  <c r="G16" i="441"/>
  <c r="Z11" i="441"/>
  <c r="X11" i="441" s="1"/>
  <c r="T11" i="441"/>
  <c r="R11" i="441" s="1"/>
  <c r="N11" i="441"/>
  <c r="L11" i="441" s="1"/>
  <c r="C11" i="441"/>
  <c r="D8" i="441"/>
  <c r="D7" i="441"/>
  <c r="CT1" i="441"/>
  <c r="CV1" i="441"/>
  <c r="AR1" i="441" l="1"/>
  <c r="AW1" i="441" s="1"/>
  <c r="AQ1" i="441"/>
  <c r="AV1" i="441" s="1"/>
  <c r="AP1" i="441"/>
  <c r="AU1" i="441" s="1"/>
  <c r="FQ11" i="441" s="1"/>
  <c r="P11" i="441" l="1"/>
  <c r="V11" i="441"/>
  <c r="AB11" i="441"/>
  <c r="Q18" i="339" a="1"/>
  <c r="Q18" i="339" s="1"/>
  <c r="GB11" i="441" l="1"/>
  <c r="AB9" i="441" s="1"/>
  <c r="FV11" i="441"/>
  <c r="V9" i="441" s="1"/>
  <c r="FP11" i="441"/>
  <c r="P9" i="441" s="1"/>
  <c r="S18" i="339" a="1"/>
  <c r="S18" i="339" s="1"/>
  <c r="ET2" i="411"/>
  <c r="EQ2" i="411"/>
  <c r="FD14" i="411" l="1"/>
  <c r="FE16" i="411"/>
  <c r="FA16" i="411"/>
  <c r="FD16" i="411"/>
  <c r="FD15" i="411"/>
  <c r="ER16" i="411"/>
  <c r="FB16" i="411"/>
  <c r="FB15" i="411"/>
  <c r="FB14" i="411"/>
  <c r="FC16" i="411"/>
  <c r="FC15" i="411"/>
  <c r="FC14" i="411"/>
  <c r="FE15" i="411"/>
  <c r="FE14" i="411"/>
  <c r="FF16" i="411"/>
  <c r="FF15" i="411"/>
  <c r="FF14" i="411"/>
  <c r="FH16" i="411"/>
  <c r="FJ16" i="411"/>
  <c r="FH15" i="411"/>
  <c r="FH14" i="411"/>
  <c r="FJ15" i="411"/>
  <c r="FJ14" i="411"/>
  <c r="U22" i="93" l="1"/>
  <c r="V22" i="93"/>
  <c r="S22" i="93" s="1"/>
  <c r="W22" i="93"/>
  <c r="T22" i="93" s="1"/>
  <c r="X22" i="93"/>
  <c r="AB22" i="93"/>
  <c r="AC22" i="93"/>
  <c r="AD22" i="93"/>
  <c r="AE22" i="93"/>
  <c r="AF22" i="93"/>
  <c r="AG22" i="93"/>
  <c r="AH22" i="93"/>
  <c r="AI22" i="93"/>
  <c r="AJ22" i="93"/>
  <c r="AQ22" i="93"/>
  <c r="AR22" i="93"/>
  <c r="AS22" i="93"/>
  <c r="CV1" i="339"/>
  <c r="AP22" i="93" l="1"/>
  <c r="AM22" i="93" s="1"/>
  <c r="AO22" i="93"/>
  <c r="AL22" i="93" s="1"/>
  <c r="AN22" i="93"/>
  <c r="AK22" i="93" s="1"/>
  <c r="W21" i="339"/>
  <c r="B30" i="1" l="1"/>
  <c r="W12" i="9" l="1"/>
  <c r="N18" i="339" l="1" a="1"/>
  <c r="N18" i="339" s="1"/>
  <c r="M18" i="339" a="1"/>
  <c r="M18" i="339" s="1"/>
  <c r="L18" i="339" a="1"/>
  <c r="L18" i="339" s="1"/>
  <c r="I4" i="373" l="1"/>
  <c r="I5" i="373"/>
  <c r="J5" i="373"/>
  <c r="H4" i="373"/>
  <c r="C8" i="436" l="1"/>
  <c r="C9" i="436"/>
  <c r="C10" i="436"/>
  <c r="C11" i="436"/>
  <c r="C12" i="436"/>
  <c r="C13" i="436"/>
  <c r="C14" i="436"/>
  <c r="C15" i="436"/>
  <c r="C16" i="436"/>
  <c r="C17" i="436"/>
  <c r="C18" i="436"/>
  <c r="C19" i="436"/>
  <c r="C20" i="436"/>
  <c r="C21" i="436"/>
  <c r="C22" i="436"/>
  <c r="C23" i="436"/>
  <c r="C24" i="436"/>
  <c r="C25" i="436"/>
  <c r="C7" i="436"/>
  <c r="CT1" i="339"/>
  <c r="FA14" i="411" l="1"/>
  <c r="AT10" i="411"/>
  <c r="B38" i="1" l="1"/>
  <c r="N21" i="434" l="1"/>
  <c r="M21" i="434"/>
  <c r="W23" i="434" l="1"/>
  <c r="W22" i="434"/>
  <c r="V23" i="434"/>
  <c r="V22" i="434"/>
  <c r="W21" i="434" l="1" a="1"/>
  <c r="W21" i="434" s="1"/>
  <c r="V21" i="434" a="1"/>
  <c r="V21" i="434" s="1"/>
  <c r="C11" i="339"/>
  <c r="F8" i="339"/>
  <c r="M10" i="434" l="1"/>
  <c r="M8" i="434"/>
  <c r="M9" i="434"/>
  <c r="G11" i="434"/>
  <c r="G10" i="434"/>
  <c r="G9" i="434"/>
  <c r="G8" i="434"/>
  <c r="G6" i="434"/>
  <c r="Q23" i="434" l="1"/>
  <c r="S23" i="434" s="1"/>
  <c r="P23" i="434"/>
  <c r="R23" i="434" s="1"/>
  <c r="BB21" i="434"/>
  <c r="W12" i="434" s="1"/>
  <c r="BA21" i="434"/>
  <c r="V12" i="434" s="1"/>
  <c r="Q22" i="434"/>
  <c r="S22" i="434" s="1"/>
  <c r="P22" i="434"/>
  <c r="R22" i="434" s="1"/>
  <c r="O21" i="434"/>
  <c r="L21" i="434"/>
  <c r="K21" i="434"/>
  <c r="M7" i="434"/>
  <c r="M6" i="434" s="1"/>
  <c r="P21" i="434" l="1"/>
  <c r="R21" i="434" s="1"/>
  <c r="Q21" i="434"/>
  <c r="S21" i="434" s="1"/>
  <c r="C11" i="433" l="1"/>
  <c r="C10" i="433"/>
  <c r="C9" i="433"/>
  <c r="E25" i="433" l="1"/>
  <c r="C31" i="433" s="1"/>
  <c r="D31" i="433"/>
  <c r="B31" i="433"/>
  <c r="B24" i="433"/>
  <c r="F103" i="433" l="1"/>
  <c r="B96" i="433"/>
  <c r="B91" i="433"/>
  <c r="B86" i="433"/>
  <c r="B81" i="433"/>
  <c r="B76" i="433"/>
  <c r="B71" i="433"/>
  <c r="B66" i="433"/>
  <c r="B61" i="433"/>
  <c r="B56" i="433"/>
  <c r="B51" i="433"/>
  <c r="B9" i="429" l="1"/>
  <c r="E19" i="433" l="1"/>
  <c r="F21" i="433" l="1"/>
  <c r="D30" i="433"/>
  <c r="J71" i="433"/>
  <c r="J76" i="433"/>
  <c r="J61" i="433"/>
  <c r="J66" i="433"/>
  <c r="J91" i="433"/>
  <c r="J51" i="433"/>
  <c r="J56" i="433"/>
  <c r="J96" i="433"/>
  <c r="J81" i="433"/>
  <c r="J86" i="433"/>
  <c r="C30" i="433" l="1"/>
  <c r="F13" i="433" l="1"/>
  <c r="C29" i="433" l="1"/>
  <c r="F12" i="433"/>
  <c r="F11" i="433"/>
  <c r="F10" i="433"/>
  <c r="F9" i="433"/>
  <c r="C12" i="433"/>
  <c r="C8" i="433"/>
  <c r="F8" i="433"/>
  <c r="C28" i="433" s="1"/>
  <c r="B8" i="429" l="1"/>
  <c r="B13" i="429" l="1"/>
  <c r="B7" i="429"/>
  <c r="B10" i="429" s="1"/>
  <c r="C9" i="429" l="1"/>
  <c r="C8" i="429" l="1"/>
  <c r="C7" i="429"/>
  <c r="C10" i="429"/>
  <c r="C13" i="433" l="1"/>
  <c r="T66" i="433" l="1"/>
  <c r="T91" i="433"/>
  <c r="T71" i="433"/>
  <c r="T86" i="433"/>
  <c r="T61" i="433"/>
  <c r="T76" i="433"/>
  <c r="T51" i="433"/>
  <c r="F55" i="433" s="1"/>
  <c r="T81" i="433"/>
  <c r="T56" i="433"/>
  <c r="T96" i="433"/>
  <c r="F96" i="433" l="1"/>
  <c r="F99" i="433"/>
  <c r="D99" i="433" s="1"/>
  <c r="F98" i="433"/>
  <c r="D98" i="433" s="1"/>
  <c r="F100" i="433"/>
  <c r="D100" i="433" s="1"/>
  <c r="F97" i="433"/>
  <c r="D97" i="433" s="1"/>
  <c r="F91" i="433"/>
  <c r="F94" i="433"/>
  <c r="D94" i="433" s="1"/>
  <c r="F92" i="433"/>
  <c r="D92" i="433" s="1"/>
  <c r="F93" i="433"/>
  <c r="D93" i="433" s="1"/>
  <c r="F95" i="433"/>
  <c r="D95" i="433" s="1"/>
  <c r="F85" i="433"/>
  <c r="D85" i="433" s="1"/>
  <c r="F84" i="433"/>
  <c r="D84" i="433" s="1"/>
  <c r="F81" i="433"/>
  <c r="F83" i="433"/>
  <c r="D83" i="433" s="1"/>
  <c r="F82" i="433"/>
  <c r="D82" i="433" s="1"/>
  <c r="F86" i="433"/>
  <c r="F88" i="433"/>
  <c r="D88" i="433" s="1"/>
  <c r="F89" i="433"/>
  <c r="D89" i="433" s="1"/>
  <c r="F87" i="433"/>
  <c r="D87" i="433" s="1"/>
  <c r="F90" i="433"/>
  <c r="D90" i="433" s="1"/>
  <c r="F75" i="433"/>
  <c r="D75" i="433" s="1"/>
  <c r="F71" i="433"/>
  <c r="F74" i="433"/>
  <c r="D74" i="433" s="1"/>
  <c r="F72" i="433"/>
  <c r="D72" i="433" s="1"/>
  <c r="F73" i="433"/>
  <c r="D73" i="433" s="1"/>
  <c r="F79" i="433"/>
  <c r="D79" i="433" s="1"/>
  <c r="F78" i="433"/>
  <c r="D78" i="433" s="1"/>
  <c r="F80" i="433"/>
  <c r="D80" i="433" s="1"/>
  <c r="F77" i="433"/>
  <c r="D77" i="433" s="1"/>
  <c r="F76" i="433"/>
  <c r="F60" i="433"/>
  <c r="D60" i="433" s="1"/>
  <c r="F57" i="433"/>
  <c r="D57" i="433" s="1"/>
  <c r="F56" i="433"/>
  <c r="F59" i="433"/>
  <c r="D59" i="433" s="1"/>
  <c r="F58" i="433"/>
  <c r="D58" i="433" s="1"/>
  <c r="F64" i="433"/>
  <c r="D64" i="433" s="1"/>
  <c r="F61" i="433"/>
  <c r="F63" i="433"/>
  <c r="D63" i="433" s="1"/>
  <c r="F62" i="433"/>
  <c r="D62" i="433" s="1"/>
  <c r="F65" i="433"/>
  <c r="D65" i="433" s="1"/>
  <c r="F67" i="433"/>
  <c r="D67" i="433" s="1"/>
  <c r="F70" i="433"/>
  <c r="D70" i="433" s="1"/>
  <c r="F66" i="433"/>
  <c r="F68" i="433"/>
  <c r="D68" i="433" s="1"/>
  <c r="F69" i="433"/>
  <c r="D69" i="433" s="1"/>
  <c r="F54" i="433"/>
  <c r="D54" i="433" s="1"/>
  <c r="F53" i="433"/>
  <c r="D53" i="433" s="1"/>
  <c r="F52" i="433"/>
  <c r="D52" i="433" s="1"/>
  <c r="F51" i="433"/>
  <c r="D55" i="433"/>
  <c r="V19" i="433"/>
  <c r="B8" i="1"/>
  <c r="E96" i="433" l="1"/>
  <c r="D96" i="433"/>
  <c r="E91" i="433"/>
  <c r="D91" i="433"/>
  <c r="E86" i="433"/>
  <c r="D86" i="433"/>
  <c r="E81" i="433"/>
  <c r="D81" i="433"/>
  <c r="E76" i="433"/>
  <c r="D76" i="433"/>
  <c r="E71" i="433"/>
  <c r="D71" i="433"/>
  <c r="E66" i="433"/>
  <c r="D66" i="433"/>
  <c r="E61" i="433"/>
  <c r="D61" i="433"/>
  <c r="E56" i="433"/>
  <c r="D56" i="433"/>
  <c r="D51" i="433"/>
  <c r="E51" i="433"/>
  <c r="E97" i="433"/>
  <c r="E77" i="433"/>
  <c r="E93" i="433"/>
  <c r="E79" i="433"/>
  <c r="E67" i="433"/>
  <c r="E87" i="433"/>
  <c r="E100" i="433"/>
  <c r="E57" i="433"/>
  <c r="E64" i="433"/>
  <c r="E99" i="433"/>
  <c r="E72" i="433"/>
  <c r="E65" i="433"/>
  <c r="E95" i="433"/>
  <c r="E90" i="433"/>
  <c r="E70" i="433"/>
  <c r="E59" i="433"/>
  <c r="E98" i="433"/>
  <c r="E62" i="433"/>
  <c r="E94" i="433"/>
  <c r="E60" i="433"/>
  <c r="E84" i="433"/>
  <c r="E63" i="433"/>
  <c r="E75" i="433"/>
  <c r="E82" i="433"/>
  <c r="E92" i="433"/>
  <c r="E88" i="433"/>
  <c r="E68" i="433"/>
  <c r="E78" i="433"/>
  <c r="E58" i="433"/>
  <c r="E74" i="433"/>
  <c r="E83" i="433"/>
  <c r="E89" i="433"/>
  <c r="E69" i="433"/>
  <c r="E80" i="433"/>
  <c r="E73" i="433"/>
  <c r="E85" i="433"/>
  <c r="E52" i="433"/>
  <c r="E53" i="433"/>
  <c r="E55" i="433"/>
  <c r="E54" i="433"/>
  <c r="F5" i="1" l="1"/>
  <c r="G315" i="6" l="1"/>
  <c r="G305" i="6" l="1"/>
  <c r="G306" i="6"/>
  <c r="G307" i="6"/>
  <c r="G303" i="6" l="1"/>
  <c r="G302" i="6" l="1"/>
  <c r="G301" i="6"/>
  <c r="G300" i="6" l="1"/>
  <c r="G299" i="6" l="1"/>
  <c r="G298" i="6" l="1"/>
  <c r="G296" i="6" l="1"/>
  <c r="G295" i="6"/>
  <c r="G294" i="6"/>
  <c r="G293" i="6"/>
  <c r="G292" i="6"/>
  <c r="G291" i="6"/>
  <c r="G286" i="6" l="1"/>
  <c r="G287" i="6"/>
  <c r="G288" i="6"/>
  <c r="G285" i="6" l="1"/>
  <c r="G284" i="6" l="1"/>
  <c r="G283" i="6"/>
  <c r="G282" i="6"/>
  <c r="G281" i="6"/>
  <c r="G280" i="6"/>
  <c r="G279" i="6"/>
  <c r="W23" i="393" l="1"/>
  <c r="W22" i="393"/>
  <c r="V23" i="393"/>
  <c r="V22" i="393"/>
  <c r="O21" i="393"/>
  <c r="G278" i="6" l="1"/>
  <c r="G277" i="6"/>
  <c r="F7" i="339" l="1"/>
  <c r="EW16" i="411" l="1"/>
  <c r="EU16" i="411" l="1"/>
  <c r="EY16" i="411" l="1"/>
  <c r="EV16" i="411" l="1"/>
  <c r="ES16" i="411" l="1"/>
  <c r="ET16" i="411" l="1"/>
  <c r="EQ16" i="411"/>
  <c r="G246" i="6" l="1"/>
  <c r="G245" i="6"/>
  <c r="G236" i="6" l="1"/>
  <c r="G235" i="6"/>
  <c r="U4" i="411" l="1"/>
  <c r="D5" i="411"/>
  <c r="G234" i="6" l="1"/>
  <c r="G233" i="6" l="1"/>
  <c r="G232" i="6"/>
  <c r="G231" i="6"/>
  <c r="G230" i="6"/>
  <c r="G229" i="6" l="1"/>
  <c r="G228" i="6"/>
  <c r="G227" i="6"/>
  <c r="G225" i="6" l="1"/>
  <c r="G226" i="6"/>
  <c r="G224" i="6" l="1"/>
  <c r="G223" i="6" l="1"/>
  <c r="G222" i="6"/>
  <c r="E10" i="3"/>
  <c r="G221" i="6"/>
  <c r="G220" i="6"/>
  <c r="C13" i="3" l="1"/>
  <c r="G219" i="6" l="1"/>
  <c r="G218" i="6"/>
  <c r="G14" i="393" l="1"/>
  <c r="G217" i="6" l="1"/>
  <c r="G216" i="6" l="1"/>
  <c r="Q44" i="372"/>
  <c r="Q43" i="372"/>
  <c r="Q36" i="372"/>
  <c r="Q35" i="372"/>
  <c r="H44" i="372"/>
  <c r="H43" i="372"/>
  <c r="H36" i="372"/>
  <c r="H35" i="372"/>
  <c r="O17" i="372"/>
  <c r="O18" i="372"/>
  <c r="O23" i="372"/>
  <c r="O24" i="372"/>
  <c r="H46" i="372" l="1"/>
  <c r="Q38" i="372"/>
  <c r="H38" i="372"/>
  <c r="Q46" i="372"/>
  <c r="G215" i="6" l="1"/>
  <c r="G214" i="6"/>
  <c r="G213" i="6"/>
  <c r="G212" i="6"/>
  <c r="G193" i="6" l="1"/>
  <c r="G194" i="6"/>
  <c r="G195" i="6"/>
  <c r="G196" i="6"/>
  <c r="G197" i="6"/>
  <c r="G198" i="6"/>
  <c r="G199" i="6"/>
  <c r="G200" i="6"/>
  <c r="G201" i="6"/>
  <c r="G202" i="6"/>
  <c r="G203" i="6"/>
  <c r="G204" i="6"/>
  <c r="G205" i="6"/>
  <c r="G206" i="6"/>
  <c r="G207" i="6"/>
  <c r="G208" i="6"/>
  <c r="G209" i="6"/>
  <c r="G210" i="6"/>
  <c r="G211" i="6"/>
  <c r="AM88" i="339" l="1"/>
  <c r="AL88" i="339"/>
  <c r="AK88" i="339"/>
  <c r="AJ88" i="339"/>
  <c r="AM80" i="339"/>
  <c r="AL80" i="339"/>
  <c r="AK80" i="339"/>
  <c r="AJ80" i="339"/>
  <c r="AM72" i="339"/>
  <c r="AL72" i="339"/>
  <c r="AK72" i="339"/>
  <c r="AJ72" i="339"/>
  <c r="AM64" i="339"/>
  <c r="AL64" i="339"/>
  <c r="AK64" i="339"/>
  <c r="AJ64" i="339"/>
  <c r="AM56" i="339"/>
  <c r="AL56" i="339"/>
  <c r="AK56" i="339"/>
  <c r="AJ56" i="339"/>
  <c r="AM48" i="339"/>
  <c r="AL48" i="339"/>
  <c r="AK48" i="339"/>
  <c r="AJ48" i="339"/>
  <c r="AM40" i="339"/>
  <c r="AL40" i="339"/>
  <c r="AK40" i="339"/>
  <c r="AJ40" i="339"/>
  <c r="AM32" i="339"/>
  <c r="AL32" i="339"/>
  <c r="AK32" i="339"/>
  <c r="AJ32" i="339"/>
  <c r="AM24" i="339"/>
  <c r="AL24" i="339"/>
  <c r="AK24" i="339"/>
  <c r="AJ24" i="339"/>
  <c r="G180" i="6" l="1"/>
  <c r="G181" i="6"/>
  <c r="G182" i="6"/>
  <c r="G183" i="6"/>
  <c r="G184" i="6"/>
  <c r="G185" i="6"/>
  <c r="G186" i="6"/>
  <c r="G187" i="6"/>
  <c r="G188" i="6"/>
  <c r="G189" i="6"/>
  <c r="G190" i="6"/>
  <c r="G191" i="6"/>
  <c r="G192" i="6"/>
  <c r="K26" i="372" l="1"/>
  <c r="K46" i="372"/>
  <c r="K20" i="372"/>
  <c r="B13" i="372" l="1" a="1"/>
  <c r="B13" i="372" s="1"/>
  <c r="B46" i="372"/>
  <c r="H5" i="373" l="1"/>
  <c r="A10" i="372" l="1"/>
  <c r="A9" i="372"/>
  <c r="A8" i="372"/>
  <c r="A7" i="372"/>
  <c r="B4" i="372" l="1"/>
  <c r="B3" i="372"/>
  <c r="G17" i="372" l="1"/>
  <c r="H17" i="372" s="1"/>
  <c r="G179" i="6" l="1"/>
  <c r="G178" i="6" l="1"/>
  <c r="G177" i="6"/>
  <c r="G168" i="6"/>
  <c r="G169" i="6"/>
  <c r="G170" i="6"/>
  <c r="G171" i="6"/>
  <c r="G172" i="6"/>
  <c r="G173" i="6"/>
  <c r="G174" i="6"/>
  <c r="G175" i="6"/>
  <c r="G176" i="6"/>
  <c r="G167" i="6"/>
  <c r="G166" i="6"/>
  <c r="G165" i="6"/>
  <c r="G164" i="6"/>
  <c r="G163" i="6"/>
  <c r="G162" i="6"/>
  <c r="G161" i="6"/>
  <c r="G160" i="6"/>
  <c r="G159" i="6"/>
  <c r="G158" i="6"/>
  <c r="G157" i="6"/>
  <c r="G156" i="6"/>
  <c r="G155" i="6"/>
  <c r="G154" i="6"/>
  <c r="G153" i="6"/>
  <c r="G152" i="6"/>
  <c r="G151" i="6"/>
  <c r="G150" i="6"/>
  <c r="G149" i="6"/>
  <c r="G148" i="6"/>
  <c r="G147" i="6"/>
  <c r="G146" i="6"/>
  <c r="G145" i="6"/>
  <c r="G144" i="6"/>
  <c r="G143" i="6"/>
  <c r="G142" i="6"/>
  <c r="G141" i="6"/>
  <c r="G140" i="6"/>
  <c r="G139" i="6"/>
  <c r="G138" i="6"/>
  <c r="G137" i="6"/>
  <c r="G136" i="6"/>
  <c r="G135" i="6"/>
  <c r="G134" i="6"/>
  <c r="G133" i="6"/>
  <c r="G132" i="6"/>
  <c r="G131" i="6"/>
  <c r="G130" i="6"/>
  <c r="G129" i="6"/>
  <c r="G128" i="6"/>
  <c r="G127" i="6"/>
  <c r="G126" i="6"/>
  <c r="G125" i="6"/>
  <c r="G124" i="6"/>
  <c r="G123" i="6"/>
  <c r="G122" i="6"/>
  <c r="G121" i="6"/>
  <c r="G120" i="6"/>
  <c r="G119" i="6"/>
  <c r="G118" i="6"/>
  <c r="G117" i="6"/>
  <c r="G116" i="6"/>
  <c r="G115" i="6"/>
  <c r="G114" i="6"/>
  <c r="G113" i="6"/>
  <c r="G112" i="6"/>
  <c r="G111" i="6"/>
  <c r="G110" i="6"/>
  <c r="G109" i="6"/>
  <c r="G108" i="6"/>
  <c r="G107" i="6"/>
  <c r="G106" i="6"/>
  <c r="G105" i="6"/>
  <c r="G104" i="6"/>
  <c r="G103" i="6"/>
  <c r="G102" i="6"/>
  <c r="G101" i="6"/>
  <c r="G100" i="6"/>
  <c r="G99" i="6"/>
  <c r="G98" i="6"/>
  <c r="G97" i="6"/>
  <c r="G96" i="6"/>
  <c r="G95" i="6"/>
  <c r="G94" i="6"/>
  <c r="G93" i="6"/>
  <c r="G92" i="6"/>
  <c r="G91" i="6"/>
  <c r="G90" i="6"/>
  <c r="G89" i="6"/>
  <c r="G88" i="6"/>
  <c r="G87" i="6"/>
  <c r="G86" i="6"/>
  <c r="G85" i="6"/>
  <c r="G84" i="6"/>
  <c r="G83" i="6"/>
  <c r="G82" i="6"/>
  <c r="G81" i="6"/>
  <c r="G80" i="6"/>
  <c r="G79" i="6"/>
  <c r="G78" i="6"/>
  <c r="G77" i="6"/>
  <c r="G76" i="6"/>
  <c r="G75" i="6"/>
  <c r="G74" i="6"/>
  <c r="G73" i="6"/>
  <c r="G72" i="6"/>
  <c r="G71" i="6"/>
  <c r="G70" i="6"/>
  <c r="G69" i="6"/>
  <c r="G68" i="6"/>
  <c r="M170" i="6" l="1"/>
  <c r="M169" i="6"/>
  <c r="L68" i="6"/>
  <c r="M69" i="6"/>
  <c r="L69" i="6"/>
  <c r="M70" i="6"/>
  <c r="L168" i="6"/>
  <c r="L170" i="6"/>
  <c r="L169" i="6"/>
  <c r="M68" i="6"/>
  <c r="L70" i="6"/>
  <c r="M168" i="6"/>
  <c r="M171" i="6" l="1"/>
  <c r="L71" i="6"/>
  <c r="L171" i="6"/>
  <c r="M71" i="6"/>
  <c r="W14" i="9"/>
  <c r="W15" i="9"/>
  <c r="S9" i="393" l="1"/>
  <c r="S12" i="393"/>
  <c r="N21" i="393" l="1"/>
  <c r="M21" i="393"/>
  <c r="W11" i="9" l="1"/>
  <c r="P23" i="393"/>
  <c r="R23" i="393" s="1"/>
  <c r="P22" i="393"/>
  <c r="R22" i="393" s="1"/>
  <c r="P21" i="393" l="1"/>
  <c r="R21" i="393" s="1"/>
  <c r="G6" i="393" l="1"/>
  <c r="G9" i="393" l="1"/>
  <c r="M12" i="393"/>
  <c r="M11" i="393"/>
  <c r="J11" i="393"/>
  <c r="M10" i="393"/>
  <c r="M9" i="393"/>
  <c r="M8" i="393"/>
  <c r="M7" i="393"/>
  <c r="G12" i="393"/>
  <c r="G11" i="393"/>
  <c r="G10" i="393"/>
  <c r="Q23" i="393"/>
  <c r="S23" i="393" s="1"/>
  <c r="Q22" i="393"/>
  <c r="W21" i="393"/>
  <c r="BB21" i="393" s="1"/>
  <c r="W12" i="393" s="1"/>
  <c r="V21" i="393"/>
  <c r="BA21" i="393" s="1"/>
  <c r="V12" i="393" s="1"/>
  <c r="L21" i="393"/>
  <c r="K21" i="393"/>
  <c r="Q21" i="393" l="1"/>
  <c r="S21" i="393" s="1"/>
  <c r="S22" i="393"/>
  <c r="F14" i="1" l="1"/>
  <c r="F18" i="1"/>
  <c r="D42" i="3" l="1"/>
  <c r="G30" i="372" l="1"/>
  <c r="H30" i="372" s="1"/>
  <c r="G24" i="372"/>
  <c r="H24" i="372" s="1"/>
  <c r="G18" i="372"/>
  <c r="H18" i="372" s="1"/>
  <c r="H20" i="372" s="1"/>
  <c r="G29" i="372" l="1"/>
  <c r="H29" i="372" s="1"/>
  <c r="H32" i="372" s="1"/>
  <c r="G23" i="372"/>
  <c r="H23" i="372" s="1"/>
  <c r="H26" i="372" s="1"/>
  <c r="L12" i="373" l="1"/>
  <c r="K5" i="373"/>
  <c r="F26" i="372"/>
  <c r="L46" i="372"/>
  <c r="O32" i="372"/>
  <c r="N32" i="372"/>
  <c r="M32" i="372"/>
  <c r="L32" i="372"/>
  <c r="N26" i="372"/>
  <c r="M26" i="372"/>
  <c r="L26" i="372"/>
  <c r="N20" i="372"/>
  <c r="M20" i="372"/>
  <c r="L20" i="372"/>
  <c r="F20" i="372" l="1"/>
  <c r="E32" i="372"/>
  <c r="F32" i="372"/>
  <c r="E20" i="372"/>
  <c r="P17" i="372" l="1"/>
  <c r="Q17" i="372" s="1"/>
  <c r="C32" i="372" l="1"/>
  <c r="C26" i="372"/>
  <c r="C20" i="372"/>
  <c r="D32" i="372"/>
  <c r="D26" i="372"/>
  <c r="D20" i="372"/>
  <c r="B63" i="372" l="1"/>
  <c r="P30" i="372"/>
  <c r="Q30" i="372" s="1"/>
  <c r="P18" i="372"/>
  <c r="Q18" i="372" s="1"/>
  <c r="Q20" i="372" s="1"/>
  <c r="P24" i="372" l="1"/>
  <c r="Q24" i="372" s="1"/>
  <c r="O20" i="372"/>
  <c r="B5" i="372" l="1"/>
  <c r="B10" i="372"/>
  <c r="B9" i="372"/>
  <c r="B8" i="372"/>
  <c r="B7" i="372"/>
  <c r="B6" i="372" l="1"/>
  <c r="J36" i="373" l="1"/>
  <c r="H36" i="373"/>
  <c r="C8" i="373" s="1"/>
  <c r="C16" i="373" s="1"/>
  <c r="L34" i="373"/>
  <c r="M34" i="373" s="1"/>
  <c r="N34" i="373" s="1"/>
  <c r="L33" i="373"/>
  <c r="M33" i="373" s="1"/>
  <c r="N33" i="373" s="1"/>
  <c r="L32" i="373"/>
  <c r="M32" i="373" s="1"/>
  <c r="N32" i="373" s="1"/>
  <c r="L31" i="373"/>
  <c r="M31" i="373" s="1"/>
  <c r="N31" i="373" s="1"/>
  <c r="L30" i="373"/>
  <c r="M30" i="373" s="1"/>
  <c r="N30" i="373" s="1"/>
  <c r="L29" i="373"/>
  <c r="M29" i="373" s="1"/>
  <c r="N29" i="373" s="1"/>
  <c r="L28" i="373"/>
  <c r="M28" i="373" s="1"/>
  <c r="N28" i="373" s="1"/>
  <c r="L27" i="373"/>
  <c r="M27" i="373" s="1"/>
  <c r="N27" i="373" s="1"/>
  <c r="L26" i="373"/>
  <c r="M26" i="373" s="1"/>
  <c r="N26" i="373" s="1"/>
  <c r="L25" i="373"/>
  <c r="M25" i="373" s="1"/>
  <c r="N25" i="373" s="1"/>
  <c r="J22" i="373"/>
  <c r="H22" i="373"/>
  <c r="B8" i="373" s="1"/>
  <c r="B16" i="373" s="1"/>
  <c r="L20" i="373"/>
  <c r="M20" i="373" s="1"/>
  <c r="N20" i="373" s="1"/>
  <c r="L19" i="373"/>
  <c r="M19" i="373" s="1"/>
  <c r="N19" i="373" s="1"/>
  <c r="L18" i="373"/>
  <c r="M18" i="373" s="1"/>
  <c r="N18" i="373" s="1"/>
  <c r="L17" i="373"/>
  <c r="M17" i="373" s="1"/>
  <c r="N17" i="373" s="1"/>
  <c r="L16" i="373"/>
  <c r="M16" i="373" s="1"/>
  <c r="N16" i="373" s="1"/>
  <c r="L15" i="373"/>
  <c r="M15" i="373" s="1"/>
  <c r="N15" i="373" s="1"/>
  <c r="L14" i="373"/>
  <c r="M14" i="373" s="1"/>
  <c r="N14" i="373" s="1"/>
  <c r="L13" i="373"/>
  <c r="M13" i="373" s="1"/>
  <c r="N13" i="373" s="1"/>
  <c r="M12" i="373"/>
  <c r="N12" i="373" s="1"/>
  <c r="L11" i="373"/>
  <c r="M11" i="373" s="1"/>
  <c r="N11" i="373" s="1"/>
  <c r="K38" i="372"/>
  <c r="B38" i="372"/>
  <c r="K32" i="372"/>
  <c r="B32" i="372"/>
  <c r="G32" i="372" s="1"/>
  <c r="P29" i="372"/>
  <c r="Q29" i="372" s="1"/>
  <c r="Q32" i="372" s="1"/>
  <c r="E26" i="372"/>
  <c r="B26" i="372"/>
  <c r="P23" i="372"/>
  <c r="Q23" i="372" s="1"/>
  <c r="Q26" i="372" s="1"/>
  <c r="P20" i="372"/>
  <c r="B20" i="372"/>
  <c r="B64" i="372" l="1" a="1"/>
  <c r="B64" i="372" s="1"/>
  <c r="G20" i="372"/>
  <c r="P32" i="372"/>
  <c r="P26" i="372"/>
  <c r="C24" i="373"/>
  <c r="G26" i="372"/>
  <c r="O26" i="372"/>
  <c r="N22" i="373"/>
  <c r="M22" i="373" s="1"/>
  <c r="B9" i="373" s="1"/>
  <c r="B10" i="373" s="1"/>
  <c r="D16" i="373"/>
  <c r="N36" i="373"/>
  <c r="M36" i="373" s="1"/>
  <c r="C9" i="373" s="1"/>
  <c r="C10" i="373" s="1"/>
  <c r="B24" i="373"/>
  <c r="D8" i="373"/>
  <c r="H54" i="372" l="1"/>
  <c r="Q54" i="372"/>
  <c r="D10" i="373"/>
  <c r="D12" i="373" s="1"/>
  <c r="D24" i="373"/>
  <c r="D9" i="373" l="1"/>
  <c r="B17" i="373"/>
  <c r="B18" i="373" s="1"/>
  <c r="C25" i="373" l="1"/>
  <c r="C26" i="373" s="1"/>
  <c r="B25" i="373"/>
  <c r="B26" i="373" s="1"/>
  <c r="H52" i="372"/>
  <c r="Q50" i="372"/>
  <c r="Q52" i="372"/>
  <c r="D43" i="3"/>
  <c r="D44" i="3"/>
  <c r="D45" i="3"/>
  <c r="D46" i="3"/>
  <c r="D47" i="3"/>
  <c r="D48" i="3"/>
  <c r="D49" i="3"/>
  <c r="D50" i="3"/>
  <c r="D51" i="3"/>
  <c r="Q51" i="372" l="1"/>
  <c r="D26" i="373"/>
  <c r="C17" i="373"/>
  <c r="C18" i="373" s="1"/>
  <c r="D18" i="373" s="1"/>
  <c r="D17" i="373" s="1"/>
  <c r="BH83" i="339"/>
  <c r="BF83" i="339" s="1"/>
  <c r="BB83" i="339"/>
  <c r="AZ83" i="339" s="1"/>
  <c r="AV83" i="339"/>
  <c r="AT83" i="339" s="1"/>
  <c r="BH75" i="339"/>
  <c r="BF75" i="339" s="1"/>
  <c r="BB75" i="339"/>
  <c r="AZ75" i="339" s="1"/>
  <c r="AV75" i="339"/>
  <c r="AT75" i="339" s="1"/>
  <c r="BH67" i="339"/>
  <c r="BF67" i="339" s="1"/>
  <c r="BB67" i="339"/>
  <c r="AZ67" i="339" s="1"/>
  <c r="AV67" i="339"/>
  <c r="AT67" i="339" s="1"/>
  <c r="BH59" i="339"/>
  <c r="BF59" i="339" s="1"/>
  <c r="BB59" i="339"/>
  <c r="AZ59" i="339" s="1"/>
  <c r="AV59" i="339"/>
  <c r="AT59" i="339" s="1"/>
  <c r="D25" i="373" l="1"/>
  <c r="D28" i="373"/>
  <c r="D34" i="373" s="1"/>
  <c r="A37" i="373" s="1"/>
  <c r="D20" i="373"/>
  <c r="D33" i="373" l="1"/>
  <c r="D31" i="373"/>
  <c r="F13" i="1"/>
  <c r="M4" i="3" l="1"/>
  <c r="M3" i="3"/>
  <c r="G8" i="339" l="1"/>
  <c r="AR1" i="339"/>
  <c r="AQ1" i="339"/>
  <c r="AP1" i="339"/>
  <c r="D8" i="339" l="1"/>
  <c r="D7" i="339"/>
  <c r="C6" i="339"/>
  <c r="AW1" i="339"/>
  <c r="AV1" i="339"/>
  <c r="AU1" i="339"/>
  <c r="AX59" i="339" l="1"/>
  <c r="AX67" i="339"/>
  <c r="AX75" i="339"/>
  <c r="AX83" i="339"/>
  <c r="BD59" i="339"/>
  <c r="BD67" i="339"/>
  <c r="BD75" i="339"/>
  <c r="BD83" i="339"/>
  <c r="BJ59" i="339"/>
  <c r="BJ67" i="339"/>
  <c r="BJ75" i="339"/>
  <c r="BJ83" i="339"/>
  <c r="O51" i="3"/>
  <c r="O50" i="3"/>
  <c r="O49" i="3"/>
  <c r="O48" i="3"/>
  <c r="O47" i="3"/>
  <c r="O46" i="3"/>
  <c r="O45" i="3"/>
  <c r="O44" i="3"/>
  <c r="O43" i="3"/>
  <c r="O42" i="3"/>
  <c r="BH51" i="339" l="1"/>
  <c r="BF51" i="339" s="1"/>
  <c r="BJ51" i="339" s="1"/>
  <c r="BB51" i="339"/>
  <c r="AZ51" i="339" s="1"/>
  <c r="BD51" i="339" s="1"/>
  <c r="AV51" i="339"/>
  <c r="AT51" i="339" s="1"/>
  <c r="AX51" i="339" s="1"/>
  <c r="BH43" i="339"/>
  <c r="BF43" i="339" s="1"/>
  <c r="BJ43" i="339" s="1"/>
  <c r="BB43" i="339"/>
  <c r="AZ43" i="339" s="1"/>
  <c r="BD43" i="339" s="1"/>
  <c r="AV43" i="339"/>
  <c r="AT43" i="339" s="1"/>
  <c r="AX43" i="339" s="1"/>
  <c r="BH35" i="339"/>
  <c r="BF35" i="339" s="1"/>
  <c r="BJ35" i="339" s="1"/>
  <c r="BB35" i="339"/>
  <c r="AZ35" i="339" s="1"/>
  <c r="BD35" i="339" s="1"/>
  <c r="AV35" i="339"/>
  <c r="AT35" i="339" s="1"/>
  <c r="AX35" i="339" s="1"/>
  <c r="BH27" i="339"/>
  <c r="BF27" i="339" s="1"/>
  <c r="BJ27" i="339" s="1"/>
  <c r="BB27" i="339"/>
  <c r="AZ27" i="339" s="1"/>
  <c r="BD27" i="339" s="1"/>
  <c r="AV27" i="339"/>
  <c r="AT27" i="339" s="1"/>
  <c r="AX27" i="339" s="1"/>
  <c r="BH19" i="339"/>
  <c r="BF19" i="339" s="1"/>
  <c r="BJ19" i="339" s="1"/>
  <c r="BB19" i="339"/>
  <c r="AZ19" i="339" s="1"/>
  <c r="BD19" i="339" s="1"/>
  <c r="AV19" i="339"/>
  <c r="AT19" i="339" s="1"/>
  <c r="AX19" i="339" s="1"/>
  <c r="BI16" i="339"/>
  <c r="BH16" i="339"/>
  <c r="BC16" i="339"/>
  <c r="BB16" i="339"/>
  <c r="AW16" i="339"/>
  <c r="AV16" i="339"/>
  <c r="AM16" i="339"/>
  <c r="AL16" i="339"/>
  <c r="AK16" i="339"/>
  <c r="AJ16" i="339"/>
  <c r="BH11" i="339"/>
  <c r="BF11" i="339" s="1"/>
  <c r="BJ11" i="339" s="1"/>
  <c r="BB11" i="339"/>
  <c r="AZ11" i="339" s="1"/>
  <c r="BD11" i="339" s="1"/>
  <c r="AV11" i="339"/>
  <c r="AT11" i="339" s="1"/>
  <c r="AX11" i="339" s="1"/>
  <c r="N6" i="339"/>
  <c r="C253" i="4" l="1"/>
  <c r="AM1" i="9"/>
  <c r="AH1" i="9"/>
  <c r="AC1" i="9"/>
  <c r="AI3" i="9" l="1"/>
  <c r="AM4" i="9"/>
  <c r="AM2" i="9"/>
  <c r="AH2" i="9"/>
  <c r="AH4" i="9"/>
  <c r="AC4" i="9"/>
  <c r="AC2" i="9"/>
  <c r="AV6" i="339"/>
  <c r="BH6" i="339"/>
  <c r="BB6" i="339"/>
  <c r="O42" i="93"/>
  <c r="AA42" i="93" s="1"/>
  <c r="N42" i="93"/>
  <c r="Z42" i="93" s="1"/>
  <c r="M42" i="93"/>
  <c r="Y42" i="93" s="1"/>
  <c r="H340" i="4"/>
  <c r="G340" i="4"/>
  <c r="E340" i="4"/>
  <c r="D340" i="4"/>
  <c r="C340" i="4"/>
  <c r="D294" i="4"/>
  <c r="C294" i="4"/>
  <c r="F301" i="4"/>
  <c r="F302" i="4"/>
  <c r="F303" i="4"/>
  <c r="F304" i="4"/>
  <c r="F305" i="4"/>
  <c r="F306" i="4"/>
  <c r="F307" i="4"/>
  <c r="F308" i="4"/>
  <c r="F309" i="4"/>
  <c r="F310" i="4"/>
  <c r="F300" i="4"/>
  <c r="E284" i="4"/>
  <c r="F284" i="4" s="1"/>
  <c r="E285" i="4"/>
  <c r="F285" i="4" s="1"/>
  <c r="E286" i="4"/>
  <c r="F286" i="4" s="1"/>
  <c r="E287" i="4"/>
  <c r="F287" i="4" s="1"/>
  <c r="E288" i="4"/>
  <c r="F288" i="4" s="1"/>
  <c r="E289" i="4"/>
  <c r="F289" i="4" s="1"/>
  <c r="E290" i="4"/>
  <c r="F290" i="4" s="1"/>
  <c r="E291" i="4"/>
  <c r="F291" i="4" s="1"/>
  <c r="E292" i="4"/>
  <c r="F292" i="4" s="1"/>
  <c r="E293" i="4"/>
  <c r="F293" i="4" s="1"/>
  <c r="E283" i="4"/>
  <c r="F283" i="4" s="1"/>
  <c r="U43" i="3"/>
  <c r="V43" i="3"/>
  <c r="R43" i="3" s="1"/>
  <c r="W43" i="3"/>
  <c r="S43" i="3" s="1"/>
  <c r="U44" i="3"/>
  <c r="V44" i="3"/>
  <c r="R44" i="3" s="1"/>
  <c r="W44" i="3"/>
  <c r="S44" i="3" s="1"/>
  <c r="U45" i="3"/>
  <c r="V45" i="3"/>
  <c r="R45" i="3" s="1"/>
  <c r="W45" i="3"/>
  <c r="S45" i="3" s="1"/>
  <c r="U46" i="3"/>
  <c r="V46" i="3"/>
  <c r="R46" i="3" s="1"/>
  <c r="W46" i="3"/>
  <c r="S46" i="3" s="1"/>
  <c r="U47" i="3"/>
  <c r="V47" i="3"/>
  <c r="R47" i="3" s="1"/>
  <c r="W47" i="3"/>
  <c r="S47" i="3" s="1"/>
  <c r="U48" i="3"/>
  <c r="V48" i="3"/>
  <c r="R48" i="3" s="1"/>
  <c r="W48" i="3"/>
  <c r="S48" i="3" s="1"/>
  <c r="U49" i="3"/>
  <c r="V49" i="3"/>
  <c r="R49" i="3" s="1"/>
  <c r="W49" i="3"/>
  <c r="S49" i="3" s="1"/>
  <c r="U50" i="3"/>
  <c r="V50" i="3"/>
  <c r="R50" i="3" s="1"/>
  <c r="W50" i="3"/>
  <c r="S50" i="3" s="1"/>
  <c r="U51" i="3"/>
  <c r="V51" i="3"/>
  <c r="R51" i="3" s="1"/>
  <c r="W51" i="3"/>
  <c r="S51" i="3" s="1"/>
  <c r="W42" i="3"/>
  <c r="S42" i="3" s="1"/>
  <c r="V42" i="3"/>
  <c r="R42" i="3" s="1"/>
  <c r="U42" i="3"/>
  <c r="T43" i="3"/>
  <c r="P43" i="3" s="1"/>
  <c r="T44" i="3"/>
  <c r="P44" i="3" s="1"/>
  <c r="T45" i="3"/>
  <c r="P45" i="3" s="1"/>
  <c r="T46" i="3"/>
  <c r="P46" i="3" s="1"/>
  <c r="T47" i="3"/>
  <c r="P47" i="3" s="1"/>
  <c r="T48" i="3"/>
  <c r="P48" i="3" s="1"/>
  <c r="T49" i="3"/>
  <c r="P49" i="3" s="1"/>
  <c r="T50" i="3"/>
  <c r="P50" i="3" s="1"/>
  <c r="T51" i="3"/>
  <c r="P51" i="3" s="1"/>
  <c r="T42" i="3"/>
  <c r="P42" i="3" s="1"/>
  <c r="Y43" i="3"/>
  <c r="Z43" i="3"/>
  <c r="AA43" i="3"/>
  <c r="Y44" i="3"/>
  <c r="Z44" i="3"/>
  <c r="AA44" i="3"/>
  <c r="Y45" i="3"/>
  <c r="Z45" i="3"/>
  <c r="AA45" i="3"/>
  <c r="Y46" i="3"/>
  <c r="Z46" i="3"/>
  <c r="AA46" i="3"/>
  <c r="Y47" i="3"/>
  <c r="Z47" i="3"/>
  <c r="AA47" i="3"/>
  <c r="Y48" i="3"/>
  <c r="Z48" i="3"/>
  <c r="AA48" i="3"/>
  <c r="Y49" i="3"/>
  <c r="Z49" i="3"/>
  <c r="AA49" i="3"/>
  <c r="Y50" i="3"/>
  <c r="Z50" i="3"/>
  <c r="AA50" i="3"/>
  <c r="Y51" i="3"/>
  <c r="Z51" i="3"/>
  <c r="AA51" i="3"/>
  <c r="AA42" i="3"/>
  <c r="Z42" i="3"/>
  <c r="Y42" i="3"/>
  <c r="X43" i="3"/>
  <c r="X44" i="3"/>
  <c r="X45" i="3"/>
  <c r="X46" i="3"/>
  <c r="X47" i="3"/>
  <c r="X48" i="3"/>
  <c r="X49" i="3"/>
  <c r="X50" i="3"/>
  <c r="X51" i="3"/>
  <c r="X42" i="3"/>
  <c r="F294" i="4"/>
  <c r="AT43" i="93" l="1"/>
  <c r="Z52" i="3"/>
  <c r="P52" i="3"/>
  <c r="F67" i="93"/>
  <c r="F53" i="93"/>
  <c r="R52" i="3"/>
  <c r="S52" i="3"/>
  <c r="Q42" i="3"/>
  <c r="Q51" i="3"/>
  <c r="Q50" i="3"/>
  <c r="Q49" i="3"/>
  <c r="Q48" i="3"/>
  <c r="Q47" i="3"/>
  <c r="Q46" i="3"/>
  <c r="Q45" i="3"/>
  <c r="Q44" i="3"/>
  <c r="Q43" i="3"/>
  <c r="E294" i="4"/>
  <c r="AA52" i="3"/>
  <c r="Y52" i="3"/>
  <c r="AB44" i="93"/>
  <c r="AE44" i="93" s="1"/>
  <c r="W52" i="3"/>
  <c r="X52" i="3"/>
  <c r="AT44" i="93"/>
  <c r="AW44" i="93" s="1"/>
  <c r="BC44" i="93" s="1"/>
  <c r="T52" i="3"/>
  <c r="J44" i="93"/>
  <c r="J43" i="93"/>
  <c r="AB43" i="93"/>
  <c r="AW43" i="93"/>
  <c r="BC43" i="93" s="1"/>
  <c r="G67" i="93" l="1"/>
  <c r="G53" i="93"/>
  <c r="Q52" i="3"/>
  <c r="AD44" i="93"/>
  <c r="AG44" i="93" s="1"/>
  <c r="AM44" i="93" s="1"/>
  <c r="I8" i="93"/>
  <c r="BI43" i="93"/>
  <c r="BI44" i="93"/>
  <c r="O44" i="93"/>
  <c r="L43" i="93"/>
  <c r="L44" i="93"/>
  <c r="AV43" i="93"/>
  <c r="AY43" i="93" s="1"/>
  <c r="AV44" i="93"/>
  <c r="AY44" i="93" s="1"/>
  <c r="O43" i="93"/>
  <c r="AD43" i="93"/>
  <c r="AG43" i="93" s="1"/>
  <c r="AM43" i="93" s="1"/>
  <c r="M44" i="93"/>
  <c r="M43" i="93"/>
  <c r="AE43" i="93"/>
  <c r="O6" i="34"/>
  <c r="H5" i="93"/>
  <c r="I5" i="93"/>
  <c r="G5" i="93"/>
  <c r="B39" i="93"/>
  <c r="B38" i="93"/>
  <c r="B37" i="93"/>
  <c r="B36" i="93"/>
  <c r="G60" i="93" l="1"/>
  <c r="BE44" i="93"/>
  <c r="BK44" i="93" s="1"/>
  <c r="BE43" i="93"/>
  <c r="BK43" i="93" s="1"/>
  <c r="S43" i="93"/>
  <c r="AK43" i="93"/>
  <c r="AQ43" i="93" s="1"/>
  <c r="Y43" i="93" s="1"/>
  <c r="AK44" i="93"/>
  <c r="U52" i="3"/>
  <c r="G8" i="93" s="1"/>
  <c r="V52" i="3"/>
  <c r="H8" i="93" s="1"/>
  <c r="F60" i="93" s="1"/>
  <c r="U44" i="93"/>
  <c r="AS43" i="93"/>
  <c r="AA43" i="93" s="1"/>
  <c r="E53" i="93"/>
  <c r="E67" i="93"/>
  <c r="U43" i="93" l="1"/>
  <c r="S44" i="93"/>
  <c r="AC44" i="93"/>
  <c r="AF44" i="93" s="1"/>
  <c r="AL44" i="93" s="1"/>
  <c r="AU44" i="93"/>
  <c r="AX44" i="93" s="1"/>
  <c r="AU43" i="93"/>
  <c r="AX43" i="93" s="1"/>
  <c r="N44" i="93"/>
  <c r="T44" i="93" s="1"/>
  <c r="N43" i="93"/>
  <c r="T43" i="93" s="1"/>
  <c r="K44" i="93"/>
  <c r="K43" i="93"/>
  <c r="AC43" i="93"/>
  <c r="AF43" i="93" s="1"/>
  <c r="AL43" i="93" s="1"/>
  <c r="AQ44" i="93"/>
  <c r="Y44" i="93" s="1"/>
  <c r="AS44" i="93"/>
  <c r="AA44" i="93" s="1"/>
  <c r="X39" i="93"/>
  <c r="W39" i="93"/>
  <c r="V39" i="93"/>
  <c r="X38" i="93"/>
  <c r="W38" i="93"/>
  <c r="V38" i="93"/>
  <c r="X37" i="93"/>
  <c r="W37" i="93"/>
  <c r="V37" i="93"/>
  <c r="X36" i="93"/>
  <c r="W36" i="93"/>
  <c r="V36" i="93"/>
  <c r="AY39" i="93"/>
  <c r="AX39" i="93"/>
  <c r="AW39" i="93"/>
  <c r="AY38" i="93"/>
  <c r="AX38" i="93"/>
  <c r="AW38" i="93"/>
  <c r="AY37" i="93"/>
  <c r="AX37" i="93"/>
  <c r="AW37" i="93"/>
  <c r="AY36" i="93"/>
  <c r="AX36" i="93"/>
  <c r="AW36" i="93"/>
  <c r="AV39" i="93"/>
  <c r="AU39" i="93"/>
  <c r="AT39" i="93"/>
  <c r="AV38" i="93"/>
  <c r="AU38" i="93"/>
  <c r="AT38" i="93"/>
  <c r="AV37" i="93"/>
  <c r="AU37" i="93"/>
  <c r="AT37" i="93"/>
  <c r="AV36" i="93"/>
  <c r="AU36" i="93"/>
  <c r="AT36" i="93"/>
  <c r="AA33" i="93"/>
  <c r="Z33" i="93"/>
  <c r="Y33" i="93"/>
  <c r="R33" i="93"/>
  <c r="Q33" i="93"/>
  <c r="P33" i="93"/>
  <c r="O33" i="93"/>
  <c r="O46" i="93" s="1"/>
  <c r="N33" i="93"/>
  <c r="M33" i="93"/>
  <c r="M46" i="93" s="1"/>
  <c r="AA39" i="93"/>
  <c r="AS39" i="93" s="1"/>
  <c r="Z39" i="93"/>
  <c r="AR39" i="93" s="1"/>
  <c r="Y39" i="93"/>
  <c r="BI39" i="93" s="1"/>
  <c r="AA38" i="93"/>
  <c r="AS38" i="93" s="1"/>
  <c r="Z38" i="93"/>
  <c r="BJ38" i="93" s="1"/>
  <c r="Y38" i="93"/>
  <c r="BI38" i="93" s="1"/>
  <c r="AA37" i="93"/>
  <c r="AS37" i="93" s="1"/>
  <c r="Z37" i="93"/>
  <c r="AR37" i="93" s="1"/>
  <c r="Y37" i="93"/>
  <c r="AQ37" i="93" s="1"/>
  <c r="R39" i="93"/>
  <c r="AJ39" i="93" s="1"/>
  <c r="Q39" i="93"/>
  <c r="AI39" i="93" s="1"/>
  <c r="P39" i="93"/>
  <c r="AH39" i="93" s="1"/>
  <c r="R38" i="93"/>
  <c r="AJ38" i="93" s="1"/>
  <c r="Q38" i="93"/>
  <c r="AI38" i="93" s="1"/>
  <c r="P38" i="93"/>
  <c r="AH38" i="93" s="1"/>
  <c r="R37" i="93"/>
  <c r="AJ37" i="93" s="1"/>
  <c r="Q37" i="93"/>
  <c r="AI37" i="93" s="1"/>
  <c r="P37" i="93"/>
  <c r="AH37" i="93" s="1"/>
  <c r="R36" i="93"/>
  <c r="Q36" i="93"/>
  <c r="P36" i="93"/>
  <c r="BH39" i="93"/>
  <c r="BG39" i="93"/>
  <c r="BF39" i="93"/>
  <c r="BE39" i="93"/>
  <c r="BD39" i="93"/>
  <c r="BC39" i="93"/>
  <c r="AP39" i="93"/>
  <c r="AO39" i="93"/>
  <c r="AN39" i="93"/>
  <c r="AM39" i="93"/>
  <c r="AL39" i="93"/>
  <c r="AK39" i="93"/>
  <c r="AG39" i="93"/>
  <c r="AF39" i="93"/>
  <c r="AE39" i="93"/>
  <c r="AD39" i="93"/>
  <c r="AC39" i="93"/>
  <c r="AB39" i="93"/>
  <c r="BH38" i="93"/>
  <c r="BG38" i="93"/>
  <c r="BF38" i="93"/>
  <c r="BD38" i="93"/>
  <c r="BC38" i="93"/>
  <c r="AO38" i="93"/>
  <c r="AN38" i="93"/>
  <c r="AL38" i="93"/>
  <c r="AK38" i="93"/>
  <c r="AG38" i="93"/>
  <c r="AF38" i="93"/>
  <c r="AE38" i="93"/>
  <c r="AD38" i="93"/>
  <c r="AP38" i="93" s="1"/>
  <c r="AM38" i="93" s="1"/>
  <c r="AC38" i="93"/>
  <c r="AB38" i="93"/>
  <c r="BH37" i="93"/>
  <c r="BG37" i="93"/>
  <c r="BF37" i="93"/>
  <c r="BE37" i="93"/>
  <c r="BD37" i="93"/>
  <c r="BC37" i="93"/>
  <c r="AP37" i="93"/>
  <c r="AO37" i="93"/>
  <c r="AN37" i="93"/>
  <c r="AM37" i="93"/>
  <c r="AL37" i="93"/>
  <c r="AK37" i="93"/>
  <c r="AG37" i="93"/>
  <c r="AF37" i="93"/>
  <c r="AE37" i="93"/>
  <c r="AD37" i="93"/>
  <c r="AC37" i="93"/>
  <c r="AB37" i="93"/>
  <c r="AG36" i="93"/>
  <c r="AF36" i="93"/>
  <c r="AE36" i="93"/>
  <c r="AD36" i="93"/>
  <c r="AC36" i="93"/>
  <c r="AB36" i="93"/>
  <c r="L33" i="93"/>
  <c r="L46" i="93" s="1"/>
  <c r="K33" i="93"/>
  <c r="J33" i="93"/>
  <c r="J46" i="93" s="1"/>
  <c r="AB42" i="93"/>
  <c r="AE42" i="93" s="1"/>
  <c r="AQ42" i="93" s="1"/>
  <c r="AT42" i="93"/>
  <c r="AW42" i="93" s="1"/>
  <c r="BI42" i="93" s="1"/>
  <c r="AR38" i="93" l="1"/>
  <c r="AQ38" i="93"/>
  <c r="BD43" i="93"/>
  <c r="BJ43" i="93" s="1"/>
  <c r="BD44" i="93"/>
  <c r="BJ44" i="93" s="1"/>
  <c r="R46" i="93"/>
  <c r="Q46" i="93"/>
  <c r="P46" i="93"/>
  <c r="K46" i="93"/>
  <c r="N46" i="93"/>
  <c r="AR44" i="93"/>
  <c r="Z44" i="93" s="1"/>
  <c r="T33" i="93"/>
  <c r="T46" i="93" s="1"/>
  <c r="AR43" i="93"/>
  <c r="Z43" i="93" s="1"/>
  <c r="X33" i="93"/>
  <c r="X46" i="93" s="1"/>
  <c r="W33" i="93"/>
  <c r="W46" i="93" s="1"/>
  <c r="V33" i="93"/>
  <c r="V46" i="93" s="1"/>
  <c r="AE33" i="93"/>
  <c r="AE46" i="93" s="1"/>
  <c r="AG33" i="93"/>
  <c r="AF33" i="93"/>
  <c r="S33" i="93"/>
  <c r="S46" i="93" s="1"/>
  <c r="U33" i="93"/>
  <c r="U46" i="93" s="1"/>
  <c r="AI36" i="93"/>
  <c r="BJ37" i="93"/>
  <c r="BI37" i="93"/>
  <c r="AQ39" i="93"/>
  <c r="BJ39" i="93"/>
  <c r="AJ36" i="93"/>
  <c r="BK37" i="93"/>
  <c r="BK38" i="93"/>
  <c r="BK39" i="93"/>
  <c r="AH36" i="93"/>
  <c r="BB36" i="93"/>
  <c r="BA37" i="93"/>
  <c r="AZ38" i="93"/>
  <c r="BB39" i="93"/>
  <c r="BA36" i="93"/>
  <c r="AZ37" i="93"/>
  <c r="BB38" i="93"/>
  <c r="BE38" i="93" s="1"/>
  <c r="BA39" i="93"/>
  <c r="AZ36" i="93"/>
  <c r="BB37" i="93"/>
  <c r="BA38" i="93"/>
  <c r="AZ39" i="93"/>
  <c r="AH33" i="93" l="1"/>
  <c r="AH46" i="93" s="1"/>
  <c r="AS33" i="93"/>
  <c r="AR33" i="93"/>
  <c r="AQ33" i="93"/>
  <c r="AJ33" i="93"/>
  <c r="AJ46" i="93" s="1"/>
  <c r="AB33" i="93"/>
  <c r="AB46" i="93" s="1"/>
  <c r="AD33" i="93"/>
  <c r="AC33" i="93"/>
  <c r="AI33" i="93"/>
  <c r="AI46" i="93" s="1"/>
  <c r="AO33" i="93" l="1"/>
  <c r="AP33" i="93"/>
  <c r="E60" i="93"/>
  <c r="AN33" i="93"/>
  <c r="AK33" i="93" l="1"/>
  <c r="AM33" i="93"/>
  <c r="AL33" i="93"/>
  <c r="AV42" i="93"/>
  <c r="AY42" i="93" s="1"/>
  <c r="BK42" i="93" s="1"/>
  <c r="AU42" i="93"/>
  <c r="AX42" i="93" s="1"/>
  <c r="BJ42" i="93" s="1"/>
  <c r="AC42" i="93"/>
  <c r="AD42" i="93"/>
  <c r="AC46" i="93" l="1"/>
  <c r="AF42" i="93"/>
  <c r="AD46" i="93"/>
  <c r="AG42" i="93"/>
  <c r="AR42" i="93" l="1"/>
  <c r="AF46" i="93"/>
  <c r="AS42" i="93"/>
  <c r="AG46" i="93"/>
  <c r="Y14" i="9" l="1"/>
  <c r="Y15" i="9" s="1"/>
  <c r="AR11" i="9" l="1"/>
  <c r="AS10" i="9"/>
  <c r="AR10" i="9"/>
  <c r="AS9" i="9"/>
  <c r="AR9" i="9"/>
  <c r="AS8" i="9"/>
  <c r="AR8" i="9"/>
  <c r="X5" i="9"/>
  <c r="AR13" i="9" l="1"/>
  <c r="C19" i="13"/>
  <c r="D14" i="13"/>
  <c r="D13" i="13"/>
  <c r="D9" i="13"/>
  <c r="D8" i="13"/>
  <c r="D5" i="13"/>
  <c r="BK16" i="34"/>
  <c r="BJ16" i="34"/>
  <c r="BG16" i="34"/>
  <c r="BF16" i="34"/>
  <c r="BE16" i="34"/>
  <c r="BD16" i="34"/>
  <c r="BA16" i="34"/>
  <c r="AZ16" i="34"/>
  <c r="AY16" i="34"/>
  <c r="AX16" i="34"/>
  <c r="AU16" i="34"/>
  <c r="AT16" i="34"/>
  <c r="AS16" i="34"/>
  <c r="AR16" i="34"/>
  <c r="AQ16" i="34"/>
  <c r="AP16" i="34"/>
  <c r="AO16" i="34"/>
  <c r="AM16" i="34"/>
  <c r="AL16" i="34"/>
  <c r="AK16" i="34"/>
  <c r="AJ16" i="34"/>
  <c r="BH11" i="34"/>
  <c r="BF11" i="34" s="1"/>
  <c r="BB11" i="34"/>
  <c r="AZ11" i="34" s="1"/>
  <c r="AV11" i="34"/>
  <c r="AT11" i="34" s="1"/>
  <c r="Y13" i="9" l="1"/>
  <c r="Y12" i="9" s="1"/>
  <c r="Y11" i="9" s="1"/>
  <c r="Y10" i="9" s="1"/>
  <c r="Y9" i="9" s="1"/>
  <c r="Y8" i="9" s="1"/>
  <c r="AR15" i="9"/>
  <c r="AW16" i="34"/>
  <c r="AV16" i="34" s="1"/>
  <c r="BC16" i="34"/>
  <c r="BB16" i="34" s="1"/>
  <c r="BI16" i="34"/>
  <c r="BH16" i="34" s="1"/>
  <c r="Y16" i="9" l="1"/>
  <c r="Y17" i="9" s="1"/>
  <c r="Y18" i="9" s="1"/>
  <c r="Y19" i="9" s="1"/>
  <c r="Y20" i="9" s="1"/>
  <c r="Y21" i="9" s="1"/>
  <c r="Y22" i="9" s="1"/>
  <c r="Y23" i="9" s="1"/>
  <c r="Y24" i="9" s="1"/>
  <c r="Y25" i="9" s="1"/>
  <c r="Y26" i="9" s="1"/>
  <c r="Y27" i="9" s="1"/>
  <c r="Y28" i="9" s="1"/>
  <c r="Y29" i="9" s="1"/>
  <c r="Y30" i="9" s="1"/>
  <c r="Y31" i="9" s="1"/>
  <c r="Y32" i="9" s="1"/>
  <c r="Y33" i="9" s="1"/>
  <c r="Y34" i="9" s="1"/>
  <c r="Y35" i="9" s="1"/>
  <c r="Y36" i="9" s="1"/>
  <c r="Y37" i="9" s="1"/>
  <c r="Y7" i="9" l="1"/>
  <c r="Y6" i="9" s="1"/>
  <c r="Y5" i="9" s="1"/>
  <c r="Y4" i="9" s="1"/>
  <c r="Y3" i="9" s="1"/>
  <c r="Y2" i="9" s="1"/>
  <c r="Z5" i="9" s="1"/>
  <c r="X6" i="9"/>
  <c r="X7" i="9" s="1"/>
  <c r="X8" i="9" s="1"/>
  <c r="X9" i="9" s="1"/>
  <c r="Y36" i="93"/>
  <c r="AA36" i="93"/>
  <c r="Z36" i="93"/>
  <c r="AS36" i="93" l="1"/>
  <c r="AS46" i="93" s="1"/>
  <c r="AA46" i="93"/>
  <c r="AR36" i="93"/>
  <c r="AR46" i="93" s="1"/>
  <c r="Z46" i="93"/>
  <c r="Y46" i="93"/>
  <c r="BK36" i="93"/>
  <c r="BE36" i="93"/>
  <c r="AO36" i="93"/>
  <c r="AO46" i="93" s="1"/>
  <c r="AQ36" i="93"/>
  <c r="AQ46" i="93" s="1"/>
  <c r="BJ36" i="93"/>
  <c r="AP36" i="93"/>
  <c r="AP46" i="93" s="1"/>
  <c r="BI36" i="93"/>
  <c r="W14" i="434" l="1"/>
  <c r="BH36" i="93"/>
  <c r="BF36" i="93"/>
  <c r="BG36" i="93"/>
  <c r="AM36" i="93"/>
  <c r="AM46" i="93" s="1"/>
  <c r="G8" i="3"/>
  <c r="AN36" i="93"/>
  <c r="AN46" i="93" s="1"/>
  <c r="AL36" i="93"/>
  <c r="AL46" i="93" s="1"/>
  <c r="F8" i="3"/>
  <c r="E8" i="3" l="1"/>
  <c r="AK36" i="93"/>
  <c r="AK46" i="93" s="1"/>
  <c r="BC36" i="93"/>
  <c r="BD36" i="93"/>
  <c r="C46" i="372" l="1"/>
  <c r="J54" i="372"/>
  <c r="H50" i="372" l="1"/>
  <c r="H51" i="372" s="1"/>
  <c r="Q4" i="372" l="1"/>
  <c r="Q57" i="372" s="1"/>
  <c r="Q8" i="372"/>
  <c r="Q61" i="372" s="1"/>
  <c r="Q9" i="372"/>
  <c r="Q62" i="372" s="1"/>
  <c r="Q10" i="372"/>
  <c r="Q63" i="372" s="1"/>
  <c r="Q11" i="372"/>
  <c r="Q64" i="372" s="1"/>
  <c r="Q7" i="372" l="1"/>
  <c r="Q60" i="372" s="1"/>
  <c r="Q5" i="372"/>
  <c r="Q58" i="372" s="1"/>
  <c r="A22" i="93" l="1"/>
  <c r="D22" i="93" l="1"/>
  <c r="H22" i="93"/>
  <c r="C22" i="93"/>
  <c r="B22" i="93" s="1"/>
  <c r="E22" i="93"/>
  <c r="G22" i="93"/>
  <c r="I22" i="93"/>
  <c r="F22" i="93"/>
  <c r="BI22" i="93" l="1"/>
  <c r="AT22" i="93"/>
  <c r="AZ22" i="93"/>
  <c r="AW22" i="93"/>
  <c r="AY22" i="93"/>
  <c r="BK22" i="93"/>
  <c r="AV22" i="93"/>
  <c r="BB22" i="93"/>
  <c r="AX22" i="93"/>
  <c r="BJ22" i="93"/>
  <c r="AU22" i="93"/>
  <c r="BA22" i="93"/>
  <c r="BH22" i="93" l="1"/>
  <c r="BG22" i="93"/>
  <c r="BF22" i="93"/>
  <c r="BC22" i="93" s="1"/>
  <c r="BE22" i="93" l="1"/>
  <c r="A23" i="93"/>
  <c r="BD22" i="93"/>
  <c r="C23" i="93" l="1"/>
  <c r="B23" i="93" s="1"/>
  <c r="H23" i="93"/>
  <c r="E23" i="93"/>
  <c r="G23" i="93"/>
  <c r="I23" i="93"/>
  <c r="F23" i="93"/>
  <c r="D23" i="93"/>
  <c r="A24" i="93" l="1"/>
  <c r="BJ23" i="93"/>
  <c r="BA23" i="93"/>
  <c r="AU23" i="93"/>
  <c r="AX23" i="93"/>
  <c r="BB23" i="93"/>
  <c r="BK23" i="93"/>
  <c r="AY23" i="93"/>
  <c r="AV23" i="93"/>
  <c r="AW23" i="93"/>
  <c r="BI23" i="93"/>
  <c r="AT23" i="93"/>
  <c r="AZ23" i="93"/>
  <c r="BH23" i="93" l="1"/>
  <c r="BE23" i="93" s="1"/>
  <c r="BF23" i="93"/>
  <c r="BC23" i="93" s="1"/>
  <c r="BE33" i="93"/>
  <c r="BE46" i="93" s="1"/>
  <c r="BG23" i="93"/>
  <c r="BD23" i="93" s="1"/>
  <c r="C24" i="93"/>
  <c r="B24" i="93" s="1"/>
  <c r="G24" i="93"/>
  <c r="F24" i="93"/>
  <c r="D24" i="93"/>
  <c r="H24" i="93"/>
  <c r="E24" i="93"/>
  <c r="I24" i="93"/>
  <c r="A25" i="93"/>
  <c r="BH33" i="93" l="1"/>
  <c r="BH46" i="93" s="1"/>
  <c r="AZ24" i="93"/>
  <c r="AT24" i="93"/>
  <c r="AW24" i="93"/>
  <c r="BI24" i="93"/>
  <c r="F25" i="93"/>
  <c r="I25" i="93"/>
  <c r="C25" i="93"/>
  <c r="B25" i="93" s="1"/>
  <c r="G25" i="93"/>
  <c r="E25" i="93"/>
  <c r="D25" i="93"/>
  <c r="H25" i="93"/>
  <c r="A26" i="93"/>
  <c r="AU24" i="93"/>
  <c r="BA24" i="93"/>
  <c r="AX24" i="93"/>
  <c r="BJ24" i="93"/>
  <c r="AY24" i="93"/>
  <c r="BK24" i="93"/>
  <c r="BB24" i="93"/>
  <c r="AV24" i="93"/>
  <c r="BG24" i="93" l="1"/>
  <c r="BD24" i="93" s="1"/>
  <c r="AX25" i="93"/>
  <c r="BJ25" i="93"/>
  <c r="BA25" i="93"/>
  <c r="AU25" i="93"/>
  <c r="E26" i="93"/>
  <c r="I26" i="93"/>
  <c r="H26" i="93"/>
  <c r="F26" i="93"/>
  <c r="C26" i="93"/>
  <c r="B26" i="93" s="1"/>
  <c r="G26" i="93"/>
  <c r="D26" i="93"/>
  <c r="A27" i="93"/>
  <c r="AT25" i="93"/>
  <c r="BI25" i="93"/>
  <c r="AZ25" i="93"/>
  <c r="AW25" i="93"/>
  <c r="BB25" i="93"/>
  <c r="AY25" i="93"/>
  <c r="BK25" i="93"/>
  <c r="AV25" i="93"/>
  <c r="BG25" i="93" l="1"/>
  <c r="BD25" i="93" s="1"/>
  <c r="D27" i="93"/>
  <c r="H27" i="93"/>
  <c r="C27" i="93"/>
  <c r="B27" i="93" s="1"/>
  <c r="E27" i="93"/>
  <c r="I27" i="93"/>
  <c r="F27" i="93"/>
  <c r="G27" i="93"/>
  <c r="A28" i="93"/>
  <c r="A29" i="93" s="1"/>
  <c r="A30" i="93" s="1"/>
  <c r="AW26" i="93"/>
  <c r="BI26" i="93"/>
  <c r="AT26" i="93"/>
  <c r="AZ26" i="93"/>
  <c r="AV26" i="93"/>
  <c r="BB26" i="93"/>
  <c r="AY26" i="93"/>
  <c r="BK26" i="93"/>
  <c r="BA26" i="93"/>
  <c r="AX26" i="93"/>
  <c r="BJ26" i="93"/>
  <c r="AU26" i="93"/>
  <c r="C30" i="93" l="1"/>
  <c r="B30" i="93" s="1"/>
  <c r="E30" i="93"/>
  <c r="G30" i="93"/>
  <c r="I30" i="93"/>
  <c r="D30" i="93"/>
  <c r="F30" i="93"/>
  <c r="H30" i="93"/>
  <c r="A31" i="93"/>
  <c r="D29" i="93"/>
  <c r="C29" i="93"/>
  <c r="B29" i="93" s="1"/>
  <c r="E29" i="93"/>
  <c r="G29" i="93"/>
  <c r="I29" i="93"/>
  <c r="F29" i="93"/>
  <c r="H29" i="93"/>
  <c r="AU27" i="93"/>
  <c r="BA27" i="93"/>
  <c r="AX27" i="93"/>
  <c r="BJ27" i="93"/>
  <c r="AV27" i="93"/>
  <c r="AY27" i="93"/>
  <c r="BK27" i="93"/>
  <c r="BB27" i="93"/>
  <c r="C28" i="93"/>
  <c r="B28" i="93" s="1"/>
  <c r="G28" i="93"/>
  <c r="H28" i="93"/>
  <c r="F28" i="93"/>
  <c r="D28" i="93"/>
  <c r="I28" i="93"/>
  <c r="E28" i="93"/>
  <c r="BG26" i="93"/>
  <c r="AZ27" i="93"/>
  <c r="AW27" i="93"/>
  <c r="BI27" i="93"/>
  <c r="AT27" i="93"/>
  <c r="AU30" i="93" l="1"/>
  <c r="BA30" i="93"/>
  <c r="AX30" i="93"/>
  <c r="BJ30" i="93"/>
  <c r="AW30" i="93"/>
  <c r="BI30" i="93"/>
  <c r="AT30" i="93"/>
  <c r="AZ30" i="93"/>
  <c r="D31" i="93"/>
  <c r="F31" i="93"/>
  <c r="H31" i="93"/>
  <c r="C31" i="93"/>
  <c r="B31" i="93" s="1"/>
  <c r="G51" i="93" s="1"/>
  <c r="E31" i="93"/>
  <c r="G31" i="93"/>
  <c r="I31" i="93"/>
  <c r="AY30" i="93"/>
  <c r="BK30" i="93"/>
  <c r="AV30" i="93"/>
  <c r="BB30" i="93"/>
  <c r="AU29" i="93"/>
  <c r="BA29" i="93"/>
  <c r="AX29" i="93"/>
  <c r="BJ29" i="93"/>
  <c r="AY29" i="93"/>
  <c r="BK29" i="93"/>
  <c r="AV29" i="93"/>
  <c r="BB29" i="93"/>
  <c r="AT29" i="93"/>
  <c r="AZ29" i="93"/>
  <c r="AW29" i="93"/>
  <c r="BI29" i="93"/>
  <c r="BG27" i="93"/>
  <c r="BD27" i="93" s="1"/>
  <c r="BD26" i="93"/>
  <c r="AU28" i="93"/>
  <c r="AX28" i="93"/>
  <c r="BA28" i="93"/>
  <c r="BJ28" i="93"/>
  <c r="AY28" i="93"/>
  <c r="BK28" i="93"/>
  <c r="BB28" i="93"/>
  <c r="AV28" i="93"/>
  <c r="AT28" i="93"/>
  <c r="AZ28" i="93"/>
  <c r="AW28" i="93"/>
  <c r="BI28" i="93"/>
  <c r="AV31" i="93" l="1"/>
  <c r="AV33" i="93" s="1"/>
  <c r="AV46" i="93" s="1"/>
  <c r="BB31" i="93"/>
  <c r="BB33" i="93" s="1"/>
  <c r="BB46" i="93" s="1"/>
  <c r="AY31" i="93"/>
  <c r="AY33" i="93" s="1"/>
  <c r="AY46" i="93" s="1"/>
  <c r="BK31" i="93"/>
  <c r="BK33" i="93" s="1"/>
  <c r="BK46" i="93" s="1"/>
  <c r="AX31" i="93"/>
  <c r="AX33" i="93" s="1"/>
  <c r="AX46" i="93" s="1"/>
  <c r="BJ31" i="93"/>
  <c r="BJ33" i="93" s="1"/>
  <c r="BJ46" i="93" s="1"/>
  <c r="AU31" i="93"/>
  <c r="AU33" i="93" s="1"/>
  <c r="AU46" i="93" s="1"/>
  <c r="BA31" i="93"/>
  <c r="BA33" i="93" s="1"/>
  <c r="BA46" i="93" s="1"/>
  <c r="AT31" i="93"/>
  <c r="AT33" i="93" s="1"/>
  <c r="AT46" i="93" s="1"/>
  <c r="AZ31" i="93"/>
  <c r="AZ33" i="93" s="1"/>
  <c r="AZ46" i="93" s="1"/>
  <c r="AW31" i="93"/>
  <c r="AW33" i="93" s="1"/>
  <c r="AW46" i="93" s="1"/>
  <c r="BI31" i="93"/>
  <c r="G52" i="93"/>
  <c r="G65" i="93"/>
  <c r="G66" i="93" s="1"/>
  <c r="E65" i="93"/>
  <c r="E66" i="93" s="1"/>
  <c r="E51" i="93"/>
  <c r="G58" i="93"/>
  <c r="G59" i="93" s="1"/>
  <c r="E58" i="93"/>
  <c r="E59" i="93" s="1"/>
  <c r="F65" i="93"/>
  <c r="F66" i="93" s="1"/>
  <c r="BG28" i="93"/>
  <c r="F58" i="93"/>
  <c r="F59" i="93" s="1"/>
  <c r="F51" i="93"/>
  <c r="BD28" i="93" l="1"/>
  <c r="E52" i="93"/>
  <c r="G6" i="93"/>
  <c r="G7" i="93" s="1"/>
  <c r="I6" i="93"/>
  <c r="I7" i="93" s="1"/>
  <c r="F52" i="93"/>
  <c r="H6" i="93"/>
  <c r="H7" i="93" s="1"/>
  <c r="BI33" i="93"/>
  <c r="BI46" i="93" s="1"/>
  <c r="BC33" i="93" l="1"/>
  <c r="BC46" i="93" s="1"/>
  <c r="BF33" i="93"/>
  <c r="BF46" i="93" s="1"/>
  <c r="BG33" i="93"/>
  <c r="BG46" i="93" s="1"/>
  <c r="BD33" i="93"/>
  <c r="BD46" i="9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md9352</author>
    <author>anyUser</author>
  </authors>
  <commentList>
    <comment ref="B12" authorId="0" shapeId="0" xr:uid="{00000000-0006-0000-0300-000001000000}">
      <text>
        <r>
          <rPr>
            <b/>
            <sz val="8"/>
            <color indexed="81"/>
            <rFont val="Tahoma"/>
            <family val="2"/>
          </rPr>
          <t>md9352:</t>
        </r>
        <r>
          <rPr>
            <sz val="8"/>
            <color indexed="81"/>
            <rFont val="Tahoma"/>
            <family val="2"/>
          </rPr>
          <t xml:space="preserve">
Special - the second set in this will become the reference column for the routes tab since it needs to skip rows 
</t>
        </r>
      </text>
    </comment>
    <comment ref="X15" authorId="1" shapeId="0" xr:uid="{00000000-0006-0000-0300-000002000000}">
      <text>
        <r>
          <rPr>
            <sz val="8"/>
            <color indexed="81"/>
            <rFont val="Tahoma"/>
            <family val="2"/>
          </rPr>
          <t>Y = In Region
N = Not In Region
O = In Region but Out of Franchise</t>
        </r>
      </text>
    </comment>
    <comment ref="AC15" authorId="1" shapeId="0" xr:uid="{00000000-0006-0000-0300-000003000000}">
      <text>
        <r>
          <rPr>
            <sz val="8"/>
            <color indexed="81"/>
            <rFont val="Tahoma"/>
            <family val="2"/>
          </rPr>
          <t>autopopulated</t>
        </r>
      </text>
    </comment>
    <comment ref="BC15" authorId="1" shapeId="0" xr:uid="{00000000-0006-0000-0300-000004000000}">
      <text>
        <r>
          <rPr>
            <sz val="8"/>
            <color indexed="81"/>
            <rFont val="Tahoma"/>
            <family val="2"/>
          </rPr>
          <t xml:space="preserve"> (Specific Demarcation Point MUST be provided. Please use specifics such as room and/or floor number, location within room e.g. NE corner)</t>
        </r>
      </text>
    </comment>
    <comment ref="BL15" authorId="1" shapeId="0" xr:uid="{00000000-0006-0000-0300-000005000000}">
      <text>
        <r>
          <rPr>
            <sz val="8"/>
            <color indexed="81"/>
            <rFont val="Tahoma"/>
            <family val="2"/>
          </rPr>
          <t xml:space="preserve">If not turn key - select what should be included in quote.
</t>
        </r>
      </text>
    </comment>
    <comment ref="BM15" authorId="1" shapeId="0" xr:uid="{00000000-0006-0000-0300-000006000000}">
      <text>
        <r>
          <rPr>
            <sz val="8"/>
            <color indexed="81"/>
            <rFont val="Tahoma"/>
            <family val="2"/>
          </rPr>
          <t xml:space="preserve">If not turn key - select what should be included in quote.
</t>
        </r>
      </text>
    </comment>
    <comment ref="BN15" authorId="1" shapeId="0" xr:uid="{00000000-0006-0000-0300-000007000000}">
      <text>
        <r>
          <rPr>
            <sz val="8"/>
            <color indexed="81"/>
            <rFont val="Tahoma"/>
            <family val="2"/>
          </rPr>
          <t xml:space="preserve">If not turn key - select what should be included in quote.
</t>
        </r>
      </text>
    </comment>
    <comment ref="BO15" authorId="1" shapeId="0" xr:uid="{00000000-0006-0000-0300-000008000000}">
      <text>
        <r>
          <rPr>
            <sz val="8"/>
            <color indexed="81"/>
            <rFont val="Tahoma"/>
            <family val="2"/>
          </rPr>
          <t xml:space="preserve">If not turn key - select what should be included in quote.
</t>
        </r>
      </text>
    </comment>
    <comment ref="EB15" authorId="1" shapeId="0" xr:uid="{00000000-0006-0000-0300-000009000000}">
      <text>
        <r>
          <rPr>
            <sz val="8"/>
            <color indexed="81"/>
            <rFont val="Tahoma"/>
            <family val="2"/>
          </rPr>
          <t>Enter unique ID # (1..2..3..4 etc.)</t>
        </r>
      </text>
    </comment>
    <comment ref="EC15" authorId="1" shapeId="0" xr:uid="{00000000-0006-0000-0300-00000A000000}">
      <text>
        <r>
          <rPr>
            <sz val="8"/>
            <color indexed="81"/>
            <rFont val="Tahoma"/>
            <family val="2"/>
          </rPr>
          <t>Select copper or fiber</t>
        </r>
      </text>
    </comment>
    <comment ref="ED15" authorId="1" shapeId="0" xr:uid="{00000000-0006-0000-0300-00000B000000}">
      <text>
        <r>
          <rPr>
            <sz val="8"/>
            <color indexed="81"/>
            <rFont val="Tahoma"/>
            <family val="2"/>
          </rPr>
          <t>REQUIRED: Enter full customer address, including city, state, and ZIP</t>
        </r>
      </text>
    </comment>
    <comment ref="EI15" authorId="1" shapeId="0" xr:uid="{00000000-0006-0000-0300-00000C000000}">
      <text>
        <r>
          <rPr>
            <sz val="8"/>
            <color indexed="81"/>
            <rFont val="Tahoma"/>
            <family val="2"/>
          </rPr>
          <t>Enter 8-digit Customer/Loop CLLI code if available.  Leave blank if unknown</t>
        </r>
      </text>
    </comment>
    <comment ref="EJ15" authorId="1" shapeId="0" xr:uid="{00000000-0006-0000-0300-00000D000000}">
      <text>
        <r>
          <rPr>
            <sz val="8"/>
            <color indexed="81"/>
            <rFont val="Tahoma"/>
            <family val="2"/>
          </rPr>
          <t>REQUIRED: Enter SWC CLLI (8 character) from the OPT tool</t>
        </r>
      </text>
    </comment>
    <comment ref="EK15" authorId="1" shapeId="0" xr:uid="{00000000-0006-0000-0300-00000E000000}">
      <text>
        <r>
          <rPr>
            <sz val="8"/>
            <color indexed="81"/>
            <rFont val="Tahoma"/>
            <family val="2"/>
          </rPr>
          <t>autopopulated</t>
        </r>
      </text>
    </comment>
    <comment ref="EL15" authorId="1" shapeId="0" xr:uid="{00000000-0006-0000-0300-00000F000000}">
      <text>
        <r>
          <rPr>
            <sz val="8"/>
            <color indexed="81"/>
            <rFont val="Tahoma"/>
            <family val="2"/>
          </rPr>
          <t>REQUIRED: Enter loop distance in KILOFEET from the OPT tool</t>
        </r>
      </text>
    </comment>
    <comment ref="EM15" authorId="1" shapeId="0" xr:uid="{00000000-0006-0000-0300-000010000000}">
      <text>
        <r>
          <rPr>
            <sz val="8"/>
            <color indexed="81"/>
            <rFont val="Tahoma"/>
            <family val="2"/>
          </rPr>
          <t>autopopulated</t>
        </r>
      </text>
    </comment>
    <comment ref="EO15" authorId="1" shapeId="0" xr:uid="{00000000-0006-0000-0300-000011000000}">
      <text>
        <r>
          <rPr>
            <sz val="8"/>
            <color indexed="81"/>
            <rFont val="Tahoma"/>
            <family val="2"/>
          </rPr>
          <t>autopopulated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Steve Drew</author>
    <author>XPMUser</author>
  </authors>
  <commentList>
    <comment ref="C11" authorId="0" shapeId="0" xr:uid="{00000000-0006-0000-0500-000001000000}">
      <text>
        <r>
          <rPr>
            <b/>
            <sz val="9"/>
            <color indexed="81"/>
            <rFont val="Tahoma"/>
            <family val="2"/>
          </rPr>
          <t>Important - Valid Values:</t>
        </r>
        <r>
          <rPr>
            <sz val="9"/>
            <color indexed="81"/>
            <rFont val="Tahoma"/>
            <family val="2"/>
          </rPr>
          <t xml:space="preserve">
Do not enter invalid ROME number to get past this step.  Enter valid ROME ID # (and go to ATTUID entry cell)  or click Manual Entry instead.</t>
        </r>
      </text>
    </comment>
    <comment ref="H11" authorId="1" shapeId="0" xr:uid="{00000000-0006-0000-0500-000002000000}">
      <text>
        <r>
          <rPr>
            <b/>
            <sz val="8"/>
            <color indexed="81"/>
            <rFont val="Tahoma"/>
            <family val="2"/>
          </rPr>
          <t>Hint:</t>
        </r>
        <r>
          <rPr>
            <sz val="8"/>
            <color indexed="81"/>
            <rFont val="Tahoma"/>
            <family val="2"/>
          </rPr>
          <t xml:space="preserve">
Enter ATTUIDs to grant them rights to view and edit this deal.
No need to specify original deal creator or any ICB Pricers</t>
        </r>
      </text>
    </comment>
    <comment ref="C12" authorId="0" shapeId="0" xr:uid="{00000000-0006-0000-0500-000003000000}">
      <text>
        <r>
          <rPr>
            <b/>
            <sz val="9"/>
            <color indexed="81"/>
            <rFont val="Tahoma"/>
            <family val="2"/>
          </rPr>
          <t>Important - Valid Values:</t>
        </r>
        <r>
          <rPr>
            <sz val="9"/>
            <color indexed="81"/>
            <rFont val="Tahoma"/>
            <family val="2"/>
          </rPr>
          <t xml:space="preserve">
Do not enter invalid ATTUID to get past this step.  Enter a valid ATTUID assoicated with ROME ID (and click Find Deal In ROME), or click Manual Entry instead.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sp2156</author>
    <author>CDT User</author>
    <author>Windows XP Mode</author>
    <author>AT&amp;T</author>
  </authors>
  <commentList>
    <comment ref="B33" authorId="0" shapeId="0" xr:uid="{00000000-0006-0000-0700-000001000000}">
      <text>
        <r>
          <rPr>
            <b/>
            <sz val="8"/>
            <color indexed="81"/>
            <rFont val="Tahoma"/>
            <family val="2"/>
          </rPr>
          <t>List of all Telcom related Services customer contracts</t>
        </r>
      </text>
    </comment>
    <comment ref="C33" authorId="0" shapeId="0" xr:uid="{00000000-0006-0000-0700-000002000000}">
      <text>
        <r>
          <rPr>
            <b/>
            <sz val="8"/>
            <color indexed="81"/>
            <rFont val="Tahoma"/>
            <family val="2"/>
          </rPr>
          <t>Should include CUSTOMER's overall spend for the given Service</t>
        </r>
      </text>
    </comment>
    <comment ref="D33" authorId="0" shapeId="0" xr:uid="{00000000-0006-0000-0700-000003000000}">
      <text>
        <r>
          <rPr>
            <b/>
            <sz val="8"/>
            <color indexed="81"/>
            <rFont val="Tahoma"/>
            <family val="2"/>
          </rPr>
          <t>Should include CUSTOMER's overall spend with AT&amp;T for the given Service</t>
        </r>
      </text>
    </comment>
    <comment ref="E33" authorId="0" shapeId="0" xr:uid="{00000000-0006-0000-0700-000004000000}">
      <text>
        <r>
          <rPr>
            <b/>
            <sz val="8"/>
            <color indexed="81"/>
            <rFont val="Tahoma"/>
            <family val="2"/>
          </rPr>
          <t>Auto calculated field - Competitors spend</t>
        </r>
      </text>
    </comment>
    <comment ref="F33" authorId="0" shapeId="0" xr:uid="{00000000-0006-0000-0700-000005000000}">
      <text>
        <r>
          <rPr>
            <b/>
            <sz val="8"/>
            <color indexed="81"/>
            <rFont val="Tahoma"/>
            <family val="2"/>
          </rPr>
          <t>Auto calcuated field - % share of our competitors</t>
        </r>
      </text>
    </comment>
    <comment ref="F50" authorId="1" shapeId="0" xr:uid="{00000000-0006-0000-0700-000006000000}">
      <text>
        <r>
          <rPr>
            <sz val="9"/>
            <color indexed="81"/>
            <rFont val="Tahoma"/>
            <family val="2"/>
          </rPr>
          <t>Shadow revenue is revenue under contract but not under commitment</t>
        </r>
      </text>
    </comment>
    <comment ref="C65" authorId="1" shapeId="0" xr:uid="{00000000-0006-0000-0700-000007000000}">
      <text>
        <r>
          <rPr>
            <sz val="8"/>
            <color indexed="81"/>
            <rFont val="Tahoma"/>
            <family val="2"/>
          </rPr>
          <t xml:space="preserve">If service is brand new for the customer- specify "new service" for that service. 
</t>
        </r>
      </text>
    </comment>
    <comment ref="F68" authorId="0" shapeId="0" xr:uid="{00000000-0006-0000-0700-000008000000}">
      <text>
        <r>
          <rPr>
            <b/>
            <sz val="8"/>
            <color indexed="81"/>
            <rFont val="Tahoma"/>
            <family val="2"/>
          </rPr>
          <t>Provide if requested price is via Sales Authority or Custom Pricing</t>
        </r>
      </text>
    </comment>
    <comment ref="G68" authorId="2" shapeId="0" xr:uid="{00000000-0006-0000-0700-000009000000}">
      <text>
        <r>
          <rPr>
            <b/>
            <sz val="8"/>
            <color indexed="81"/>
            <rFont val="Tahoma"/>
            <family val="2"/>
          </rPr>
          <t xml:space="preserve"> (should be max sales authority for services where ICB Pricing is being requested)</t>
        </r>
        <r>
          <rPr>
            <sz val="8"/>
            <color indexed="81"/>
            <rFont val="Tahoma"/>
            <family val="2"/>
          </rPr>
          <t xml:space="preserve">
</t>
        </r>
      </text>
    </comment>
    <comment ref="H68" authorId="2" shapeId="0" xr:uid="{00000000-0006-0000-0700-00000A000000}">
      <text>
        <r>
          <rPr>
            <b/>
            <sz val="8"/>
            <color indexed="81"/>
            <rFont val="Tahoma"/>
            <family val="2"/>
          </rPr>
          <t>Windows XP Mode:</t>
        </r>
        <r>
          <rPr>
            <sz val="8"/>
            <color indexed="81"/>
            <rFont val="Tahoma"/>
            <family val="2"/>
          </rPr>
          <t xml:space="preserve">
 (should equal previous column if selling service at sales authority)
</t>
        </r>
      </text>
    </comment>
    <comment ref="H91" authorId="1" shapeId="0" xr:uid="{00000000-0006-0000-0700-00000B000000}">
      <text>
        <r>
          <rPr>
            <b/>
            <sz val="8"/>
            <color indexed="53"/>
            <rFont val="Tahoma"/>
            <family val="2"/>
          </rPr>
          <t>Should be bottom line target for total opportunity</t>
        </r>
        <r>
          <rPr>
            <sz val="8"/>
            <color indexed="81"/>
            <rFont val="Tahoma"/>
            <family val="2"/>
          </rPr>
          <t xml:space="preserve">
</t>
        </r>
      </text>
    </comment>
    <comment ref="E94" authorId="3" shapeId="0" xr:uid="{00000000-0006-0000-0700-00000C000000}">
      <text>
        <r>
          <rPr>
            <b/>
            <sz val="8"/>
            <color indexed="81"/>
            <rFont val="Tahoma"/>
            <family val="2"/>
          </rPr>
          <t>AT&amp;T:</t>
        </r>
        <r>
          <rPr>
            <sz val="8"/>
            <color indexed="81"/>
            <rFont val="Tahoma"/>
            <family val="2"/>
          </rPr>
          <t xml:space="preserve">
This means % of sites that have access provided by one of AT&amp;Ts RBOC companies. </t>
        </r>
      </text>
    </comment>
    <comment ref="B282" authorId="0" shapeId="0" xr:uid="{00000000-0006-0000-0700-00000D000000}">
      <text>
        <r>
          <rPr>
            <b/>
            <sz val="8"/>
            <color indexed="81"/>
            <rFont val="Tahoma"/>
            <family val="2"/>
          </rPr>
          <t>List of all Telcom related Services customer contracts</t>
        </r>
      </text>
    </comment>
    <comment ref="C282" authorId="0" shapeId="0" xr:uid="{00000000-0006-0000-0700-00000E000000}">
      <text>
        <r>
          <rPr>
            <b/>
            <sz val="8"/>
            <color indexed="81"/>
            <rFont val="Tahoma"/>
            <family val="2"/>
          </rPr>
          <t>Should include CUSTOMER's overall spend for the given Service</t>
        </r>
      </text>
    </comment>
    <comment ref="D282" authorId="0" shapeId="0" xr:uid="{00000000-0006-0000-0700-00000F000000}">
      <text>
        <r>
          <rPr>
            <b/>
            <sz val="8"/>
            <color indexed="81"/>
            <rFont val="Tahoma"/>
            <family val="2"/>
          </rPr>
          <t>Should include CUSTOMER's overall spend with AT&amp;T for the given Service</t>
        </r>
      </text>
    </comment>
    <comment ref="E282" authorId="0" shapeId="0" xr:uid="{00000000-0006-0000-0700-000010000000}">
      <text>
        <r>
          <rPr>
            <b/>
            <sz val="8"/>
            <color indexed="81"/>
            <rFont val="Tahoma"/>
            <family val="2"/>
          </rPr>
          <t>Auto calculated field - Competitors spend</t>
        </r>
      </text>
    </comment>
    <comment ref="F282" authorId="0" shapeId="0" xr:uid="{00000000-0006-0000-0700-000011000000}">
      <text>
        <r>
          <rPr>
            <b/>
            <sz val="8"/>
            <color indexed="81"/>
            <rFont val="Tahoma"/>
            <family val="2"/>
          </rPr>
          <t>Auto calcuated field - % share of our competitors</t>
        </r>
      </text>
    </comment>
    <comment ref="C314" authorId="1" shapeId="0" xr:uid="{00000000-0006-0000-0700-000012000000}">
      <text>
        <r>
          <rPr>
            <sz val="8"/>
            <color indexed="81"/>
            <rFont val="Tahoma"/>
            <family val="2"/>
          </rPr>
          <t xml:space="preserve">If service is brand new for the customer- specify "new service" for that service. 
</t>
        </r>
      </text>
    </comment>
    <comment ref="F317" authorId="0" shapeId="0" xr:uid="{00000000-0006-0000-0700-000013000000}">
      <text>
        <r>
          <rPr>
            <b/>
            <sz val="8"/>
            <color indexed="81"/>
            <rFont val="Tahoma"/>
            <family val="2"/>
          </rPr>
          <t>Provide if requested price is via Sales Authority or Custom Pricing</t>
        </r>
      </text>
    </comment>
    <comment ref="G317" authorId="2" shapeId="0" xr:uid="{00000000-0006-0000-0700-000014000000}">
      <text>
        <r>
          <rPr>
            <b/>
            <sz val="8"/>
            <color indexed="81"/>
            <rFont val="Tahoma"/>
            <family val="2"/>
          </rPr>
          <t xml:space="preserve"> (should be max sales authority for services where ICB Pricing is being requested)</t>
        </r>
        <r>
          <rPr>
            <sz val="8"/>
            <color indexed="81"/>
            <rFont val="Tahoma"/>
            <family val="2"/>
          </rPr>
          <t xml:space="preserve">
</t>
        </r>
      </text>
    </comment>
    <comment ref="H317" authorId="2" shapeId="0" xr:uid="{00000000-0006-0000-0700-000015000000}">
      <text>
        <r>
          <rPr>
            <b/>
            <sz val="8"/>
            <color indexed="81"/>
            <rFont val="Tahoma"/>
            <family val="2"/>
          </rPr>
          <t>Windows XP Mode:</t>
        </r>
        <r>
          <rPr>
            <sz val="8"/>
            <color indexed="81"/>
            <rFont val="Tahoma"/>
            <family val="2"/>
          </rPr>
          <t xml:space="preserve">
 (should equal previous column if selling service at sales authority)
</t>
        </r>
      </text>
    </comment>
    <comment ref="H340" authorId="1" shapeId="0" xr:uid="{00000000-0006-0000-0700-000016000000}">
      <text>
        <r>
          <rPr>
            <b/>
            <sz val="8"/>
            <color indexed="53"/>
            <rFont val="Tahoma"/>
            <family val="2"/>
          </rPr>
          <t>Should be bottom line target for total opportunity</t>
        </r>
        <r>
          <rPr>
            <sz val="8"/>
            <color indexed="81"/>
            <rFont val="Tahoma"/>
            <family val="2"/>
          </rPr>
          <t xml:space="preserve">
</t>
        </r>
      </text>
    </comment>
    <comment ref="E343" authorId="3" shapeId="0" xr:uid="{00000000-0006-0000-0700-000017000000}">
      <text>
        <r>
          <rPr>
            <b/>
            <sz val="8"/>
            <color indexed="81"/>
            <rFont val="Tahoma"/>
            <family val="2"/>
          </rPr>
          <t>AT&amp;T:</t>
        </r>
        <r>
          <rPr>
            <sz val="8"/>
            <color indexed="81"/>
            <rFont val="Tahoma"/>
            <family val="2"/>
          </rPr>
          <t xml:space="preserve">
This means % of sites that have access provided by one of AT&amp;Ts RBOC companies.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anyUser</author>
    <author>Windows XP Mode</author>
  </authors>
  <commentList>
    <comment ref="F5" authorId="0" shapeId="0" xr:uid="{00000000-0006-0000-0800-000001000000}">
      <text>
        <r>
          <rPr>
            <sz val="9"/>
            <color indexed="81"/>
            <rFont val="Tahoma"/>
            <family val="2"/>
          </rPr>
          <t>Enter marc data by affilliate starting on row 52</t>
        </r>
      </text>
    </comment>
    <comment ref="J12" authorId="1" shapeId="0" xr:uid="{00000000-0006-0000-0800-000002000000}">
      <text>
        <r>
          <rPr>
            <sz val="9"/>
            <color indexed="81"/>
            <rFont val="Tahoma"/>
            <family val="2"/>
          </rPr>
          <t>= Existing quantity * Existing Price</t>
        </r>
        <r>
          <rPr>
            <sz val="8"/>
            <color indexed="81"/>
            <rFont val="Tahoma"/>
            <family val="2"/>
          </rPr>
          <t xml:space="preserve">
</t>
        </r>
      </text>
    </comment>
    <comment ref="K12" authorId="1" shapeId="0" xr:uid="{00000000-0006-0000-0800-000003000000}">
      <text>
        <r>
          <rPr>
            <sz val="9"/>
            <color indexed="81"/>
            <rFont val="Tahoma"/>
            <family val="2"/>
          </rPr>
          <t xml:space="preserve">= Existing quantity * Existing Price
</t>
        </r>
      </text>
    </comment>
    <comment ref="L12" authorId="1" shapeId="0" xr:uid="{00000000-0006-0000-0800-000004000000}">
      <text>
        <r>
          <rPr>
            <sz val="9"/>
            <color indexed="81"/>
            <rFont val="Tahoma"/>
            <family val="2"/>
          </rPr>
          <t xml:space="preserve">= Existing quantity * Existing Price
</t>
        </r>
      </text>
    </comment>
    <comment ref="M12" authorId="1" shapeId="0" xr:uid="{00000000-0006-0000-0800-000005000000}">
      <text>
        <r>
          <rPr>
            <sz val="9"/>
            <color indexed="81"/>
            <rFont val="Tahoma"/>
            <family val="2"/>
          </rPr>
          <t>= Existing quantity * Requested Price</t>
        </r>
        <r>
          <rPr>
            <sz val="8"/>
            <color indexed="81"/>
            <rFont val="Tahoma"/>
            <family val="2"/>
          </rPr>
          <t xml:space="preserve">
</t>
        </r>
      </text>
    </comment>
    <comment ref="N12" authorId="1" shapeId="0" xr:uid="{00000000-0006-0000-0800-000006000000}">
      <text>
        <r>
          <rPr>
            <sz val="9"/>
            <color indexed="81"/>
            <rFont val="Tahoma"/>
            <family val="2"/>
          </rPr>
          <t>= Existing quantity * Requested Price</t>
        </r>
        <r>
          <rPr>
            <sz val="8"/>
            <color indexed="81"/>
            <rFont val="Tahoma"/>
            <family val="2"/>
          </rPr>
          <t xml:space="preserve">
</t>
        </r>
      </text>
    </comment>
    <comment ref="O12" authorId="1" shapeId="0" xr:uid="{00000000-0006-0000-0800-000007000000}">
      <text>
        <r>
          <rPr>
            <sz val="9"/>
            <color indexed="81"/>
            <rFont val="Tahoma"/>
            <family val="2"/>
          </rPr>
          <t>= Existing quantity * Requested Price</t>
        </r>
        <r>
          <rPr>
            <sz val="8"/>
            <color indexed="81"/>
            <rFont val="Tahoma"/>
            <family val="2"/>
          </rPr>
          <t xml:space="preserve">
</t>
        </r>
      </text>
    </comment>
    <comment ref="P12" authorId="1" shapeId="0" xr:uid="{00000000-0006-0000-0800-000008000000}">
      <text>
        <r>
          <rPr>
            <sz val="9"/>
            <color indexed="81"/>
            <rFont val="Tahoma"/>
            <family val="2"/>
          </rPr>
          <t>(Existing Quantity *
Current MRC) -
(Existing Quantity *
Requested MRC)</t>
        </r>
        <r>
          <rPr>
            <sz val="8"/>
            <color indexed="81"/>
            <rFont val="Tahoma"/>
            <family val="2"/>
          </rPr>
          <t xml:space="preserve">
</t>
        </r>
      </text>
    </comment>
    <comment ref="Q12" authorId="1" shapeId="0" xr:uid="{00000000-0006-0000-0800-000009000000}">
      <text>
        <r>
          <rPr>
            <sz val="9"/>
            <color indexed="81"/>
            <rFont val="Tahoma"/>
            <family val="2"/>
          </rPr>
          <t>(Existing Quantity *
Current MRC) -
(Existing Quantity *
Requested MRC)</t>
        </r>
        <r>
          <rPr>
            <sz val="8"/>
            <color indexed="81"/>
            <rFont val="Tahoma"/>
            <family val="2"/>
          </rPr>
          <t xml:space="preserve">
</t>
        </r>
      </text>
    </comment>
    <comment ref="R12" authorId="1" shapeId="0" xr:uid="{00000000-0006-0000-0800-00000A000000}">
      <text>
        <r>
          <rPr>
            <sz val="9"/>
            <color indexed="81"/>
            <rFont val="Tahoma"/>
            <family val="2"/>
          </rPr>
          <t>(Existing Quantity *
Current MRC) -
(Existing Quantity *
Requested MRC)</t>
        </r>
        <r>
          <rPr>
            <sz val="8"/>
            <color indexed="81"/>
            <rFont val="Tahoma"/>
            <family val="2"/>
          </rPr>
          <t xml:space="preserve">
</t>
        </r>
      </text>
    </comment>
    <comment ref="S12" authorId="1" shapeId="0" xr:uid="{00000000-0006-0000-0800-00000B000000}">
      <text>
        <r>
          <rPr>
            <sz val="8"/>
            <color indexed="81"/>
            <rFont val="Tahoma"/>
            <family val="2"/>
          </rPr>
          <t xml:space="preserve">New Quantity *
Requested MRC
</t>
        </r>
      </text>
    </comment>
    <comment ref="T12" authorId="1" shapeId="0" xr:uid="{00000000-0006-0000-0800-00000C000000}">
      <text>
        <r>
          <rPr>
            <sz val="8"/>
            <color indexed="81"/>
            <rFont val="Tahoma"/>
            <family val="2"/>
          </rPr>
          <t xml:space="preserve">New Quantity *
Requested MRC
</t>
        </r>
      </text>
    </comment>
    <comment ref="U12" authorId="1" shapeId="0" xr:uid="{00000000-0006-0000-0800-00000D000000}">
      <text>
        <r>
          <rPr>
            <sz val="8"/>
            <color indexed="81"/>
            <rFont val="Tahoma"/>
            <family val="2"/>
          </rPr>
          <t xml:space="preserve">New Quantity *
Requested MRC
</t>
        </r>
      </text>
    </comment>
    <comment ref="V12" authorId="1" shapeId="0" xr:uid="{00000000-0006-0000-0800-00000E000000}">
      <text>
        <r>
          <rPr>
            <sz val="9"/>
            <color indexed="81"/>
            <rFont val="Tahoma"/>
            <family val="2"/>
          </rPr>
          <t xml:space="preserve">New Revenue + 
Writedown  
or
(Total Quantity) *
Req MRC -
Existing Quantity *
Curr MRC
</t>
        </r>
      </text>
    </comment>
    <comment ref="W12" authorId="1" shapeId="0" xr:uid="{00000000-0006-0000-0800-00000F000000}">
      <text>
        <r>
          <rPr>
            <sz val="9"/>
            <color indexed="81"/>
            <rFont val="Tahoma"/>
            <family val="2"/>
          </rPr>
          <t xml:space="preserve">New Revenue + 
Writedown  
or
(Total Quantity) *
Req MRC -
Existing Quantity *
Curr MRC
</t>
        </r>
      </text>
    </comment>
    <comment ref="X12" authorId="1" shapeId="0" xr:uid="{00000000-0006-0000-0800-000010000000}">
      <text>
        <r>
          <rPr>
            <sz val="9"/>
            <color indexed="81"/>
            <rFont val="Tahoma"/>
            <family val="2"/>
          </rPr>
          <t xml:space="preserve">New Revenue + 
Writedown  
or
(Total Quantity) *
Req MRC -
Existing Quantity *
Curr MRC
</t>
        </r>
      </text>
    </comment>
    <comment ref="Y12" authorId="1" shapeId="0" xr:uid="{00000000-0006-0000-0800-000011000000}">
      <text>
        <r>
          <rPr>
            <sz val="9"/>
            <color indexed="81"/>
            <rFont val="Tahoma"/>
            <family val="2"/>
          </rPr>
          <t>(Existing Quantity + New Quantity) * 
Request Price</t>
        </r>
        <r>
          <rPr>
            <sz val="8"/>
            <color indexed="81"/>
            <rFont val="Tahoma"/>
            <family val="2"/>
          </rPr>
          <t xml:space="preserve">
</t>
        </r>
      </text>
    </comment>
    <comment ref="Z12" authorId="1" shapeId="0" xr:uid="{00000000-0006-0000-0800-000012000000}">
      <text>
        <r>
          <rPr>
            <sz val="9"/>
            <color indexed="81"/>
            <rFont val="Tahoma"/>
            <family val="2"/>
          </rPr>
          <t>(Existing Quantity + New Quantity) * 
Request Price</t>
        </r>
        <r>
          <rPr>
            <sz val="8"/>
            <color indexed="81"/>
            <rFont val="Tahoma"/>
            <family val="2"/>
          </rPr>
          <t xml:space="preserve">
</t>
        </r>
      </text>
    </comment>
    <comment ref="AA12" authorId="1" shapeId="0" xr:uid="{00000000-0006-0000-0800-000013000000}">
      <text>
        <r>
          <rPr>
            <sz val="9"/>
            <color indexed="81"/>
            <rFont val="Tahoma"/>
            <family val="2"/>
          </rPr>
          <t>(Existing Quantity + New Quantity) * 
Request Price</t>
        </r>
        <r>
          <rPr>
            <sz val="8"/>
            <color indexed="81"/>
            <rFont val="Tahoma"/>
            <family val="2"/>
          </rPr>
          <t xml:space="preserve">
</t>
        </r>
      </text>
    </comment>
    <comment ref="AB12" authorId="1" shapeId="0" xr:uid="{00000000-0006-0000-0800-000014000000}">
      <text>
        <r>
          <rPr>
            <sz val="9"/>
            <color indexed="81"/>
            <rFont val="Tahoma"/>
            <family val="2"/>
          </rPr>
          <t>= Existing quantity * Existing Price</t>
        </r>
        <r>
          <rPr>
            <sz val="8"/>
            <color indexed="81"/>
            <rFont val="Tahoma"/>
            <family val="2"/>
          </rPr>
          <t xml:space="preserve">
</t>
        </r>
      </text>
    </comment>
    <comment ref="AC12" authorId="1" shapeId="0" xr:uid="{00000000-0006-0000-0800-000015000000}">
      <text>
        <r>
          <rPr>
            <sz val="9"/>
            <color indexed="81"/>
            <rFont val="Tahoma"/>
            <family val="2"/>
          </rPr>
          <t xml:space="preserve">= Existing quantity * Existing Price
</t>
        </r>
      </text>
    </comment>
    <comment ref="AD12" authorId="1" shapeId="0" xr:uid="{00000000-0006-0000-0800-000016000000}">
      <text>
        <r>
          <rPr>
            <sz val="9"/>
            <color indexed="81"/>
            <rFont val="Tahoma"/>
            <family val="2"/>
          </rPr>
          <t xml:space="preserve">= Existing quantity * Existing Price
</t>
        </r>
      </text>
    </comment>
    <comment ref="AE12" authorId="1" shapeId="0" xr:uid="{00000000-0006-0000-0800-000017000000}">
      <text>
        <r>
          <rPr>
            <sz val="9"/>
            <color indexed="81"/>
            <rFont val="Tahoma"/>
            <family val="2"/>
          </rPr>
          <t>= Existing quantity * Requested Price</t>
        </r>
        <r>
          <rPr>
            <sz val="8"/>
            <color indexed="81"/>
            <rFont val="Tahoma"/>
            <family val="2"/>
          </rPr>
          <t xml:space="preserve">
</t>
        </r>
      </text>
    </comment>
    <comment ref="AF12" authorId="1" shapeId="0" xr:uid="{00000000-0006-0000-0800-000018000000}">
      <text>
        <r>
          <rPr>
            <sz val="9"/>
            <color indexed="81"/>
            <rFont val="Tahoma"/>
            <family val="2"/>
          </rPr>
          <t>= Existing quantity * Requested Price</t>
        </r>
        <r>
          <rPr>
            <sz val="8"/>
            <color indexed="81"/>
            <rFont val="Tahoma"/>
            <family val="2"/>
          </rPr>
          <t xml:space="preserve">
</t>
        </r>
      </text>
    </comment>
    <comment ref="AG12" authorId="1" shapeId="0" xr:uid="{00000000-0006-0000-0800-000019000000}">
      <text>
        <r>
          <rPr>
            <sz val="9"/>
            <color indexed="81"/>
            <rFont val="Tahoma"/>
            <family val="2"/>
          </rPr>
          <t>= Existing quantity * Requested Price</t>
        </r>
        <r>
          <rPr>
            <sz val="8"/>
            <color indexed="81"/>
            <rFont val="Tahoma"/>
            <family val="2"/>
          </rPr>
          <t xml:space="preserve">
</t>
        </r>
      </text>
    </comment>
    <comment ref="AH12" authorId="1" shapeId="0" xr:uid="{00000000-0006-0000-0800-00001A000000}">
      <text>
        <r>
          <rPr>
            <sz val="9"/>
            <color indexed="81"/>
            <rFont val="Tahoma"/>
            <family val="2"/>
          </rPr>
          <t>(Existing Quantity *
Current MRC) -
(Existing Quantity *
Requested MRC)</t>
        </r>
        <r>
          <rPr>
            <sz val="8"/>
            <color indexed="81"/>
            <rFont val="Tahoma"/>
            <family val="2"/>
          </rPr>
          <t xml:space="preserve">
</t>
        </r>
      </text>
    </comment>
    <comment ref="AI12" authorId="1" shapeId="0" xr:uid="{00000000-0006-0000-0800-00001B000000}">
      <text>
        <r>
          <rPr>
            <sz val="9"/>
            <color indexed="81"/>
            <rFont val="Tahoma"/>
            <family val="2"/>
          </rPr>
          <t>(Existing Quantity *
Current MRC) -
(Existing Quantity *
Requested MRC)</t>
        </r>
        <r>
          <rPr>
            <sz val="8"/>
            <color indexed="81"/>
            <rFont val="Tahoma"/>
            <family val="2"/>
          </rPr>
          <t xml:space="preserve">
</t>
        </r>
      </text>
    </comment>
    <comment ref="AJ12" authorId="1" shapeId="0" xr:uid="{00000000-0006-0000-0800-00001C000000}">
      <text>
        <r>
          <rPr>
            <sz val="9"/>
            <color indexed="81"/>
            <rFont val="Tahoma"/>
            <family val="2"/>
          </rPr>
          <t>(Existing Quantity *
Current MRC) -
(Existing Quantity *
Requested MRC)</t>
        </r>
        <r>
          <rPr>
            <sz val="8"/>
            <color indexed="81"/>
            <rFont val="Tahoma"/>
            <family val="2"/>
          </rPr>
          <t xml:space="preserve">
</t>
        </r>
      </text>
    </comment>
    <comment ref="AK12" authorId="1" shapeId="0" xr:uid="{00000000-0006-0000-0800-00001D000000}">
      <text>
        <r>
          <rPr>
            <sz val="8"/>
            <color indexed="81"/>
            <rFont val="Tahoma"/>
            <family val="2"/>
          </rPr>
          <t xml:space="preserve">New Quantity *
Requested MRC
</t>
        </r>
      </text>
    </comment>
    <comment ref="AL12" authorId="1" shapeId="0" xr:uid="{00000000-0006-0000-0800-00001E000000}">
      <text>
        <r>
          <rPr>
            <sz val="8"/>
            <color indexed="81"/>
            <rFont val="Tahoma"/>
            <family val="2"/>
          </rPr>
          <t xml:space="preserve">New Quantity *
Requested MRC
</t>
        </r>
      </text>
    </comment>
    <comment ref="AM12" authorId="1" shapeId="0" xr:uid="{00000000-0006-0000-0800-00001F000000}">
      <text>
        <r>
          <rPr>
            <sz val="8"/>
            <color indexed="81"/>
            <rFont val="Tahoma"/>
            <family val="2"/>
          </rPr>
          <t xml:space="preserve">New Quantity *
Requested MRC
</t>
        </r>
      </text>
    </comment>
    <comment ref="AN12" authorId="1" shapeId="0" xr:uid="{00000000-0006-0000-0800-000020000000}">
      <text>
        <r>
          <rPr>
            <sz val="9"/>
            <color indexed="81"/>
            <rFont val="Tahoma"/>
            <family val="2"/>
          </rPr>
          <t xml:space="preserve">New Revenue + 
Writedown  
or
(Total Quantity) *
Req MRC -
Existing Quantity *
Curr MRC
</t>
        </r>
      </text>
    </comment>
    <comment ref="AO12" authorId="1" shapeId="0" xr:uid="{00000000-0006-0000-0800-000021000000}">
      <text>
        <r>
          <rPr>
            <sz val="9"/>
            <color indexed="81"/>
            <rFont val="Tahoma"/>
            <family val="2"/>
          </rPr>
          <t xml:space="preserve">New Revenue + 
Writedown  
or
(Total Quantity) *
Req MRC -
Existing Quantity *
Curr MRC
</t>
        </r>
      </text>
    </comment>
    <comment ref="AP12" authorId="1" shapeId="0" xr:uid="{00000000-0006-0000-0800-000022000000}">
      <text>
        <r>
          <rPr>
            <sz val="9"/>
            <color indexed="81"/>
            <rFont val="Tahoma"/>
            <family val="2"/>
          </rPr>
          <t xml:space="preserve">New Revenue + 
Writedown  
or
(Total Quantity) *
Req MRC -
Existing Quantity *
Curr MRC
</t>
        </r>
      </text>
    </comment>
    <comment ref="AQ12" authorId="1" shapeId="0" xr:uid="{00000000-0006-0000-0800-000023000000}">
      <text>
        <r>
          <rPr>
            <sz val="9"/>
            <color indexed="81"/>
            <rFont val="Tahoma"/>
            <family val="2"/>
          </rPr>
          <t>(Existing Quantity + New Quantity) * 
Request Price</t>
        </r>
        <r>
          <rPr>
            <sz val="8"/>
            <color indexed="81"/>
            <rFont val="Tahoma"/>
            <family val="2"/>
          </rPr>
          <t xml:space="preserve">
</t>
        </r>
      </text>
    </comment>
    <comment ref="AR12" authorId="1" shapeId="0" xr:uid="{00000000-0006-0000-0800-000024000000}">
      <text>
        <r>
          <rPr>
            <sz val="9"/>
            <color indexed="81"/>
            <rFont val="Tahoma"/>
            <family val="2"/>
          </rPr>
          <t>(Existing Quantity + New Quantity) * 
Request Price</t>
        </r>
        <r>
          <rPr>
            <sz val="8"/>
            <color indexed="81"/>
            <rFont val="Tahoma"/>
            <family val="2"/>
          </rPr>
          <t xml:space="preserve">
</t>
        </r>
      </text>
    </comment>
    <comment ref="AS12" authorId="1" shapeId="0" xr:uid="{00000000-0006-0000-0800-000025000000}">
      <text>
        <r>
          <rPr>
            <sz val="9"/>
            <color indexed="81"/>
            <rFont val="Tahoma"/>
            <family val="2"/>
          </rPr>
          <t>(Existing Quantity + New Quantity) * 
Request Price</t>
        </r>
        <r>
          <rPr>
            <sz val="8"/>
            <color indexed="81"/>
            <rFont val="Tahoma"/>
            <family val="2"/>
          </rPr>
          <t xml:space="preserve">
</t>
        </r>
      </text>
    </comment>
    <comment ref="AT12" authorId="1" shapeId="0" xr:uid="{00000000-0006-0000-0800-000026000000}">
      <text>
        <r>
          <rPr>
            <sz val="9"/>
            <color indexed="81"/>
            <rFont val="Tahoma"/>
            <family val="2"/>
          </rPr>
          <t>= Existing quantity * Existing Price</t>
        </r>
        <r>
          <rPr>
            <sz val="8"/>
            <color indexed="81"/>
            <rFont val="Tahoma"/>
            <family val="2"/>
          </rPr>
          <t xml:space="preserve">
</t>
        </r>
      </text>
    </comment>
    <comment ref="AU12" authorId="1" shapeId="0" xr:uid="{00000000-0006-0000-0800-000027000000}">
      <text>
        <r>
          <rPr>
            <sz val="9"/>
            <color indexed="81"/>
            <rFont val="Tahoma"/>
            <family val="2"/>
          </rPr>
          <t xml:space="preserve">= Existing quantity * Existing Price
</t>
        </r>
      </text>
    </comment>
    <comment ref="AV12" authorId="1" shapeId="0" xr:uid="{00000000-0006-0000-0800-000028000000}">
      <text>
        <r>
          <rPr>
            <sz val="9"/>
            <color indexed="81"/>
            <rFont val="Tahoma"/>
            <family val="2"/>
          </rPr>
          <t xml:space="preserve">= Existing quantity * Existing Price
</t>
        </r>
      </text>
    </comment>
    <comment ref="AW12" authorId="1" shapeId="0" xr:uid="{00000000-0006-0000-0800-000029000000}">
      <text>
        <r>
          <rPr>
            <sz val="9"/>
            <color indexed="81"/>
            <rFont val="Tahoma"/>
            <family val="2"/>
          </rPr>
          <t>= Existing quantity * Requested Price</t>
        </r>
        <r>
          <rPr>
            <sz val="8"/>
            <color indexed="81"/>
            <rFont val="Tahoma"/>
            <family val="2"/>
          </rPr>
          <t xml:space="preserve">
</t>
        </r>
      </text>
    </comment>
    <comment ref="AX12" authorId="1" shapeId="0" xr:uid="{00000000-0006-0000-0800-00002A000000}">
      <text>
        <r>
          <rPr>
            <sz val="9"/>
            <color indexed="81"/>
            <rFont val="Tahoma"/>
            <family val="2"/>
          </rPr>
          <t>= Existing quantity * Requested Price</t>
        </r>
        <r>
          <rPr>
            <sz val="8"/>
            <color indexed="81"/>
            <rFont val="Tahoma"/>
            <family val="2"/>
          </rPr>
          <t xml:space="preserve">
</t>
        </r>
      </text>
    </comment>
    <comment ref="AY12" authorId="1" shapeId="0" xr:uid="{00000000-0006-0000-0800-00002B000000}">
      <text>
        <r>
          <rPr>
            <sz val="9"/>
            <color indexed="81"/>
            <rFont val="Tahoma"/>
            <family val="2"/>
          </rPr>
          <t>= Existing quantity * Requested Price</t>
        </r>
        <r>
          <rPr>
            <sz val="8"/>
            <color indexed="81"/>
            <rFont val="Tahoma"/>
            <family val="2"/>
          </rPr>
          <t xml:space="preserve">
</t>
        </r>
      </text>
    </comment>
    <comment ref="AZ12" authorId="1" shapeId="0" xr:uid="{00000000-0006-0000-0800-00002C000000}">
      <text>
        <r>
          <rPr>
            <sz val="9"/>
            <color indexed="81"/>
            <rFont val="Tahoma"/>
            <family val="2"/>
          </rPr>
          <t>(Existing Quantity *
Current MRC) -
(Existing Quantity *
Requested MRC)</t>
        </r>
        <r>
          <rPr>
            <sz val="8"/>
            <color indexed="81"/>
            <rFont val="Tahoma"/>
            <family val="2"/>
          </rPr>
          <t xml:space="preserve">
</t>
        </r>
      </text>
    </comment>
    <comment ref="BA12" authorId="1" shapeId="0" xr:uid="{00000000-0006-0000-0800-00002D000000}">
      <text>
        <r>
          <rPr>
            <sz val="9"/>
            <color indexed="81"/>
            <rFont val="Tahoma"/>
            <family val="2"/>
          </rPr>
          <t>(Existing Quantity *
Current MRC) -
(Existing Quantity *
Requested MRC)</t>
        </r>
        <r>
          <rPr>
            <sz val="8"/>
            <color indexed="81"/>
            <rFont val="Tahoma"/>
            <family val="2"/>
          </rPr>
          <t xml:space="preserve">
</t>
        </r>
      </text>
    </comment>
    <comment ref="BB12" authorId="1" shapeId="0" xr:uid="{00000000-0006-0000-0800-00002E000000}">
      <text>
        <r>
          <rPr>
            <sz val="9"/>
            <color indexed="81"/>
            <rFont val="Tahoma"/>
            <family val="2"/>
          </rPr>
          <t>(Existing Quantity *
Current MRC) -
(Existing Quantity *
Requested MRC)</t>
        </r>
        <r>
          <rPr>
            <sz val="8"/>
            <color indexed="81"/>
            <rFont val="Tahoma"/>
            <family val="2"/>
          </rPr>
          <t xml:space="preserve">
</t>
        </r>
      </text>
    </comment>
    <comment ref="BC12" authorId="1" shapeId="0" xr:uid="{00000000-0006-0000-0800-00002F000000}">
      <text>
        <r>
          <rPr>
            <sz val="8"/>
            <color indexed="81"/>
            <rFont val="Tahoma"/>
            <family val="2"/>
          </rPr>
          <t xml:space="preserve">New Quantity *
Requested MRC
</t>
        </r>
      </text>
    </comment>
    <comment ref="BD12" authorId="1" shapeId="0" xr:uid="{00000000-0006-0000-0800-000030000000}">
      <text>
        <r>
          <rPr>
            <sz val="8"/>
            <color indexed="81"/>
            <rFont val="Tahoma"/>
            <family val="2"/>
          </rPr>
          <t xml:space="preserve">New Quantity *
Requested MRC
</t>
        </r>
      </text>
    </comment>
    <comment ref="BE12" authorId="1" shapeId="0" xr:uid="{00000000-0006-0000-0800-000031000000}">
      <text>
        <r>
          <rPr>
            <sz val="8"/>
            <color indexed="81"/>
            <rFont val="Tahoma"/>
            <family val="2"/>
          </rPr>
          <t xml:space="preserve">New Quantity *
Requested MRC
</t>
        </r>
      </text>
    </comment>
    <comment ref="BF12" authorId="1" shapeId="0" xr:uid="{00000000-0006-0000-0800-000032000000}">
      <text>
        <r>
          <rPr>
            <sz val="9"/>
            <color indexed="81"/>
            <rFont val="Tahoma"/>
            <family val="2"/>
          </rPr>
          <t xml:space="preserve">New Revenue + 
Writedown  
or
(Total Quantity) *
Req MRC -
Existing Quantity *
Curr MRC
</t>
        </r>
      </text>
    </comment>
    <comment ref="BG12" authorId="1" shapeId="0" xr:uid="{00000000-0006-0000-0800-000033000000}">
      <text>
        <r>
          <rPr>
            <sz val="9"/>
            <color indexed="81"/>
            <rFont val="Tahoma"/>
            <family val="2"/>
          </rPr>
          <t xml:space="preserve">New Revenue + 
Writedown  
or
(Total Quantity) *
Req MRC -
Existing Quantity *
Curr MRC
</t>
        </r>
      </text>
    </comment>
    <comment ref="BH12" authorId="1" shapeId="0" xr:uid="{00000000-0006-0000-0800-000034000000}">
      <text>
        <r>
          <rPr>
            <sz val="9"/>
            <color indexed="81"/>
            <rFont val="Tahoma"/>
            <family val="2"/>
          </rPr>
          <t xml:space="preserve">New Revenue + 
Writedown  
or
(Total Quantity) *
Req MRC -
Existing Quantity *
Curr MRC
</t>
        </r>
      </text>
    </comment>
    <comment ref="BI12" authorId="1" shapeId="0" xr:uid="{00000000-0006-0000-0800-000035000000}">
      <text>
        <r>
          <rPr>
            <sz val="9"/>
            <color indexed="81"/>
            <rFont val="Tahoma"/>
            <family val="2"/>
          </rPr>
          <t>(Existing Quantity + New Quantity) * 
Request Price</t>
        </r>
        <r>
          <rPr>
            <sz val="8"/>
            <color indexed="81"/>
            <rFont val="Tahoma"/>
            <family val="2"/>
          </rPr>
          <t xml:space="preserve">
</t>
        </r>
      </text>
    </comment>
    <comment ref="BJ12" authorId="1" shapeId="0" xr:uid="{00000000-0006-0000-0800-000036000000}">
      <text>
        <r>
          <rPr>
            <sz val="9"/>
            <color indexed="81"/>
            <rFont val="Tahoma"/>
            <family val="2"/>
          </rPr>
          <t>(Existing Quantity + New Quantity) * 
Request Price</t>
        </r>
        <r>
          <rPr>
            <sz val="8"/>
            <color indexed="81"/>
            <rFont val="Tahoma"/>
            <family val="2"/>
          </rPr>
          <t xml:space="preserve">
</t>
        </r>
      </text>
    </comment>
    <comment ref="BK12" authorId="1" shapeId="0" xr:uid="{00000000-0006-0000-0800-000037000000}">
      <text>
        <r>
          <rPr>
            <sz val="9"/>
            <color indexed="81"/>
            <rFont val="Tahoma"/>
            <family val="2"/>
          </rPr>
          <t>(Existing Quantity + New Quantity) * 
Request Price</t>
        </r>
        <r>
          <rPr>
            <sz val="8"/>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VELOTAS, CATHY S (ATTOPS)</author>
    <author>Krzysztof Rybak</author>
  </authors>
  <commentList>
    <comment ref="D8" authorId="0" shapeId="0" xr:uid="{00000000-0006-0000-0900-000001000000}">
      <text>
        <r>
          <rPr>
            <sz val="8"/>
            <color indexed="81"/>
            <rFont val="Tahoma"/>
            <family val="2"/>
          </rPr>
          <t>A write-down of revenue should be reflected with a negative number; a increase in revenue will be a positive number.
Comes from product_summary tab.</t>
        </r>
      </text>
    </comment>
    <comment ref="E10" authorId="1" shapeId="0" xr:uid="{00000000-0006-0000-0900-000002000000}">
      <text>
        <r>
          <rPr>
            <b/>
            <sz val="8"/>
            <color indexed="81"/>
            <rFont val="Tahoma"/>
            <family val="2"/>
          </rPr>
          <t>Information pulled from the Customer Opportunity tab, cell D45.  Update value there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sd1843</author>
  </authors>
  <commentList>
    <comment ref="W1" authorId="0" shapeId="0" xr:uid="{00000000-0006-0000-1200-000001000000}">
      <text>
        <r>
          <rPr>
            <b/>
            <sz val="8"/>
            <color indexed="81"/>
            <rFont val="Tahoma"/>
            <family val="2"/>
          </rPr>
          <t>sd1843:</t>
        </r>
        <r>
          <rPr>
            <sz val="8"/>
            <color indexed="81"/>
            <rFont val="Tahoma"/>
            <family val="2"/>
          </rPr>
          <t xml:space="preserve">
Sets flag on product tabs that indicate list rate management of the standard prices.  This allows pricers to copy the list rate managed prices to the standard price column of input tab of model to price from there.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kr1794</author>
  </authors>
  <commentList>
    <comment ref="C12" authorId="0" shapeId="0" xr:uid="{00000000-0006-0000-1300-000001000000}">
      <text>
        <r>
          <rPr>
            <sz val="8"/>
            <color indexed="81"/>
            <rFont val="Tahoma"/>
            <family val="2"/>
          </rPr>
          <t>Select subproduct</t>
        </r>
      </text>
    </comment>
    <comment ref="D12" authorId="0" shapeId="0" xr:uid="{00000000-0006-0000-1300-000002000000}">
      <text>
        <r>
          <rPr>
            <sz val="8"/>
            <color indexed="81"/>
            <rFont val="Tahoma"/>
            <family val="2"/>
          </rPr>
          <t>Select subproduct</t>
        </r>
      </text>
    </comment>
    <comment ref="E12" authorId="0" shapeId="0" xr:uid="{00000000-0006-0000-1300-000003000000}">
      <text>
        <r>
          <rPr>
            <sz val="8"/>
            <color indexed="81"/>
            <rFont val="Tahoma"/>
            <family val="2"/>
          </rPr>
          <t>Select subproduct</t>
        </r>
      </text>
    </comment>
    <comment ref="F12" authorId="0" shapeId="0" xr:uid="{00000000-0006-0000-1300-000004000000}">
      <text>
        <r>
          <rPr>
            <sz val="8"/>
            <color indexed="81"/>
            <rFont val="Tahoma"/>
            <family val="2"/>
          </rPr>
          <t>Select subproduct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Krzysztof Rybak</author>
  </authors>
  <commentList>
    <comment ref="A4" authorId="0" shapeId="0" xr:uid="{00000000-0006-0000-1A00-000001000000}">
      <text>
        <r>
          <rPr>
            <sz val="9"/>
            <color indexed="81"/>
            <rFont val="Tahoma"/>
            <family val="2"/>
          </rPr>
          <t>Table Downloaded: 8/20/2018 7:55:18 PM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CDT User</author>
  </authors>
  <commentList>
    <comment ref="B15" authorId="0" shapeId="0" xr:uid="{00000000-0006-0000-1D00-000001000000}">
      <text>
        <r>
          <rPr>
            <sz val="8"/>
            <color indexed="81"/>
            <rFont val="Tahoma"/>
            <family val="2"/>
          </rPr>
          <t xml:space="preserve">Input Services in your package in the applicable section- Baseline Sales Authority, Promo, Custom or other. See Excel note in each section for more detail. </t>
        </r>
      </text>
    </comment>
    <comment ref="E15" authorId="0" shapeId="0" xr:uid="{00000000-0006-0000-1D00-000002000000}">
      <text>
        <r>
          <rPr>
            <sz val="8"/>
            <color indexed="81"/>
            <rFont val="Tahoma"/>
            <family val="2"/>
          </rPr>
          <t xml:space="preserve">Enter current annual revenue if service is with AT&amp;T today. </t>
        </r>
        <r>
          <rPr>
            <b/>
            <sz val="8"/>
            <color indexed="81"/>
            <rFont val="Tahoma"/>
            <family val="2"/>
          </rPr>
          <t xml:space="preserve">Include access revenue with the service. </t>
        </r>
        <r>
          <rPr>
            <sz val="8"/>
            <color indexed="81"/>
            <rFont val="Tahoma"/>
            <family val="2"/>
          </rPr>
          <t xml:space="preserve">
</t>
        </r>
      </text>
    </comment>
    <comment ref="V15" authorId="0" shapeId="0" xr:uid="{00000000-0006-0000-1D00-000003000000}">
      <text>
        <r>
          <rPr>
            <sz val="8"/>
            <color indexed="81"/>
            <rFont val="Tahoma"/>
            <family val="2"/>
          </rPr>
          <t xml:space="preserve">This is the credit amount by service that sales is requesting to include in the contract. Cannot exceed max approved amount by service. </t>
        </r>
      </text>
    </comment>
  </commentList>
</comments>
</file>

<file path=xl/sharedStrings.xml><?xml version="1.0" encoding="utf-8"?>
<sst xmlns="http://schemas.openxmlformats.org/spreadsheetml/2006/main" count="29722" uniqueCount="12831">
  <si>
    <t>sJurisdiction</t>
  </si>
  <si>
    <t>First</t>
  </si>
  <si>
    <t>Version:</t>
  </si>
  <si>
    <t>Vannatta, Kevin</t>
  </si>
  <si>
    <t>GA</t>
  </si>
  <si>
    <t>Federal</t>
  </si>
  <si>
    <t>Std Term</t>
  </si>
  <si>
    <t>Offset</t>
  </si>
  <si>
    <t>MTM</t>
  </si>
  <si>
    <t>12 month</t>
  </si>
  <si>
    <t>24 month</t>
  </si>
  <si>
    <t>36 month</t>
  </si>
  <si>
    <t>60 month</t>
  </si>
  <si>
    <t>120 month</t>
  </si>
  <si>
    <t>Vertical</t>
  </si>
  <si>
    <t>md9352</t>
  </si>
  <si>
    <t>Added code and sheets for NSS POC - Opt-E-Man AC</t>
  </si>
  <si>
    <t>Li, Sainti</t>
  </si>
  <si>
    <t>What is Customer's Current Annual Spend with legacy BLS?</t>
  </si>
  <si>
    <t>received date</t>
  </si>
  <si>
    <t>New</t>
  </si>
  <si>
    <t>Value to Look for</t>
  </si>
  <si>
    <t>Look in</t>
  </si>
  <si>
    <t>Y</t>
  </si>
  <si>
    <t>SOAPSTRING:</t>
  </si>
  <si>
    <t>Wirkus, Bernard</t>
  </si>
  <si>
    <t>Connerty, Kimberley</t>
  </si>
  <si>
    <t>UT</t>
  </si>
  <si>
    <t>Version Saved as</t>
  </si>
  <si>
    <t>Version Released</t>
  </si>
  <si>
    <t>Date</t>
  </si>
  <si>
    <t>Who</t>
  </si>
  <si>
    <t>What</t>
  </si>
  <si>
    <t>Vandierendonck, Dominiek</t>
  </si>
  <si>
    <t>Verdolivo, Karren</t>
  </si>
  <si>
    <t>Wallace, Bob</t>
  </si>
  <si>
    <t>Weber, Russ</t>
  </si>
  <si>
    <t>Westover, Kathleen</t>
  </si>
  <si>
    <t>Most Likely</t>
  </si>
  <si>
    <t>Year</t>
  </si>
  <si>
    <t>Dunn, Robert</t>
  </si>
  <si>
    <t>OfferId</t>
  </si>
  <si>
    <t>Depth</t>
  </si>
  <si>
    <t>1-8WRYZ8 Solution #1</t>
  </si>
  <si>
    <t>Open</t>
  </si>
  <si>
    <t>Service</t>
  </si>
  <si>
    <t>Connection</t>
  </si>
  <si>
    <t>Caspar, Jelane</t>
  </si>
  <si>
    <t>NY</t>
  </si>
  <si>
    <t>Balden, Melia</t>
  </si>
  <si>
    <t>What is Customer's Current Annual Spend with legacy SBC?</t>
  </si>
  <si>
    <t>Indicate current customer billing platforms:</t>
  </si>
  <si>
    <t xml:space="preserve">How would you rate our strength of relationship/ prior service record with this customer? </t>
  </si>
  <si>
    <t>Mulherrin, Robert</t>
  </si>
  <si>
    <t>CA</t>
  </si>
  <si>
    <t>Allen, Maryann</t>
  </si>
  <si>
    <t>CO</t>
  </si>
  <si>
    <t>CT</t>
  </si>
  <si>
    <t>Friedel, Erik</t>
  </si>
  <si>
    <t>Server Name</t>
  </si>
  <si>
    <t>Alternate / Primary Input</t>
  </si>
  <si>
    <t>Customer</t>
  </si>
  <si>
    <t>Oppty Name</t>
  </si>
  <si>
    <t>SDG</t>
  </si>
  <si>
    <t>Put in fixes so ims2 work directory will be created correcly for those who have a D Drive.</t>
  </si>
  <si>
    <t>net rate unit adjustment, currency functionality</t>
  </si>
  <si>
    <t>Saved as version 3/30/2010 for release.  No code changes added. Released with Model and Landing Pad updates.</t>
  </si>
  <si>
    <t>Product Number</t>
  </si>
  <si>
    <t>address~Address1</t>
  </si>
  <si>
    <t>address2~*skip*</t>
  </si>
  <si>
    <t>zip~Zip</t>
  </si>
  <si>
    <t>data~ADTRANCLLI</t>
  </si>
  <si>
    <t>data~Copper Availability</t>
  </si>
  <si>
    <t>data~Fiber Availability</t>
  </si>
  <si>
    <t>data~Fiber Construction</t>
  </si>
  <si>
    <t>Sites~Site</t>
  </si>
  <si>
    <t>Sites~Address 1</t>
  </si>
  <si>
    <t>Sites~Address 2</t>
  </si>
  <si>
    <t>Sites~City</t>
  </si>
  <si>
    <t>Sites~State (US)</t>
  </si>
  <si>
    <t>Sites~Postal / ZIP Code</t>
  </si>
  <si>
    <t>Sites~LATA Code</t>
  </si>
  <si>
    <t>Sites~Telecode or
NPA NXX</t>
  </si>
  <si>
    <t>Due Date</t>
  </si>
  <si>
    <t>Port~Port Connection</t>
  </si>
  <si>
    <t>Port~CIR</t>
  </si>
  <si>
    <t>Port~Circuit ID</t>
  </si>
  <si>
    <t>IMS 2 Field Names: Must be contiguous and in order of upload stored procedure</t>
  </si>
  <si>
    <t>iLocID</t>
  </si>
  <si>
    <t>sRequiredBandwidth</t>
  </si>
  <si>
    <t>sAddress1</t>
  </si>
  <si>
    <t>sAddress2</t>
  </si>
  <si>
    <t>sRoomNumber</t>
  </si>
  <si>
    <t>sCity</t>
  </si>
  <si>
    <t>sState</t>
  </si>
  <si>
    <t>sZip</t>
  </si>
  <si>
    <t>sContactName</t>
  </si>
  <si>
    <t>sContactPhone</t>
  </si>
  <si>
    <t>sTurnKey</t>
  </si>
  <si>
    <t>sConduitTerminationDesc</t>
  </si>
  <si>
    <t>sConduitPLtoPOE</t>
  </si>
  <si>
    <t>sBuildingCoreDrilling</t>
  </si>
  <si>
    <t>sConduitPOEtoDemarc</t>
  </si>
  <si>
    <t>sBackboard</t>
  </si>
  <si>
    <t>iLataCode</t>
  </si>
  <si>
    <t>sNPANXX</t>
  </si>
  <si>
    <t>sCustomer_CLLI</t>
  </si>
  <si>
    <t>sSWC_CLLI</t>
  </si>
  <si>
    <t>iAccessLoopMileage</t>
  </si>
  <si>
    <t>iIOFMileage</t>
  </si>
  <si>
    <t>sIPAG_CLLI</t>
  </si>
  <si>
    <t>sDiffIpagSwitch</t>
  </si>
  <si>
    <t>sADTRAN_CLLI</t>
  </si>
  <si>
    <t>dCRDD</t>
  </si>
  <si>
    <t>sInputInterface</t>
  </si>
  <si>
    <t>iPairs</t>
  </si>
  <si>
    <t>sCopperAvail</t>
  </si>
  <si>
    <t>sFiberAvail</t>
  </si>
  <si>
    <t>sFiberConstruction</t>
  </si>
  <si>
    <t>sErrorCode</t>
  </si>
  <si>
    <t>sErrorText</t>
  </si>
  <si>
    <t>sROTN</t>
  </si>
  <si>
    <t>sAltSWCRequested</t>
  </si>
  <si>
    <t>sAdvanceAccessFailover</t>
  </si>
  <si>
    <t>sDropPortProtection</t>
  </si>
  <si>
    <t>sPortConnection</t>
  </si>
  <si>
    <t>sCIR</t>
  </si>
  <si>
    <t>sCoSProfile</t>
  </si>
  <si>
    <t>sCircuitID</t>
  </si>
  <si>
    <t>sSalesComments</t>
  </si>
  <si>
    <t>Location ID</t>
  </si>
  <si>
    <t>Ecrm Site ID</t>
  </si>
  <si>
    <t>Location Address</t>
  </si>
  <si>
    <t>Location Address Part 2</t>
  </si>
  <si>
    <t>Room Number</t>
  </si>
  <si>
    <t>City</t>
  </si>
  <si>
    <t>State</t>
  </si>
  <si>
    <t>Zip Code</t>
  </si>
  <si>
    <t>On Site Customer Contact Name</t>
  </si>
  <si>
    <t>On Site Contact Phone Number</t>
  </si>
  <si>
    <t>Turn Key?</t>
  </si>
  <si>
    <t>Customer conduit termination location description</t>
  </si>
  <si>
    <t>Conduit P/L to POE</t>
  </si>
  <si>
    <t>Building core drilling - wall penetration</t>
  </si>
  <si>
    <t>Conduit POE to demarc</t>
  </si>
  <si>
    <t>Back-board</t>
  </si>
  <si>
    <t>Lata</t>
  </si>
  <si>
    <t>NPA NXX</t>
  </si>
  <si>
    <t>Customer Loc/Loop CLLI (8-11 character)</t>
  </si>
  <si>
    <t>SWC CLLI</t>
  </si>
  <si>
    <t>IOF Mileage</t>
  </si>
  <si>
    <t>IPAG CLLI</t>
  </si>
  <si>
    <t>Different IPAG Switch?</t>
  </si>
  <si>
    <t>ADTRAN CLLI</t>
  </si>
  <si>
    <t>CRDD</t>
  </si>
  <si>
    <t>Input Interface</t>
  </si>
  <si>
    <t>Copper Available?</t>
  </si>
  <si>
    <t>Fiber Available?</t>
  </si>
  <si>
    <t>Fiber Construction</t>
  </si>
  <si>
    <t>Error Code</t>
  </si>
  <si>
    <t>Error Text</t>
  </si>
  <si>
    <t>Route other than normal</t>
  </si>
  <si>
    <t>Alternate SWC Requested?</t>
  </si>
  <si>
    <t>Advance Access Failover?</t>
  </si>
  <si>
    <t>Drop Port Protection?</t>
  </si>
  <si>
    <t>Port Connection Speed</t>
  </si>
  <si>
    <t>COS Profile</t>
  </si>
  <si>
    <t>Circuit ID</t>
  </si>
  <si>
    <t>Sales Comments</t>
  </si>
  <si>
    <t>Cust Loc Address</t>
  </si>
  <si>
    <t>Address 2</t>
  </si>
  <si>
    <t>Optional: Customer CLLI (8 char)</t>
  </si>
  <si>
    <t>WPriceTelco - Wholesale</t>
  </si>
  <si>
    <t>Spina, Richard</t>
  </si>
  <si>
    <t>Stephenson, Robert</t>
  </si>
  <si>
    <t>Stoll, Susan</t>
  </si>
  <si>
    <t>Stulga, Edward</t>
  </si>
  <si>
    <t>Taylor, Steven</t>
  </si>
  <si>
    <t>Thetford, Pat</t>
  </si>
  <si>
    <t>Wright, Nathalie</t>
  </si>
  <si>
    <t>Youell, Bill</t>
  </si>
  <si>
    <t>Younani, Marina</t>
  </si>
  <si>
    <t>Zauner, Michael</t>
  </si>
  <si>
    <t>Zuest, Mike</t>
  </si>
  <si>
    <t>VA</t>
  </si>
  <si>
    <t>WA</t>
  </si>
  <si>
    <t>WV</t>
  </si>
  <si>
    <t>WY</t>
  </si>
  <si>
    <t>Kathmann, Joachim</t>
  </si>
  <si>
    <t>Thompson, Mark</t>
  </si>
  <si>
    <t>OH</t>
  </si>
  <si>
    <t>NH</t>
  </si>
  <si>
    <t>Warbinton, Craig</t>
  </si>
  <si>
    <t>NJ</t>
  </si>
  <si>
    <t>NSS Complete?</t>
  </si>
  <si>
    <t>Lazarus, Timothy</t>
  </si>
  <si>
    <t>SC</t>
  </si>
  <si>
    <t>Currency Code</t>
  </si>
  <si>
    <t>Peacock, Cheryl</t>
  </si>
  <si>
    <t>LD</t>
  </si>
  <si>
    <t>Telco</t>
  </si>
  <si>
    <t>Scenarios</t>
  </si>
  <si>
    <t>soapLastName</t>
  </si>
  <si>
    <t>The fields below exist but need translations before they are turned on:</t>
  </si>
  <si>
    <t>ICB-PS Case #</t>
  </si>
  <si>
    <t>SAMS Case #</t>
  </si>
  <si>
    <t>CPIP (Federal) Case #</t>
  </si>
  <si>
    <t>Base (Wireless) Case #</t>
  </si>
  <si>
    <t>Other (Wireless) Case #</t>
  </si>
  <si>
    <t>Select Other Sales Tracking</t>
  </si>
  <si>
    <t>rl8136</t>
  </si>
  <si>
    <t>48 month</t>
  </si>
  <si>
    <t>48 MRC</t>
  </si>
  <si>
    <t>48 NRC</t>
  </si>
  <si>
    <t>Express Tests</t>
  </si>
  <si>
    <t>Horizontal</t>
  </si>
  <si>
    <t>Yoakum, Jeffrey</t>
  </si>
  <si>
    <t>Shelgren, James</t>
  </si>
  <si>
    <t>Galyon, Keith</t>
  </si>
  <si>
    <t>Handabaka, Thomas</t>
  </si>
  <si>
    <t>Hartmeyer, Bailey</t>
  </si>
  <si>
    <t>Harvey, Thomas</t>
  </si>
  <si>
    <t>Heard, Tom</t>
  </si>
  <si>
    <t>Henry, Michael</t>
  </si>
  <si>
    <t>Hensman, Brian</t>
  </si>
  <si>
    <t>Castro, Elizabeth</t>
  </si>
  <si>
    <t>OK</t>
  </si>
  <si>
    <t>OR</t>
  </si>
  <si>
    <t>Wireless</t>
  </si>
  <si>
    <t>Congo, Christopher</t>
  </si>
  <si>
    <t>Opportunity Type</t>
  </si>
  <si>
    <t>Select System Case</t>
  </si>
  <si>
    <t>ICB-PS Request #</t>
  </si>
  <si>
    <t>SAMS Request #</t>
  </si>
  <si>
    <t>CPIP (Federal) Request #</t>
  </si>
  <si>
    <t>Base (Wireless) Request #</t>
  </si>
  <si>
    <t>Other (Wireless) Request #</t>
  </si>
  <si>
    <t>Morgan, Shelia</t>
  </si>
  <si>
    <t>Terms for each Scenario (in months)</t>
  </si>
  <si>
    <t>Products</t>
  </si>
  <si>
    <t>Jurisdiction</t>
  </si>
  <si>
    <t>Action</t>
  </si>
  <si>
    <t>add/replace</t>
  </si>
  <si>
    <t>Req Rec S2</t>
  </si>
  <si>
    <t>Req NonRec S2</t>
  </si>
  <si>
    <t>WI</t>
  </si>
  <si>
    <t>State:</t>
  </si>
  <si>
    <t>Reidy, William</t>
  </si>
  <si>
    <t>Williams, Victor</t>
  </si>
  <si>
    <t>Q1 New</t>
  </si>
  <si>
    <t>Q1 Exist</t>
  </si>
  <si>
    <t>Q2 New</t>
  </si>
  <si>
    <t>Q2 Exist</t>
  </si>
  <si>
    <t>TOTALS:</t>
  </si>
  <si>
    <t>LittleProdName</t>
  </si>
  <si>
    <t>HI</t>
  </si>
  <si>
    <t>Bell, Vickie</t>
  </si>
  <si>
    <t>Baker, John</t>
  </si>
  <si>
    <t>IA</t>
  </si>
  <si>
    <t>Blake, Roger</t>
  </si>
  <si>
    <t>ICB Identification</t>
  </si>
  <si>
    <t>Foreign Currency</t>
  </si>
  <si>
    <t>Conversion Rate CUR_USD</t>
  </si>
  <si>
    <t>CR In Effect</t>
  </si>
  <si>
    <t>Matson, Thom</t>
  </si>
  <si>
    <t>McCarthy, John</t>
  </si>
  <si>
    <t>McCormick, Nancy</t>
  </si>
  <si>
    <t>McFerran, Mark</t>
  </si>
  <si>
    <t>McGirr, Owen</t>
  </si>
  <si>
    <t>McGuigan, Linda</t>
  </si>
  <si>
    <t>Mckenna, Michael</t>
  </si>
  <si>
    <t>Mcmillan, Michael</t>
  </si>
  <si>
    <t>Merritt, Paul</t>
  </si>
  <si>
    <t>Meyers, Alice</t>
  </si>
  <si>
    <t>Minato, Norihiko</t>
  </si>
  <si>
    <t>Morikis, Nick</t>
  </si>
  <si>
    <t>Mulder, Bill</t>
  </si>
  <si>
    <t>Newman, Larry</t>
  </si>
  <si>
    <t>Newsom, R L</t>
  </si>
  <si>
    <t>Noell, Dan</t>
  </si>
  <si>
    <t>Owens, Kelly</t>
  </si>
  <si>
    <t>Painting, Jeffrey</t>
  </si>
  <si>
    <t>Papp, Margo</t>
  </si>
  <si>
    <t>Semerene, Javier</t>
  </si>
  <si>
    <t>State/Biller</t>
  </si>
  <si>
    <t>Adams, John</t>
  </si>
  <si>
    <t>Brown, Caitlin</t>
  </si>
  <si>
    <t>MT</t>
  </si>
  <si>
    <t>Reynes, Tad</t>
  </si>
  <si>
    <t>NC</t>
  </si>
  <si>
    <t>Schuller, Joe</t>
  </si>
  <si>
    <t>XML Tag</t>
  </si>
  <si>
    <t>Processing/Lookups</t>
  </si>
  <si>
    <t>Index</t>
  </si>
  <si>
    <t>NM</t>
  </si>
  <si>
    <t>Somavilla-Castro, Ivan</t>
  </si>
  <si>
    <t>PR</t>
  </si>
  <si>
    <t>Tucker, Patricia</t>
  </si>
  <si>
    <t>Tumbleson, Larry</t>
  </si>
  <si>
    <t>Menning, Shauna</t>
  </si>
  <si>
    <t>ComponentType</t>
  </si>
  <si>
    <t>2009-06-09T00:00:00.000Z</t>
  </si>
  <si>
    <t>OfferInstanceId</t>
  </si>
  <si>
    <t>OfferName</t>
  </si>
  <si>
    <t>Standalone AT&amp;T Managed Internet Service</t>
  </si>
  <si>
    <t>SolutionId</t>
  </si>
  <si>
    <t>SolutionName</t>
  </si>
  <si>
    <t>SolutionStatus</t>
  </si>
  <si>
    <t>SolutionStatusDate</t>
  </si>
  <si>
    <t>Barry, John</t>
  </si>
  <si>
    <t>KY</t>
  </si>
  <si>
    <t>LA</t>
  </si>
  <si>
    <t>MFNs that may apply</t>
  </si>
  <si>
    <t>Affiliate</t>
  </si>
  <si>
    <t>Segment</t>
  </si>
  <si>
    <t>Sales Channel</t>
  </si>
  <si>
    <t>Requested Due Date</t>
  </si>
  <si>
    <t>BU</t>
  </si>
  <si>
    <t>Sales State</t>
  </si>
  <si>
    <t>Account Executive</t>
  </si>
  <si>
    <t>Tariff</t>
  </si>
  <si>
    <t>House Bill</t>
  </si>
  <si>
    <t>Scenario 2</t>
  </si>
  <si>
    <t>TOTAL New Credit Value ($)</t>
  </si>
  <si>
    <t>Awarded Annually over # of Years</t>
  </si>
  <si>
    <t>Fixed Environ() issue. Converted Mid() function to Mid$() for slight performance improvement.</t>
  </si>
  <si>
    <t>Removed Common Dialog component for broader platform support.</t>
  </si>
  <si>
    <t>Saved as 1/14 to be released with Model update.</t>
  </si>
  <si>
    <t>Saved as 1/15 to be released with ICB Online screen update in the Model.  No updates were made to the CDT.</t>
  </si>
  <si>
    <t>Saved as 1/18 version to release with Model that was fixed for R110 ST (ESSE_2010_02) defect ticket #16457.  Added R110 ST environment wsdl URLs in comments for SOAP functionality to house all possible URL options.</t>
  </si>
  <si>
    <t>Saved as 1/21 version that will be released with Landing Pad changes for EVPN product defining and update to AVTS for MR995.</t>
  </si>
  <si>
    <t>Added 2 DoEvent calls in ClearClipboard function in clsClipBoard to free up system resources.  Was causing an object not found error for some users.</t>
  </si>
  <si>
    <t>Updated version to 1/25.  No new code added.</t>
  </si>
  <si>
    <t>Updated to version 1/27 to be released with Model Online changes and Landing Pad updates for EVPN and AVPN.  No code changes added.</t>
  </si>
  <si>
    <t>Saved as 2/2/2010 version to be released with Model and Landing Pad updates.  No code changes added.</t>
  </si>
  <si>
    <t>kr1794
sd1843</t>
  </si>
  <si>
    <t xml:space="preserve">Added fix for international access stadard rates and currency formatting for manual input prices. </t>
  </si>
  <si>
    <t>Updated logs with Cambridge changes and compiled VB code.  No code updates made.</t>
  </si>
  <si>
    <t>Added error handling/DoEvents code to the clsClipboard.ClearClipboard() method.</t>
  </si>
  <si>
    <t>Saved as version 2/10/2010 and released to production.  No new code changes added on this iteration.</t>
  </si>
  <si>
    <t>Macher, Susan</t>
  </si>
  <si>
    <t>Mensching, Charles</t>
  </si>
  <si>
    <t>Updated "FreezeProductHeaders" in module "rlrl8136_boltons" with code provided by Mike Sippo on protection step - now allows the user to adjust column widths.  File compiled.</t>
  </si>
  <si>
    <t>Updated updateDealData module, lines 431-432 to remove impact of apostrophy in customer's name.</t>
  </si>
  <si>
    <t>Merged Federal IOC (GetFIOCBand) in the Calcs_Function module.  Merged getAccessRegionVTNS subroutine in the Calcs_Functions module.  Compiled VB code.</t>
  </si>
  <si>
    <t>SAART AGID#</t>
  </si>
  <si>
    <t>vlImsThresholds</t>
  </si>
  <si>
    <t>sThreshold</t>
  </si>
  <si>
    <t>Strahl, Stephanie</t>
  </si>
  <si>
    <t>ABN Migrations and Grandfathered Products</t>
  </si>
  <si>
    <t>Controlled Introductions/No Pricing Available</t>
  </si>
  <si>
    <t>GovEd</t>
  </si>
  <si>
    <t>Added writedown fields on step1, added SAART number and min threshold lines on step 0.</t>
  </si>
  <si>
    <t>reset version date, reset cbTimeRemaining field name to G17 on the customer opportunity tab for online support.</t>
  </si>
  <si>
    <t>SCVP Approved</t>
  </si>
  <si>
    <t>OBryan, Joseph</t>
  </si>
  <si>
    <t>OSullivan, Paul</t>
  </si>
  <si>
    <t>kr1794</t>
  </si>
  <si>
    <t>Req Rec S3</t>
  </si>
  <si>
    <t>Req NonRec S3</t>
  </si>
  <si>
    <t>Std Rec Price S2</t>
  </si>
  <si>
    <t>Std NonRec Price S2</t>
  </si>
  <si>
    <t>Req Rec Disc S2</t>
  </si>
  <si>
    <t>Req NonRec Disc S2</t>
  </si>
  <si>
    <t>Yes</t>
  </si>
  <si>
    <t>No</t>
  </si>
  <si>
    <t>Sanford, Dave</t>
  </si>
  <si>
    <t>Santangelo, Vicky</t>
  </si>
  <si>
    <t>Sapp, William</t>
  </si>
  <si>
    <t>Scherer, Mary</t>
  </si>
  <si>
    <t>Schwandt, Bob</t>
  </si>
  <si>
    <t>Schwartz, Stacy</t>
  </si>
  <si>
    <t>Ball, Jennifer</t>
  </si>
  <si>
    <t>IL</t>
  </si>
  <si>
    <t>LittleProdIDs:</t>
  </si>
  <si>
    <t>Header</t>
  </si>
  <si>
    <t>Cross, David</t>
  </si>
  <si>
    <t>Bhagat, Sanjiv</t>
  </si>
  <si>
    <t>Index Lookup</t>
  </si>
  <si>
    <t>Key</t>
  </si>
  <si>
    <t>0 MRC</t>
  </si>
  <si>
    <t>0 NRC</t>
  </si>
  <si>
    <t>12 MRC</t>
  </si>
  <si>
    <t>12 NRC</t>
  </si>
  <si>
    <t>24 MRC</t>
  </si>
  <si>
    <t>24 NRC</t>
  </si>
  <si>
    <t>36 MRC</t>
  </si>
  <si>
    <t>36 NRC</t>
  </si>
  <si>
    <t>Last Offer Rec</t>
  </si>
  <si>
    <t>Last Offer NonRec</t>
  </si>
  <si>
    <t>60 MRC</t>
  </si>
  <si>
    <t>60 NRC</t>
  </si>
  <si>
    <t>120 MRC</t>
  </si>
  <si>
    <t>120 NRC</t>
  </si>
  <si>
    <t>Wilson, Jack</t>
  </si>
  <si>
    <t>Name / Description</t>
  </si>
  <si>
    <t>Info from eCRM?</t>
  </si>
  <si>
    <t>Farinelli, Eduardo</t>
  </si>
  <si>
    <t>Spears, Rick</t>
  </si>
  <si>
    <t>Lye Choo, Hock</t>
  </si>
  <si>
    <t>Miller, Kurt</t>
  </si>
  <si>
    <t>Monacelli, Fred</t>
  </si>
  <si>
    <t>Murphy, Sean</t>
  </si>
  <si>
    <t>Newton, Andrew</t>
  </si>
  <si>
    <t>Ostermann, Bradley</t>
  </si>
  <si>
    <t>Williams, Marilynn</t>
  </si>
  <si>
    <t>FEDGEM</t>
  </si>
  <si>
    <t>PriceTelco</t>
  </si>
  <si>
    <t>Swift, Matt</t>
  </si>
  <si>
    <t>Mosbaugh, Edwin</t>
  </si>
  <si>
    <t>Gustafson, Jeannie</t>
  </si>
  <si>
    <t>Kane, Russ</t>
  </si>
  <si>
    <t>Fox, Gina</t>
  </si>
  <si>
    <t>Denapoli, Charles</t>
  </si>
  <si>
    <t>Desimone, David</t>
  </si>
  <si>
    <t>Dieckhoner, Craig</t>
  </si>
  <si>
    <t>Step 0 Errors and Omissions</t>
  </si>
  <si>
    <t>Deal Description</t>
  </si>
  <si>
    <t>Expedited?</t>
  </si>
  <si>
    <t>Pfannes, John</t>
  </si>
  <si>
    <t>Phillips, Jim</t>
  </si>
  <si>
    <t>Picard, Steven</t>
  </si>
  <si>
    <t>Pieper, Frank</t>
  </si>
  <si>
    <t>Plutt, Steven</t>
  </si>
  <si>
    <t>Porter, Russ</t>
  </si>
  <si>
    <t>Quinones, Rick</t>
  </si>
  <si>
    <t>Radner, Todd</t>
  </si>
  <si>
    <t>Rao, Sarita</t>
  </si>
  <si>
    <t>Reay, Patrick</t>
  </si>
  <si>
    <t>Rhodes, Rusty</t>
  </si>
  <si>
    <t>Roberts, Stephen</t>
  </si>
  <si>
    <t>Rogers, Linda</t>
  </si>
  <si>
    <t>Ronan, Joe</t>
  </si>
  <si>
    <t>Rooney, Margaret</t>
  </si>
  <si>
    <t>Ross, Phil</t>
  </si>
  <si>
    <t>Rothweiler, Robert</t>
  </si>
  <si>
    <t>Roy, Chris</t>
  </si>
  <si>
    <t>Ruiz, Susan</t>
  </si>
  <si>
    <t>Rutherford, Angela</t>
  </si>
  <si>
    <t>Ryan, John</t>
  </si>
  <si>
    <t>Premier</t>
  </si>
  <si>
    <t>Jurisdiction:</t>
  </si>
  <si>
    <t>Product Demand Tab</t>
  </si>
  <si>
    <t>TopProdID</t>
  </si>
  <si>
    <t>DC</t>
  </si>
  <si>
    <t>Anderson, Rebecca</t>
  </si>
  <si>
    <t>DE</t>
  </si>
  <si>
    <t>Pinney, Selby</t>
  </si>
  <si>
    <t>FL</t>
  </si>
  <si>
    <t>Rotatori, Ann</t>
  </si>
  <si>
    <t>Kremer, Kevin</t>
  </si>
  <si>
    <t>Prol-sexton, Consuelo</t>
  </si>
  <si>
    <t>Roberts, Peter</t>
  </si>
  <si>
    <t>Roberts, Randy</t>
  </si>
  <si>
    <t>Rogers, James</t>
  </si>
  <si>
    <t>Rosa, Robert</t>
  </si>
  <si>
    <t>Seaver, Dave</t>
  </si>
  <si>
    <t>Sheehan, Robert</t>
  </si>
  <si>
    <t>Slater, Maureen</t>
  </si>
  <si>
    <t>Smaha, Cathy</t>
  </si>
  <si>
    <t>Tashima, Steven</t>
  </si>
  <si>
    <t>Tiedeman, Renate</t>
  </si>
  <si>
    <t>Tribby, Lowell</t>
  </si>
  <si>
    <t>Walsh, Tim</t>
  </si>
  <si>
    <t>White, Jon</t>
  </si>
  <si>
    <t>MD</t>
  </si>
  <si>
    <t>Z Old</t>
  </si>
  <si>
    <t>Roberts, Joseph</t>
  </si>
  <si>
    <t>Henderson, Lisa</t>
  </si>
  <si>
    <t>Schwarz, Ann</t>
  </si>
  <si>
    <t>Shank, Rich</t>
  </si>
  <si>
    <t>Shaw, Arquelle</t>
  </si>
  <si>
    <t>Shaw, Rich</t>
  </si>
  <si>
    <t>Shaw, Steve</t>
  </si>
  <si>
    <t>eRate</t>
  </si>
  <si>
    <t>Competitor</t>
  </si>
  <si>
    <t xml:space="preserve">Competitive Price </t>
  </si>
  <si>
    <t>Product</t>
  </si>
  <si>
    <t>Version</t>
  </si>
  <si>
    <t># of Scenarios</t>
  </si>
  <si>
    <t>ND</t>
  </si>
  <si>
    <t>Wholesale</t>
  </si>
  <si>
    <t>AL</t>
  </si>
  <si>
    <t>sKey</t>
  </si>
  <si>
    <t>sSalesChannel</t>
  </si>
  <si>
    <t>sBu</t>
  </si>
  <si>
    <t>sSalesVp</t>
  </si>
  <si>
    <t>PA</t>
  </si>
  <si>
    <t>Chow, Kuang</t>
  </si>
  <si>
    <t>RI</t>
  </si>
  <si>
    <t>Wellinger, Jon</t>
  </si>
  <si>
    <t>Diggs, Terri</t>
  </si>
  <si>
    <t>IN</t>
  </si>
  <si>
    <t>Barber, Diane</t>
  </si>
  <si>
    <t>KS</t>
  </si>
  <si>
    <t>Hoier, Eric</t>
  </si>
  <si>
    <t>Set Headers</t>
  </si>
  <si>
    <t>Float</t>
  </si>
  <si>
    <t>Neal, Gail</t>
  </si>
  <si>
    <t>Juhlin, Anders</t>
  </si>
  <si>
    <t>What is Customer's Current Annual Mobility Spend?</t>
  </si>
  <si>
    <t>What is Customer's Current Annual Mobility Spend with AT&amp;T?</t>
  </si>
  <si>
    <t>Pangborn, Reed</t>
  </si>
  <si>
    <t>2007-10-11T00:00:00-05:00</t>
  </si>
  <si>
    <t>Step 0 Range Name</t>
  </si>
  <si>
    <t>Craft, John</t>
  </si>
  <si>
    <t>dDueDate</t>
  </si>
  <si>
    <t>Carter, Craig</t>
  </si>
  <si>
    <t>NV</t>
  </si>
  <si>
    <t>Req NonRec Disc S1</t>
  </si>
  <si>
    <t>Req Rec S1</t>
  </si>
  <si>
    <t>Req NonRec S1</t>
  </si>
  <si>
    <t>Std Rec Price S3</t>
  </si>
  <si>
    <t>Std NonRec Price S3</t>
  </si>
  <si>
    <t>Req Rec Disc S3</t>
  </si>
  <si>
    <t>Req NonRec Disc S3</t>
  </si>
  <si>
    <t>Comp Rec</t>
  </si>
  <si>
    <t>Comp NonRec</t>
  </si>
  <si>
    <t>Curr Rec</t>
  </si>
  <si>
    <t>Std Rec Price S1</t>
  </si>
  <si>
    <t>Std NonRec Price S1</t>
  </si>
  <si>
    <t>Req Rec Disc S1</t>
  </si>
  <si>
    <t>External Source Link</t>
  </si>
  <si>
    <t>Lamb, James</t>
  </si>
  <si>
    <t>Smith, Jeff</t>
  </si>
  <si>
    <t>Dougherty, David</t>
  </si>
  <si>
    <t>Duguid, Alison</t>
  </si>
  <si>
    <t>Dunn, Mike</t>
  </si>
  <si>
    <t>Edgar, Ron</t>
  </si>
  <si>
    <t>Floyd, Brendan</t>
  </si>
  <si>
    <t>TX</t>
  </si>
  <si>
    <t>months</t>
  </si>
  <si>
    <t>Akahori, Miyoshi</t>
  </si>
  <si>
    <t>AR</t>
  </si>
  <si>
    <t>AZ</t>
  </si>
  <si>
    <t>Finnegan, John</t>
  </si>
  <si>
    <t>What is Customer's Total Annual Communications spend?</t>
  </si>
  <si>
    <t>What is Customer's Current Annual Spend with legacy AT&amp;T?</t>
  </si>
  <si>
    <t>vlImsAffiliates</t>
  </si>
  <si>
    <t>soaOrgChart</t>
  </si>
  <si>
    <t>vlImsBundleTypes</t>
  </si>
  <si>
    <t>vlImsSalesCenterVPs</t>
  </si>
  <si>
    <t>vlImsUniverses</t>
  </si>
  <si>
    <t>vlImsContractTypes</t>
  </si>
  <si>
    <t>vlImsSegments</t>
  </si>
  <si>
    <t>vlImsSalesStates</t>
  </si>
  <si>
    <t>Top_Products</t>
  </si>
  <si>
    <t>EndDbasePulldowns</t>
  </si>
  <si>
    <t>terms</t>
  </si>
  <si>
    <t>dates</t>
  </si>
  <si>
    <t>expedite range</t>
  </si>
  <si>
    <t>Key (Segment)</t>
  </si>
  <si>
    <t>Key (Channel)</t>
  </si>
  <si>
    <t>Key (channel)</t>
  </si>
  <si>
    <t>sAffiliate</t>
  </si>
  <si>
    <t>sBamName</t>
  </si>
  <si>
    <t>SD</t>
  </si>
  <si>
    <t>Goudy, Candace</t>
  </si>
  <si>
    <t>Cleek, Richard</t>
  </si>
  <si>
    <t>TN</t>
  </si>
  <si>
    <t>AK</t>
  </si>
  <si>
    <t>kvlImsSalesChannels</t>
  </si>
  <si>
    <t>Need Segment!</t>
  </si>
  <si>
    <t>kvlImsBus</t>
  </si>
  <si>
    <t>Need Sales Channel!</t>
  </si>
  <si>
    <t>kvlImsSalesVps</t>
  </si>
  <si>
    <t>ME</t>
  </si>
  <si>
    <t>MI</t>
  </si>
  <si>
    <t>Masters, Dan</t>
  </si>
  <si>
    <t>Bona, Walter</t>
  </si>
  <si>
    <t>MN</t>
  </si>
  <si>
    <t>MO</t>
  </si>
  <si>
    <t>Moore, Kelly</t>
  </si>
  <si>
    <t>Boza, Rosa Maria</t>
  </si>
  <si>
    <t>MS</t>
  </si>
  <si>
    <t>ID</t>
  </si>
  <si>
    <t>WTelco - Wholesale</t>
  </si>
  <si>
    <t xml:space="preserve">                  Contract term Remaining:</t>
  </si>
  <si>
    <t>Do you want to escalate International Access quote?</t>
  </si>
  <si>
    <t>Contract Number:</t>
  </si>
  <si>
    <t>Signed on:</t>
  </si>
  <si>
    <t>oc1281</t>
  </si>
  <si>
    <t>sd1843</t>
  </si>
  <si>
    <t>soapFirstName</t>
  </si>
  <si>
    <t>Fike, Gregory</t>
  </si>
  <si>
    <t>Girouard, Frederick</t>
  </si>
  <si>
    <t>Loignon, Russell</t>
  </si>
  <si>
    <t>Cushma, John</t>
  </si>
  <si>
    <t>McGalliard, Edris</t>
  </si>
  <si>
    <t>Seagle, Kristy</t>
  </si>
  <si>
    <t>Silvester, Bob</t>
  </si>
  <si>
    <t>Sirles, Nancy</t>
  </si>
  <si>
    <t>Sisson, Dan</t>
  </si>
  <si>
    <t>Slamecka, John</t>
  </si>
  <si>
    <t>Slape, Mary Ellen</t>
  </si>
  <si>
    <t>Sleeger, John</t>
  </si>
  <si>
    <t>Snavely, Matthew</t>
  </si>
  <si>
    <t>any</t>
  </si>
  <si>
    <t>Last</t>
  </si>
  <si>
    <t>(None)</t>
  </si>
  <si>
    <t>Total</t>
  </si>
  <si>
    <t>sBundleType</t>
  </si>
  <si>
    <t>sSalesperson</t>
  </si>
  <si>
    <t>sSalesCenterVP</t>
  </si>
  <si>
    <t>sUniverse</t>
  </si>
  <si>
    <t>sContractType</t>
  </si>
  <si>
    <t>sSegment</t>
  </si>
  <si>
    <t>sSalesState</t>
  </si>
  <si>
    <t>Whealen, Michael</t>
  </si>
  <si>
    <t>Wieboldt, Gregory</t>
  </si>
  <si>
    <t>Williams, Xavier</t>
  </si>
  <si>
    <t>Wollrab, Frank</t>
  </si>
  <si>
    <t>Woolner, Robin</t>
  </si>
  <si>
    <t>Lrate</t>
  </si>
  <si>
    <t>Access Loop Dist</t>
  </si>
  <si>
    <t>data~Error Code</t>
  </si>
  <si>
    <t>data~Error Text</t>
  </si>
  <si>
    <t>Port~MACD Type</t>
  </si>
  <si>
    <t>ecrmID~Row ID</t>
  </si>
  <si>
    <t>CTS</t>
  </si>
  <si>
    <t>Renz, Trish</t>
  </si>
  <si>
    <t>ms9375</t>
  </si>
  <si>
    <t>Hoover, Steven</t>
  </si>
  <si>
    <t>Speed</t>
  </si>
  <si>
    <t>Rhodes, Rick</t>
  </si>
  <si>
    <t>returnvalue:</t>
  </si>
  <si>
    <t>Parke, Evan</t>
  </si>
  <si>
    <t>NE</t>
  </si>
  <si>
    <t>Wireline</t>
  </si>
  <si>
    <t>Hoots, Ron</t>
  </si>
  <si>
    <t>MA</t>
  </si>
  <si>
    <t>Secondary Key</t>
  </si>
  <si>
    <t>Secondary ID</t>
  </si>
  <si>
    <t>Grotheer, Sandra</t>
  </si>
  <si>
    <t>WLD - Wholesale</t>
  </si>
  <si>
    <t>WPriceLD - Wholesale</t>
  </si>
  <si>
    <t>data~Req Bandwidth # of Pairs</t>
  </si>
  <si>
    <t>data~AdditionalIPAGCLLI</t>
  </si>
  <si>
    <t>Additional IPAG CLLI</t>
  </si>
  <si>
    <t>In Region Indicator</t>
  </si>
  <si>
    <t>data~In Region Indicator</t>
  </si>
  <si>
    <t>sInRegion</t>
  </si>
  <si>
    <t>sAddIPAG_CLLI</t>
  </si>
  <si>
    <t>Port~CRDD</t>
  </si>
  <si>
    <t>sEcrmSiteID</t>
  </si>
  <si>
    <t>SWC Status</t>
  </si>
  <si>
    <t>Lata Name</t>
  </si>
  <si>
    <t>sLataName</t>
  </si>
  <si>
    <t>sSWC_Status</t>
  </si>
  <si>
    <t>EMUX CLLI</t>
  </si>
  <si>
    <t>sEMUX_CLLI</t>
  </si>
  <si>
    <t>data~SWCStatus</t>
  </si>
  <si>
    <t>data~LATA Name</t>
  </si>
  <si>
    <t>Required Bandwidth #  of Pairs</t>
  </si>
  <si>
    <t>Lemoine, Nicolas</t>
  </si>
  <si>
    <t>Umar, Aisha</t>
  </si>
  <si>
    <t xml:space="preserve"> International</t>
  </si>
  <si>
    <t>Port~MACD Activity</t>
  </si>
  <si>
    <t>sMacdType</t>
  </si>
  <si>
    <t>sMacdActivity</t>
  </si>
  <si>
    <t>Macd Type</t>
  </si>
  <si>
    <t>Macd Activity</t>
  </si>
  <si>
    <t>sCurrCIR</t>
  </si>
  <si>
    <t>Routes~Current CIR</t>
  </si>
  <si>
    <t>New CIR</t>
  </si>
  <si>
    <t>Curb to Demarc</t>
  </si>
  <si>
    <t>sCurbToDemarc</t>
  </si>
  <si>
    <t>Hybrid</t>
  </si>
  <si>
    <t>Legacy AT&amp;T</t>
  </si>
  <si>
    <t>Legacy BLS</t>
  </si>
  <si>
    <t>Legacy SBC</t>
  </si>
  <si>
    <t>0.Unassigned</t>
  </si>
  <si>
    <t>Andrews, Paul R</t>
  </si>
  <si>
    <t>Aoyama, Brenda</t>
  </si>
  <si>
    <t>Armiros, Evangelos</t>
  </si>
  <si>
    <t>Augustin, Jason L</t>
  </si>
  <si>
    <t>Ayala, Mario A</t>
  </si>
  <si>
    <t>Baier, Greg</t>
  </si>
  <si>
    <t>Bam name not found</t>
  </si>
  <si>
    <t>Barone, Gary M</t>
  </si>
  <si>
    <t>Beahm, Ken</t>
  </si>
  <si>
    <t>Bentley, Jacqueline R.</t>
  </si>
  <si>
    <t>Bibbings Jr., Clint R</t>
  </si>
  <si>
    <t>Bills, Consuelo B</t>
  </si>
  <si>
    <t>Block, Brian</t>
  </si>
  <si>
    <t>Brody Jr., John D</t>
  </si>
  <si>
    <t>Brown, Steve</t>
  </si>
  <si>
    <t>Bryant, Gary</t>
  </si>
  <si>
    <t>Buchanan, Angela</t>
  </si>
  <si>
    <t>Burgess, Stephen B</t>
  </si>
  <si>
    <t>Cahill, Peter</t>
  </si>
  <si>
    <t>Caron, Melanie</t>
  </si>
  <si>
    <t>Chance, Nicole</t>
  </si>
  <si>
    <t>Chappell, Rodney A</t>
  </si>
  <si>
    <t>Chen, Wei H</t>
  </si>
  <si>
    <t>Cheng Thevenin, Li</t>
  </si>
  <si>
    <t>Clewis, Boyce</t>
  </si>
  <si>
    <t>Cohen, Jeff</t>
  </si>
  <si>
    <t>Crew, John A</t>
  </si>
  <si>
    <t>Cupp, David</t>
  </si>
  <si>
    <t>Dallas, Kenton</t>
  </si>
  <si>
    <t>Dawson, Sherry</t>
  </si>
  <si>
    <t>Depner, John</t>
  </si>
  <si>
    <t>Donahue, Mike</t>
  </si>
  <si>
    <t>Dones, Audrey N</t>
  </si>
  <si>
    <t>Drescher, William</t>
  </si>
  <si>
    <t>Drew, Stephen A</t>
  </si>
  <si>
    <t>Dunaway, Matthew</t>
  </si>
  <si>
    <t>Ecuyer, John</t>
  </si>
  <si>
    <t>Enriquez, Jon S</t>
  </si>
  <si>
    <t>Eshoo, David R</t>
  </si>
  <si>
    <t>Express Deal</t>
  </si>
  <si>
    <t>Express Deal Test</t>
  </si>
  <si>
    <t>Express Deal Test Wholesale</t>
  </si>
  <si>
    <t>Flowers, Robbie</t>
  </si>
  <si>
    <t>Folks, Albert</t>
  </si>
  <si>
    <t>Garcia, Frank</t>
  </si>
  <si>
    <t>Gay, Jeffrey</t>
  </si>
  <si>
    <t>Gillespie, Brian J</t>
  </si>
  <si>
    <t>Glemkowski, Jim</t>
  </si>
  <si>
    <t>Godfrey, Beth A</t>
  </si>
  <si>
    <t>Gray, Scott</t>
  </si>
  <si>
    <t>Grinfas, Helene</t>
  </si>
  <si>
    <t>Griscavage, David</t>
  </si>
  <si>
    <t>Guilliams, Scott</t>
  </si>
  <si>
    <t>Gustafson, Richard</t>
  </si>
  <si>
    <t>Gustafson, Robin</t>
  </si>
  <si>
    <t>Gutay, Steve</t>
  </si>
  <si>
    <t>Guy, Don</t>
  </si>
  <si>
    <t>Haag, Donn K</t>
  </si>
  <si>
    <t>Haag, Mike</t>
  </si>
  <si>
    <t>Hadley, Carol</t>
  </si>
  <si>
    <t>Hamilton, Earl D</t>
  </si>
  <si>
    <t>Hammond, Patti</t>
  </si>
  <si>
    <t>Hardesty, Stacie</t>
  </si>
  <si>
    <t>Hardwick Jr., Rick</t>
  </si>
  <si>
    <t>Harper Jr., Will</t>
  </si>
  <si>
    <t>Harrison, Jack</t>
  </si>
  <si>
    <t>Harrison, Steven</t>
  </si>
  <si>
    <t>Harwood, Stephen B</t>
  </si>
  <si>
    <t>Hashemi, Nellie L</t>
  </si>
  <si>
    <t>Henderson, Consuela</t>
  </si>
  <si>
    <t>Hendrick, Joe</t>
  </si>
  <si>
    <t>Henningsen, Eileen A</t>
  </si>
  <si>
    <t>Hibbeler, Scott P</t>
  </si>
  <si>
    <t>Hoffman, Stella</t>
  </si>
  <si>
    <t>Holloway Iii, Wiley H</t>
  </si>
  <si>
    <t>Holms, Carla</t>
  </si>
  <si>
    <t>Holzmacher, Bryan M</t>
  </si>
  <si>
    <t>Hostetler, Jeanette</t>
  </si>
  <si>
    <t>Houston, Theresa</t>
  </si>
  <si>
    <t>Howe, Timothy J</t>
  </si>
  <si>
    <t>Hughes, Jerry</t>
  </si>
  <si>
    <t>Hunt, Dale C</t>
  </si>
  <si>
    <t>Husain, Bipasha</t>
  </si>
  <si>
    <t>Ingraffia Jr., Sal</t>
  </si>
  <si>
    <t>Inzerilla, Gail</t>
  </si>
  <si>
    <t>Irgang, Howard D</t>
  </si>
  <si>
    <t>Ishairzay, Preeta</t>
  </si>
  <si>
    <t>Jackson, Wade</t>
  </si>
  <si>
    <t>James Sterr</t>
  </si>
  <si>
    <t>James, Darren</t>
  </si>
  <si>
    <t>Jasrotia, Aditi</t>
  </si>
  <si>
    <t>Johnson, John R</t>
  </si>
  <si>
    <t>Johnson, Travis</t>
  </si>
  <si>
    <t>Jolicoeur, Kristine</t>
  </si>
  <si>
    <t>Jolley, Kevin</t>
  </si>
  <si>
    <t>Jones, Frederick W</t>
  </si>
  <si>
    <t>Joseph, Monica</t>
  </si>
  <si>
    <t>Joyner, Eric</t>
  </si>
  <si>
    <t>Juelfs, Kevin</t>
  </si>
  <si>
    <t>Kaushik, Rajaram</t>
  </si>
  <si>
    <t>Kelley Jr., Doug</t>
  </si>
  <si>
    <t>Kennedy, Scott</t>
  </si>
  <si>
    <t>Keoughan, Martin</t>
  </si>
  <si>
    <t>Kern, Larry</t>
  </si>
  <si>
    <t>Keyes, Kevin</t>
  </si>
  <si>
    <t>King, Susan</t>
  </si>
  <si>
    <t>Kispert, Steven E.</t>
  </si>
  <si>
    <t>Kobeck, Brian J</t>
  </si>
  <si>
    <t>Koehler, David</t>
  </si>
  <si>
    <t>Kokan, Parvez Z</t>
  </si>
  <si>
    <t>Kolatac ,Margie A</t>
  </si>
  <si>
    <t>Krause, Siri</t>
  </si>
  <si>
    <t>Krelo, Jason</t>
  </si>
  <si>
    <t>Kuber, Manish</t>
  </si>
  <si>
    <t>Kuklin, Scott A</t>
  </si>
  <si>
    <t>Kurt, John</t>
  </si>
  <si>
    <t>Kuse, Kendall</t>
  </si>
  <si>
    <t xml:space="preserve">Kwon, David </t>
  </si>
  <si>
    <t>La, Thomas T</t>
  </si>
  <si>
    <t>Labunski,Michael</t>
  </si>
  <si>
    <t>Laird, Gary R</t>
  </si>
  <si>
    <t>Lally, Maudy J</t>
  </si>
  <si>
    <t>Lance, Katharyn</t>
  </si>
  <si>
    <t>Lane, Steven</t>
  </si>
  <si>
    <t>Laquier, Jody</t>
  </si>
  <si>
    <t>Larose, Toni L.</t>
  </si>
  <si>
    <t>Lau, Clara</t>
  </si>
  <si>
    <t>Laughlin, Tracy K</t>
  </si>
  <si>
    <t>Laurent, Sophie</t>
  </si>
  <si>
    <t>Lavey, James A</t>
  </si>
  <si>
    <t>Le, Tyler T</t>
  </si>
  <si>
    <t>Lee, James R</t>
  </si>
  <si>
    <t>Lentz, Curt</t>
  </si>
  <si>
    <t>Leroy, Debra</t>
  </si>
  <si>
    <t>Lide, Brooks</t>
  </si>
  <si>
    <t>Liesegang, Roger</t>
  </si>
  <si>
    <t>Lima Brizuela, Ivette</t>
  </si>
  <si>
    <t>Liu-Horwitz, Ling</t>
  </si>
  <si>
    <t>Lockridge, Ron</t>
  </si>
  <si>
    <t>Logan, Helen</t>
  </si>
  <si>
    <t>Long, Kristy</t>
  </si>
  <si>
    <t>Lorenz, Robert J</t>
  </si>
  <si>
    <t>Loveless, Susan E</t>
  </si>
  <si>
    <t>Maddox, Ruby</t>
  </si>
  <si>
    <t>Magtibay, Aristotle S</t>
  </si>
  <si>
    <t>Mahoney, Catherine</t>
  </si>
  <si>
    <t>Mair, Branden</t>
  </si>
  <si>
    <t>Makley, Terry</t>
  </si>
  <si>
    <t>Manhota, Shilinder</t>
  </si>
  <si>
    <t>Mansfield, Yvonne</t>
  </si>
  <si>
    <t>Marchisello, Kristin N</t>
  </si>
  <si>
    <t>Marian, Wendy S</t>
  </si>
  <si>
    <t>Martin, Lane</t>
  </si>
  <si>
    <t>Martin, Victoria A</t>
  </si>
  <si>
    <t>Mataske, Joseph</t>
  </si>
  <si>
    <t>Mateja, Scott A</t>
  </si>
  <si>
    <t>Mathison, Brett</t>
  </si>
  <si>
    <t>Matsil, Ben</t>
  </si>
  <si>
    <t>Matthews, Darrell</t>
  </si>
  <si>
    <t>McBride, Joe</t>
  </si>
  <si>
    <t>Mcpherson, Mike</t>
  </si>
  <si>
    <t>Melhem, Kathryn</t>
  </si>
  <si>
    <t>Miller, Joanna</t>
  </si>
  <si>
    <t>Miller, Keith K</t>
  </si>
  <si>
    <t>Mills, John D</t>
  </si>
  <si>
    <t>Minier, John O</t>
  </si>
  <si>
    <t>Monroe, Sandra</t>
  </si>
  <si>
    <t>Morales, Albert</t>
  </si>
  <si>
    <t>Moriondo, David J</t>
  </si>
  <si>
    <t>Morrison, Don</t>
  </si>
  <si>
    <t>Mosele, Joseph</t>
  </si>
  <si>
    <t>Mueller, Carol</t>
  </si>
  <si>
    <t>Mullen, James</t>
  </si>
  <si>
    <t>Murphy, Michael</t>
  </si>
  <si>
    <t>Murphy, Thomas J</t>
  </si>
  <si>
    <t>Nguyen, Truong C</t>
  </si>
  <si>
    <t>Norfleet, Lauren</t>
  </si>
  <si>
    <t>Norris, Betty M</t>
  </si>
  <si>
    <t>Nuckolls, Claudia</t>
  </si>
  <si>
    <t>Nuich, Debi</t>
  </si>
  <si>
    <t>Nutter, Wendy Rae</t>
  </si>
  <si>
    <t>Oliveira, Vinicius</t>
  </si>
  <si>
    <t>Online</t>
  </si>
  <si>
    <t>Otsuka, Tomomi</t>
  </si>
  <si>
    <t>Owens, Deborah</t>
  </si>
  <si>
    <t>Pabani , Ashif</t>
  </si>
  <si>
    <t>Paden, Diane</t>
  </si>
  <si>
    <t>Pagel, Rich</t>
  </si>
  <si>
    <t>Pai, Vince</t>
  </si>
  <si>
    <t>Palma, Emmanuel</t>
  </si>
  <si>
    <t>Panasy, Elizabeth C</t>
  </si>
  <si>
    <t>Pankow, Michael</t>
  </si>
  <si>
    <t>Park, Dave</t>
  </si>
  <si>
    <t>Patel, Soham</t>
  </si>
  <si>
    <t>Paterson, Stacey</t>
  </si>
  <si>
    <t>Pedigo, Robert A</t>
  </si>
  <si>
    <t>Penny, Larry</t>
  </si>
  <si>
    <t>Perry, Charlene</t>
  </si>
  <si>
    <t>Phillips, Matt</t>
  </si>
  <si>
    <t>Phipps, Richard</t>
  </si>
  <si>
    <t>Piccolo, Steve</t>
  </si>
  <si>
    <t>Pierce, Craig</t>
  </si>
  <si>
    <t>Pike-Smith, Donna</t>
  </si>
  <si>
    <t>Pinker, Marc D</t>
  </si>
  <si>
    <t>Plisko, David</t>
  </si>
  <si>
    <t>Pomerantz, Jeff A</t>
  </si>
  <si>
    <t>Ponce, Raymundo</t>
  </si>
  <si>
    <t>Portillos, Curt N</t>
  </si>
  <si>
    <t>Potts, Robert</t>
  </si>
  <si>
    <t>Priseman, Chris</t>
  </si>
  <si>
    <t>Pulliam, Jonathan</t>
  </si>
  <si>
    <t xml:space="preserve">Radivoj, Cathy </t>
  </si>
  <si>
    <t>Rajaofera, Jeannot</t>
  </si>
  <si>
    <t>Ramirez, Grissel</t>
  </si>
  <si>
    <t>Raup, Peter A</t>
  </si>
  <si>
    <t>Reese, William</t>
  </si>
  <si>
    <t>Reid, Paul W</t>
  </si>
  <si>
    <t>Reitzner, Jeff C</t>
  </si>
  <si>
    <t>Renner, Jennifer S</t>
  </si>
  <si>
    <t>Repass, Susan</t>
  </si>
  <si>
    <t>Reporting</t>
  </si>
  <si>
    <t>Rhee, Sujoung</t>
  </si>
  <si>
    <t>Rietkerk, Dirk</t>
  </si>
  <si>
    <t>Riley, Karen A</t>
  </si>
  <si>
    <t>Rivera, Edwin</t>
  </si>
  <si>
    <t>Roberson, Barry</t>
  </si>
  <si>
    <t>Roberts, Stuart E</t>
  </si>
  <si>
    <t>Rodriguez, Libby</t>
  </si>
  <si>
    <t>Rogers Jr, Frank</t>
  </si>
  <si>
    <t>Ross, John</t>
  </si>
  <si>
    <t>Rothschild, David</t>
  </si>
  <si>
    <t>Rowzie, Ronald H</t>
  </si>
  <si>
    <t>Rudy, Teri</t>
  </si>
  <si>
    <t>Rulli, Mike</t>
  </si>
  <si>
    <t>Rybak, Krzysztof</t>
  </si>
  <si>
    <t>Rygiel, Peter</t>
  </si>
  <si>
    <t>Sacchetti, Thomas</t>
  </si>
  <si>
    <t>Sahinkaya, Turan</t>
  </si>
  <si>
    <t>Sairs, Marc</t>
  </si>
  <si>
    <t>Sales</t>
  </si>
  <si>
    <t>Sanberg, Jennifer L</t>
  </si>
  <si>
    <t>Scaramuzzi, Catherine</t>
  </si>
  <si>
    <t>Schairer, Mark J</t>
  </si>
  <si>
    <t>Schofield, Kathleen S</t>
  </si>
  <si>
    <t>Schorle, Carl M.</t>
  </si>
  <si>
    <t>Schroeder, William</t>
  </si>
  <si>
    <t>Scott, Alicia</t>
  </si>
  <si>
    <t>Sebastian, Mark M</t>
  </si>
  <si>
    <t>Shah, Urvi A</t>
  </si>
  <si>
    <t>Sheba, Jodi L</t>
  </si>
  <si>
    <t>Sherrod, Ruth H</t>
  </si>
  <si>
    <t>Shinn, Raymond</t>
  </si>
  <si>
    <t>Sieglitz, Gene</t>
  </si>
  <si>
    <t>Sigwalt, Amanda</t>
  </si>
  <si>
    <t>Silver, Michael</t>
  </si>
  <si>
    <t>Silver, Ralph</t>
  </si>
  <si>
    <t>Singer, Melanie K</t>
  </si>
  <si>
    <t>Sippo, Michael</t>
  </si>
  <si>
    <t>Smaha,Pamela</t>
  </si>
  <si>
    <t>Smith, Clarice</t>
  </si>
  <si>
    <t>Smith, Jason</t>
  </si>
  <si>
    <t>Smith, Zandra</t>
  </si>
  <si>
    <t>Sorstokke, Hal B</t>
  </si>
  <si>
    <t>Srivastava, Priya</t>
  </si>
  <si>
    <t>Stapp, Richard L</t>
  </si>
  <si>
    <t>Starks, Reg</t>
  </si>
  <si>
    <t>Staudt, Jay L</t>
  </si>
  <si>
    <t>Stein, Melissa S</t>
  </si>
  <si>
    <t>Stokes, Patricia</t>
  </si>
  <si>
    <t>Stroud, Bruce F</t>
  </si>
  <si>
    <t>Stumbris, Jane C</t>
  </si>
  <si>
    <t>Suzuki,Shizuka</t>
  </si>
  <si>
    <t>Svec, William L</t>
  </si>
  <si>
    <t>Swingley, Lynne</t>
  </si>
  <si>
    <t>Szmania, Joseph R</t>
  </si>
  <si>
    <t>Tang, Ton K</t>
  </si>
  <si>
    <t>Tate, Thayer</t>
  </si>
  <si>
    <t>Taylor, Richard</t>
  </si>
  <si>
    <t>Testing Online</t>
  </si>
  <si>
    <t>Testing, Level 2</t>
  </si>
  <si>
    <t>Testing, Level 3</t>
  </si>
  <si>
    <t>Testing, Level 4</t>
  </si>
  <si>
    <t>Testing, Level 5</t>
  </si>
  <si>
    <t>Testing, Level 6</t>
  </si>
  <si>
    <t>Testing, SME</t>
  </si>
  <si>
    <t>Thornton, Marsha</t>
  </si>
  <si>
    <t>Thurber, Michael</t>
  </si>
  <si>
    <t>Turner, Katie</t>
  </si>
  <si>
    <t>Turner, Nancy</t>
  </si>
  <si>
    <t>Underwood, William L</t>
  </si>
  <si>
    <t>Vakilzadeh, Shahin</t>
  </si>
  <si>
    <t>Valencia, Rick M</t>
  </si>
  <si>
    <t>Varner, Sally</t>
  </si>
  <si>
    <t>Veal, John</t>
  </si>
  <si>
    <t>Velotas, Cathy</t>
  </si>
  <si>
    <t>Vissers, Elwin</t>
  </si>
  <si>
    <t>Voit, William D</t>
  </si>
  <si>
    <t>Vu, Lan T</t>
  </si>
  <si>
    <t xml:space="preserve">Walker, Jason L </t>
  </si>
  <si>
    <t>Walker, John D</t>
  </si>
  <si>
    <t>Walker, Robert S.</t>
  </si>
  <si>
    <t>Waller, Thomas S</t>
  </si>
  <si>
    <t>Warnes, Shelly A</t>
  </si>
  <si>
    <t>Warren, Anne M</t>
  </si>
  <si>
    <t>Way, Keith R</t>
  </si>
  <si>
    <t>Weaver, Tim</t>
  </si>
  <si>
    <t>Webb, Laura M</t>
  </si>
  <si>
    <t>Weber, Don</t>
  </si>
  <si>
    <t>Wen, Jing</t>
  </si>
  <si>
    <t>Westling, Denise R</t>
  </si>
  <si>
    <t>Wholesale Sales</t>
  </si>
  <si>
    <t>Wielock, Todd</t>
  </si>
  <si>
    <t>Williams, Barbara</t>
  </si>
  <si>
    <t>Williams, Janice M</t>
  </si>
  <si>
    <t>Wochok, Christopher M</t>
  </si>
  <si>
    <t>Wong, Cally</t>
  </si>
  <si>
    <t>Wong, Flora</t>
  </si>
  <si>
    <t>Wong, Kenneth C</t>
  </si>
  <si>
    <t>Woods, Terry</t>
  </si>
  <si>
    <t>Wtest</t>
  </si>
  <si>
    <t>Xin, Suting</t>
  </si>
  <si>
    <t>Xu, Michael X</t>
  </si>
  <si>
    <t>Yashiki, Brian O</t>
  </si>
  <si>
    <t>Yuen, Lucinda</t>
  </si>
  <si>
    <t xml:space="preserve">Yunker, Jason A </t>
  </si>
  <si>
    <t>Zambito, Kelly</t>
  </si>
  <si>
    <t>Zelinsky, Michelle</t>
  </si>
  <si>
    <t>Zerella, Claudia F</t>
  </si>
  <si>
    <t>Zhao, Yucong</t>
  </si>
  <si>
    <t>Zhou, Sheri</t>
  </si>
  <si>
    <t>Zimmerman, Debra M</t>
  </si>
  <si>
    <t>Zyck, Robert F.</t>
  </si>
  <si>
    <t>(none)</t>
  </si>
  <si>
    <t>Multi-ICB</t>
  </si>
  <si>
    <t>Promotional</t>
  </si>
  <si>
    <t>SDA</t>
  </si>
  <si>
    <t>,</t>
  </si>
  <si>
    <t>Dunn, Michael</t>
  </si>
  <si>
    <t>Eaton, Ivy</t>
  </si>
  <si>
    <t>Gallace, Stacy</t>
  </si>
  <si>
    <t>Guerra, Nelda</t>
  </si>
  <si>
    <t>Krueger, Vickie</t>
  </si>
  <si>
    <t>Macalik, Frank</t>
  </si>
  <si>
    <t>Maya, Roberto</t>
  </si>
  <si>
    <t>Metzendorf, Mark</t>
  </si>
  <si>
    <t>Mirakian, Kurt</t>
  </si>
  <si>
    <t>Palmer, Mark</t>
  </si>
  <si>
    <t>Rudnick, Charles</t>
  </si>
  <si>
    <t>Stone, Deborah</t>
  </si>
  <si>
    <t>Vera, Alex</t>
  </si>
  <si>
    <t>Zahn, Hans-christoph</t>
  </si>
  <si>
    <t>(Vacant)</t>
  </si>
  <si>
    <t>Dickinson, Brian</t>
  </si>
  <si>
    <t>Drygas, Joe</t>
  </si>
  <si>
    <t>Navone, Hilary</t>
  </si>
  <si>
    <t>Oka, Manabu</t>
  </si>
  <si>
    <t>Poulson, Ian</t>
  </si>
  <si>
    <t>Shaw, Steven</t>
  </si>
  <si>
    <t>Shimizu, Akira</t>
  </si>
  <si>
    <t>Singh, Jim</t>
  </si>
  <si>
    <t>Skrobot, Twana</t>
  </si>
  <si>
    <t>Smith, Dennis</t>
  </si>
  <si>
    <t>Souza, Mike</t>
  </si>
  <si>
    <t>Spencer-Marks, S.</t>
  </si>
  <si>
    <t>Stapleton, Jim</t>
  </si>
  <si>
    <t>Staszak, Kristine</t>
  </si>
  <si>
    <t>Swails, John</t>
  </si>
  <si>
    <t>Tabuse, Kazuto</t>
  </si>
  <si>
    <t>Taylor, Joe</t>
  </si>
  <si>
    <t>Tidwell, John</t>
  </si>
  <si>
    <t>Trotter, James</t>
  </si>
  <si>
    <t>Ulm, Jeff</t>
  </si>
  <si>
    <t>Valentine, Bernard (Gene)</t>
  </si>
  <si>
    <t>Vogt, Peter</t>
  </si>
  <si>
    <t>Waller, Thomas</t>
  </si>
  <si>
    <t>Walsh, Dan</t>
  </si>
  <si>
    <t>Weddigen, Brenda</t>
  </si>
  <si>
    <t>Welch, Mike</t>
  </si>
  <si>
    <t>White, Cathy</t>
  </si>
  <si>
    <t>Widman, Jared</t>
  </si>
  <si>
    <t>Wilhide, David</t>
  </si>
  <si>
    <t>Wilkkins, Eddaline</t>
  </si>
  <si>
    <t>Willoughby, Denita</t>
  </si>
  <si>
    <t>Yamamoto, Atsushi</t>
  </si>
  <si>
    <t>Yarbrough, Gary</t>
  </si>
  <si>
    <t>Yee, Bernard</t>
  </si>
  <si>
    <t>Zuniga, Linda</t>
  </si>
  <si>
    <t>International</t>
  </si>
  <si>
    <t>Value Added and Equipment</t>
  </si>
  <si>
    <t>Interim Manual Input code… makes any locked field with the text "manual input" editable.</t>
  </si>
  <si>
    <t>Adjusted clipboard clear routine in Dropdowns.PasteCellToProduct</t>
  </si>
  <si>
    <t>Adjusted settings for Ethernet access per IT request.</t>
  </si>
  <si>
    <t>Fixed error in INR fallout code</t>
  </si>
  <si>
    <t>Fixed issue with ctrl-d causing an error</t>
  </si>
  <si>
    <t>Added training JPGs to main pages, removed errant AIS messages on tabs product1 and product2 only.</t>
  </si>
  <si>
    <t>Added code to tirksCOiofDistOpte and tirksCOiofDistOpteNoState the last line of VB code that assigns missing COCILLI to a mileage of 9999 that pushes the deal to Pricers.</t>
  </si>
  <si>
    <t>Added clipboard clear routine</t>
  </si>
  <si>
    <t>Added all Usability functions.</t>
  </si>
  <si>
    <t>Blank</t>
  </si>
  <si>
    <t>Test</t>
  </si>
  <si>
    <t>Step 0</t>
  </si>
  <si>
    <t>Step 1</t>
  </si>
  <si>
    <t>IMS2 Num</t>
  </si>
  <si>
    <t>Total Score</t>
  </si>
  <si>
    <t>Is Blank?</t>
  </si>
  <si>
    <t>PriceLD</t>
  </si>
  <si>
    <t>Altered NSS OEM AC code to allow re-upload of NSS data multiple times - turned events back on after OEM ac NSS Copy.  Fixed issue with only 1 row of data causing db error (null)</t>
  </si>
  <si>
    <t>vlImsSalesPersons</t>
  </si>
  <si>
    <t>Abadie, Louis</t>
  </si>
  <si>
    <t>Abbenante, Phil</t>
  </si>
  <si>
    <t>Abbey, Deborah</t>
  </si>
  <si>
    <t>Abbott, Christine K</t>
  </si>
  <si>
    <t>Abbott, Glenn</t>
  </si>
  <si>
    <t>Abercrombie, David</t>
  </si>
  <si>
    <t>Abeyta, Linda</t>
  </si>
  <si>
    <t>Abreu, Ramon</t>
  </si>
  <si>
    <t>Abrott, Scott</t>
  </si>
  <si>
    <t>Abruzzo, Mark</t>
  </si>
  <si>
    <t>Abukamil, Loay</t>
  </si>
  <si>
    <t>Accolla, Matt</t>
  </si>
  <si>
    <t>Acerofarfan, Adriana</t>
  </si>
  <si>
    <t>Acheson, Audrey</t>
  </si>
  <si>
    <t>Ackerina, Christopher</t>
  </si>
  <si>
    <t>Acomb, Todd</t>
  </si>
  <si>
    <t>Acosta, Augusto</t>
  </si>
  <si>
    <t>Acosta, Heather</t>
  </si>
  <si>
    <t>Acosta, Jason</t>
  </si>
  <si>
    <t>Acosta, Suzanne</t>
  </si>
  <si>
    <t>Adam, Pablo</t>
  </si>
  <si>
    <t>Adamec, Dusan</t>
  </si>
  <si>
    <t>Adamo, Frank</t>
  </si>
  <si>
    <t>Adams, Bruce</t>
  </si>
  <si>
    <t>Adams, Danielle</t>
  </si>
  <si>
    <t>Adams, Deneanne</t>
  </si>
  <si>
    <t>Adams, Kimberly</t>
  </si>
  <si>
    <t>Adams, Robert</t>
  </si>
  <si>
    <t>Adams, Tammy</t>
  </si>
  <si>
    <t>Adams, Thomas</t>
  </si>
  <si>
    <t>Adamson, Andrew</t>
  </si>
  <si>
    <t>Addison, Duane</t>
  </si>
  <si>
    <t>Addison, Joan</t>
  </si>
  <si>
    <t>Adelsberg, Kevin</t>
  </si>
  <si>
    <t>Adeyemi, Benedict</t>
  </si>
  <si>
    <t>Adolf, Duane</t>
  </si>
  <si>
    <t>Adrian, Allan</t>
  </si>
  <si>
    <t>Afonczenko, George</t>
  </si>
  <si>
    <t>Agena, Kay</t>
  </si>
  <si>
    <t>Agents, Christopher</t>
  </si>
  <si>
    <t>Aggarwal, Niraj</t>
  </si>
  <si>
    <t>Agius, Joseph</t>
  </si>
  <si>
    <t>Agostine, Lisa</t>
  </si>
  <si>
    <t>Agredano, Gustavo</t>
  </si>
  <si>
    <t>Agres, Vladimir</t>
  </si>
  <si>
    <t>Aguilar, Alma</t>
  </si>
  <si>
    <t>Aguilar, Jesus</t>
  </si>
  <si>
    <t>Aguilar, Michael</t>
  </si>
  <si>
    <t>Aguinaldo, Daniel</t>
  </si>
  <si>
    <t>Aguirre, Laura</t>
  </si>
  <si>
    <t>Aguirre, Patricia</t>
  </si>
  <si>
    <t>Ahearn, Maria</t>
  </si>
  <si>
    <t>Ahern, Robert</t>
  </si>
  <si>
    <t>Ahlschlager, Elizabeth</t>
  </si>
  <si>
    <t>Ahmad, Nisa</t>
  </si>
  <si>
    <t>Ahn, Sedwin</t>
  </si>
  <si>
    <t>Ahsam, Joseph</t>
  </si>
  <si>
    <t>Aitken, Natalie</t>
  </si>
  <si>
    <t>Aitken, Robert</t>
  </si>
  <si>
    <t>Al-Khaldi, Saed</t>
  </si>
  <si>
    <t>Alagna, Joseph</t>
  </si>
  <si>
    <t>Alaniva, Howard</t>
  </si>
  <si>
    <t>Albert, Cory</t>
  </si>
  <si>
    <t>Alberts, Michael</t>
  </si>
  <si>
    <t>Albertson, Andrew</t>
  </si>
  <si>
    <t>Albright, Daniel</t>
  </si>
  <si>
    <t>Albright, Kenneth</t>
  </si>
  <si>
    <t>Alcocer, Daniel</t>
  </si>
  <si>
    <t>Aldea, George</t>
  </si>
  <si>
    <t>Alderink, Robert</t>
  </si>
  <si>
    <t>Aldrich, Jeremy</t>
  </si>
  <si>
    <t>Aldridge, Duray</t>
  </si>
  <si>
    <t>Alexander, Bonita</t>
  </si>
  <si>
    <t>Alexander, Daron</t>
  </si>
  <si>
    <t>Alexander, Deborah</t>
  </si>
  <si>
    <t>Alexander, Dustin</t>
  </si>
  <si>
    <t>Alexander-Price, Angie</t>
  </si>
  <si>
    <t>Alexandro, Peter</t>
  </si>
  <si>
    <t>Alferos, Florida</t>
  </si>
  <si>
    <t>Alff, Thomas</t>
  </si>
  <si>
    <t>Alfonzo, Joseph</t>
  </si>
  <si>
    <t>Alford, Dwight</t>
  </si>
  <si>
    <t>Alford, Patricia</t>
  </si>
  <si>
    <t>Ali, Asif</t>
  </si>
  <si>
    <t>Ali, Fatima</t>
  </si>
  <si>
    <t>Ali, Mir</t>
  </si>
  <si>
    <t>Ali, Vanita</t>
  </si>
  <si>
    <t>Ali-melkkilae, Ilkka</t>
  </si>
  <si>
    <t>Allan, Gregory</t>
  </si>
  <si>
    <t>Allander-Dotta, Mary</t>
  </si>
  <si>
    <t>Allen, Audrey</t>
  </si>
  <si>
    <t>Allen, Dionne</t>
  </si>
  <si>
    <t>Allen, Gail</t>
  </si>
  <si>
    <t>Allen, Gregory</t>
  </si>
  <si>
    <t>Allen, John</t>
  </si>
  <si>
    <t>Allen, Julie</t>
  </si>
  <si>
    <t>Allen, Maurice</t>
  </si>
  <si>
    <t>Allen, Randall</t>
  </si>
  <si>
    <t>Allender, Chuck</t>
  </si>
  <si>
    <t>Allie, Jason</t>
  </si>
  <si>
    <t>Allison, Janet</t>
  </si>
  <si>
    <t>Allred, Dkelly</t>
  </si>
  <si>
    <t>Allton, Todd</t>
  </si>
  <si>
    <t>Allums, Terlana</t>
  </si>
  <si>
    <t>Almacellas, Nancy</t>
  </si>
  <si>
    <t>Almagro, Marylou</t>
  </si>
  <si>
    <t>Almeida, Emerson</t>
  </si>
  <si>
    <t>Alonso, Jorge</t>
  </si>
  <si>
    <t>Alonzo, Kealoha</t>
  </si>
  <si>
    <t>Alsobrooks, Nicole</t>
  </si>
  <si>
    <t>Alston, Doxey</t>
  </si>
  <si>
    <t>Altieri, Barbara</t>
  </si>
  <si>
    <t>Altieri, Louis</t>
  </si>
  <si>
    <t>Altman, Ron</t>
  </si>
  <si>
    <t>Altman, Russell</t>
  </si>
  <si>
    <t>Alvarado, Maria</t>
  </si>
  <si>
    <t>Alvarez, Adrian</t>
  </si>
  <si>
    <t>Alvarez, Nancy</t>
  </si>
  <si>
    <t>Alves, Nathalie</t>
  </si>
  <si>
    <t>Alvey, Kimbra</t>
  </si>
  <si>
    <t>Alward, Melissa</t>
  </si>
  <si>
    <t>Amaris, Bonnie</t>
  </si>
  <si>
    <t>Amato, Frank</t>
  </si>
  <si>
    <t>Amator, Kristina</t>
  </si>
  <si>
    <t>Ambruso, Deborah</t>
  </si>
  <si>
    <t>Ameli, Kelly</t>
  </si>
  <si>
    <t>Ames, Cynthia</t>
  </si>
  <si>
    <t>Ames, Stephen</t>
  </si>
  <si>
    <t>Amis, William</t>
  </si>
  <si>
    <t>Amos, D</t>
  </si>
  <si>
    <t>Amsbury, Terry</t>
  </si>
  <si>
    <t>Anders, Deborah</t>
  </si>
  <si>
    <t>Andersen, Geoffrey</t>
  </si>
  <si>
    <t>Anderson, Amy</t>
  </si>
  <si>
    <t>Anderson, Bryan</t>
  </si>
  <si>
    <t>Anderson, Charlotte</t>
  </si>
  <si>
    <t>Anderson, Claire</t>
  </si>
  <si>
    <t>Anderson, Frederick</t>
  </si>
  <si>
    <t>Anderson, Gregory</t>
  </si>
  <si>
    <t>Anderson, Hall</t>
  </si>
  <si>
    <t>Anderson, Joan</t>
  </si>
  <si>
    <t>Anderson, keith</t>
  </si>
  <si>
    <t>Anderson, Kenneth</t>
  </si>
  <si>
    <t>Anderson, Kimberly</t>
  </si>
  <si>
    <t>Anderson, Krista</t>
  </si>
  <si>
    <t>Anderson, Kyle</t>
  </si>
  <si>
    <t>Anderson, Mark</t>
  </si>
  <si>
    <t>Anderson, Timothy</t>
  </si>
  <si>
    <t>Anderton, Kevin</t>
  </si>
  <si>
    <t>Andreu, Aide</t>
  </si>
  <si>
    <t>Andrews, Christine</t>
  </si>
  <si>
    <t>Andrews, Frank</t>
  </si>
  <si>
    <t>Andrews, Michael</t>
  </si>
  <si>
    <t>Andrews, Robert</t>
  </si>
  <si>
    <t>Andrieni, Wanda</t>
  </si>
  <si>
    <t>Angarone, Michael</t>
  </si>
  <si>
    <t>Angell, Christina</t>
  </si>
  <si>
    <t>Anger, Sandra</t>
  </si>
  <si>
    <t>Angiulo, Frank</t>
  </si>
  <si>
    <t>Anito, Tim</t>
  </si>
  <si>
    <t>Annunziata, Anthony</t>
  </si>
  <si>
    <t>Anton, David</t>
  </si>
  <si>
    <t>Anton, Michael</t>
  </si>
  <si>
    <t>Anton, Valerie</t>
  </si>
  <si>
    <t>Antonuccio, Joseph</t>
  </si>
  <si>
    <t>Appio, Rosanna</t>
  </si>
  <si>
    <t>Apple, John</t>
  </si>
  <si>
    <t>Applewhite, Rita</t>
  </si>
  <si>
    <t>Aquino, Jennifer</t>
  </si>
  <si>
    <t>Aragon, Jesse</t>
  </si>
  <si>
    <t>Arbeiter, Matthew</t>
  </si>
  <si>
    <t>Arbery, Rebecca</t>
  </si>
  <si>
    <t>Archambeau, Kristen</t>
  </si>
  <si>
    <t>Ardoin, Rodney</t>
  </si>
  <si>
    <t>Arendell, James</t>
  </si>
  <si>
    <t>Arevalo, Yolanda</t>
  </si>
  <si>
    <t>Argo, Arnita</t>
  </si>
  <si>
    <t>Argyris, Lorene</t>
  </si>
  <si>
    <t>Arikian, Paul</t>
  </si>
  <si>
    <t>Arizola, Kelly</t>
  </si>
  <si>
    <t>Armendariz, Gilberto</t>
  </si>
  <si>
    <t>Armijo, Anthony</t>
  </si>
  <si>
    <t>Armstrong, Marianna</t>
  </si>
  <si>
    <t>Armstrong, Miriam</t>
  </si>
  <si>
    <t>Arnold, Catherine</t>
  </si>
  <si>
    <t>Arnold, F</t>
  </si>
  <si>
    <t>Arnold, Judith</t>
  </si>
  <si>
    <t>Arnold, Mary</t>
  </si>
  <si>
    <t>Arnone, Joseph</t>
  </si>
  <si>
    <t>Arote, Anthony</t>
  </si>
  <si>
    <t>Arredondo, Daniel</t>
  </si>
  <si>
    <t>Arreguin, Mary</t>
  </si>
  <si>
    <t>Arriazola, Jonathan</t>
  </si>
  <si>
    <t>Arsenault, Jeremiah</t>
  </si>
  <si>
    <t>Arsenault, Terry</t>
  </si>
  <si>
    <t>Arteaga, Renee</t>
  </si>
  <si>
    <t>Artis, John</t>
  </si>
  <si>
    <t>Artunduaga, Karina</t>
  </si>
  <si>
    <t>Asami, Junichi</t>
  </si>
  <si>
    <t>Asbury, Kenneth</t>
  </si>
  <si>
    <t>Asel, Jay</t>
  </si>
  <si>
    <t>Ash, William</t>
  </si>
  <si>
    <t>Ashby, Chris</t>
  </si>
  <si>
    <t>Asher, Mary</t>
  </si>
  <si>
    <t>Ashtamenko, Inna</t>
  </si>
  <si>
    <t>Astore, Ralph</t>
  </si>
  <si>
    <t>Atchley, Lana</t>
  </si>
  <si>
    <t>Ater, Brad</t>
  </si>
  <si>
    <t>Ates, Nathan</t>
  </si>
  <si>
    <t>Atherton, David</t>
  </si>
  <si>
    <t>Atkins, Ian</t>
  </si>
  <si>
    <t>Atkins, Janet</t>
  </si>
  <si>
    <t>Atkins, Nathan</t>
  </si>
  <si>
    <t>Atkins, Richard</t>
  </si>
  <si>
    <t>Attanasio, Joseph</t>
  </si>
  <si>
    <t>Atwater, Charles</t>
  </si>
  <si>
    <t>Atwell, Richard</t>
  </si>
  <si>
    <t>Atwood, Laurel</t>
  </si>
  <si>
    <t>Auger, Kathleen</t>
  </si>
  <si>
    <t>Auman, Alan</t>
  </si>
  <si>
    <t>Auriemma, Marybeth</t>
  </si>
  <si>
    <t>Ausberry, Michael</t>
  </si>
  <si>
    <t>Austefjord, Haakon</t>
  </si>
  <si>
    <t>Austin, David</t>
  </si>
  <si>
    <t>Austin, Lisa</t>
  </si>
  <si>
    <t>Authement, Annette</t>
  </si>
  <si>
    <t>Authement, Chris</t>
  </si>
  <si>
    <t>Avalos, Jose</t>
  </si>
  <si>
    <t>Aveback, Charlotte</t>
  </si>
  <si>
    <t>Avery, Tiffany</t>
  </si>
  <si>
    <t>Avila, Jason</t>
  </si>
  <si>
    <t>Aviss, Karen</t>
  </si>
  <si>
    <t>Avitollo, Anthony</t>
  </si>
  <si>
    <t>Axtell, Linda</t>
  </si>
  <si>
    <t>Ayad, Magdy</t>
  </si>
  <si>
    <t>Ayala, Hernan</t>
  </si>
  <si>
    <t>Ayers, Mark</t>
  </si>
  <si>
    <t>Ayres, Elwood</t>
  </si>
  <si>
    <t>Ayres, John</t>
  </si>
  <si>
    <t>Azar, Melinda</t>
  </si>
  <si>
    <t>Aziz, Antoine</t>
  </si>
  <si>
    <t>Azzolino, Lori</t>
  </si>
  <si>
    <t>Baah, Alex</t>
  </si>
  <si>
    <t>Bables, Lalaine</t>
  </si>
  <si>
    <t>Baca, Lisa</t>
  </si>
  <si>
    <t>Bacanava, Melinda</t>
  </si>
  <si>
    <t>Baccus, Shanna</t>
  </si>
  <si>
    <t>Bachert, Randall</t>
  </si>
  <si>
    <t>Bacigalupi, Charles</t>
  </si>
  <si>
    <t>Bacik, David</t>
  </si>
  <si>
    <t>Backel, Robert</t>
  </si>
  <si>
    <t>Backlin, Trevor</t>
  </si>
  <si>
    <t>Backs, Gerry</t>
  </si>
  <si>
    <t>Bacon, Joseph</t>
  </si>
  <si>
    <t>Bader, Charles</t>
  </si>
  <si>
    <t>Baeder, Lawrence</t>
  </si>
  <si>
    <t>Bagaman, Dominic</t>
  </si>
  <si>
    <t>Bagdon, Charles</t>
  </si>
  <si>
    <t>Baggett, Brian</t>
  </si>
  <si>
    <t>Baggett, Rory</t>
  </si>
  <si>
    <t>Bagley, Larry</t>
  </si>
  <si>
    <t>Bailes, Shonna</t>
  </si>
  <si>
    <t>Bailey, Clifford</t>
  </si>
  <si>
    <t>Bailey, David</t>
  </si>
  <si>
    <t>Bailey, Kerith</t>
  </si>
  <si>
    <t>Bailey, Lenee</t>
  </si>
  <si>
    <t>Bailey, Mark</t>
  </si>
  <si>
    <t>Bailey, Misti</t>
  </si>
  <si>
    <t>Bailey, Reta</t>
  </si>
  <si>
    <t>Bailey, Robert</t>
  </si>
  <si>
    <t>Bailey, Stephanie</t>
  </si>
  <si>
    <t>Bailey, William</t>
  </si>
  <si>
    <t>Bailey, Williemae</t>
  </si>
  <si>
    <t>Bails, Glen</t>
  </si>
  <si>
    <t>Bain, Sherry</t>
  </si>
  <si>
    <t>Bainbridge, Sally</t>
  </si>
  <si>
    <t>Baker, Gary</t>
  </si>
  <si>
    <t>Baker, James</t>
  </si>
  <si>
    <t>Baker, Jody</t>
  </si>
  <si>
    <t>Baker, Richard</t>
  </si>
  <si>
    <t>Baker, Shirley</t>
  </si>
  <si>
    <t>Baker, Stephen</t>
  </si>
  <si>
    <t>Balashova, Alla</t>
  </si>
  <si>
    <t>Baldridge, Shari</t>
  </si>
  <si>
    <t>Baldwin, David</t>
  </si>
  <si>
    <t>Baldwin, Jason</t>
  </si>
  <si>
    <t>Baldwin, Jeremie</t>
  </si>
  <si>
    <t>Baldwin, John</t>
  </si>
  <si>
    <t>Baldwin, Michelle</t>
  </si>
  <si>
    <t>Balkus, Jackie</t>
  </si>
  <si>
    <t>Ball, Lawrence</t>
  </si>
  <si>
    <t>Ball, Marshelle</t>
  </si>
  <si>
    <t>Ballard, Regina</t>
  </si>
  <si>
    <t>Ballard, Todd</t>
  </si>
  <si>
    <t>Balles, Michael</t>
  </si>
  <si>
    <t>Ballew, Sonya</t>
  </si>
  <si>
    <t>Balson, Christopher</t>
  </si>
  <si>
    <t>Balvanz, Randi</t>
  </si>
  <si>
    <t>Balzer, Richard</t>
  </si>
  <si>
    <t>Banach, Denise</t>
  </si>
  <si>
    <t>Banas, Matthew</t>
  </si>
  <si>
    <t>Banigan, Mark</t>
  </si>
  <si>
    <t>Banks, Gregory</t>
  </si>
  <si>
    <t>Banks, Heidi</t>
  </si>
  <si>
    <t>Banks, Kenneth</t>
  </si>
  <si>
    <t>Banks, Michelle</t>
  </si>
  <si>
    <t>Banks, William</t>
  </si>
  <si>
    <t>Bankston, Michael</t>
  </si>
  <si>
    <t>Baranowski, Casey</t>
  </si>
  <si>
    <t>Barber, Charles</t>
  </si>
  <si>
    <t>Barber, Timothy</t>
  </si>
  <si>
    <t>Bardwell, Blair</t>
  </si>
  <si>
    <t>Baren, Michael</t>
  </si>
  <si>
    <t>Barham, Lisa</t>
  </si>
  <si>
    <t>Barile, Anthony</t>
  </si>
  <si>
    <t>Barile, Tammy</t>
  </si>
  <si>
    <t>Barley, Doug</t>
  </si>
  <si>
    <t>Barnes, Patrick</t>
  </si>
  <si>
    <t>Barnes, Patti</t>
  </si>
  <si>
    <t>Barnett, Tommie</t>
  </si>
  <si>
    <t>Barnhart, Billy</t>
  </si>
  <si>
    <t>Barnhart, Weston</t>
  </si>
  <si>
    <t>Barr, Brian</t>
  </si>
  <si>
    <t>Barr, Dean</t>
  </si>
  <si>
    <t>Barr, James</t>
  </si>
  <si>
    <t>Barratt, Michael</t>
  </si>
  <si>
    <t>Barreras, Russell</t>
  </si>
  <si>
    <t>Barringer, Charlene</t>
  </si>
  <si>
    <t>Barron, Danielle</t>
  </si>
  <si>
    <t>Barron, Gavin</t>
  </si>
  <si>
    <t>Barron, John</t>
  </si>
  <si>
    <t>Barron, Patricia</t>
  </si>
  <si>
    <t>Barry, Deborah</t>
  </si>
  <si>
    <t>Bart, Kevin</t>
  </si>
  <si>
    <t>Bartalos, Peter</t>
  </si>
  <si>
    <t>Barth, Glenn</t>
  </si>
  <si>
    <t>Bartick, Bernard</t>
  </si>
  <si>
    <t>Bartolone, Philip</t>
  </si>
  <si>
    <t>Bartolotta, Anthony</t>
  </si>
  <si>
    <t>Barton, Alexis</t>
  </si>
  <si>
    <t>Barton, Shelley</t>
  </si>
  <si>
    <t>Base, Gina</t>
  </si>
  <si>
    <t>Basham, Teresa</t>
  </si>
  <si>
    <t>Basil, Michael</t>
  </si>
  <si>
    <t>Bass, Anne</t>
  </si>
  <si>
    <t>Bass, Laurent</t>
  </si>
  <si>
    <t>Bass, Neil</t>
  </si>
  <si>
    <t>Bass, Ricki</t>
  </si>
  <si>
    <t>Bast, James</t>
  </si>
  <si>
    <t>Bastian, Dana</t>
  </si>
  <si>
    <t>Bastio, Nicole</t>
  </si>
  <si>
    <t>Basye, Debra</t>
  </si>
  <si>
    <t>Batchik, Debi</t>
  </si>
  <si>
    <t>Bateman, Mark</t>
  </si>
  <si>
    <t>Bates, David</t>
  </si>
  <si>
    <t>Bates, Raymond</t>
  </si>
  <si>
    <t>Battaglia, Edie marie</t>
  </si>
  <si>
    <t>Batteiger, Tim</t>
  </si>
  <si>
    <t>Battista, Marco</t>
  </si>
  <si>
    <t>Baudo, John</t>
  </si>
  <si>
    <t>Bauer, Fred</t>
  </si>
  <si>
    <t>Bauer, Jim</t>
  </si>
  <si>
    <t>Bauman, James</t>
  </si>
  <si>
    <t>Baumgartner, Stevan</t>
  </si>
  <si>
    <t>Bausola, Tony</t>
  </si>
  <si>
    <t>Bautz, Aurora</t>
  </si>
  <si>
    <t>Bauza, Juan</t>
  </si>
  <si>
    <t>Baxter, Teg</t>
  </si>
  <si>
    <t>Bayfield, Justin</t>
  </si>
  <si>
    <t>Bayfield, Karla</t>
  </si>
  <si>
    <t>Bazzani, Claudio</t>
  </si>
  <si>
    <t>BCS, Account</t>
  </si>
  <si>
    <t>Beach, Sherri</t>
  </si>
  <si>
    <t>Beal, Brad</t>
  </si>
  <si>
    <t>Beall, Donald</t>
  </si>
  <si>
    <t>Beamer, Bruce</t>
  </si>
  <si>
    <t>Bean, Richard</t>
  </si>
  <si>
    <t>Beard, Brenda</t>
  </si>
  <si>
    <t>Beasley, Chase</t>
  </si>
  <si>
    <t>Beasley, Patrick</t>
  </si>
  <si>
    <t>Beason, Andrew</t>
  </si>
  <si>
    <t>Beato, Thomas</t>
  </si>
  <si>
    <t>Beatty, Chris</t>
  </si>
  <si>
    <t>Beatty, Frank</t>
  </si>
  <si>
    <t>Beatty, Michael</t>
  </si>
  <si>
    <t>Beaudoin, Linda</t>
  </si>
  <si>
    <t>Beaugh, John</t>
  </si>
  <si>
    <t>Beck, Charles</t>
  </si>
  <si>
    <t>Beck, Jeffrey</t>
  </si>
  <si>
    <t>Beck, Russell</t>
  </si>
  <si>
    <t>Becker, Brian</t>
  </si>
  <si>
    <t>Becker, Jim</t>
  </si>
  <si>
    <t>Becker, Thomas</t>
  </si>
  <si>
    <t>Becker, Wilfried</t>
  </si>
  <si>
    <t>Beckley, Dean</t>
  </si>
  <si>
    <t>Bednar, Christine</t>
  </si>
  <si>
    <t>Beebe, David</t>
  </si>
  <si>
    <t>Beegle, Eric</t>
  </si>
  <si>
    <t>Beeks, Willie</t>
  </si>
  <si>
    <t>Begani, Camille</t>
  </si>
  <si>
    <t>Behler, Joseph</t>
  </si>
  <si>
    <t>Belawski, Stephen</t>
  </si>
  <si>
    <t>Belcher, Jeffrey</t>
  </si>
  <si>
    <t>Belka, Lennard</t>
  </si>
  <si>
    <t>Belkola, Thomas</t>
  </si>
  <si>
    <t>Bell, Eric</t>
  </si>
  <si>
    <t>Bell, Kevin</t>
  </si>
  <si>
    <t>Bell, Laurie</t>
  </si>
  <si>
    <t>Bell, Lela</t>
  </si>
  <si>
    <t>Bell, Lydia</t>
  </si>
  <si>
    <t>Bell, Marshaun</t>
  </si>
  <si>
    <t>Bell, Martin</t>
  </si>
  <si>
    <t>Bell, Michael</t>
  </si>
  <si>
    <t>Bell, Shandrea</t>
  </si>
  <si>
    <t>Bell, Stacy</t>
  </si>
  <si>
    <t>Bell, Timothy</t>
  </si>
  <si>
    <t>Bell, William</t>
  </si>
  <si>
    <t>Bellew, Bradley</t>
  </si>
  <si>
    <t>Bellinger, Joyce</t>
  </si>
  <si>
    <t>Bellomo, Joseph</t>
  </si>
  <si>
    <t>Belt, Mary</t>
  </si>
  <si>
    <t>Benavidez, Antonio</t>
  </si>
  <si>
    <t>Bende, Herbert</t>
  </si>
  <si>
    <t>Bender Iii, Charles</t>
  </si>
  <si>
    <t>Benerakis, Jane</t>
  </si>
  <si>
    <t>Benintendi, Daniel</t>
  </si>
  <si>
    <t>Bennett, Anthony</t>
  </si>
  <si>
    <t>Bennett, Betty</t>
  </si>
  <si>
    <t>Bennett, Carri</t>
  </si>
  <si>
    <t>Bennett, Craig</t>
  </si>
  <si>
    <t>Bennett, Emily</t>
  </si>
  <si>
    <t>Bennett, Kristie</t>
  </si>
  <si>
    <t>Bennett, Mark</t>
  </si>
  <si>
    <t>Bennett, Rita</t>
  </si>
  <si>
    <t>Bentley, John</t>
  </si>
  <si>
    <t>Benton, Dwight</t>
  </si>
  <si>
    <t>Benton, Tony</t>
  </si>
  <si>
    <t>Beranek, Keven</t>
  </si>
  <si>
    <t>Bereyso, Kelly</t>
  </si>
  <si>
    <t>Berg, Robert</t>
  </si>
  <si>
    <t>Berg, Shane</t>
  </si>
  <si>
    <t>Berger, Robert</t>
  </si>
  <si>
    <t>Berio, Wendy</t>
  </si>
  <si>
    <t>Berk, Mitchel</t>
  </si>
  <si>
    <t>Berlan, Douglas</t>
  </si>
  <si>
    <t>Berman, Adam</t>
  </si>
  <si>
    <t>Bermudez, Selene</t>
  </si>
  <si>
    <t>Bernard, Corisa</t>
  </si>
  <si>
    <t>Bernardini, Leslie</t>
  </si>
  <si>
    <t>Bernardo, Vivian</t>
  </si>
  <si>
    <t>Berndt, Donna</t>
  </si>
  <si>
    <t>Berning, Sharon</t>
  </si>
  <si>
    <t>Bernstein, Myrna</t>
  </si>
  <si>
    <t>Berry, Lynette</t>
  </si>
  <si>
    <t>Berry, Shaka</t>
  </si>
  <si>
    <t>Bertaccini, Sonja</t>
  </si>
  <si>
    <t>Bertini, Deborah</t>
  </si>
  <si>
    <t>Bertrand, Hal</t>
  </si>
  <si>
    <t>Bester, Sherrie</t>
  </si>
  <si>
    <t>Betz, Debra</t>
  </si>
  <si>
    <t>Beutel, Todd</t>
  </si>
  <si>
    <t>Beuth, Kurt</t>
  </si>
  <si>
    <t>Bevans-Kerr, Robert</t>
  </si>
  <si>
    <t>Bey, Gregory</t>
  </si>
  <si>
    <t>Bhalla, Arv</t>
  </si>
  <si>
    <t>Bhatia, Jay</t>
  </si>
  <si>
    <t>Bhatt, Nishant</t>
  </si>
  <si>
    <t>Bhutta, Ahmed</t>
  </si>
  <si>
    <t>Biala, Nibedita</t>
  </si>
  <si>
    <t>Bianco, Anthony</t>
  </si>
  <si>
    <t>Bianco, Luisa</t>
  </si>
  <si>
    <t>Biarsky, Susan</t>
  </si>
  <si>
    <t>Biase, Nicholas</t>
  </si>
  <si>
    <t>Bickel, Scott</t>
  </si>
  <si>
    <t>Biehn, Alexander</t>
  </si>
  <si>
    <t>Biekman, Gina</t>
  </si>
  <si>
    <t>Bielar, James</t>
  </si>
  <si>
    <t>Bifford, Denise</t>
  </si>
  <si>
    <t>Biggs, Amyl</t>
  </si>
  <si>
    <t>Bild, Gene</t>
  </si>
  <si>
    <t>Biles, Cynthia</t>
  </si>
  <si>
    <t>Bilodeau, Michael</t>
  </si>
  <si>
    <t>Binder, Gail</t>
  </si>
  <si>
    <t>Binder, Thomas</t>
  </si>
  <si>
    <t>Bingham, David</t>
  </si>
  <si>
    <t>Binney, Frederick</t>
  </si>
  <si>
    <t>Birck, Edward</t>
  </si>
  <si>
    <t>Bird, Stephen</t>
  </si>
  <si>
    <t>Biron, Herve</t>
  </si>
  <si>
    <t>Birriel, Tomas</t>
  </si>
  <si>
    <t>Birtchet, Roberta</t>
  </si>
  <si>
    <t>Bisaha, Richard</t>
  </si>
  <si>
    <t>Biscardi, Domenic</t>
  </si>
  <si>
    <t>Bisco, Bill</t>
  </si>
  <si>
    <t>Bishop, Brant</t>
  </si>
  <si>
    <t>Bivona, Rose</t>
  </si>
  <si>
    <t>Biwer, Craig</t>
  </si>
  <si>
    <t>Black, Charles</t>
  </si>
  <si>
    <t>Black, Patricia</t>
  </si>
  <si>
    <t>Blackwell Jr, Howard</t>
  </si>
  <si>
    <t>Blackwell, Jovan</t>
  </si>
  <si>
    <t>Blair, Barbara</t>
  </si>
  <si>
    <t>Blair, Marsha</t>
  </si>
  <si>
    <t>Blake, Connie</t>
  </si>
  <si>
    <t>Blake, David</t>
  </si>
  <si>
    <t>Blake, Richard</t>
  </si>
  <si>
    <t>Blake, Scott</t>
  </si>
  <si>
    <t>Blake, Yolanda</t>
  </si>
  <si>
    <t>Blanchet, Matthew</t>
  </si>
  <si>
    <t>Blanco, Robert</t>
  </si>
  <si>
    <t>Blankenship, Rebekah</t>
  </si>
  <si>
    <t>Blasberg, Bruce</t>
  </si>
  <si>
    <t>Blaszky, John</t>
  </si>
  <si>
    <t>Blaylock, David</t>
  </si>
  <si>
    <t>Bledsoe, Diane</t>
  </si>
  <si>
    <t>Bledsoe, Richard</t>
  </si>
  <si>
    <t>Blockus, Bruce</t>
  </si>
  <si>
    <t>Blonigen-kreb, Debra</t>
  </si>
  <si>
    <t>Blumer, Peter</t>
  </si>
  <si>
    <t>Blumeyer, Heath</t>
  </si>
  <si>
    <t>Boaz, Michael</t>
  </si>
  <si>
    <t>Bodnar, Bruce</t>
  </si>
  <si>
    <t>Boe, Mark</t>
  </si>
  <si>
    <t>Boersma, Jamie</t>
  </si>
  <si>
    <t>Bogener, Travis</t>
  </si>
  <si>
    <t>Bohannon, Haden</t>
  </si>
  <si>
    <t>Bohman, Mark</t>
  </si>
  <si>
    <t>Bokram, Sal</t>
  </si>
  <si>
    <t>Boland, David</t>
  </si>
  <si>
    <t>Bolden, Marcus</t>
  </si>
  <si>
    <t>Boldosser, Randy</t>
  </si>
  <si>
    <t>Bollis, Donald</t>
  </si>
  <si>
    <t>Bolognone, Michael</t>
  </si>
  <si>
    <t>Bolt, Tarak</t>
  </si>
  <si>
    <t>Boltan, Andrew</t>
  </si>
  <si>
    <t>Bonanno, Alessandro</t>
  </si>
  <si>
    <t>Bond, Beth</t>
  </si>
  <si>
    <t>Bonham, Johnathan</t>
  </si>
  <si>
    <t>Bonifay, Kenneth</t>
  </si>
  <si>
    <t>Bonis, Raymond</t>
  </si>
  <si>
    <t>Bonitz, Richard</t>
  </si>
  <si>
    <t>Bonner, Chuck</t>
  </si>
  <si>
    <t>Bonner, Donald</t>
  </si>
  <si>
    <t>Bonner, George</t>
  </si>
  <si>
    <t>Bonner, Jeffrey</t>
  </si>
  <si>
    <t>Bonner, Myra</t>
  </si>
  <si>
    <t>Bono, Jon</t>
  </si>
  <si>
    <t>Bonofiglio, John</t>
  </si>
  <si>
    <t>Bonsett, Leslie</t>
  </si>
  <si>
    <t>Booker, Paulette</t>
  </si>
  <si>
    <t>Boone, Thomas</t>
  </si>
  <si>
    <t>Bopp, Carmen</t>
  </si>
  <si>
    <t>Bordeaux, Gilda</t>
  </si>
  <si>
    <t>Boreen, William</t>
  </si>
  <si>
    <t>Borges, Brent</t>
  </si>
  <si>
    <t>Borges, Wendi S</t>
  </si>
  <si>
    <t>Borunda, Diana</t>
  </si>
  <si>
    <t>Bosse, Karen</t>
  </si>
  <si>
    <t>Bost, Christine</t>
  </si>
  <si>
    <t>Bostedo, John</t>
  </si>
  <si>
    <t>Boswell Jr, Alexander</t>
  </si>
  <si>
    <t>Botbol, Stephane</t>
  </si>
  <si>
    <t>Boteju, Susan</t>
  </si>
  <si>
    <t>Boudnitskii, Serguej</t>
  </si>
  <si>
    <t>Boudoin, Mark</t>
  </si>
  <si>
    <t>Boudreau, David</t>
  </si>
  <si>
    <t>Boudreau, Michelle</t>
  </si>
  <si>
    <t>Bounds, Christie</t>
  </si>
  <si>
    <t>Bouria, Hadi</t>
  </si>
  <si>
    <t>Bourquin, Charles</t>
  </si>
  <si>
    <t>Bovolenta, Andrea</t>
  </si>
  <si>
    <t>Bowers, Clifford</t>
  </si>
  <si>
    <t>Bowers, Joseph</t>
  </si>
  <si>
    <t>Bowie, Tammie</t>
  </si>
  <si>
    <t>Bowler, Dianne</t>
  </si>
  <si>
    <t>Bowling, Amy</t>
  </si>
  <si>
    <t>Bowman, Leslie</t>
  </si>
  <si>
    <t>Bowman, Marilyn</t>
  </si>
  <si>
    <t>Bowman, Richard</t>
  </si>
  <si>
    <t>Bowser, Jeffrey</t>
  </si>
  <si>
    <t>Boyce, Jacquelyn</t>
  </si>
  <si>
    <t>Boyd, Stephanie</t>
  </si>
  <si>
    <t>Boyer, Donn</t>
  </si>
  <si>
    <t>Boyett, Marilyn</t>
  </si>
  <si>
    <t>Boyk, Ryan</t>
  </si>
  <si>
    <t>Boykin, Abe</t>
  </si>
  <si>
    <t>Boykin, Ashley</t>
  </si>
  <si>
    <t>Boykin, Cary</t>
  </si>
  <si>
    <t>Boykin, Joshua</t>
  </si>
  <si>
    <t>Boyle, Christopher</t>
  </si>
  <si>
    <t>Boyne, Denise</t>
  </si>
  <si>
    <t>Bozeman, Barron</t>
  </si>
  <si>
    <t>Brackett Jr, Carl</t>
  </si>
  <si>
    <t>Bradbury, Dianne</t>
  </si>
  <si>
    <t>Bradford, Walter</t>
  </si>
  <si>
    <t>Bradley, Kay</t>
  </si>
  <si>
    <t>Bradley, Leeanna</t>
  </si>
  <si>
    <t>Bradley, Simon</t>
  </si>
  <si>
    <t>Brador, Sarah</t>
  </si>
  <si>
    <t>Bradshaw, Andrea</t>
  </si>
  <si>
    <t>Brady, Adam</t>
  </si>
  <si>
    <t>Brady, Daniel</t>
  </si>
  <si>
    <t>Brady, Donna</t>
  </si>
  <si>
    <t>Brady, James</t>
  </si>
  <si>
    <t>Bragg, Jay</t>
  </si>
  <si>
    <t>Bragiola, Didier</t>
  </si>
  <si>
    <t>Braham, Daniel</t>
  </si>
  <si>
    <t>Brain, Peter</t>
  </si>
  <si>
    <t>Brainard, Lori</t>
  </si>
  <si>
    <t>Brake, Robert</t>
  </si>
  <si>
    <t>Branch, Consuella</t>
  </si>
  <si>
    <t>Brandow, Gladys</t>
  </si>
  <si>
    <t>Brandt, Jason</t>
  </si>
  <si>
    <t>Brandt, Wendy</t>
  </si>
  <si>
    <t>Brannock, Jodi</t>
  </si>
  <si>
    <t>Brannon, Zack</t>
  </si>
  <si>
    <t>Branson, Jeremy</t>
  </si>
  <si>
    <t>Brantley, Charlotte</t>
  </si>
  <si>
    <t>Brantley, Mona</t>
  </si>
  <si>
    <t>Brassil, Michael</t>
  </si>
  <si>
    <t>Braswell, Mark</t>
  </si>
  <si>
    <t>Bratek, David</t>
  </si>
  <si>
    <t>Bratti, Anthony</t>
  </si>
  <si>
    <t>Bratton, Sheilah</t>
  </si>
  <si>
    <t>Braun, Bernhard</t>
  </si>
  <si>
    <t>Braun, Thomas</t>
  </si>
  <si>
    <t>Braunschweig, Michael</t>
  </si>
  <si>
    <t>Brauser, Daniel</t>
  </si>
  <si>
    <t>Bravato, Stephen</t>
  </si>
  <si>
    <t>Bravo, Reg</t>
  </si>
  <si>
    <t>Bray, James</t>
  </si>
  <si>
    <t>Brazeau, Michael</t>
  </si>
  <si>
    <t>Breault, Gerry</t>
  </si>
  <si>
    <t>Breceda, Veronica</t>
  </si>
  <si>
    <t>Breda, Carlos</t>
  </si>
  <si>
    <t>Breite, Matthew</t>
  </si>
  <si>
    <t>Bremm, Dieter</t>
  </si>
  <si>
    <t>Brennan, Kelly</t>
  </si>
  <si>
    <t>Brennan, Richard</t>
  </si>
  <si>
    <t>Brenner, Debra</t>
  </si>
  <si>
    <t>Brenstuhl, Mark</t>
  </si>
  <si>
    <t>Brensy, Michael</t>
  </si>
  <si>
    <t>Brewer, Cynthia</t>
  </si>
  <si>
    <t>Brewer, David</t>
  </si>
  <si>
    <t>Brewer, Vernita</t>
  </si>
  <si>
    <t>Brewton, Karen</t>
  </si>
  <si>
    <t>Brice, Lashanda</t>
  </si>
  <si>
    <t>Bridge, Matthew</t>
  </si>
  <si>
    <t>Bridger, Susan</t>
  </si>
  <si>
    <t>Bridges, Christopher</t>
  </si>
  <si>
    <t>Bridges, Edna</t>
  </si>
  <si>
    <t>Bridges, Robert</t>
  </si>
  <si>
    <t>Brigance, Eric</t>
  </si>
  <si>
    <t>Bright, Archibald</t>
  </si>
  <si>
    <t>Brill, Cindy</t>
  </si>
  <si>
    <t>Brinkerhoff, Craig</t>
  </si>
  <si>
    <t>Brinkman, Kevin</t>
  </si>
  <si>
    <t>Brinlee, Tony R</t>
  </si>
  <si>
    <t>Britt, David</t>
  </si>
  <si>
    <t>Britton, Jennifer</t>
  </si>
  <si>
    <t>Broadbent, Jeffry</t>
  </si>
  <si>
    <t>Brodie, Ishbel</t>
  </si>
  <si>
    <t>Brogan, Mary</t>
  </si>
  <si>
    <t>Brohaugh, Richard</t>
  </si>
  <si>
    <t>Brolley, Edward</t>
  </si>
  <si>
    <t>Bromley, Leah</t>
  </si>
  <si>
    <t>Bron, Rob</t>
  </si>
  <si>
    <t>Bronson, Denise</t>
  </si>
  <si>
    <t>Brooks, Dale</t>
  </si>
  <si>
    <t>Brooks, Darrell</t>
  </si>
  <si>
    <t>Brooks, Donna</t>
  </si>
  <si>
    <t>Brooks, Marabeth</t>
  </si>
  <si>
    <t>Brooks, Mary</t>
  </si>
  <si>
    <t>Brooks, Mitchell</t>
  </si>
  <si>
    <t>Brooks, William</t>
  </si>
  <si>
    <t>Broome, Bonnie</t>
  </si>
  <si>
    <t>Brophy, Lynda</t>
  </si>
  <si>
    <t>Brotherton, Matthew</t>
  </si>
  <si>
    <t>Broussard, Edward</t>
  </si>
  <si>
    <t>Brown, Anthony</t>
  </si>
  <si>
    <t>Brown, Benton</t>
  </si>
  <si>
    <t>Brown, Brian</t>
  </si>
  <si>
    <t>Brown, Carol</t>
  </si>
  <si>
    <t>Brown, Christina</t>
  </si>
  <si>
    <t>Brown, David</t>
  </si>
  <si>
    <t>Brown, Dennis</t>
  </si>
  <si>
    <t>Brown, Donna</t>
  </si>
  <si>
    <t>Brown, Douglas</t>
  </si>
  <si>
    <t>Brown, Earlean</t>
  </si>
  <si>
    <t>Brown, Elton</t>
  </si>
  <si>
    <t>Brown, Eric</t>
  </si>
  <si>
    <t>Brown, Jason</t>
  </si>
  <si>
    <t>Brown, Jeffrey</t>
  </si>
  <si>
    <t>Brown, Jennifer</t>
  </si>
  <si>
    <t>Brown, John</t>
  </si>
  <si>
    <t>Brown, Kathy</t>
  </si>
  <si>
    <t>Brown, Kelley</t>
  </si>
  <si>
    <t>Brown, Lawrence</t>
  </si>
  <si>
    <t>Brown, Leslie</t>
  </si>
  <si>
    <t>Brown, Lisa</t>
  </si>
  <si>
    <t>Brown, Mary</t>
  </si>
  <si>
    <t>Brown, Michael</t>
  </si>
  <si>
    <t>Brown, Nathan</t>
  </si>
  <si>
    <t>Brown, Patrick</t>
  </si>
  <si>
    <t>Brown, Paul</t>
  </si>
  <si>
    <t>Brown, Ralph</t>
  </si>
  <si>
    <t>Brown, Roger</t>
  </si>
  <si>
    <t>Brown, Sarah</t>
  </si>
  <si>
    <t>Brown, Shannon</t>
  </si>
  <si>
    <t>Brown, Shatedius</t>
  </si>
  <si>
    <t>Brown, Timothy</t>
  </si>
  <si>
    <t>Browne, William</t>
  </si>
  <si>
    <t>Browning, Donald</t>
  </si>
  <si>
    <t>Browning, Richard Blair</t>
  </si>
  <si>
    <t>Brozenec, Tim</t>
  </si>
  <si>
    <t>Bruck, Susan</t>
  </si>
  <si>
    <t>Brueckner, Robert</t>
  </si>
  <si>
    <t>Bruenderman, Jim</t>
  </si>
  <si>
    <t>Bruhn, Mitchell</t>
  </si>
  <si>
    <t>Brumer, Wayne m</t>
  </si>
  <si>
    <t>Brun, Gert</t>
  </si>
  <si>
    <t>Brunner, Virginia</t>
  </si>
  <si>
    <t>Bruno, Mark</t>
  </si>
  <si>
    <t>Bruno, Richard</t>
  </si>
  <si>
    <t>Brusch, Teresa</t>
  </si>
  <si>
    <t>Brust, William</t>
  </si>
  <si>
    <t>Bryan, Janice</t>
  </si>
  <si>
    <t>Bryan, Kari</t>
  </si>
  <si>
    <t>Bryan, Rena</t>
  </si>
  <si>
    <t>Bryant, Alan</t>
  </si>
  <si>
    <t>Bryant, Christopher</t>
  </si>
  <si>
    <t>Bryant, John</t>
  </si>
  <si>
    <t>Bryant, Shannon</t>
  </si>
  <si>
    <t>Bryant, Todd</t>
  </si>
  <si>
    <t>Bryant, Wesley</t>
  </si>
  <si>
    <t>Bryce, Jeffrey</t>
  </si>
  <si>
    <t>Bucha, Robert</t>
  </si>
  <si>
    <t>Buchanan, John</t>
  </si>
  <si>
    <t>Buck, David</t>
  </si>
  <si>
    <t>Buckingham, Jocelyn</t>
  </si>
  <si>
    <t>Buckley, Mitchell</t>
  </si>
  <si>
    <t>Buckley, Patrick</t>
  </si>
  <si>
    <t>Buckley, Scott</t>
  </si>
  <si>
    <t>Buckley, William</t>
  </si>
  <si>
    <t>Buckmann, Victoria</t>
  </si>
  <si>
    <t>Bucknell, Owen</t>
  </si>
  <si>
    <t>Buddie, Gregory</t>
  </si>
  <si>
    <t>Buedding, Robert</t>
  </si>
  <si>
    <t>Buehler, Leo</t>
  </si>
  <si>
    <t>Buitrago, Cesar</t>
  </si>
  <si>
    <t>Bukowski, Roberta</t>
  </si>
  <si>
    <t>Bullier, Stephen</t>
  </si>
  <si>
    <t>Bunker, Glenn</t>
  </si>
  <si>
    <t>Buonomo, Miriam</t>
  </si>
  <si>
    <t>Burch, Stephen</t>
  </si>
  <si>
    <t>Burdette, Stephen</t>
  </si>
  <si>
    <t>Burger, Michelle</t>
  </si>
  <si>
    <t>Burgess, Kelli</t>
  </si>
  <si>
    <t>Burgess, Kennavy</t>
  </si>
  <si>
    <t>Burke, Dameon</t>
  </si>
  <si>
    <t>Burke, John</t>
  </si>
  <si>
    <t>Burke, Peggy</t>
  </si>
  <si>
    <t>Burke, Sean</t>
  </si>
  <si>
    <t>Burke, Si</t>
  </si>
  <si>
    <t>Burke, Terry</t>
  </si>
  <si>
    <t>Burke, Thomas</t>
  </si>
  <si>
    <t>Burke, William</t>
  </si>
  <si>
    <t>Burkhart, Amy</t>
  </si>
  <si>
    <t>Burkhart, Joel</t>
  </si>
  <si>
    <t>Burks, Jon</t>
  </si>
  <si>
    <t>Burling, Mary</t>
  </si>
  <si>
    <t>Burnett, Bruce</t>
  </si>
  <si>
    <t>Burnett, Gene</t>
  </si>
  <si>
    <t>Burnett, Steve</t>
  </si>
  <si>
    <t>Burney, Philippe</t>
  </si>
  <si>
    <t>Burns, Carla</t>
  </si>
  <si>
    <t>Burns, Steven</t>
  </si>
  <si>
    <t>Burr, Brian</t>
  </si>
  <si>
    <t>Burris, Mona</t>
  </si>
  <si>
    <t>Burrows, Terry</t>
  </si>
  <si>
    <t>Burt, Robert</t>
  </si>
  <si>
    <t>Burton, Christina</t>
  </si>
  <si>
    <t>Burts, Timothy</t>
  </si>
  <si>
    <t>Burvant, Dalyce</t>
  </si>
  <si>
    <t>Bury, James</t>
  </si>
  <si>
    <t>Busch, Robert</t>
  </si>
  <si>
    <t>Bush, Rick</t>
  </si>
  <si>
    <t>Busher, Theresa</t>
  </si>
  <si>
    <t>Butcher, John</t>
  </si>
  <si>
    <t>Butler, Robert</t>
  </si>
  <si>
    <t>Butts, Keith</t>
  </si>
  <si>
    <t>Butz, Joseph</t>
  </si>
  <si>
    <t>Byam, Kristi</t>
  </si>
  <si>
    <t>Byars, Paul</t>
  </si>
  <si>
    <t>Byers, Angela</t>
  </si>
  <si>
    <t>Byersvantassel, Susan</t>
  </si>
  <si>
    <t>Bynum, Jeff</t>
  </si>
  <si>
    <t>Byrd, Deborah</t>
  </si>
  <si>
    <t>Byrd, Felisia</t>
  </si>
  <si>
    <t>Byrd, Lisa</t>
  </si>
  <si>
    <t>Byrd, Stephen</t>
  </si>
  <si>
    <t>Byrne, Charles</t>
  </si>
  <si>
    <t>Byrne, Flannigan</t>
  </si>
  <si>
    <t>Byrne, James</t>
  </si>
  <si>
    <t>Byrne, Michael</t>
  </si>
  <si>
    <t>Byrnes, Janice</t>
  </si>
  <si>
    <t>Byun, Seung won</t>
  </si>
  <si>
    <t>Cabine, Armetrice</t>
  </si>
  <si>
    <t>Cable, Brian</t>
  </si>
  <si>
    <t>Cabreana, Patricia</t>
  </si>
  <si>
    <t>Cada, Albert</t>
  </si>
  <si>
    <t>Caffey, Linda</t>
  </si>
  <si>
    <t>Cahalan, Rachel</t>
  </si>
  <si>
    <t>Caicedo, Milena</t>
  </si>
  <si>
    <t>Cailleux, Sylvain</t>
  </si>
  <si>
    <t>Cain, Katherine</t>
  </si>
  <si>
    <t>Calabrese, Karen</t>
  </si>
  <si>
    <t>Calabrese, Wade</t>
  </si>
  <si>
    <t>Calahan, Markus</t>
  </si>
  <si>
    <t>Calcaterra, Jeffrey</t>
  </si>
  <si>
    <t>Calder, Derek</t>
  </si>
  <si>
    <t>Calderone, Brenda</t>
  </si>
  <si>
    <t>Caldwell, Terence</t>
  </si>
  <si>
    <t>Caldwell, William</t>
  </si>
  <si>
    <t>Caleca, Pete</t>
  </si>
  <si>
    <t>Calhoun, Greg</t>
  </si>
  <si>
    <t>Calianese, John</t>
  </si>
  <si>
    <t>Caliendo, Michael</t>
  </si>
  <si>
    <t>Calivo, David</t>
  </si>
  <si>
    <t>Call, Tom</t>
  </si>
  <si>
    <t>Callachan, John</t>
  </si>
  <si>
    <t>Callahan, Betty</t>
  </si>
  <si>
    <t>Callanvallicelli, Barbara</t>
  </si>
  <si>
    <t>Calles, William</t>
  </si>
  <si>
    <t>Calloway, Kenneth</t>
  </si>
  <si>
    <t>Caloca, Carlo</t>
  </si>
  <si>
    <t>Calvert, Christopher</t>
  </si>
  <si>
    <t>Campadore, Craig</t>
  </si>
  <si>
    <t>Campanelli, Michael a.</t>
  </si>
  <si>
    <t>Campbell, Angus</t>
  </si>
  <si>
    <t>Campbell, Bryan</t>
  </si>
  <si>
    <t>Campbell, Daniel</t>
  </si>
  <si>
    <t>Campbell, Katrina</t>
  </si>
  <si>
    <t>Campbell, Laura</t>
  </si>
  <si>
    <t>Campbell, Robert V</t>
  </si>
  <si>
    <t>Campbell, Scott</t>
  </si>
  <si>
    <t>Campbell, TJ</t>
  </si>
  <si>
    <t>Campisi, Joyce</t>
  </si>
  <si>
    <t>Campo Duggan, Melissa</t>
  </si>
  <si>
    <t>Campsey, Shannon</t>
  </si>
  <si>
    <t>Canche, Evonne</t>
  </si>
  <si>
    <t>Candleana, Paul</t>
  </si>
  <si>
    <t>Candura, Brandon</t>
  </si>
  <si>
    <t>Canfield, George</t>
  </si>
  <si>
    <t>Canterbury, Jeffrey</t>
  </si>
  <si>
    <t>Cantrell, Larry</t>
  </si>
  <si>
    <t>Cantu, Rosa</t>
  </si>
  <si>
    <t>Cantu, Teresa</t>
  </si>
  <si>
    <t>Capawanna, Leonard</t>
  </si>
  <si>
    <t>Capers, Joseph</t>
  </si>
  <si>
    <t>Capocasale, Robert</t>
  </si>
  <si>
    <t>Capoccia, Lauren</t>
  </si>
  <si>
    <t>Capuano, Adolfo</t>
  </si>
  <si>
    <t>Caraballo, Andrew</t>
  </si>
  <si>
    <t>Carbajal, Carlos</t>
  </si>
  <si>
    <t>Carbajal, Christina</t>
  </si>
  <si>
    <t>Carballa, Gregory</t>
  </si>
  <si>
    <t>Carbonell, Reynaldo</t>
  </si>
  <si>
    <t>Carboni, Mary</t>
  </si>
  <si>
    <t>Carcasses, Mercedes</t>
  </si>
  <si>
    <t>Cardell, Elizabeth</t>
  </si>
  <si>
    <t>Cardone, Deborah</t>
  </si>
  <si>
    <t>Cardozo, Americo</t>
  </si>
  <si>
    <t>Carey, Erin</t>
  </si>
  <si>
    <t>Carey, Robert</t>
  </si>
  <si>
    <t>Carlisle, Teresa</t>
  </si>
  <si>
    <t>Carlson, Alan</t>
  </si>
  <si>
    <t>Carlson, Janet</t>
  </si>
  <si>
    <t>Carlson, Lindsey</t>
  </si>
  <si>
    <t>Carlson, Ronald</t>
  </si>
  <si>
    <t>Carmean, Fred</t>
  </si>
  <si>
    <t>Carmichael, Mark</t>
  </si>
  <si>
    <t>Carnegie, Josh</t>
  </si>
  <si>
    <t>Carnes, Doug</t>
  </si>
  <si>
    <t>Carnes, Robert</t>
  </si>
  <si>
    <t>Carnevale, Linda</t>
  </si>
  <si>
    <t>Carollo, Beth</t>
  </si>
  <si>
    <t>Caron, Claire</t>
  </si>
  <si>
    <t>Carpenter, Karen</t>
  </si>
  <si>
    <t>Carpenter, Matthew</t>
  </si>
  <si>
    <t>Carr, Larry</t>
  </si>
  <si>
    <t>Carreon, Emma</t>
  </si>
  <si>
    <t>Carrigan, John</t>
  </si>
  <si>
    <t>Carrillo, Eric</t>
  </si>
  <si>
    <t>Carroll, Barbara</t>
  </si>
  <si>
    <t>Carroll, Susan</t>
  </si>
  <si>
    <t>Carruth, Jeannine</t>
  </si>
  <si>
    <t>Carson, James</t>
  </si>
  <si>
    <t>Carson, Matthew</t>
  </si>
  <si>
    <t>Carstensen, Renee</t>
  </si>
  <si>
    <t>Carter, David</t>
  </si>
  <si>
    <t>Carter, Denise</t>
  </si>
  <si>
    <t>Carter, Kelly</t>
  </si>
  <si>
    <t>Carter, Paul</t>
  </si>
  <si>
    <t>Carter, Robert</t>
  </si>
  <si>
    <t>Carter, Tomas</t>
  </si>
  <si>
    <t>Carter, Wayne</t>
  </si>
  <si>
    <t>Cartergray, Mary</t>
  </si>
  <si>
    <t>Cartland, Kristen</t>
  </si>
  <si>
    <t>Cartwright, Paul</t>
  </si>
  <si>
    <t>Caruso, Anthony</t>
  </si>
  <si>
    <t>Caruso, Christopher</t>
  </si>
  <si>
    <t>Casagrande, Gary</t>
  </si>
  <si>
    <t>Casale, Linda</t>
  </si>
  <si>
    <t>Cascaddan, Constance</t>
  </si>
  <si>
    <t>Cascio, David</t>
  </si>
  <si>
    <t>Cascio, Kenneth</t>
  </si>
  <si>
    <t>Casey, Brett</t>
  </si>
  <si>
    <t>Casey, Lynne</t>
  </si>
  <si>
    <t>Casey, Patrick</t>
  </si>
  <si>
    <t>Cash, Jennifer</t>
  </si>
  <si>
    <t>Casho, Jennifer</t>
  </si>
  <si>
    <t>Casiello, Nancy</t>
  </si>
  <si>
    <t>Casillas, Don</t>
  </si>
  <si>
    <t>Caskey, Dale</t>
  </si>
  <si>
    <t>Cassidy, Cynthia</t>
  </si>
  <si>
    <t>Casson, Christopher</t>
  </si>
  <si>
    <t>Castano, Silvia</t>
  </si>
  <si>
    <t>Castellon, Margarita</t>
  </si>
  <si>
    <t>Castilon, April</t>
  </si>
  <si>
    <t>Castro, Ernesto</t>
  </si>
  <si>
    <t>Castro, Maria</t>
  </si>
  <si>
    <t>Castro, Stephen</t>
  </si>
  <si>
    <t>Catalano, Thomas</t>
  </si>
  <si>
    <t>Catalogna, Eric</t>
  </si>
  <si>
    <t>Catania, Jacqueline</t>
  </si>
  <si>
    <t>Cate, Charles</t>
  </si>
  <si>
    <t>Caudill, Larry</t>
  </si>
  <si>
    <t>Caulkins, Howie</t>
  </si>
  <si>
    <t>Cavalli, John</t>
  </si>
  <si>
    <t>Cavenall, Teresa</t>
  </si>
  <si>
    <t>Caver, James</t>
  </si>
  <si>
    <t>Cazanas, Mercedes</t>
  </si>
  <si>
    <t>Cearlock, Tracy</t>
  </si>
  <si>
    <t>Cens, Sandra</t>
  </si>
  <si>
    <t>Centanni, Mark</t>
  </si>
  <si>
    <t>Centeno, Gilbert</t>
  </si>
  <si>
    <t>Cepeda, Peter</t>
  </si>
  <si>
    <t>Cerio, Jeremy</t>
  </si>
  <si>
    <t>Cernich, William</t>
  </si>
  <si>
    <t>Cerwinske, Mike</t>
  </si>
  <si>
    <t>Ceteras, Sarah</t>
  </si>
  <si>
    <t>Cha, Sungwon</t>
  </si>
  <si>
    <t>Chafin, Susan</t>
  </si>
  <si>
    <t>Chahin, Sam</t>
  </si>
  <si>
    <t>Chaite iii, Arthur</t>
  </si>
  <si>
    <t>Chakravarty, Mainak</t>
  </si>
  <si>
    <t>Chalfin, Blair</t>
  </si>
  <si>
    <t>Chamberlain, Christopher j</t>
  </si>
  <si>
    <t>Chamberlain, Jeffrey</t>
  </si>
  <si>
    <t>Chamberlainstoner, Lorraine</t>
  </si>
  <si>
    <t>Chambers, Corey</t>
  </si>
  <si>
    <t>Chambers, Cynthia</t>
  </si>
  <si>
    <t>Chambers, Ellen</t>
  </si>
  <si>
    <t>Chambless, Christopher</t>
  </si>
  <si>
    <t>Chamblin, Gene</t>
  </si>
  <si>
    <t>Champion, David</t>
  </si>
  <si>
    <t>Chan, Phillip</t>
  </si>
  <si>
    <t>Chan, Yiu Bun</t>
  </si>
  <si>
    <t>Chancellor, Karen</t>
  </si>
  <si>
    <t>Chang, Anthony</t>
  </si>
  <si>
    <t>Chang, Judy</t>
  </si>
  <si>
    <t>Chang, Steven</t>
  </si>
  <si>
    <t>Channell, Gretchen</t>
  </si>
  <si>
    <t>Chapman, Allicen</t>
  </si>
  <si>
    <t>Chapman, Beverly</t>
  </si>
  <si>
    <t>Chappell, Rodney</t>
  </si>
  <si>
    <t>Charles, Mark</t>
  </si>
  <si>
    <t>Chartier, Matthew</t>
  </si>
  <si>
    <t>Chasse, James</t>
  </si>
  <si>
    <t>Chatman, Patrick</t>
  </si>
  <si>
    <t>Chau, Sandy</t>
  </si>
  <si>
    <t>Chau, Winnie</t>
  </si>
  <si>
    <t>Chaudhry, Faisal</t>
  </si>
  <si>
    <t>Chavez, Mauricio</t>
  </si>
  <si>
    <t>Chavez, Monique</t>
  </si>
  <si>
    <t>Cheatham, Barbara</t>
  </si>
  <si>
    <t>Chee, Jason</t>
  </si>
  <si>
    <t>Cheek, Jeffrey</t>
  </si>
  <si>
    <t>Cheek, Troy</t>
  </si>
  <si>
    <t>Cheiffetz, Aaron</t>
  </si>
  <si>
    <t>Cherek, Sharon</t>
  </si>
  <si>
    <t>Cherney, Mary</t>
  </si>
  <si>
    <t>Cherry, Daniel</t>
  </si>
  <si>
    <t>Cherup, Corey</t>
  </si>
  <si>
    <t>Chevaili, Nemi</t>
  </si>
  <si>
    <t>Chew, Patrick</t>
  </si>
  <si>
    <t>Chi, Bill</t>
  </si>
  <si>
    <t>Chiaia, Maryann</t>
  </si>
  <si>
    <t>Childress, Patricia</t>
  </si>
  <si>
    <t>Childs, Patricia</t>
  </si>
  <si>
    <t>Chin, Chan</t>
  </si>
  <si>
    <t>Chin, Douglas</t>
  </si>
  <si>
    <t>Chin, Martin</t>
  </si>
  <si>
    <t>Chiniara, Anthony</t>
  </si>
  <si>
    <t>Chiodo, Robert</t>
  </si>
  <si>
    <t>Chiotakis, Stacy</t>
  </si>
  <si>
    <t>Chirichella, Theresa</t>
  </si>
  <si>
    <t>Chmelar, Christopher</t>
  </si>
  <si>
    <t>Chmielewski, Mark</t>
  </si>
  <si>
    <t>Cho, Eugene</t>
  </si>
  <si>
    <t>Cho, Shirley</t>
  </si>
  <si>
    <t>Chong, Soonyew</t>
  </si>
  <si>
    <t>Choong, Kwei</t>
  </si>
  <si>
    <t>Christian, Scott</t>
  </si>
  <si>
    <t>Christian, Timothy</t>
  </si>
  <si>
    <t>Christiansen, Kaal</t>
  </si>
  <si>
    <t>Christmas, Cory</t>
  </si>
  <si>
    <t>Chu, Donald</t>
  </si>
  <si>
    <t>Chu, Sandra</t>
  </si>
  <si>
    <t>Chugh, Ashwin</t>
  </si>
  <si>
    <t>Chui, Frank</t>
  </si>
  <si>
    <t>Chung, Maggie</t>
  </si>
  <si>
    <t>Chung, Torie</t>
  </si>
  <si>
    <t>Church, Priscilla</t>
  </si>
  <si>
    <t>Churchill, Michelle</t>
  </si>
  <si>
    <t>Ciavolella, Dominic</t>
  </si>
  <si>
    <t>Cilurzo, Scott</t>
  </si>
  <si>
    <t>Cimmino, Domenico</t>
  </si>
  <si>
    <t>Cino, Vince</t>
  </si>
  <si>
    <t>Cipolla, Peter</t>
  </si>
  <si>
    <t>Cirii, Ruth</t>
  </si>
  <si>
    <t>Cirone, Thomas</t>
  </si>
  <si>
    <t>Citizen-James, Lisa</t>
  </si>
  <si>
    <t>Claire, Sean</t>
  </si>
  <si>
    <t>Clancy, Joseph</t>
  </si>
  <si>
    <t>Clanton, Joseph</t>
  </si>
  <si>
    <t>Clark Iii, James</t>
  </si>
  <si>
    <t>Clark, David</t>
  </si>
  <si>
    <t>Clark, James</t>
  </si>
  <si>
    <t>Clark, Jeffrey</t>
  </si>
  <si>
    <t>Clark, Jesse</t>
  </si>
  <si>
    <t>Clark, Keith</t>
  </si>
  <si>
    <t>Clark, Kristopher</t>
  </si>
  <si>
    <t>Clark, Lori</t>
  </si>
  <si>
    <t>Clark, Mark</t>
  </si>
  <si>
    <t>Clark, Richard</t>
  </si>
  <si>
    <t>Clarke, Larry</t>
  </si>
  <si>
    <t>Clarke, Robert</t>
  </si>
  <si>
    <t>Claudino, Cesar</t>
  </si>
  <si>
    <t>Clausen, Steen</t>
  </si>
  <si>
    <t>Clawson, Randolph</t>
  </si>
  <si>
    <t>Clawson, Stephen</t>
  </si>
  <si>
    <t>Clay, Joseph</t>
  </si>
  <si>
    <t>Claycomb, Merlin</t>
  </si>
  <si>
    <t>Claypool, David</t>
  </si>
  <si>
    <t>Claypool, Gabe</t>
  </si>
  <si>
    <t>Clean up, ENT</t>
  </si>
  <si>
    <t>Clean up, MOW</t>
  </si>
  <si>
    <t>Clean up, SCG</t>
  </si>
  <si>
    <t>Clean up, Select</t>
  </si>
  <si>
    <t>Cleary, Jeanette</t>
  </si>
  <si>
    <t>Cleaver, Jennifer</t>
  </si>
  <si>
    <t>Cleckley, Christopher</t>
  </si>
  <si>
    <t>Clements, J</t>
  </si>
  <si>
    <t>Cline, Charles</t>
  </si>
  <si>
    <t>Cline, Mitchell</t>
  </si>
  <si>
    <t>Clophia, Linda</t>
  </si>
  <si>
    <t>Closterman, Ward</t>
  </si>
  <si>
    <t>Cloud, Floyd</t>
  </si>
  <si>
    <t>Cloud, Robin</t>
  </si>
  <si>
    <t>Cloud, William</t>
  </si>
  <si>
    <t>Clouden, Richard</t>
  </si>
  <si>
    <t>Clough, Dale</t>
  </si>
  <si>
    <t>Clough, Richard</t>
  </si>
  <si>
    <t>Clute, Margery</t>
  </si>
  <si>
    <t>Clutts, Larry</t>
  </si>
  <si>
    <t>Coartney, Stephen</t>
  </si>
  <si>
    <t>Coates, Samantha</t>
  </si>
  <si>
    <t>Coats, Allison</t>
  </si>
  <si>
    <t>Cobb, Christopher</t>
  </si>
  <si>
    <t>Cobb, Devin</t>
  </si>
  <si>
    <t>Cobb, Donna</t>
  </si>
  <si>
    <t>Cobbs, Gelinde</t>
  </si>
  <si>
    <t>Cobbs, Stacy</t>
  </si>
  <si>
    <t>Coburn, Douglas</t>
  </si>
  <si>
    <t>Cochran, Tronnie</t>
  </si>
  <si>
    <t>Cody, Alice</t>
  </si>
  <si>
    <t>Cody, Decole</t>
  </si>
  <si>
    <t>Coffee, Todd</t>
  </si>
  <si>
    <t>Coffey, Angela</t>
  </si>
  <si>
    <t>Coffey, David</t>
  </si>
  <si>
    <t>Coffey, Ed</t>
  </si>
  <si>
    <t>Coffin, Jason</t>
  </si>
  <si>
    <t>Coffin, Keith</t>
  </si>
  <si>
    <t>Coggins, Jason</t>
  </si>
  <si>
    <t>Cohen, Brenda</t>
  </si>
  <si>
    <t>Cohen, Jared</t>
  </si>
  <si>
    <t>Cohen, Jean-Phillippe</t>
  </si>
  <si>
    <t>Cohen, Tali</t>
  </si>
  <si>
    <t>Coke, Lois</t>
  </si>
  <si>
    <t>Coker, Cole</t>
  </si>
  <si>
    <t>Cokorogianis, James</t>
  </si>
  <si>
    <t>Colache, Linda</t>
  </si>
  <si>
    <t>Colangelo-harrington, Franki</t>
  </si>
  <si>
    <t>Cole, Elizabeth</t>
  </si>
  <si>
    <t>Cole, Jason</t>
  </si>
  <si>
    <t>Cole, Jeffrey</t>
  </si>
  <si>
    <t>Cole, Marcia</t>
  </si>
  <si>
    <t>Cole, Ponise</t>
  </si>
  <si>
    <t>Colefield, Jon</t>
  </si>
  <si>
    <t>Colefield, Michelle</t>
  </si>
  <si>
    <t>Coleman, John</t>
  </si>
  <si>
    <t>Coleman, Leonard</t>
  </si>
  <si>
    <t>Coleman, Linda</t>
  </si>
  <si>
    <t>Coleman, Mark</t>
  </si>
  <si>
    <t>Coleman, Stacy</t>
  </si>
  <si>
    <t>Coleman, Thomas</t>
  </si>
  <si>
    <t>Coletta, Ron</t>
  </si>
  <si>
    <t>Collett, Mark</t>
  </si>
  <si>
    <t>Collier, Aaron</t>
  </si>
  <si>
    <t>Collinge, Brenda</t>
  </si>
  <si>
    <t>Collins, Ardith</t>
  </si>
  <si>
    <t>Collins, Michael</t>
  </si>
  <si>
    <t>Collins, Patricia</t>
  </si>
  <si>
    <t>Collins, Shana</t>
  </si>
  <si>
    <t>Collins, Vanessa</t>
  </si>
  <si>
    <t>Collins, Yvette</t>
  </si>
  <si>
    <t>Collot, Hope</t>
  </si>
  <si>
    <t>Collot, Nancy</t>
  </si>
  <si>
    <t>Colombo, Bettyann</t>
  </si>
  <si>
    <t>Colon, Armando</t>
  </si>
  <si>
    <t>Colter, Ronald</t>
  </si>
  <si>
    <t>Comerford, Patrick</t>
  </si>
  <si>
    <t>Comish, Mark</t>
  </si>
  <si>
    <t>Companik, Patricia</t>
  </si>
  <si>
    <t>Compton, Anita</t>
  </si>
  <si>
    <t>Compton, Mark</t>
  </si>
  <si>
    <t>Compton, Mary</t>
  </si>
  <si>
    <t>Comried, Judy</t>
  </si>
  <si>
    <t>Comroe, Scott</t>
  </si>
  <si>
    <t>Comtess, J</t>
  </si>
  <si>
    <t>Conaway, Richard</t>
  </si>
  <si>
    <t>Concordia, George</t>
  </si>
  <si>
    <t>Condon, Tammy</t>
  </si>
  <si>
    <t>Conduragis, Rod</t>
  </si>
  <si>
    <t>Condurso, Dominick</t>
  </si>
  <si>
    <t>Cone, Chris</t>
  </si>
  <si>
    <t>Congerton, Guy</t>
  </si>
  <si>
    <t>Conley, David</t>
  </si>
  <si>
    <t>Conley, John</t>
  </si>
  <si>
    <t>Conley, William</t>
  </si>
  <si>
    <t>Conn, Evan</t>
  </si>
  <si>
    <t>Connelly, Christopher</t>
  </si>
  <si>
    <t>Conner, Scott</t>
  </si>
  <si>
    <t>Connole, Michael</t>
  </si>
  <si>
    <t>Connolly, Craig</t>
  </si>
  <si>
    <t>Connor, Craig</t>
  </si>
  <si>
    <t>Connor, Francis</t>
  </si>
  <si>
    <t>Connors, Kathleen</t>
  </si>
  <si>
    <t>Connors, Timothy</t>
  </si>
  <si>
    <t>Connors, William</t>
  </si>
  <si>
    <t>Conover, William</t>
  </si>
  <si>
    <t>Conrad, Wanda</t>
  </si>
  <si>
    <t>Consdorf, Richard</t>
  </si>
  <si>
    <t>Constable, Brian</t>
  </si>
  <si>
    <t>Constantinescu, Andrei</t>
  </si>
  <si>
    <t>Conte, Christian</t>
  </si>
  <si>
    <t>Contreras, Raul</t>
  </si>
  <si>
    <t>Conway, Mark</t>
  </si>
  <si>
    <t>Conway, Nora</t>
  </si>
  <si>
    <t>Cook, Douglas</t>
  </si>
  <si>
    <t>Cook, Jennifer</t>
  </si>
  <si>
    <t>Cook, Jeremy</t>
  </si>
  <si>
    <t>Cook, Joseph</t>
  </si>
  <si>
    <t>Cook, Nicole</t>
  </si>
  <si>
    <t>Cook, Rae</t>
  </si>
  <si>
    <t>Cook, Scott</t>
  </si>
  <si>
    <t>Cooke, Donna</t>
  </si>
  <si>
    <t>Cooke-barnes, Sybil</t>
  </si>
  <si>
    <t>Cooley, Janice</t>
  </si>
  <si>
    <t>Cooper, Christopher</t>
  </si>
  <si>
    <t>Cooper, David</t>
  </si>
  <si>
    <t>Cooper, Debra</t>
  </si>
  <si>
    <t>Cooper, Gregory</t>
  </si>
  <si>
    <t>Cooper, Janet</t>
  </si>
  <si>
    <t>Cooper, Kenneth</t>
  </si>
  <si>
    <t>Cooper, Raiford</t>
  </si>
  <si>
    <t>Cope, Brian</t>
  </si>
  <si>
    <t>Corbin, Mike</t>
  </si>
  <si>
    <t>Corby, Brent</t>
  </si>
  <si>
    <t>Corcoran, Kevin</t>
  </si>
  <si>
    <t>Cordal, Elena</t>
  </si>
  <si>
    <t>Core, Billy</t>
  </si>
  <si>
    <t>Corley, Geraldine</t>
  </si>
  <si>
    <t>Cornelius, William</t>
  </si>
  <si>
    <t>Cornell, Scott</t>
  </si>
  <si>
    <t>Corning, Chad</t>
  </si>
  <si>
    <t>Corona, Marisa</t>
  </si>
  <si>
    <t>Coronado, Teresa</t>
  </si>
  <si>
    <t>Correa, Daniel</t>
  </si>
  <si>
    <t>Cortez, Christina</t>
  </si>
  <si>
    <t>Cortines, Gabriela</t>
  </si>
  <si>
    <t>Corvalan, Philip</t>
  </si>
  <si>
    <t>Corvi, Eugene</t>
  </si>
  <si>
    <t>Corvington, Kettely</t>
  </si>
  <si>
    <t>Cosio, Maryrose</t>
  </si>
  <si>
    <t>Coslow, James</t>
  </si>
  <si>
    <t>Cosman, Kathy</t>
  </si>
  <si>
    <t>Coss, Shelley</t>
  </si>
  <si>
    <t>Costa, Sarah</t>
  </si>
  <si>
    <t>Costantino, Mark</t>
  </si>
  <si>
    <t>Costello, Kenneth</t>
  </si>
  <si>
    <t>Costner, Julia</t>
  </si>
  <si>
    <t>Cotrim, Danielle</t>
  </si>
  <si>
    <t>Cottengim, Jody</t>
  </si>
  <si>
    <t>Cotter, Dawn</t>
  </si>
  <si>
    <t>Cotton, Beverly</t>
  </si>
  <si>
    <t>Cottonaro, Julissa</t>
  </si>
  <si>
    <t>Cottrell, Brian</t>
  </si>
  <si>
    <t>Couch, Susan</t>
  </si>
  <si>
    <t>Couchenour, Les</t>
  </si>
  <si>
    <t>Coughlan, Maria</t>
  </si>
  <si>
    <t>Coulehan, Thomas</t>
  </si>
  <si>
    <t>Couloumbis, Alex</t>
  </si>
  <si>
    <t>Coulter, Clay</t>
  </si>
  <si>
    <t>Covarrubias, Rafael</t>
  </si>
  <si>
    <t>Covello, Lisa</t>
  </si>
  <si>
    <t>Cowan, Christopher</t>
  </si>
  <si>
    <t>Cowell, Richard</t>
  </si>
  <si>
    <t>Cowen, Pam</t>
  </si>
  <si>
    <t>Cowger, Carol</t>
  </si>
  <si>
    <t>Cowgill, Julie</t>
  </si>
  <si>
    <t>Cox, Becky</t>
  </si>
  <si>
    <t>Coykendall, Judy</t>
  </si>
  <si>
    <t>Coykendall, Mary</t>
  </si>
  <si>
    <t>Crabbe, Jared</t>
  </si>
  <si>
    <t>Craft, Anne</t>
  </si>
  <si>
    <t>Craft, William</t>
  </si>
  <si>
    <t>Craig, William</t>
  </si>
  <si>
    <t>Crawford, Darren</t>
  </si>
  <si>
    <t>Crawford, Joanne</t>
  </si>
  <si>
    <t>Crawford, Laurene</t>
  </si>
  <si>
    <t>Creason, Libby</t>
  </si>
  <si>
    <t>Creason, Walt</t>
  </si>
  <si>
    <t>Cree, Elizabeth</t>
  </si>
  <si>
    <t>Creekmore, David</t>
  </si>
  <si>
    <t>Creighan, Martin</t>
  </si>
  <si>
    <t>Crew, John</t>
  </si>
  <si>
    <t>Crews, Albert</t>
  </si>
  <si>
    <t>Crews, Susan</t>
  </si>
  <si>
    <t>Crisologo, Cristopher</t>
  </si>
  <si>
    <t>Crisp, Lori</t>
  </si>
  <si>
    <t>Criss, Carletta</t>
  </si>
  <si>
    <t>Crist, Thomas</t>
  </si>
  <si>
    <t>Cristobal, Emil</t>
  </si>
  <si>
    <t>Criswell, Lee</t>
  </si>
  <si>
    <t>Croft, Keri</t>
  </si>
  <si>
    <t>Croll, Scott</t>
  </si>
  <si>
    <t>Cromer, Donna</t>
  </si>
  <si>
    <t>Cromwell, Lori</t>
  </si>
  <si>
    <t>Cronoble, David</t>
  </si>
  <si>
    <t>Cross, Anthony</t>
  </si>
  <si>
    <t>Cross, Brian</t>
  </si>
  <si>
    <t>Crossman, Ashley</t>
  </si>
  <si>
    <t>Croswell, Michael</t>
  </si>
  <si>
    <t>Crough, Kathee</t>
  </si>
  <si>
    <t>Crowder, Patrick</t>
  </si>
  <si>
    <t>Crowder, Shaun</t>
  </si>
  <si>
    <t>Crowley, Thomas</t>
  </si>
  <si>
    <t>Crowther, Manny</t>
  </si>
  <si>
    <t>Croy, Harold</t>
  </si>
  <si>
    <t>Crozier, Gregory</t>
  </si>
  <si>
    <t>Crumpton, Larry</t>
  </si>
  <si>
    <t>Crute, Joseph</t>
  </si>
  <si>
    <t>Cruz, Angel</t>
  </si>
  <si>
    <t>Cruz, Doris</t>
  </si>
  <si>
    <t>Cruz, Luz</t>
  </si>
  <si>
    <t>Cruz, Phillip</t>
  </si>
  <si>
    <t>Crystal, Holly</t>
  </si>
  <si>
    <t>Cuartas-nettles, Luisa</t>
  </si>
  <si>
    <t>Cuccinelli, Paul</t>
  </si>
  <si>
    <t>Cueva, Tyrone</t>
  </si>
  <si>
    <t>Cufr, James</t>
  </si>
  <si>
    <t>Cugniere, Vanessa</t>
  </si>
  <si>
    <t>Cullershickerson, Michelle</t>
  </si>
  <si>
    <t>Culp, Robert</t>
  </si>
  <si>
    <t>Culver, Charles</t>
  </si>
  <si>
    <t>Cummings, George</t>
  </si>
  <si>
    <t>Cummins, Joe</t>
  </si>
  <si>
    <t>Cundiff, Mark</t>
  </si>
  <si>
    <t>Cunha, Eduardo</t>
  </si>
  <si>
    <t>Cunha, Eugenia</t>
  </si>
  <si>
    <t>Cunningham, Cheryl</t>
  </si>
  <si>
    <t>Cunningham, Edward</t>
  </si>
  <si>
    <t>Cunningham, Joan</t>
  </si>
  <si>
    <t>Cunningham, Margaret</t>
  </si>
  <si>
    <t>Cunningham, Michael</t>
  </si>
  <si>
    <t>Cunningham, Timothy</t>
  </si>
  <si>
    <t>Cupples, Lea</t>
  </si>
  <si>
    <t>Curley, Carla</t>
  </si>
  <si>
    <t>Curley, Talitha</t>
  </si>
  <si>
    <t>Curran, Peter</t>
  </si>
  <si>
    <t>Curry, Dallas</t>
  </si>
  <si>
    <t>Curry, Kenneth</t>
  </si>
  <si>
    <t>Curtis, Mark</t>
  </si>
  <si>
    <t>Curttright, Stacy</t>
  </si>
  <si>
    <t>Cushma, Matthew</t>
  </si>
  <si>
    <t>Cushman, Craig</t>
  </si>
  <si>
    <t>Cushman, Jeff</t>
  </si>
  <si>
    <t>Custardo, Karri</t>
  </si>
  <si>
    <t>Cutaran, Paul G</t>
  </si>
  <si>
    <t>Cutler, Michael</t>
  </si>
  <si>
    <t>Cvetko, Maria</t>
  </si>
  <si>
    <t>Cwiklik, Gwen</t>
  </si>
  <si>
    <t>Czupek, Jennifer</t>
  </si>
  <si>
    <t>Dabruzzi, John</t>
  </si>
  <si>
    <t>Dachelet, Bradley</t>
  </si>
  <si>
    <t>Dacumos, Felix</t>
  </si>
  <si>
    <t>Dacus, Stephen</t>
  </si>
  <si>
    <t>Dailey, Michael</t>
  </si>
  <si>
    <t>Dalal, Lahar</t>
  </si>
  <si>
    <t>Dalbora, James</t>
  </si>
  <si>
    <t>Dalby, Suzanne</t>
  </si>
  <si>
    <t>Dale, James</t>
  </si>
  <si>
    <t>Daley, John</t>
  </si>
  <si>
    <t>Dallao, Donald</t>
  </si>
  <si>
    <t>Dalley, Joy</t>
  </si>
  <si>
    <t>Dalton, Paul</t>
  </si>
  <si>
    <t>Daly, Patrick</t>
  </si>
  <si>
    <t>Dame, Brad</t>
  </si>
  <si>
    <t>Dandridge, Corriann</t>
  </si>
  <si>
    <t>Daniel, Darrell</t>
  </si>
  <si>
    <t>Daniel, Jamie</t>
  </si>
  <si>
    <t>Daniel, Susan</t>
  </si>
  <si>
    <t>Daniel, William</t>
  </si>
  <si>
    <t>Daniels, D. Scott</t>
  </si>
  <si>
    <t>Daniels, David</t>
  </si>
  <si>
    <t>Daniels, Sherri</t>
  </si>
  <si>
    <t>Danner, Michael</t>
  </si>
  <si>
    <t>Dario, Kelley</t>
  </si>
  <si>
    <t>Darnell, Dean</t>
  </si>
  <si>
    <t>Darrah, John</t>
  </si>
  <si>
    <t>Darrow, Thomas</t>
  </si>
  <si>
    <t>Datel, Tanya</t>
  </si>
  <si>
    <t>Daudlin, Joyce</t>
  </si>
  <si>
    <t>Daughters, James</t>
  </si>
  <si>
    <t>Davenport, James</t>
  </si>
  <si>
    <t>Davenport, Marsha</t>
  </si>
  <si>
    <t>Davey, Kurt</t>
  </si>
  <si>
    <t>David, Carolyn</t>
  </si>
  <si>
    <t>David, Sunil</t>
  </si>
  <si>
    <t>David, Tracy</t>
  </si>
  <si>
    <t>Davidson, Eric</t>
  </si>
  <si>
    <t>Davidson, Nancy</t>
  </si>
  <si>
    <t>Davidson, Paige</t>
  </si>
  <si>
    <t>Davidson, Sarah</t>
  </si>
  <si>
    <t>Davila, Joel</t>
  </si>
  <si>
    <t>Davis, Ann</t>
  </si>
  <si>
    <t>Davis, Anndo</t>
  </si>
  <si>
    <t>Davis, Beverly</t>
  </si>
  <si>
    <t>Davis, Bobby</t>
  </si>
  <si>
    <t>Davis, Brent</t>
  </si>
  <si>
    <t>Davis, Connie</t>
  </si>
  <si>
    <t>Davis, Darryl</t>
  </si>
  <si>
    <t>Davis, Diana</t>
  </si>
  <si>
    <t>Davis, Doug</t>
  </si>
  <si>
    <t>Davis, Ed</t>
  </si>
  <si>
    <t>Davis, J</t>
  </si>
  <si>
    <t>Davis, Jeffrey</t>
  </si>
  <si>
    <t>Davis, John</t>
  </si>
  <si>
    <t>Davis, Julius</t>
  </si>
  <si>
    <t>Davis, Kevin</t>
  </si>
  <si>
    <t>Davis, Kristine</t>
  </si>
  <si>
    <t>Davis, Lakendra</t>
  </si>
  <si>
    <t>Davis, Lekeisha</t>
  </si>
  <si>
    <t>Davis, Lisa</t>
  </si>
  <si>
    <t>Davis, Nicole</t>
  </si>
  <si>
    <t>Davis, Randall</t>
  </si>
  <si>
    <t>Davis, Richard</t>
  </si>
  <si>
    <t>Davis, Scott</t>
  </si>
  <si>
    <t>Davis, Sharon</t>
  </si>
  <si>
    <t>Davito, Michael</t>
  </si>
  <si>
    <t>Davolt, Linda</t>
  </si>
  <si>
    <t>Dawson, Joshua</t>
  </si>
  <si>
    <t>Day, Lori</t>
  </si>
  <si>
    <t>Day, Mary</t>
  </si>
  <si>
    <t>Dayo, Jet</t>
  </si>
  <si>
    <t>De Cardenas, Robert</t>
  </si>
  <si>
    <t>De La Rosa, Michelle</t>
  </si>
  <si>
    <t>De Landa, Philip</t>
  </si>
  <si>
    <t>De risi, Michael</t>
  </si>
  <si>
    <t>De Rosier, Patrick</t>
  </si>
  <si>
    <t>De windt, Fabrice</t>
  </si>
  <si>
    <t>Dean, Brian</t>
  </si>
  <si>
    <t>Dean, Nelson</t>
  </si>
  <si>
    <t>Dean, Pamela</t>
  </si>
  <si>
    <t>Dean, Steven</t>
  </si>
  <si>
    <t>Dearmond, Robert</t>
  </si>
  <si>
    <t>Debaere, Stephanie</t>
  </si>
  <si>
    <t>Deblance, Kimberly</t>
  </si>
  <si>
    <t>Debono, Elizabeth</t>
  </si>
  <si>
    <t>Debreceni, Csaba</t>
  </si>
  <si>
    <t>Decarish, Claude</t>
  </si>
  <si>
    <t>Decarlo, Joelle</t>
  </si>
  <si>
    <t>Decastro, Elaine</t>
  </si>
  <si>
    <t>Decesaro, Stacy</t>
  </si>
  <si>
    <t>Dechiara, Michael</t>
  </si>
  <si>
    <t>Decicco, Salvatore</t>
  </si>
  <si>
    <t>Deckard, Anthony</t>
  </si>
  <si>
    <t>Decker, Chris</t>
  </si>
  <si>
    <t>Decker, David</t>
  </si>
  <si>
    <t>Decker, Matthew</t>
  </si>
  <si>
    <t>Decker, Scott</t>
  </si>
  <si>
    <t>Decleene, Teresa</t>
  </si>
  <si>
    <t>Dee, Kevin</t>
  </si>
  <si>
    <t>Deegan, John</t>
  </si>
  <si>
    <t>Deel, Kenneth</t>
  </si>
  <si>
    <t>Deep, Robert</t>
  </si>
  <si>
    <t>Defelice, Timothy</t>
  </si>
  <si>
    <t>Defreitas, Darlene</t>
  </si>
  <si>
    <t>Degan, John</t>
  </si>
  <si>
    <t>Degeiso, Tony</t>
  </si>
  <si>
    <t>Deguire, Robert</t>
  </si>
  <si>
    <t>Deguzman, Raymond</t>
  </si>
  <si>
    <t>Deibler, Karren</t>
  </si>
  <si>
    <t>Deir, Humberto</t>
  </si>
  <si>
    <t>Deitsch, Michael</t>
  </si>
  <si>
    <t>Del giorno, Mary</t>
  </si>
  <si>
    <t>Del soldato, Fabiano</t>
  </si>
  <si>
    <t>Delaney, Denise</t>
  </si>
  <si>
    <t>Delaney, Sean</t>
  </si>
  <si>
    <t>Delaria, Paul</t>
  </si>
  <si>
    <t>Deleese, David</t>
  </si>
  <si>
    <t>Deleon, Shari</t>
  </si>
  <si>
    <t>Delgadillo, Mauricio</t>
  </si>
  <si>
    <t>Delis, Lina</t>
  </si>
  <si>
    <t>Delk, Mary</t>
  </si>
  <si>
    <t>Dellinger, Dennis s</t>
  </si>
  <si>
    <t>Delo, Kemp</t>
  </si>
  <si>
    <t>Deloca, Edward</t>
  </si>
  <si>
    <t>Deloe, Christopher</t>
  </si>
  <si>
    <t>Deluca, Robert</t>
  </si>
  <si>
    <t>Delucia, Joseph</t>
  </si>
  <si>
    <t>Delvalle, Eddie</t>
  </si>
  <si>
    <t>Delyon, Robert</t>
  </si>
  <si>
    <t>Demarco, Philip</t>
  </si>
  <si>
    <t>Demarinisshelby, Mari</t>
  </si>
  <si>
    <t>Demars, Gary</t>
  </si>
  <si>
    <t>Dembowski, John</t>
  </si>
  <si>
    <t>Demeshko, Harry</t>
  </si>
  <si>
    <t>Demong, Mary l.</t>
  </si>
  <si>
    <t>Demory, Charles</t>
  </si>
  <si>
    <t>DeMott, Matt</t>
  </si>
  <si>
    <t>Dempster, Julie</t>
  </si>
  <si>
    <t>Denigris, Elizabeth</t>
  </si>
  <si>
    <t>Denison, Sarrah</t>
  </si>
  <si>
    <t>Denker, Richard</t>
  </si>
  <si>
    <t>Dennis, Kathy</t>
  </si>
  <si>
    <t>Dennison, Russell</t>
  </si>
  <si>
    <t>Denny, Jory</t>
  </si>
  <si>
    <t>Dentice, Don</t>
  </si>
  <si>
    <t>Depinto, Ann</t>
  </si>
  <si>
    <t>Depner, Cathleen</t>
  </si>
  <si>
    <t>Deprima, Michael</t>
  </si>
  <si>
    <t>Deren, Jeffrey</t>
  </si>
  <si>
    <t>Derwinski, Jeff</t>
  </si>
  <si>
    <t>Desantis, Steve</t>
  </si>
  <si>
    <t>Deschaine, Martin</t>
  </si>
  <si>
    <t>Dessero, Cheri</t>
  </si>
  <si>
    <t>Destefano, Lori</t>
  </si>
  <si>
    <t>Dettloff, Mary</t>
  </si>
  <si>
    <t>Deutsch, Kimberly</t>
  </si>
  <si>
    <t>Dewberry, Marikay</t>
  </si>
  <si>
    <t>Dewey, Mark</t>
  </si>
  <si>
    <t>Dewhurst, Kevin</t>
  </si>
  <si>
    <t>Diamint, Deirdre</t>
  </si>
  <si>
    <t>Diana, David</t>
  </si>
  <si>
    <t>Diangelo, Robert</t>
  </si>
  <si>
    <t>Diaz, Alma</t>
  </si>
  <si>
    <t>Diaz, Johnny</t>
  </si>
  <si>
    <t>Diaz, Michael</t>
  </si>
  <si>
    <t>Diaz, Mike</t>
  </si>
  <si>
    <t>Diaz-saavedra, Joseph</t>
  </si>
  <si>
    <t>Dickard, Robert</t>
  </si>
  <si>
    <t>Dickens, Wayne</t>
  </si>
  <si>
    <t>Dickerson, Bennett</t>
  </si>
  <si>
    <t>Dickey, Devra</t>
  </si>
  <si>
    <t>Dickson, David</t>
  </si>
  <si>
    <t>Dickson, Gregg</t>
  </si>
  <si>
    <t>Dickson, Linda</t>
  </si>
  <si>
    <t>Diehl, Janet</t>
  </si>
  <si>
    <t>Diehl, Stephanie</t>
  </si>
  <si>
    <t>DiJulio, Jeff</t>
  </si>
  <si>
    <t>Dilbeck, Joann</t>
  </si>
  <si>
    <t>Dilbert, Daphne</t>
  </si>
  <si>
    <t>Dillard, Clinton</t>
  </si>
  <si>
    <t>Dillard, Peter</t>
  </si>
  <si>
    <t>Dillard, Phyllis</t>
  </si>
  <si>
    <t>Dillard, Roderick</t>
  </si>
  <si>
    <t>Dillman, Alvin</t>
  </si>
  <si>
    <t>Dillman, Daniel</t>
  </si>
  <si>
    <t>Dillree, Andrew</t>
  </si>
  <si>
    <t>Dimalanta, Craig</t>
  </si>
  <si>
    <t>Dimarco, Michael</t>
  </si>
  <si>
    <t>Dimillo, Anthony</t>
  </si>
  <si>
    <t>Dimter, Howard</t>
  </si>
  <si>
    <t>Dinatale, Michele</t>
  </si>
  <si>
    <t>Dingle, Mark</t>
  </si>
  <si>
    <t>Diniz, Fabioserrachioli</t>
  </si>
  <si>
    <t>Dinkle, Diane</t>
  </si>
  <si>
    <t>Dinnel, Lee</t>
  </si>
  <si>
    <t>Dinsmore, Jeffrey</t>
  </si>
  <si>
    <t>Diola, Andy</t>
  </si>
  <si>
    <t>Dispensa, Christopher</t>
  </si>
  <si>
    <t>Distel, Kevin</t>
  </si>
  <si>
    <t>Dittamore, Charles</t>
  </si>
  <si>
    <t>Divine, Brian</t>
  </si>
  <si>
    <t>Diviney, Michael</t>
  </si>
  <si>
    <t>Divito, Diana</t>
  </si>
  <si>
    <t>Dixit, Praful</t>
  </si>
  <si>
    <t>Dixon, Christine</t>
  </si>
  <si>
    <t>Do, Jay</t>
  </si>
  <si>
    <t>Dockweiler, Mary</t>
  </si>
  <si>
    <t>Doebeli saxe, Veronique</t>
  </si>
  <si>
    <t>Doepker, James</t>
  </si>
  <si>
    <t>Doern, Colleen</t>
  </si>
  <si>
    <t>Doggett, Melinda</t>
  </si>
  <si>
    <t>Doherty, Elizabeth</t>
  </si>
  <si>
    <t>Doherty, James</t>
  </si>
  <si>
    <t>Doherty, Kevin</t>
  </si>
  <si>
    <t>Doi, Steven</t>
  </si>
  <si>
    <t>Doiron, Stephanie</t>
  </si>
  <si>
    <t>Dolak, Diane</t>
  </si>
  <si>
    <t>Dolan, Gina</t>
  </si>
  <si>
    <t>Dolan, Mary</t>
  </si>
  <si>
    <t>Doleski, Jane</t>
  </si>
  <si>
    <t>Dominguez, David</t>
  </si>
  <si>
    <t>Donadio, Sean</t>
  </si>
  <si>
    <t>Donaldson, Galen</t>
  </si>
  <si>
    <t>Donaldson, Scott</t>
  </si>
  <si>
    <t>Donan, Christopher</t>
  </si>
  <si>
    <t>Donato, Cherilyn</t>
  </si>
  <si>
    <t>Dondero, Theresa</t>
  </si>
  <si>
    <t>Donegan, Paul</t>
  </si>
  <si>
    <t>Donlevy, John</t>
  </si>
  <si>
    <t>Donlon, Timothy</t>
  </si>
  <si>
    <t>Donnell, William</t>
  </si>
  <si>
    <t>Donnelly, Jeff</t>
  </si>
  <si>
    <t>Donnelly, Sean</t>
  </si>
  <si>
    <t>Donovan, Kevin</t>
  </si>
  <si>
    <t>Doogan, Jonathan</t>
  </si>
  <si>
    <t>Dorey, Jeffrey</t>
  </si>
  <si>
    <t>Dorko, Robert</t>
  </si>
  <si>
    <t>Dorn, Malcolm</t>
  </si>
  <si>
    <t>Dorocak, Lori</t>
  </si>
  <si>
    <t>Dorough, Laurie</t>
  </si>
  <si>
    <t>Dorsey, Jim</t>
  </si>
  <si>
    <t>Doucet, Mary</t>
  </si>
  <si>
    <t>Doud, Brian</t>
  </si>
  <si>
    <t>Dougherty, Michael</t>
  </si>
  <si>
    <t>Douglas, Danielle</t>
  </si>
  <si>
    <t>Douglas, Wayne</t>
  </si>
  <si>
    <t>Douridas, Damon</t>
  </si>
  <si>
    <t>Dow, Paul</t>
  </si>
  <si>
    <t>Dowhy, John</t>
  </si>
  <si>
    <t>Dowlen, Michael</t>
  </si>
  <si>
    <t>Downs, Patricia</t>
  </si>
  <si>
    <t>Downs, Samantha</t>
  </si>
  <si>
    <t>Downs, Sean</t>
  </si>
  <si>
    <t>Doyle, Ian</t>
  </si>
  <si>
    <t>Doyle, James</t>
  </si>
  <si>
    <t>Doyle, Jason</t>
  </si>
  <si>
    <t>Doyle, Walter</t>
  </si>
  <si>
    <t>Dragoo, Craig</t>
  </si>
  <si>
    <t>Dragosh, Pamela</t>
  </si>
  <si>
    <t>Drake, Jeremy</t>
  </si>
  <si>
    <t>Drake, John</t>
  </si>
  <si>
    <t>Draper, Kathy</t>
  </si>
  <si>
    <t>Drapiza, Andrew</t>
  </si>
  <si>
    <t>Drehs, Mark</t>
  </si>
  <si>
    <t>Dressler, Robert</t>
  </si>
  <si>
    <t>Driscoll, Robert</t>
  </si>
  <si>
    <t>Droukas, Scott</t>
  </si>
  <si>
    <t>Droz, Timothy</t>
  </si>
  <si>
    <t>Dube, Jane</t>
  </si>
  <si>
    <t>Dubec, Dennis</t>
  </si>
  <si>
    <t>Dubois, David</t>
  </si>
  <si>
    <t>Dubois, Elise</t>
  </si>
  <si>
    <t>Dubois, Olivier</t>
  </si>
  <si>
    <t>Ducassi, Hector</t>
  </si>
  <si>
    <t>Duckett, Justin</t>
  </si>
  <si>
    <t>Duckworth, Gary</t>
  </si>
  <si>
    <t>Duda, Matthew</t>
  </si>
  <si>
    <t>Due, Imsoon</t>
  </si>
  <si>
    <t>Duffel, Joseph</t>
  </si>
  <si>
    <t>Duffey, James</t>
  </si>
  <si>
    <t>Duffy, Suzann</t>
  </si>
  <si>
    <t>Duft, Diana</t>
  </si>
  <si>
    <t>Dugan, Kathleen</t>
  </si>
  <si>
    <t>Duggan, Karen</t>
  </si>
  <si>
    <t>Dugger, Richard</t>
  </si>
  <si>
    <t>Duhon, Sandra</t>
  </si>
  <si>
    <t>Duke, Daniel</t>
  </si>
  <si>
    <t>Dull, Jill</t>
  </si>
  <si>
    <t>Dull, Thomas</t>
  </si>
  <si>
    <t>Duly, Michael</t>
  </si>
  <si>
    <t>Dumas, Melvin</t>
  </si>
  <si>
    <t>Dumas, William</t>
  </si>
  <si>
    <t>Dummer, Timothy</t>
  </si>
  <si>
    <t>Dunbar, Devin</t>
  </si>
  <si>
    <t>Duncan, Brent</t>
  </si>
  <si>
    <t>Duncombe, Nathan</t>
  </si>
  <si>
    <t>Dunkle, Robert</t>
  </si>
  <si>
    <t>Dunn, Brad</t>
  </si>
  <si>
    <t>Dunn, Chris</t>
  </si>
  <si>
    <t>Dunn, Daniel</t>
  </si>
  <si>
    <t>Dunn, Deborah</t>
  </si>
  <si>
    <t>Dunn, Debra</t>
  </si>
  <si>
    <t>Dunn, Ernest</t>
  </si>
  <si>
    <t>Dunn, Sean</t>
  </si>
  <si>
    <t>Dunn, Thomas</t>
  </si>
  <si>
    <t>Dunne, Richard</t>
  </si>
  <si>
    <t>Dunosky, Michael</t>
  </si>
  <si>
    <t>Dunston, Rodney</t>
  </si>
  <si>
    <t>Dupnock, Paul</t>
  </si>
  <si>
    <t>Dupuis, Claudine</t>
  </si>
  <si>
    <t>Durand, Richard</t>
  </si>
  <si>
    <t>Durbin, John</t>
  </si>
  <si>
    <t>Duren, Sam</t>
  </si>
  <si>
    <t>Durshimer, Georgia</t>
  </si>
  <si>
    <t>Dusak, Kristy</t>
  </si>
  <si>
    <t>Dusek, Mike</t>
  </si>
  <si>
    <t>Duvall, Michael</t>
  </si>
  <si>
    <t>Dykhuis, Joseph</t>
  </si>
  <si>
    <t>Dyste, Tom</t>
  </si>
  <si>
    <t>Dytrych, Patrick</t>
  </si>
  <si>
    <t>Dziurgot, Joseph</t>
  </si>
  <si>
    <t>Eads, Leticia</t>
  </si>
  <si>
    <t>Earls, Thomas</t>
  </si>
  <si>
    <t>Eason, Eddie</t>
  </si>
  <si>
    <t>Eason, Rodney</t>
  </si>
  <si>
    <t>Eason, Veda</t>
  </si>
  <si>
    <t>East, Barrett</t>
  </si>
  <si>
    <t>Eastburn, Michael</t>
  </si>
  <si>
    <t>Eastway, Terri</t>
  </si>
  <si>
    <t>Eastwood, Penny</t>
  </si>
  <si>
    <t>Eaton, David</t>
  </si>
  <si>
    <t>Ebling, Gregory</t>
  </si>
  <si>
    <t>Ebreo, Arnold</t>
  </si>
  <si>
    <t>Ecclestone, Mark</t>
  </si>
  <si>
    <t>Eckenstein, James</t>
  </si>
  <si>
    <t>Eckert, George</t>
  </si>
  <si>
    <t>eCRM Sales, Generic14</t>
  </si>
  <si>
    <t>Eddy, John</t>
  </si>
  <si>
    <t>Edgar, Janene</t>
  </si>
  <si>
    <t>Edmondson, Diane</t>
  </si>
  <si>
    <t>Edwards, Debbie</t>
  </si>
  <si>
    <t>Edwards, Gail</t>
  </si>
  <si>
    <t>Edwards, Maureen</t>
  </si>
  <si>
    <t>Edwards, Milton</t>
  </si>
  <si>
    <t>Edwards, S</t>
  </si>
  <si>
    <t>Edwards, Stacy</t>
  </si>
  <si>
    <t>Egbert, Benjamin</t>
  </si>
  <si>
    <t>Eggert, John</t>
  </si>
  <si>
    <t>Eggleston, Kathleen</t>
  </si>
  <si>
    <t>Egli, Greg</t>
  </si>
  <si>
    <t>Egli, Greg A</t>
  </si>
  <si>
    <t>Egozcue, Luis</t>
  </si>
  <si>
    <t>Ehlers, Kristoffer</t>
  </si>
  <si>
    <t>Eichenberg, Terri</t>
  </si>
  <si>
    <t>Eisenhauer, Dan</t>
  </si>
  <si>
    <t>Ekstrom, Gary</t>
  </si>
  <si>
    <t>Eldred, Joni</t>
  </si>
  <si>
    <t>Eley, Alan</t>
  </si>
  <si>
    <t>Elias, Steve</t>
  </si>
  <si>
    <t>Elley, Doug</t>
  </si>
  <si>
    <t>Elliott, Janice</t>
  </si>
  <si>
    <t>Ellis, Carol</t>
  </si>
  <si>
    <t>Ellis-Brown, Shandy</t>
  </si>
  <si>
    <t>Ellison, David</t>
  </si>
  <si>
    <t>Ellison, Terri</t>
  </si>
  <si>
    <t>Elzey, Ginni</t>
  </si>
  <si>
    <t>Emerich, Kristen</t>
  </si>
  <si>
    <t>Emig, David</t>
  </si>
  <si>
    <t>Emig, Stephany</t>
  </si>
  <si>
    <t>Employee, Proxy</t>
  </si>
  <si>
    <t>Emrick, Linda</t>
  </si>
  <si>
    <t>Endres, Julie</t>
  </si>
  <si>
    <t>Endres, Michael</t>
  </si>
  <si>
    <t>Engberg, Niels</t>
  </si>
  <si>
    <t>Engel, Susan</t>
  </si>
  <si>
    <t>Engerer, Dee</t>
  </si>
  <si>
    <t>Englund, Sophy</t>
  </si>
  <si>
    <t>Enos, William</t>
  </si>
  <si>
    <t>Enriquez, Steven</t>
  </si>
  <si>
    <t>Epps, Ronnie</t>
  </si>
  <si>
    <t>Erazo, Jay</t>
  </si>
  <si>
    <t>Ermesjoe, Harald</t>
  </si>
  <si>
    <t>Erwin, Eric</t>
  </si>
  <si>
    <t>Esparza, Teresa</t>
  </si>
  <si>
    <t>Esperance, Teri</t>
  </si>
  <si>
    <t>Espinosa, Kathleen</t>
  </si>
  <si>
    <t>Esquivel, Cynthia</t>
  </si>
  <si>
    <t>Essert, Erich</t>
  </si>
  <si>
    <t>Esslinger, David</t>
  </si>
  <si>
    <t>Esslinger, Sharon</t>
  </si>
  <si>
    <t>Estes, Bruce</t>
  </si>
  <si>
    <t>Estes, Michael</t>
  </si>
  <si>
    <t>Estes, Robert</t>
  </si>
  <si>
    <t>Estrada, RIck</t>
  </si>
  <si>
    <t>Etheridge, Noelle</t>
  </si>
  <si>
    <t>Etienne Iii, James</t>
  </si>
  <si>
    <t>Eubanks, Heather</t>
  </si>
  <si>
    <t>Evans, Aaron</t>
  </si>
  <si>
    <t>Evans, Beth</t>
  </si>
  <si>
    <t>Evans, Craig</t>
  </si>
  <si>
    <t>Evans, David</t>
  </si>
  <si>
    <t>Evans, John</t>
  </si>
  <si>
    <t>Evans, Jonathan</t>
  </si>
  <si>
    <t>Evans, Mark</t>
  </si>
  <si>
    <t>Evans, Mary</t>
  </si>
  <si>
    <t>Evans, Mila</t>
  </si>
  <si>
    <t>Evans, Nicholas</t>
  </si>
  <si>
    <t>Evans, Robert</t>
  </si>
  <si>
    <t>Evans, Stanley</t>
  </si>
  <si>
    <t>Evensen, Mark</t>
  </si>
  <si>
    <t>Everhart, Susan</t>
  </si>
  <si>
    <t>Everitt, Martyn</t>
  </si>
  <si>
    <t>Eversole, Angela</t>
  </si>
  <si>
    <t>Ewers, Richard</t>
  </si>
  <si>
    <t>Ewing, Edward</t>
  </si>
  <si>
    <t>Ewing, Gerri</t>
  </si>
  <si>
    <t>Fabacher, Kathy</t>
  </si>
  <si>
    <t>Fadden, Jim</t>
  </si>
  <si>
    <t>Faillace, Anthony</t>
  </si>
  <si>
    <t>Fain, Josef</t>
  </si>
  <si>
    <t>Fair, Kenneth</t>
  </si>
  <si>
    <t>Fair, Melissa</t>
  </si>
  <si>
    <t>Fairhurst, Christopher</t>
  </si>
  <si>
    <t>Fajardo, Joanne</t>
  </si>
  <si>
    <t>Falcone, William</t>
  </si>
  <si>
    <t>Falk, Gordon</t>
  </si>
  <si>
    <t>Falkenberg, Janie</t>
  </si>
  <si>
    <t>Fanelli, Jason</t>
  </si>
  <si>
    <t>Fanning, Loretta</t>
  </si>
  <si>
    <t>Fanning, Richard</t>
  </si>
  <si>
    <t>Fargo, Anthony</t>
  </si>
  <si>
    <t>Fariello, Susan</t>
  </si>
  <si>
    <t>Farmer, Betty</t>
  </si>
  <si>
    <t>Farmer, Jon</t>
  </si>
  <si>
    <t>Farmer, Pamela</t>
  </si>
  <si>
    <t>Farrell, Kelly</t>
  </si>
  <si>
    <t>Farrell, Theresa</t>
  </si>
  <si>
    <t>Farren, Michael</t>
  </si>
  <si>
    <t>Faruqi, Daanish</t>
  </si>
  <si>
    <t>Fauls, Joseph</t>
  </si>
  <si>
    <t>Favara, Richard</t>
  </si>
  <si>
    <t>Favors, Lonn</t>
  </si>
  <si>
    <t>Fazio, Alisha</t>
  </si>
  <si>
    <t>Fears, William</t>
  </si>
  <si>
    <t>Feaster, Richard</t>
  </si>
  <si>
    <t>Fedraw, Charles</t>
  </si>
  <si>
    <t>Feimster, Laurel</t>
  </si>
  <si>
    <t>Fekete, Justin</t>
  </si>
  <si>
    <t>Feller, Andrew</t>
  </si>
  <si>
    <t>Felling, Ross</t>
  </si>
  <si>
    <t>Feltes, Gregory</t>
  </si>
  <si>
    <t>Felts, Thomas</t>
  </si>
  <si>
    <t>Fencik, David</t>
  </si>
  <si>
    <t>Ferguson, Jamie</t>
  </si>
  <si>
    <t>Fernandes, Domingos</t>
  </si>
  <si>
    <t>Fernandez, James</t>
  </si>
  <si>
    <t>Fernandez, Karyn</t>
  </si>
  <si>
    <t>Fernandez, Sandra</t>
  </si>
  <si>
    <t>Fernandez, Sonia</t>
  </si>
  <si>
    <t>Ferrante, Jaclyn</t>
  </si>
  <si>
    <t>Ferrara, Michael</t>
  </si>
  <si>
    <t>Ferrara, Vanessa</t>
  </si>
  <si>
    <t>Ferre, Jose</t>
  </si>
  <si>
    <t>Ferrell, Ben</t>
  </si>
  <si>
    <t>Ferris, Eleanor</t>
  </si>
  <si>
    <t>Ferry, Joseph</t>
  </si>
  <si>
    <t>Fetta, Gina</t>
  </si>
  <si>
    <t>Feuge, Kenna</t>
  </si>
  <si>
    <t>Fiallo, Fernando</t>
  </si>
  <si>
    <t>Fichter, Kenneth</t>
  </si>
  <si>
    <t>Fickes, Tracy</t>
  </si>
  <si>
    <t>Fiedler, Sherri</t>
  </si>
  <si>
    <t>Fielder, Kevin</t>
  </si>
  <si>
    <t>Fielding, Regina</t>
  </si>
  <si>
    <t>Fields, Shelly</t>
  </si>
  <si>
    <t>Fieramosca, Edward</t>
  </si>
  <si>
    <t>Fierstos, Joseph</t>
  </si>
  <si>
    <t>Figueiredo, Cherilyn</t>
  </si>
  <si>
    <t>Fik, Ketryn</t>
  </si>
  <si>
    <t>Fike, Arnita</t>
  </si>
  <si>
    <t>Filas, Donna</t>
  </si>
  <si>
    <t>Finch, Chris</t>
  </si>
  <si>
    <t>Fincham, Michael</t>
  </si>
  <si>
    <t>Fine, N</t>
  </si>
  <si>
    <t>Finegold, Arthur m</t>
  </si>
  <si>
    <t>Finger, Nancy</t>
  </si>
  <si>
    <t>Fink, David</t>
  </si>
  <si>
    <t>Fink, Howard</t>
  </si>
  <si>
    <t>Finkle, John</t>
  </si>
  <si>
    <t>Finlay, Kenneth</t>
  </si>
  <si>
    <t>Finley, Julia</t>
  </si>
  <si>
    <t>Finn, Marlene</t>
  </si>
  <si>
    <t>Fiorentini, Sandra</t>
  </si>
  <si>
    <t>Fiorillo, Salvatore</t>
  </si>
  <si>
    <t>Fischer, Daniel</t>
  </si>
  <si>
    <t>Fischer, Kirk</t>
  </si>
  <si>
    <t>Fischer-Rudd, Tamilyn</t>
  </si>
  <si>
    <t>Fish, Karen</t>
  </si>
  <si>
    <t>Fisher, Anne</t>
  </si>
  <si>
    <t>Fisher, David</t>
  </si>
  <si>
    <t>Fisher, Diane</t>
  </si>
  <si>
    <t>Fisher, Marla</t>
  </si>
  <si>
    <t>Fitzgerald, Scott</t>
  </si>
  <si>
    <t>Fitzgerald, Terry</t>
  </si>
  <si>
    <t>Fitzgibbons, Leonard</t>
  </si>
  <si>
    <t>Fitzherbert, Michelle</t>
  </si>
  <si>
    <t>Fitzmaurice, Michelle</t>
  </si>
  <si>
    <t>Fitzpatrick, Jason</t>
  </si>
  <si>
    <t>Fitzpatrick, Jeremy</t>
  </si>
  <si>
    <t>Fitzpatrick, Susan</t>
  </si>
  <si>
    <t>Flannery, Lisa</t>
  </si>
  <si>
    <t>Flatt, Richard</t>
  </si>
  <si>
    <t>Flaugher, Rebecca</t>
  </si>
  <si>
    <t>Flecha, Michael</t>
  </si>
  <si>
    <t>Fleming, Jerry</t>
  </si>
  <si>
    <t>Fleming, Phillis</t>
  </si>
  <si>
    <t>Fleming, Robert</t>
  </si>
  <si>
    <t>Flewelling, Greg</t>
  </si>
  <si>
    <t>Flewellyn, Alex</t>
  </si>
  <si>
    <t>Flodkvist, Soeren</t>
  </si>
  <si>
    <t>Flood, Colm</t>
  </si>
  <si>
    <t>Florentino, Don</t>
  </si>
  <si>
    <t>Flores, Edna</t>
  </si>
  <si>
    <t>Flores, Renee</t>
  </si>
  <si>
    <t>Flores, Ruben</t>
  </si>
  <si>
    <t>Florey, Jon</t>
  </si>
  <si>
    <t>Flowers, Lisa</t>
  </si>
  <si>
    <t>Flowers, Susan</t>
  </si>
  <si>
    <t>Flugence, Desireer</t>
  </si>
  <si>
    <t>Flynn, Denise</t>
  </si>
  <si>
    <t>Flynn, Diane</t>
  </si>
  <si>
    <t>Flynn, John</t>
  </si>
  <si>
    <t>Flynn-Berry, Holli</t>
  </si>
  <si>
    <t>Foerstner, Andrew</t>
  </si>
  <si>
    <t>Foerstner, Stephen</t>
  </si>
  <si>
    <t>Fogle, Jacob</t>
  </si>
  <si>
    <t>Fohl, Greg</t>
  </si>
  <si>
    <t>Fok, Philia</t>
  </si>
  <si>
    <t>Foley, Arthur</t>
  </si>
  <si>
    <t>Folino, Courtney</t>
  </si>
  <si>
    <t>Folks, Bruce</t>
  </si>
  <si>
    <t>Fong, Andy</t>
  </si>
  <si>
    <t>Fong, Tim</t>
  </si>
  <si>
    <t>Fontaine, Cheryl</t>
  </si>
  <si>
    <t>Fontanilla, Diana</t>
  </si>
  <si>
    <t>Fonte, Jhirley</t>
  </si>
  <si>
    <t>Fontenot, Jerry</t>
  </si>
  <si>
    <t>Fontneau, Peter</t>
  </si>
  <si>
    <t>Foote, James</t>
  </si>
  <si>
    <t>Forbes, Donna</t>
  </si>
  <si>
    <t>Forbes, Valerie</t>
  </si>
  <si>
    <t>Forcum, Julie</t>
  </si>
  <si>
    <t>Ford, Charles</t>
  </si>
  <si>
    <t>Ford, Chris</t>
  </si>
  <si>
    <t>Ford, Daniel</t>
  </si>
  <si>
    <t>Ford, Jeff</t>
  </si>
  <si>
    <t>Ford, Leonard</t>
  </si>
  <si>
    <t>Ford, Theresa</t>
  </si>
  <si>
    <t>Forde, Susan</t>
  </si>
  <si>
    <t>Foreman, Kathleen</t>
  </si>
  <si>
    <t>Foreman, Linda</t>
  </si>
  <si>
    <t>Forlini, Aldo</t>
  </si>
  <si>
    <t>Formichella, John</t>
  </si>
  <si>
    <t>Formosino, Erin</t>
  </si>
  <si>
    <t>Formoso, Juan</t>
  </si>
  <si>
    <t>Forni, Rosemary</t>
  </si>
  <si>
    <t>Forrest, Jordana</t>
  </si>
  <si>
    <t>Forst, Todd</t>
  </si>
  <si>
    <t>Forster, Roberta</t>
  </si>
  <si>
    <t>Forsterdutton, Sheryl</t>
  </si>
  <si>
    <t>Forsyth, Billy</t>
  </si>
  <si>
    <t>Forsyth, Michael</t>
  </si>
  <si>
    <t>Forsythe, Doug</t>
  </si>
  <si>
    <t>Fortenbury, Brian</t>
  </si>
  <si>
    <t>Forward, Melissa</t>
  </si>
  <si>
    <t>Foster, Brian</t>
  </si>
  <si>
    <t>Foster, Kenneth</t>
  </si>
  <si>
    <t>Foster, Robert</t>
  </si>
  <si>
    <t>Foster, Scot</t>
  </si>
  <si>
    <t>Foster, Susan</t>
  </si>
  <si>
    <t>Foster, Wendy</t>
  </si>
  <si>
    <t>Foulis, William</t>
  </si>
  <si>
    <t>Fountain, Heidi</t>
  </si>
  <si>
    <t>Fowler, Michelle</t>
  </si>
  <si>
    <t>Fowles, Michael</t>
  </si>
  <si>
    <t>Fox, Andrew</t>
  </si>
  <si>
    <t>Fox, Betty</t>
  </si>
  <si>
    <t>Fox, Brent</t>
  </si>
  <si>
    <t>Fox, Douglas</t>
  </si>
  <si>
    <t>Fox, Jason</t>
  </si>
  <si>
    <t>Fox, John</t>
  </si>
  <si>
    <t>Fox, Michael</t>
  </si>
  <si>
    <t>Foy, Steven</t>
  </si>
  <si>
    <t>Foye, Tess</t>
  </si>
  <si>
    <t>Fradette, Daniel</t>
  </si>
  <si>
    <t>Frames, Erica</t>
  </si>
  <si>
    <t>Francke, Kylie</t>
  </si>
  <si>
    <t>Franco, Fernando</t>
  </si>
  <si>
    <t>Francone, Michael</t>
  </si>
  <si>
    <t>Franklin, Elizabeth</t>
  </si>
  <si>
    <t>Franklin, Patricia</t>
  </si>
  <si>
    <t>Franz, Brenda</t>
  </si>
  <si>
    <t>Fraser, Melinda</t>
  </si>
  <si>
    <t>Frausto, Ellie</t>
  </si>
  <si>
    <t>Frausto, Tony</t>
  </si>
  <si>
    <t>Frazier, Abby</t>
  </si>
  <si>
    <t>Frazzano, Carol</t>
  </si>
  <si>
    <t>Fredericks, Dexter</t>
  </si>
  <si>
    <t>Fredericks, Paul</t>
  </si>
  <si>
    <t>Fredrickson, David</t>
  </si>
  <si>
    <t>Freeman, Ronnie</t>
  </si>
  <si>
    <t>Freeman, Sheena</t>
  </si>
  <si>
    <t>Freemansnipes, Cheryl</t>
  </si>
  <si>
    <t>Freenor, Christina</t>
  </si>
  <si>
    <t>Freifeld, Mark</t>
  </si>
  <si>
    <t>Freitas, Daniel</t>
  </si>
  <si>
    <t>French, Faye</t>
  </si>
  <si>
    <t>French, Jerry</t>
  </si>
  <si>
    <t>Frendt, Michael</t>
  </si>
  <si>
    <t>Fretwell, Russell</t>
  </si>
  <si>
    <t>Freudenberg, Daniel</t>
  </si>
  <si>
    <t>Freund, Andrew</t>
  </si>
  <si>
    <t>Frew, Maria</t>
  </si>
  <si>
    <t>Frey, Ruth</t>
  </si>
  <si>
    <t>Friberg, Robert</t>
  </si>
  <si>
    <t>Friedland, Betsy</t>
  </si>
  <si>
    <t>Fries, Dawn</t>
  </si>
  <si>
    <t>Friesel, Carsten</t>
  </si>
  <si>
    <t>Fringer, Jodi</t>
  </si>
  <si>
    <t>Frisby, Eric</t>
  </si>
  <si>
    <t>Frisby, Michael</t>
  </si>
  <si>
    <t>Frischhut, Kelly</t>
  </si>
  <si>
    <t>Fritz, Anthony</t>
  </si>
  <si>
    <t>Frohlich, Rosalinda</t>
  </si>
  <si>
    <t>Fromuth, Mark</t>
  </si>
  <si>
    <t>Frost, Brian</t>
  </si>
  <si>
    <t>Frushour, Andrew</t>
  </si>
  <si>
    <t>Fryfogleschaller, Krista</t>
  </si>
  <si>
    <t>Fuentes, Daniel</t>
  </si>
  <si>
    <t>Fuerst, Sonja</t>
  </si>
  <si>
    <t>Fugler, Carl</t>
  </si>
  <si>
    <t>Fujikura, Terumi</t>
  </si>
  <si>
    <t>Fujimoto, Midori</t>
  </si>
  <si>
    <t>Fuller, Doreen</t>
  </si>
  <si>
    <t>Fultz, Mark</t>
  </si>
  <si>
    <t>Gaby, Barbara</t>
  </si>
  <si>
    <t>Gadson, Gary</t>
  </si>
  <si>
    <t>Gaetano, Vincent</t>
  </si>
  <si>
    <t>Gagliano, Robert</t>
  </si>
  <si>
    <t>Gahman, Denise</t>
  </si>
  <si>
    <t>Gaines, Steve</t>
  </si>
  <si>
    <t>Galan, Maria</t>
  </si>
  <si>
    <t>Galaski, Edward</t>
  </si>
  <si>
    <t>Galavis, Alejandro</t>
  </si>
  <si>
    <t>Galban, Pamela</t>
  </si>
  <si>
    <t>Galfano, Mark</t>
  </si>
  <si>
    <t>Gall, Christian</t>
  </si>
  <si>
    <t>Gallagher, Beth</t>
  </si>
  <si>
    <t>Gallagher, Neil</t>
  </si>
  <si>
    <t>Gallagher, Steven</t>
  </si>
  <si>
    <t>Gallagher, Vincent</t>
  </si>
  <si>
    <t>Gallert, Lisa</t>
  </si>
  <si>
    <t>Galli, Jeffrey</t>
  </si>
  <si>
    <t>Gallo, David</t>
  </si>
  <si>
    <t>Gallo, Joseph</t>
  </si>
  <si>
    <t>Gallo, Roger</t>
  </si>
  <si>
    <t>Galmiche, Bridgette</t>
  </si>
  <si>
    <t>Galuska, Aleck</t>
  </si>
  <si>
    <t>Galvez, Jose</t>
  </si>
  <si>
    <t>Gamble, Jeffrey</t>
  </si>
  <si>
    <t>Gamel, Dana</t>
  </si>
  <si>
    <t>Gammill, Angela</t>
  </si>
  <si>
    <t>Gampel, Timothy</t>
  </si>
  <si>
    <t>Gandolfo, Paul</t>
  </si>
  <si>
    <t>Gang, Toby</t>
  </si>
  <si>
    <t>Ganguly, Sanghamitra</t>
  </si>
  <si>
    <t>Gant, Patrick</t>
  </si>
  <si>
    <t>Garbarini, Paola</t>
  </si>
  <si>
    <t>Garces, Yolanda</t>
  </si>
  <si>
    <t>Garcia, Arturo</t>
  </si>
  <si>
    <t>Garcia, Debra</t>
  </si>
  <si>
    <t>Garcia, Edgar</t>
  </si>
  <si>
    <t>Garcia, Iram</t>
  </si>
  <si>
    <t>Garcia, Jennifer</t>
  </si>
  <si>
    <t>Garcia, Patricia</t>
  </si>
  <si>
    <t>Garcia, Rowena</t>
  </si>
  <si>
    <t>Garcia, Tara</t>
  </si>
  <si>
    <t>Garcia, Thomas</t>
  </si>
  <si>
    <t>Garcia, Tony</t>
  </si>
  <si>
    <t>Garcia, Valerie</t>
  </si>
  <si>
    <t>Gardner, Charles</t>
  </si>
  <si>
    <t>Gardner, Donald</t>
  </si>
  <si>
    <t>Gardner, Gerald</t>
  </si>
  <si>
    <t>Gardner, Katherine</t>
  </si>
  <si>
    <t>Gardner, Tanner</t>
  </si>
  <si>
    <t>Garland, James</t>
  </si>
  <si>
    <t>Garlitz, Dawn</t>
  </si>
  <si>
    <t>Garner, Andrew</t>
  </si>
  <si>
    <t>Garnett, Cecilia</t>
  </si>
  <si>
    <t>Garrehy, Alexis</t>
  </si>
  <si>
    <t>Garrett, Drew</t>
  </si>
  <si>
    <t>Garrett, Karli</t>
  </si>
  <si>
    <t>Garrett, Megan</t>
  </si>
  <si>
    <t>Garrison, Cynthia</t>
  </si>
  <si>
    <t>Gartner, Robert</t>
  </si>
  <si>
    <t>Garton, James</t>
  </si>
  <si>
    <t>Gartside, Stanley</t>
  </si>
  <si>
    <t>Garvin, Benjamin</t>
  </si>
  <si>
    <t>Garvin, Mark</t>
  </si>
  <si>
    <t>Gary, James</t>
  </si>
  <si>
    <t>Gary, Jamil</t>
  </si>
  <si>
    <t>Garza, Ralph</t>
  </si>
  <si>
    <t>Gassaway, Bill</t>
  </si>
  <si>
    <t>Gaston, Darlene</t>
  </si>
  <si>
    <t>Gates, Daniel</t>
  </si>
  <si>
    <t>Gates, Kermit</t>
  </si>
  <si>
    <t>Gaul, Seth</t>
  </si>
  <si>
    <t>Gaulin, Traci</t>
  </si>
  <si>
    <t>Gavlinski, Shannon</t>
  </si>
  <si>
    <t>Gee, Christopher</t>
  </si>
  <si>
    <t>Gee, Clifford</t>
  </si>
  <si>
    <t>Geiger, John</t>
  </si>
  <si>
    <t>Geisler, Tracy</t>
  </si>
  <si>
    <t>Gelb, Lee</t>
  </si>
  <si>
    <t>Gennaro, Nicholas</t>
  </si>
  <si>
    <t>Gentile, Michael</t>
  </si>
  <si>
    <t>Gentle, Thomas</t>
  </si>
  <si>
    <t>Gentry, Madeline</t>
  </si>
  <si>
    <t>George, Donald</t>
  </si>
  <si>
    <t>George, Jamie</t>
  </si>
  <si>
    <t>Gerace, Timothy</t>
  </si>
  <si>
    <t>Gerardi, Jason</t>
  </si>
  <si>
    <t>Gerardi, M</t>
  </si>
  <si>
    <t>Gerber, Paul</t>
  </si>
  <si>
    <t>Gerloff, Jerryetta</t>
  </si>
  <si>
    <t>German, Jeramiah</t>
  </si>
  <si>
    <t>Gessner, Rody</t>
  </si>
  <si>
    <t>Getschow, Christine</t>
  </si>
  <si>
    <t>Gherone, Katheryn</t>
  </si>
  <si>
    <t>Giatropoulos, John</t>
  </si>
  <si>
    <t>Giaudrone, Aaron</t>
  </si>
  <si>
    <t>Gibbons, Malisa</t>
  </si>
  <si>
    <t>Gibbons, Shelley</t>
  </si>
  <si>
    <t>Gibbs, Lane</t>
  </si>
  <si>
    <t>Gibson, Kevin</t>
  </si>
  <si>
    <t>Gibson, Sheila</t>
  </si>
  <si>
    <t>Gibson, Susan</t>
  </si>
  <si>
    <t>Gierlichlopes, Lori</t>
  </si>
  <si>
    <t>Gigliotti, Theresa</t>
  </si>
  <si>
    <t>Gigot, Christopher</t>
  </si>
  <si>
    <t>Gil, Omar</t>
  </si>
  <si>
    <t>Gilbert, Charlotte</t>
  </si>
  <si>
    <t>Gilbert, Jason</t>
  </si>
  <si>
    <t>Gilbert, Kathryn</t>
  </si>
  <si>
    <t>Gilbert, Marsha</t>
  </si>
  <si>
    <t>Gilbert, Stephanie</t>
  </si>
  <si>
    <t>Gilbreath, Russ</t>
  </si>
  <si>
    <t>Gilbreth, Caroline</t>
  </si>
  <si>
    <t>Gilchrist, Thomas</t>
  </si>
  <si>
    <t>Giles, Christopher</t>
  </si>
  <si>
    <t>Gilford, Valencia</t>
  </si>
  <si>
    <t>Gill, Thomas</t>
  </si>
  <si>
    <t>Gillardi, Joseph</t>
  </si>
  <si>
    <t>Gilleland, Martha</t>
  </si>
  <si>
    <t>Gilleskie, Susan</t>
  </si>
  <si>
    <t>Gilliam, Arethia</t>
  </si>
  <si>
    <t>Gillman, Gary</t>
  </si>
  <si>
    <t>Gilman-Maurer, Susanne</t>
  </si>
  <si>
    <t>Gilroy, Angelia</t>
  </si>
  <si>
    <t>Gimlich Dreeman, Heather</t>
  </si>
  <si>
    <t>Ginder, Allen</t>
  </si>
  <si>
    <t>Giordano, Nancy</t>
  </si>
  <si>
    <t>Giroud, Regis</t>
  </si>
  <si>
    <t>Giuffria, Andrea</t>
  </si>
  <si>
    <t>Giusti, Gino</t>
  </si>
  <si>
    <t>Gladziszewski, Thomas</t>
  </si>
  <si>
    <t>Glaeser, Gregory</t>
  </si>
  <si>
    <t>Glaser, David</t>
  </si>
  <si>
    <t>Glatz, James</t>
  </si>
  <si>
    <t>Glaze, Daniel</t>
  </si>
  <si>
    <t>Gleason, Jamie</t>
  </si>
  <si>
    <t>Gleavy, Kathleen</t>
  </si>
  <si>
    <t>Glendenning, Laura</t>
  </si>
  <si>
    <t>Glenn, Robert</t>
  </si>
  <si>
    <t>Glenn, Ross</t>
  </si>
  <si>
    <t>Glinn, Tim</t>
  </si>
  <si>
    <t>Glover, Alvina</t>
  </si>
  <si>
    <t>Glover, La Tricia</t>
  </si>
  <si>
    <t>Goce, Bernadette</t>
  </si>
  <si>
    <t>Godbout, Christian</t>
  </si>
  <si>
    <t>Godby, Greg</t>
  </si>
  <si>
    <t>Godfrey, Jackie</t>
  </si>
  <si>
    <t>Godin, David</t>
  </si>
  <si>
    <t>Godinez, David</t>
  </si>
  <si>
    <t>Godwin, Allison</t>
  </si>
  <si>
    <t>Godwin, James</t>
  </si>
  <si>
    <t>Goedecke, Terri</t>
  </si>
  <si>
    <t>Goehring, Matthew</t>
  </si>
  <si>
    <t>Golberg, Christian</t>
  </si>
  <si>
    <t>Gold, Jonathan</t>
  </si>
  <si>
    <t>Goldberg, Laurence</t>
  </si>
  <si>
    <t>Goldberg, Sherri</t>
  </si>
  <si>
    <t>Goldner, Susan</t>
  </si>
  <si>
    <t>Goldsmith, Joey</t>
  </si>
  <si>
    <t>Goldsmith, Rhonda</t>
  </si>
  <si>
    <t>Goldspink, Gregory</t>
  </si>
  <si>
    <t>Goldyn, Janeen</t>
  </si>
  <si>
    <t>Goli, Gowri</t>
  </si>
  <si>
    <t>Goluboff, Erin</t>
  </si>
  <si>
    <t>Gomez, Alfredo</t>
  </si>
  <si>
    <t>Gomez, Melissa</t>
  </si>
  <si>
    <t>Gonyea, Lisa</t>
  </si>
  <si>
    <t>Gonzales, Albert</t>
  </si>
  <si>
    <t>Gonzales, Alicia</t>
  </si>
  <si>
    <t>Gonzales, Elizabeth</t>
  </si>
  <si>
    <t>Gonzalez, Ismael</t>
  </si>
  <si>
    <t>Gonzalez, Patricia</t>
  </si>
  <si>
    <t>Gonzalez, Paul</t>
  </si>
  <si>
    <t>Gonzalez, Richard</t>
  </si>
  <si>
    <t>Gooch, Cherylyn</t>
  </si>
  <si>
    <t>Good, Jeffrey</t>
  </si>
  <si>
    <t>Good, Justin</t>
  </si>
  <si>
    <t>Good, Richard</t>
  </si>
  <si>
    <t>Goode, Evelyn</t>
  </si>
  <si>
    <t>Goode, John</t>
  </si>
  <si>
    <t>Goode, Michael</t>
  </si>
  <si>
    <t>Goode, Tanja</t>
  </si>
  <si>
    <t>Goodman, Brian</t>
  </si>
  <si>
    <t>Goodman, Chris</t>
  </si>
  <si>
    <t>Goodman, Jennifer</t>
  </si>
  <si>
    <t>Goodman, Yvette</t>
  </si>
  <si>
    <t>Goodreau, Jerry</t>
  </si>
  <si>
    <t>Goodrich, Richard</t>
  </si>
  <si>
    <t>Goodson, Parker</t>
  </si>
  <si>
    <t>Goodstein, Sean</t>
  </si>
  <si>
    <t>Goodwin, William</t>
  </si>
  <si>
    <t>Goossens, Huub</t>
  </si>
  <si>
    <t>Gootee, Joseph</t>
  </si>
  <si>
    <t>Gootee, Kathleen</t>
  </si>
  <si>
    <t>Gootee, Richard</t>
  </si>
  <si>
    <t>Gopinath, VS</t>
  </si>
  <si>
    <t>Gordon, Ellen</t>
  </si>
  <si>
    <t>Gordon, Takiyah</t>
  </si>
  <si>
    <t>Gore, Shelly</t>
  </si>
  <si>
    <t>Gorman, John</t>
  </si>
  <si>
    <t>Gorski, Matthew</t>
  </si>
  <si>
    <t>Goss, David</t>
  </si>
  <si>
    <t>Gotsis, Sia</t>
  </si>
  <si>
    <t>Gowadia, Purazar</t>
  </si>
  <si>
    <t>Gowen, R</t>
  </si>
  <si>
    <t>Graff, Rodney</t>
  </si>
  <si>
    <t>Grafft, Baron</t>
  </si>
  <si>
    <t>Grafinggwin, Melinda</t>
  </si>
  <si>
    <t>Graham, Corey</t>
  </si>
  <si>
    <t>Graham, Jerry</t>
  </si>
  <si>
    <t>Graham, Mark</t>
  </si>
  <si>
    <t>Graham, Misti</t>
  </si>
  <si>
    <t>Graham, Ruby</t>
  </si>
  <si>
    <t>Graham, Shawn</t>
  </si>
  <si>
    <t>Granger, Thomas</t>
  </si>
  <si>
    <t>Grant, Angelica</t>
  </si>
  <si>
    <t>Grant, Brandi</t>
  </si>
  <si>
    <t>Grant, David</t>
  </si>
  <si>
    <t>Grant, Jeffrey</t>
  </si>
  <si>
    <t>Grant, Marcia</t>
  </si>
  <si>
    <t>Grasso, Maureen</t>
  </si>
  <si>
    <t>Grattan, David</t>
  </si>
  <si>
    <t>Grau, Ryan</t>
  </si>
  <si>
    <t>Graveline, Catherine</t>
  </si>
  <si>
    <t>Graves, Christine</t>
  </si>
  <si>
    <t>Graves, Robin</t>
  </si>
  <si>
    <t>Gray, Guy</t>
  </si>
  <si>
    <t>Gray, Janine</t>
  </si>
  <si>
    <t>Gray, Marc</t>
  </si>
  <si>
    <t>Gray, Shirley</t>
  </si>
  <si>
    <t>Grayson, Randy</t>
  </si>
  <si>
    <t>Greatbanks, Douglas</t>
  </si>
  <si>
    <t>Greckel, David</t>
  </si>
  <si>
    <t>Green, Alicia</t>
  </si>
  <si>
    <t>Green, Donald</t>
  </si>
  <si>
    <t>Green, John</t>
  </si>
  <si>
    <t>Green, Kirby</t>
  </si>
  <si>
    <t>Green, Lisa</t>
  </si>
  <si>
    <t>Green, Matt</t>
  </si>
  <si>
    <t>Green, Melissa</t>
  </si>
  <si>
    <t>Green, Rhonanthony</t>
  </si>
  <si>
    <t>Green, Robbie</t>
  </si>
  <si>
    <t>Green, Ronald</t>
  </si>
  <si>
    <t>Green-Ruiz, Christopher</t>
  </si>
  <si>
    <t>Greene, Brenda</t>
  </si>
  <si>
    <t>Greene, Carl</t>
  </si>
  <si>
    <t>Greene, Carolyn</t>
  </si>
  <si>
    <t>Greene, Lloyd</t>
  </si>
  <si>
    <t>Greene, Tom</t>
  </si>
  <si>
    <t>Greenfield, Joshua</t>
  </si>
  <si>
    <t>Greenfield, Norman</t>
  </si>
  <si>
    <t>Greengrass, Lee</t>
  </si>
  <si>
    <t>Greenwood, John</t>
  </si>
  <si>
    <t>Greer, Linda</t>
  </si>
  <si>
    <t>Gregor, John</t>
  </si>
  <si>
    <t>Greve, Paul</t>
  </si>
  <si>
    <t>Grier, John</t>
  </si>
  <si>
    <t>Griffin, David</t>
  </si>
  <si>
    <t>Griffin, Glenda</t>
  </si>
  <si>
    <t>Griffin, Kevin</t>
  </si>
  <si>
    <t>Griffin, Leroy</t>
  </si>
  <si>
    <t>Griffin, Melissa</t>
  </si>
  <si>
    <t>Griffin, Rob</t>
  </si>
  <si>
    <t>Griffin, Scott</t>
  </si>
  <si>
    <t>Griffith, Sam</t>
  </si>
  <si>
    <t>Griffith, Steve</t>
  </si>
  <si>
    <t>Griffith, Wendy</t>
  </si>
  <si>
    <t>Griffiths, Abe</t>
  </si>
  <si>
    <t>Griffiths, Mayra</t>
  </si>
  <si>
    <t>Grigsby, Joe</t>
  </si>
  <si>
    <t>Grimes, Benjamin</t>
  </si>
  <si>
    <t>Grimes, Mark</t>
  </si>
  <si>
    <t>Grimes, Wendy</t>
  </si>
  <si>
    <t>Grindley, Nancy</t>
  </si>
  <si>
    <t>Grineisen, Richard</t>
  </si>
  <si>
    <t>Gring, Thomas</t>
  </si>
  <si>
    <t>Grinwis, Carrie</t>
  </si>
  <si>
    <t>Grippaldi, Philip</t>
  </si>
  <si>
    <t>Grippo Dawkins, Elaine</t>
  </si>
  <si>
    <t>Grissom Jr, B</t>
  </si>
  <si>
    <t>Groba, Paul</t>
  </si>
  <si>
    <t>Groh, Mary</t>
  </si>
  <si>
    <t>Grolle, Gretchen</t>
  </si>
  <si>
    <t>Grooms, Stephen</t>
  </si>
  <si>
    <t>Grossman, Robin</t>
  </si>
  <si>
    <t>Groves, Jonathan</t>
  </si>
  <si>
    <t>Groves, Tracey</t>
  </si>
  <si>
    <t>Gruber, Mark</t>
  </si>
  <si>
    <t>Grubert, Richard</t>
  </si>
  <si>
    <t>Grue, Carmen</t>
  </si>
  <si>
    <t>Gruettner, Jacqueline</t>
  </si>
  <si>
    <t>Grundy, Richard</t>
  </si>
  <si>
    <t>Gruner, Robyn</t>
  </si>
  <si>
    <t>Gruner, Sergio</t>
  </si>
  <si>
    <t>Grybas, Peter</t>
  </si>
  <si>
    <t>Grzesiak, Scott</t>
  </si>
  <si>
    <t>Grzywa, Richard</t>
  </si>
  <si>
    <t>Guanchez, Soraya</t>
  </si>
  <si>
    <t>Guardado, John</t>
  </si>
  <si>
    <t>Guardiola-Akcelik, Diana</t>
  </si>
  <si>
    <t>Guckenberger, Scott</t>
  </si>
  <si>
    <t>Guenther, Deborah</t>
  </si>
  <si>
    <t>Guerin, Kathleen</t>
  </si>
  <si>
    <t>Guerin, Kellie</t>
  </si>
  <si>
    <t>Guerin, Olivier</t>
  </si>
  <si>
    <t>Guerrero, Ernie</t>
  </si>
  <si>
    <t>Guerrero, Paul</t>
  </si>
  <si>
    <t>Guerrero, Stefanie</t>
  </si>
  <si>
    <t>Guerrero, Steven</t>
  </si>
  <si>
    <t>Guest, ERM</t>
  </si>
  <si>
    <t>Guinta, Christopher a.</t>
  </si>
  <si>
    <t>Guirado, Lillian</t>
  </si>
  <si>
    <t>Gulec, Gulcin</t>
  </si>
  <si>
    <t>Gunderson, Jon</t>
  </si>
  <si>
    <t>Gupta, Manjul</t>
  </si>
  <si>
    <t>Gupta, Tanmay</t>
  </si>
  <si>
    <t>Gural, Gemi</t>
  </si>
  <si>
    <t>Gurion, Dennis</t>
  </si>
  <si>
    <t>Guthrie, H</t>
  </si>
  <si>
    <t>Guthrie, Wayne</t>
  </si>
  <si>
    <t>Gutierrez, John</t>
  </si>
  <si>
    <t>Gutierrez, Rene</t>
  </si>
  <si>
    <t>Gutner, Todd</t>
  </si>
  <si>
    <t>Gutowski-Joplin, Joanne</t>
  </si>
  <si>
    <t>Guttu, Markdavid</t>
  </si>
  <si>
    <t>Guyer, Gail</t>
  </si>
  <si>
    <t>Guyette, Timothy</t>
  </si>
  <si>
    <t>Gwin, Deborah</t>
  </si>
  <si>
    <t>Gwozdz, Julie</t>
  </si>
  <si>
    <t>Haarde, Robert</t>
  </si>
  <si>
    <t>Haas, Andre</t>
  </si>
  <si>
    <t>Haberman, Richard</t>
  </si>
  <si>
    <t>Habte, Jennifer</t>
  </si>
  <si>
    <t>Hackett, Timothy</t>
  </si>
  <si>
    <t>Haddad, Jeff</t>
  </si>
  <si>
    <t>Hadley, Michael</t>
  </si>
  <si>
    <t>Haffener, Joe</t>
  </si>
  <si>
    <t>Hagar, Sandra</t>
  </si>
  <si>
    <t>Hagberg, Kevin</t>
  </si>
  <si>
    <t>Haggard, Indya</t>
  </si>
  <si>
    <t>Hagiwara, Koichiroh</t>
  </si>
  <si>
    <t>Hagler, Christopher</t>
  </si>
  <si>
    <t>Hahn, Rodney</t>
  </si>
  <si>
    <t>Hahn, Stefan</t>
  </si>
  <si>
    <t>Hahn, William</t>
  </si>
  <si>
    <t>Hairston, Ruth</t>
  </si>
  <si>
    <t>Haisch, Reed</t>
  </si>
  <si>
    <t>Hajinakitas, Yvette</t>
  </si>
  <si>
    <t>Halbach, Lowell</t>
  </si>
  <si>
    <t>Hale, Christopher</t>
  </si>
  <si>
    <t>Hales, Roy</t>
  </si>
  <si>
    <t>Haley, Ryan</t>
  </si>
  <si>
    <t>Halgas, Peter</t>
  </si>
  <si>
    <t>Hall annison, Paul</t>
  </si>
  <si>
    <t>Hall, Amy</t>
  </si>
  <si>
    <t>Hall, J</t>
  </si>
  <si>
    <t>Hall, Lisa</t>
  </si>
  <si>
    <t>Hall, Maria</t>
  </si>
  <si>
    <t>Hall, Reba</t>
  </si>
  <si>
    <t>Hallack, Michael</t>
  </si>
  <si>
    <t>Halleran, Thomas</t>
  </si>
  <si>
    <t>Halley, Michelle</t>
  </si>
  <si>
    <t>Hallion, Denise</t>
  </si>
  <si>
    <t>Halseth, Thor-kristian</t>
  </si>
  <si>
    <t>Halsey, David</t>
  </si>
  <si>
    <t>Hamachi, Takeshi</t>
  </si>
  <si>
    <t>Hamilton, Diane</t>
  </si>
  <si>
    <t>Hamilton, Yolande</t>
  </si>
  <si>
    <t>Hamlin, Charles</t>
  </si>
  <si>
    <t>Hamma, Christopher</t>
  </si>
  <si>
    <t>Hammer, Michael</t>
  </si>
  <si>
    <t>Hammett, David</t>
  </si>
  <si>
    <t>Hammond, James</t>
  </si>
  <si>
    <t>Hampton, Corey</t>
  </si>
  <si>
    <t>Hampton, Jane</t>
  </si>
  <si>
    <t>Hampton, Ronald</t>
  </si>
  <si>
    <t>Hampton, Thomas</t>
  </si>
  <si>
    <t>Hamrin, David</t>
  </si>
  <si>
    <t>Hamzic, Edina</t>
  </si>
  <si>
    <t>Han, Sung</t>
  </si>
  <si>
    <t>Hanacek, Thomas</t>
  </si>
  <si>
    <t>Hancock, Jimmy</t>
  </si>
  <si>
    <t>Handleman, Kimberly</t>
  </si>
  <si>
    <t>Hanewinkel, Leo</t>
  </si>
  <si>
    <t>Haney, Michael</t>
  </si>
  <si>
    <t>Hanley, Carol</t>
  </si>
  <si>
    <t>Hanley, Erin</t>
  </si>
  <si>
    <t>Hanley, John</t>
  </si>
  <si>
    <t>Hannon, Jeff</t>
  </si>
  <si>
    <t>Hansen, Brandon</t>
  </si>
  <si>
    <t>Hansen, Christopher</t>
  </si>
  <si>
    <t>Hansen, Ryan</t>
  </si>
  <si>
    <t>Hansen, Shawn</t>
  </si>
  <si>
    <t>Hansen, Svend</t>
  </si>
  <si>
    <t>Hanson, J</t>
  </si>
  <si>
    <t>Hanson, Jenna</t>
  </si>
  <si>
    <t>Hanzel, Katherine</t>
  </si>
  <si>
    <t>Haptas, Gerald</t>
  </si>
  <si>
    <t>Harabinova, Lucia</t>
  </si>
  <si>
    <t>Harden, Quincy</t>
  </si>
  <si>
    <t>Hardiman, Deidre</t>
  </si>
  <si>
    <t>Harding, Fredell</t>
  </si>
  <si>
    <t>Hare, Jason</t>
  </si>
  <si>
    <t>Harfield, Arthur</t>
  </si>
  <si>
    <t>Hargis, Jon</t>
  </si>
  <si>
    <t>Harkey, William</t>
  </si>
  <si>
    <t>Harless, James</t>
  </si>
  <si>
    <t>Harman, Thomas</t>
  </si>
  <si>
    <t>Harnois, Roger</t>
  </si>
  <si>
    <t>Harper, John</t>
  </si>
  <si>
    <t>Harper, Ken</t>
  </si>
  <si>
    <t>Harper, Steven</t>
  </si>
  <si>
    <t>Harrell Iv, Ben</t>
  </si>
  <si>
    <t>Harrell, Lori</t>
  </si>
  <si>
    <t>Harrell, Regina</t>
  </si>
  <si>
    <t>Harrigan, Ryan</t>
  </si>
  <si>
    <t>Harrill, Jonathan</t>
  </si>
  <si>
    <t>Harrington, Robin</t>
  </si>
  <si>
    <t>Harris, Adam</t>
  </si>
  <si>
    <t>Harris, Ann-marie</t>
  </si>
  <si>
    <t>Harris, Barbara</t>
  </si>
  <si>
    <t>Harris, Bradley</t>
  </si>
  <si>
    <t>Harris, Brenda</t>
  </si>
  <si>
    <t>Harris, Carrie</t>
  </si>
  <si>
    <t>Harris, Charles</t>
  </si>
  <si>
    <t>Harris, Doc</t>
  </si>
  <si>
    <t>Harris, Larry</t>
  </si>
  <si>
    <t>Harris, Lasanna</t>
  </si>
  <si>
    <t>Harris, Myla</t>
  </si>
  <si>
    <t>Harris, Oliver</t>
  </si>
  <si>
    <t>Harris, Sandra</t>
  </si>
  <si>
    <t>Harris, Stephen</t>
  </si>
  <si>
    <t>Harris, Steve</t>
  </si>
  <si>
    <t>Harris, Todd</t>
  </si>
  <si>
    <t>Harris, Traci</t>
  </si>
  <si>
    <t>Harris, William</t>
  </si>
  <si>
    <t>Harrison, Judi</t>
  </si>
  <si>
    <t>Harter, Jeffrey</t>
  </si>
  <si>
    <t>Hartman, Maria</t>
  </si>
  <si>
    <t>Hartmann, Olaf</t>
  </si>
  <si>
    <t>Hartnett, Deborah</t>
  </si>
  <si>
    <t>Hartry, Donald</t>
  </si>
  <si>
    <t>Harutunian, J</t>
  </si>
  <si>
    <t>Harvey, Brian</t>
  </si>
  <si>
    <t>Hase, Jason</t>
  </si>
  <si>
    <t>Hasenfratz, Anne</t>
  </si>
  <si>
    <t>Hashmi, Shoaib</t>
  </si>
  <si>
    <t>Haskett, John</t>
  </si>
  <si>
    <t>Hassan, Saqib</t>
  </si>
  <si>
    <t>Hassel, James</t>
  </si>
  <si>
    <t>Hastings, Derek</t>
  </si>
  <si>
    <t>Hatcher, Blair</t>
  </si>
  <si>
    <t>Hatcher, Carter</t>
  </si>
  <si>
    <t>Hatfield, Michael</t>
  </si>
  <si>
    <t>Hatfield, Nicole</t>
  </si>
  <si>
    <t>Hatheway, Anne</t>
  </si>
  <si>
    <t>Hatmaker, Jason</t>
  </si>
  <si>
    <t>Haug, Timothy</t>
  </si>
  <si>
    <t>Havener, Steven</t>
  </si>
  <si>
    <t>Haviland, Jonathan</t>
  </si>
  <si>
    <t>Hawkey, Catherine</t>
  </si>
  <si>
    <t>Hawkins, David</t>
  </si>
  <si>
    <t>Hawkins, Michael</t>
  </si>
  <si>
    <t>Hawkins, Renee</t>
  </si>
  <si>
    <t>Hayden, Jeffrey</t>
  </si>
  <si>
    <t>Haydon, Sean</t>
  </si>
  <si>
    <t>Hayes, Dorothy</t>
  </si>
  <si>
    <t>Hayes, Jennifer</t>
  </si>
  <si>
    <t>Hayes, John</t>
  </si>
  <si>
    <t>Hayes, Kristi</t>
  </si>
  <si>
    <t>Hayes, Laurel</t>
  </si>
  <si>
    <t>Hayes, Michael</t>
  </si>
  <si>
    <t>Haygood, Mildred</t>
  </si>
  <si>
    <t>Hayner, Wendy</t>
  </si>
  <si>
    <t>Haynes, Craig</t>
  </si>
  <si>
    <t>Haynes, Quita</t>
  </si>
  <si>
    <t>Hayward, Jane</t>
  </si>
  <si>
    <t>Hayward, Robert</t>
  </si>
  <si>
    <t>Hazel, Cheryl</t>
  </si>
  <si>
    <t>Hazel, Steven</t>
  </si>
  <si>
    <t>Hazen, Laurie</t>
  </si>
  <si>
    <t>Hazen, Neal</t>
  </si>
  <si>
    <t>Head, Andrew</t>
  </si>
  <si>
    <t>Head, Leslie</t>
  </si>
  <si>
    <t>Headline, Rebecca</t>
  </si>
  <si>
    <t>Healey, Joy</t>
  </si>
  <si>
    <t>Healy, Robert</t>
  </si>
  <si>
    <t>Heaney, Robert</t>
  </si>
  <si>
    <t>Heard, Michael</t>
  </si>
  <si>
    <t>Heathcoat, Shelly</t>
  </si>
  <si>
    <t>Hebert, Christopher</t>
  </si>
  <si>
    <t>Heck, Michelle</t>
  </si>
  <si>
    <t>Hedden, Craig</t>
  </si>
  <si>
    <t>Hedges, Jon</t>
  </si>
  <si>
    <t>Heesterbeek, Bert</t>
  </si>
  <si>
    <t>Hehir, William</t>
  </si>
  <si>
    <t>Heikkinen, Doug</t>
  </si>
  <si>
    <t>Hein, Sarah</t>
  </si>
  <si>
    <t>Heine, Timothy</t>
  </si>
  <si>
    <t>Heinemeyer, Sharon</t>
  </si>
  <si>
    <t>Heinen, C</t>
  </si>
  <si>
    <t>Heinrich, Judyth</t>
  </si>
  <si>
    <t>Heinritzi, Virginia</t>
  </si>
  <si>
    <t>Heintz, Todd</t>
  </si>
  <si>
    <t>Heintzman, Amy</t>
  </si>
  <si>
    <t>Heinzman, Matthew</t>
  </si>
  <si>
    <t>Heise, Helen</t>
  </si>
  <si>
    <t>Heiser, Diane</t>
  </si>
  <si>
    <t>Heiss, Thomas</t>
  </si>
  <si>
    <t>Heitman, David</t>
  </si>
  <si>
    <t>Heitzman, Robert</t>
  </si>
  <si>
    <t>Helberg, Martha</t>
  </si>
  <si>
    <t>Helgerson, Tracy</t>
  </si>
  <si>
    <t>Hellyar, Mark</t>
  </si>
  <si>
    <t>Heltemes, Ronald</t>
  </si>
  <si>
    <t>Helton, Pamela</t>
  </si>
  <si>
    <t>Helwig, Ann</t>
  </si>
  <si>
    <t>Heming, James</t>
  </si>
  <si>
    <t>Hemphill, Dean</t>
  </si>
  <si>
    <t>Hench, Frederick</t>
  </si>
  <si>
    <t>Henderson, Christopher</t>
  </si>
  <si>
    <t>Henderson, Jennifer</t>
  </si>
  <si>
    <t>Henderson, Kay</t>
  </si>
  <si>
    <t>Henderson, Michael</t>
  </si>
  <si>
    <t>Henderson, Robert</t>
  </si>
  <si>
    <t>Henderson, Stefani</t>
  </si>
  <si>
    <t>Henderson, Thomas</t>
  </si>
  <si>
    <t>Henderson, Tom</t>
  </si>
  <si>
    <t>Henderson, Yvonne</t>
  </si>
  <si>
    <t>Hendricks, Mark</t>
  </si>
  <si>
    <t>Hendricks, Timothy</t>
  </si>
  <si>
    <t>Henley, John</t>
  </si>
  <si>
    <t>Henry, Anthony</t>
  </si>
  <si>
    <t>Henry, Regina</t>
  </si>
  <si>
    <t>Hensarling, Kristy</t>
  </si>
  <si>
    <t>Henson, Jason</t>
  </si>
  <si>
    <t>Henson, Terry</t>
  </si>
  <si>
    <t>Henwood, Thomas</t>
  </si>
  <si>
    <t>Heppner, Christine</t>
  </si>
  <si>
    <t>Herbert, Margaret</t>
  </si>
  <si>
    <t>Herman burton, Melissa</t>
  </si>
  <si>
    <t>Herman, Randolph</t>
  </si>
  <si>
    <t>Hernandez, Don</t>
  </si>
  <si>
    <t>Hernandez, John</t>
  </si>
  <si>
    <t>Herndon, Louis</t>
  </si>
  <si>
    <t>Heron, Joseph</t>
  </si>
  <si>
    <t>Herrera, Steve</t>
  </si>
  <si>
    <t>Herring, Donald</t>
  </si>
  <si>
    <t>Herrle, Christopher</t>
  </si>
  <si>
    <t>Herrold, Cheryl</t>
  </si>
  <si>
    <t>Herron, Clint</t>
  </si>
  <si>
    <t>Herzberg, Gary</t>
  </si>
  <si>
    <t>Herzer, Elizabeth</t>
  </si>
  <si>
    <t>Herzl, Pierreyves</t>
  </si>
  <si>
    <t>Hess, Onno</t>
  </si>
  <si>
    <t>Hesseling, Ross</t>
  </si>
  <si>
    <t>Hester, Lisa</t>
  </si>
  <si>
    <t>Heston, Leah</t>
  </si>
  <si>
    <t>Hettle, Kris</t>
  </si>
  <si>
    <t>Hetzer, John</t>
  </si>
  <si>
    <t>Hevesy, Christopher</t>
  </si>
  <si>
    <t>Hewett, Mandy</t>
  </si>
  <si>
    <t>Hewgley, Richard</t>
  </si>
  <si>
    <t>Hewitt, Richard</t>
  </si>
  <si>
    <t>Hewitt, Robert</t>
  </si>
  <si>
    <t>Heytz, Tamara</t>
  </si>
  <si>
    <t>Hibbert, Michael</t>
  </si>
  <si>
    <t>Hickenbottom, James</t>
  </si>
  <si>
    <t>Hickerson, Carol</t>
  </si>
  <si>
    <t>Hickerson, Cory</t>
  </si>
  <si>
    <t>Hickey, Peter</t>
  </si>
  <si>
    <t>Hickman, Randall</t>
  </si>
  <si>
    <t>Hicks, Brad</t>
  </si>
  <si>
    <t>Hicks, Michael</t>
  </si>
  <si>
    <t>Hicks, Richard</t>
  </si>
  <si>
    <t>Hicks, Timothy</t>
  </si>
  <si>
    <t>Hiemstra, Christopher</t>
  </si>
  <si>
    <t>Higgins, John</t>
  </si>
  <si>
    <t>Higgs, William</t>
  </si>
  <si>
    <t>Hikal, Marwais</t>
  </si>
  <si>
    <t>Hikawa, Yukiko</t>
  </si>
  <si>
    <t>Hilborn, Joellyn</t>
  </si>
  <si>
    <t>Hildebrand, Mark</t>
  </si>
  <si>
    <t>Hill, Alan</t>
  </si>
  <si>
    <t>Hill, Barbara</t>
  </si>
  <si>
    <t>Hill, Ben</t>
  </si>
  <si>
    <t>Hill, Eric</t>
  </si>
  <si>
    <t>Hill, Erik</t>
  </si>
  <si>
    <t>Hill, Howard</t>
  </si>
  <si>
    <t>Hill, Julie</t>
  </si>
  <si>
    <t>Hill, Kelly</t>
  </si>
  <si>
    <t>Hill, Ronald</t>
  </si>
  <si>
    <t>Hill, Terrel</t>
  </si>
  <si>
    <t>Hill, William</t>
  </si>
  <si>
    <t>Hillery, Michael</t>
  </si>
  <si>
    <t>Hills, S</t>
  </si>
  <si>
    <t>Hillstrom, Eric</t>
  </si>
  <si>
    <t>Hilton, Brook</t>
  </si>
  <si>
    <t>Hilton, Ted</t>
  </si>
  <si>
    <t>Hilts, John</t>
  </si>
  <si>
    <t>Himes, Mark</t>
  </si>
  <si>
    <t>Hinchman, Bradley</t>
  </si>
  <si>
    <t>Hinderman, Stephen</t>
  </si>
  <si>
    <t>Hindman, Shannon</t>
  </si>
  <si>
    <t>Hindsboel, Bo</t>
  </si>
  <si>
    <t>Hines, Eric</t>
  </si>
  <si>
    <t>Hinsberg, Thomas</t>
  </si>
  <si>
    <t>Hiott, Jonathan</t>
  </si>
  <si>
    <t>Hirai, Elizabeth</t>
  </si>
  <si>
    <t>Hiramoto, Rebecca</t>
  </si>
  <si>
    <t>Hirt, David</t>
  </si>
  <si>
    <t>Hitchler, Robert</t>
  </si>
  <si>
    <t>Hixon, Beth</t>
  </si>
  <si>
    <t>Ho, Benjamin</t>
  </si>
  <si>
    <t>Hochstrasser, Emil</t>
  </si>
  <si>
    <t>Hockley, John</t>
  </si>
  <si>
    <t>Hodgkins, Kenneth</t>
  </si>
  <si>
    <t>Hoeltzel, Maureen</t>
  </si>
  <si>
    <t>Hoencamp, Coenraad</t>
  </si>
  <si>
    <t>Hoff, Lori</t>
  </si>
  <si>
    <t>Hoffman, Dana</t>
  </si>
  <si>
    <t>Hofmann, Anthony F.</t>
  </si>
  <si>
    <t>Hofmann, Laurent</t>
  </si>
  <si>
    <t>Hogan, Madeleine</t>
  </si>
  <si>
    <t>Hogeston, Kerri</t>
  </si>
  <si>
    <t>Hogg, Scott</t>
  </si>
  <si>
    <t>Hogue, Jay</t>
  </si>
  <si>
    <t>Hogue, Jennifer</t>
  </si>
  <si>
    <t>Holback, Kendall</t>
  </si>
  <si>
    <t>Holbrook, Hayden</t>
  </si>
  <si>
    <t>Holden, Ellen</t>
  </si>
  <si>
    <t>Holden, Jefferson</t>
  </si>
  <si>
    <t>Holden, Lorena</t>
  </si>
  <si>
    <t>Holland, Catherine</t>
  </si>
  <si>
    <t>Holland, Thomas</t>
  </si>
  <si>
    <t>Hollar, James</t>
  </si>
  <si>
    <t>Hollen, Matthew</t>
  </si>
  <si>
    <t>Hollingshead, Jonathan</t>
  </si>
  <si>
    <t>Hollis, Thermon</t>
  </si>
  <si>
    <t>Holloway, Kristen</t>
  </si>
  <si>
    <t>Holly, Augustus</t>
  </si>
  <si>
    <t>Holman, Elise</t>
  </si>
  <si>
    <t>Holmes, Frank</t>
  </si>
  <si>
    <t>Holmes, Karen</t>
  </si>
  <si>
    <t>Holmes, Marques</t>
  </si>
  <si>
    <t>Holmes, Matthew</t>
  </si>
  <si>
    <t>Holtz, Yvonne</t>
  </si>
  <si>
    <t>Holtzman, Eric</t>
  </si>
  <si>
    <t>Honan, John</t>
  </si>
  <si>
    <t>Honer, Reinhard</t>
  </si>
  <si>
    <t>Hood, Kathleen</t>
  </si>
  <si>
    <t>Hooker, Mary</t>
  </si>
  <si>
    <t>Hoolahan, John</t>
  </si>
  <si>
    <t>Hooper, A</t>
  </si>
  <si>
    <t>Hooper, Scott</t>
  </si>
  <si>
    <t>Hooshangian, David</t>
  </si>
  <si>
    <t>Hope, Bradley</t>
  </si>
  <si>
    <t>Hopkins, Jackie</t>
  </si>
  <si>
    <t>Hoppel, Pamela</t>
  </si>
  <si>
    <t>Hoppmann, T</t>
  </si>
  <si>
    <t>Hor, Kok whye, kenneth</t>
  </si>
  <si>
    <t>Horabik, Philip</t>
  </si>
  <si>
    <t>Horan, Jesse</t>
  </si>
  <si>
    <t>Horn, Joseph</t>
  </si>
  <si>
    <t>Horn, Juergen</t>
  </si>
  <si>
    <t>Horn, Lisa</t>
  </si>
  <si>
    <t>Horrigan, Thomas</t>
  </si>
  <si>
    <t>Horst, Michael</t>
  </si>
  <si>
    <t>Horton Iii, Wiley</t>
  </si>
  <si>
    <t>Horton, James</t>
  </si>
  <si>
    <t>Horton, Scott</t>
  </si>
  <si>
    <t>Horton, Troy</t>
  </si>
  <si>
    <t>Horvat, Joseph</t>
  </si>
  <si>
    <t>Hostrup, Sally</t>
  </si>
  <si>
    <t>Hotkevich, Robert</t>
  </si>
  <si>
    <t>Houghton, Kim</t>
  </si>
  <si>
    <t>Hourihan, Christopher</t>
  </si>
  <si>
    <t>Houser, Bruce</t>
  </si>
  <si>
    <t>Hovater, L C</t>
  </si>
  <si>
    <t>Hovey, Barbara</t>
  </si>
  <si>
    <t>Hovey, David</t>
  </si>
  <si>
    <t>Howard, Barbara</t>
  </si>
  <si>
    <t>Howard, Cecilia</t>
  </si>
  <si>
    <t>Howard, Gregory</t>
  </si>
  <si>
    <t>Howard, James</t>
  </si>
  <si>
    <t>Howard, Kevin</t>
  </si>
  <si>
    <t>Howard, Marvin</t>
  </si>
  <si>
    <t>Howard, Matthew</t>
  </si>
  <si>
    <t>Howard, Noel</t>
  </si>
  <si>
    <t>Howe, Jacqueline</t>
  </si>
  <si>
    <t>Howell, Howard</t>
  </si>
  <si>
    <t>Howie, Richard</t>
  </si>
  <si>
    <t>Howland, Philip</t>
  </si>
  <si>
    <t>Howle, Michael</t>
  </si>
  <si>
    <t>Howze, Darren</t>
  </si>
  <si>
    <t>Hoyle, Jo Ann</t>
  </si>
  <si>
    <t>Hrncir, Carolyn</t>
  </si>
  <si>
    <t>Hubert, Douglas</t>
  </si>
  <si>
    <t>Huddle, Camillia</t>
  </si>
  <si>
    <t>Hudnall, Jason</t>
  </si>
  <si>
    <t>Huerta, Carla</t>
  </si>
  <si>
    <t>Huerta, Cynthia</t>
  </si>
  <si>
    <t>Huey Iii, Raymond</t>
  </si>
  <si>
    <t>Huff, Byron</t>
  </si>
  <si>
    <t>Huff, Peggy</t>
  </si>
  <si>
    <t>Huffines, Joe</t>
  </si>
  <si>
    <t>Huffman, Charles</t>
  </si>
  <si>
    <t>Huffman, Rise</t>
  </si>
  <si>
    <t>Hughes, David</t>
  </si>
  <si>
    <t>Hughes, Stephanie</t>
  </si>
  <si>
    <t>Hughes-White, Dana</t>
  </si>
  <si>
    <t>Hullett, John</t>
  </si>
  <si>
    <t>Hulsey, Chad</t>
  </si>
  <si>
    <t>Humes, Michael</t>
  </si>
  <si>
    <t>Hundley, Stephanie</t>
  </si>
  <si>
    <t>Hunt, Barbara</t>
  </si>
  <si>
    <t>Hunt, Kelly</t>
  </si>
  <si>
    <t>Hunt, Mary</t>
  </si>
  <si>
    <t>Hunter, James</t>
  </si>
  <si>
    <t>Hunter, Johnny</t>
  </si>
  <si>
    <t>Hunter, Richard</t>
  </si>
  <si>
    <t>Hunter, Sandra</t>
  </si>
  <si>
    <t>Huntzinger, Christine</t>
  </si>
  <si>
    <t>Huot, Christopher</t>
  </si>
  <si>
    <t>Hurd, Gregory</t>
  </si>
  <si>
    <t>Hurley, Elizabeth</t>
  </si>
  <si>
    <t>Hurley, Holley</t>
  </si>
  <si>
    <t>Hurry, Steve</t>
  </si>
  <si>
    <t>Hurst, Chris</t>
  </si>
  <si>
    <t>Hurst, Sam</t>
  </si>
  <si>
    <t>Hurtt, Robert</t>
  </si>
  <si>
    <t>Hussain, Eddie</t>
  </si>
  <si>
    <t>Huston, Amy</t>
  </si>
  <si>
    <t>Huston, Fred</t>
  </si>
  <si>
    <t>Huston, Jennifer</t>
  </si>
  <si>
    <t>Huston, Travis</t>
  </si>
  <si>
    <t>Hutnik, Stephen</t>
  </si>
  <si>
    <t>Hyde, Rob</t>
  </si>
  <si>
    <t>Idleman, Julie</t>
  </si>
  <si>
    <t>Ifems, Shay</t>
  </si>
  <si>
    <t>Igielski, Ted</t>
  </si>
  <si>
    <t>Igl, Chad</t>
  </si>
  <si>
    <t>Igrawright, Yvonne</t>
  </si>
  <si>
    <t>Ikast, Jan b</t>
  </si>
  <si>
    <t>Ikeda, Katsuhisa</t>
  </si>
  <si>
    <t>Imada, Shane</t>
  </si>
  <si>
    <t>Inagaki, Haruka</t>
  </si>
  <si>
    <t>Inampudi, Satish</t>
  </si>
  <si>
    <t>Indiwara, Bonny</t>
  </si>
  <si>
    <t>Infantino, Paul</t>
  </si>
  <si>
    <t>Ingenthron, Carol</t>
  </si>
  <si>
    <t>Ingersoll, Michael</t>
  </si>
  <si>
    <t>Innis, James</t>
  </si>
  <si>
    <t>Intro, Craig</t>
  </si>
  <si>
    <t>Inumaru, Takashi</t>
  </si>
  <si>
    <t>Ireland, Adam</t>
  </si>
  <si>
    <t>Ireland, Douglas</t>
  </si>
  <si>
    <t>Irvin, Stephanie</t>
  </si>
  <si>
    <t>Irwin, Angela</t>
  </si>
  <si>
    <t>Irwin, Patrick</t>
  </si>
  <si>
    <t>Irwin, Steven</t>
  </si>
  <si>
    <t>Isaac, Brian</t>
  </si>
  <si>
    <t>Iseldyke, Eric</t>
  </si>
  <si>
    <t>Ishikawa, Chikako</t>
  </si>
  <si>
    <t>Ishimatsu, Yorimasa</t>
  </si>
  <si>
    <t>Isokrari, Richards</t>
  </si>
  <si>
    <t>Ito, Kayo</t>
  </si>
  <si>
    <t>Ives, Kathleen</t>
  </si>
  <si>
    <t>Ives, Michael</t>
  </si>
  <si>
    <t>Jack, Douglas</t>
  </si>
  <si>
    <t>Jack, Scottie</t>
  </si>
  <si>
    <t>Jackovich, Greg</t>
  </si>
  <si>
    <t>Jackson, Bevan</t>
  </si>
  <si>
    <t>Jackson, Brooke</t>
  </si>
  <si>
    <t>Jackson, Chuck</t>
  </si>
  <si>
    <t>Jackson, Dewayne</t>
  </si>
  <si>
    <t>Jackson, Duane</t>
  </si>
  <si>
    <t>Jackson, John</t>
  </si>
  <si>
    <t>Jackson, Joseph</t>
  </si>
  <si>
    <t>Jackson, Kendrick</t>
  </si>
  <si>
    <t>Jackson, Patricia</t>
  </si>
  <si>
    <t>Jackson, Preston</t>
  </si>
  <si>
    <t>Jackson, Sandra</t>
  </si>
  <si>
    <t>Jackson, Tandy</t>
  </si>
  <si>
    <t>Jackson, Tashay</t>
  </si>
  <si>
    <t>Jacobs, Paul</t>
  </si>
  <si>
    <t>Jacobs, Sherri</t>
  </si>
  <si>
    <t>Jacobsen, Richard</t>
  </si>
  <si>
    <t>Jacoby, Bryce</t>
  </si>
  <si>
    <t>Jacques, Nicole</t>
  </si>
  <si>
    <t>Jaekels, Andrew</t>
  </si>
  <si>
    <t>Jaffa, Anniyea</t>
  </si>
  <si>
    <t>Jaffe, Pamela</t>
  </si>
  <si>
    <t>Jagannathan, Sudha</t>
  </si>
  <si>
    <t>Jakovich, Daniel</t>
  </si>
  <si>
    <t>Jalbert, Andrew</t>
  </si>
  <si>
    <t>James, Edward</t>
  </si>
  <si>
    <t>James, Elizabeth</t>
  </si>
  <si>
    <t>James, Ijere</t>
  </si>
  <si>
    <t>James, Jeremy</t>
  </si>
  <si>
    <t>James, Karen</t>
  </si>
  <si>
    <t>James, Norman</t>
  </si>
  <si>
    <t>James, Wanda</t>
  </si>
  <si>
    <t>Jameson, David</t>
  </si>
  <si>
    <t>Jameson, Steve</t>
  </si>
  <si>
    <t>Jamin, William</t>
  </si>
  <si>
    <t>Jana, Cesar</t>
  </si>
  <si>
    <t>Janiszewski, Lucia</t>
  </si>
  <si>
    <t>Jann, Louise</t>
  </si>
  <si>
    <t>Jannazo, Gerard</t>
  </si>
  <si>
    <t>Jannsen, Jeffrey</t>
  </si>
  <si>
    <t>Jarman Jr, Benjamin</t>
  </si>
  <si>
    <t>Jarrell, Joe</t>
  </si>
  <si>
    <t>Jarrett, Christopher</t>
  </si>
  <si>
    <t>Jarrett, Tracie</t>
  </si>
  <si>
    <t>Jarvis, Starlin</t>
  </si>
  <si>
    <t>Jarvis, Steven</t>
  </si>
  <si>
    <t>Jasper, Danielle</t>
  </si>
  <si>
    <t>Jasrotia, Karni</t>
  </si>
  <si>
    <t>Jasso, Therese</t>
  </si>
  <si>
    <t>Jauregui, Belen</t>
  </si>
  <si>
    <t>Javali, Praveen</t>
  </si>
  <si>
    <t>Jeffers, Robert</t>
  </si>
  <si>
    <t>Jeffery, Keith</t>
  </si>
  <si>
    <t>Jeffries, Shane</t>
  </si>
  <si>
    <t>Jellison, Paul</t>
  </si>
  <si>
    <t>Jenkins, Allison</t>
  </si>
  <si>
    <t>Jenkins, Dana</t>
  </si>
  <si>
    <t>Jenkins, John</t>
  </si>
  <si>
    <t>Jenkins, Kevin</t>
  </si>
  <si>
    <t>Jenkins, Michael</t>
  </si>
  <si>
    <t>Jenkins, Ryan</t>
  </si>
  <si>
    <t>Jenkins, Todd</t>
  </si>
  <si>
    <t>Jenks, Romi</t>
  </si>
  <si>
    <t>Jennerich, Nancy</t>
  </si>
  <si>
    <t>Jennings, Anthony</t>
  </si>
  <si>
    <t>Jensen, Christopher</t>
  </si>
  <si>
    <t>Jensen, Dan</t>
  </si>
  <si>
    <t>Jensen, Debra</t>
  </si>
  <si>
    <t>Jensen, Joanne</t>
  </si>
  <si>
    <t>Jensen, Susan</t>
  </si>
  <si>
    <t>Jensen, Todd</t>
  </si>
  <si>
    <t>Jepson, Sonia</t>
  </si>
  <si>
    <t>Jessie, Vera</t>
  </si>
  <si>
    <t>Jessurum, Geovanny</t>
  </si>
  <si>
    <t>Jetton, John</t>
  </si>
  <si>
    <t>Jiang, Hua</t>
  </si>
  <si>
    <t>Jimenez, Susan</t>
  </si>
  <si>
    <t>Jobst, William</t>
  </si>
  <si>
    <t>Jochim, Helmut</t>
  </si>
  <si>
    <t>Johansen, Pamela</t>
  </si>
  <si>
    <t>Johnican, Cory</t>
  </si>
  <si>
    <t>Johnson, Alanda</t>
  </si>
  <si>
    <t>Johnson, Anthony</t>
  </si>
  <si>
    <t>Johnson, C</t>
  </si>
  <si>
    <t>Johnson, Clarence</t>
  </si>
  <si>
    <t>Johnson, Constance</t>
  </si>
  <si>
    <t>Johnson, Erika</t>
  </si>
  <si>
    <t>Johnson, Gary</t>
  </si>
  <si>
    <t>Johnson, James</t>
  </si>
  <si>
    <t>Johnson, Janice</t>
  </si>
  <si>
    <t>Johnson, Jerome</t>
  </si>
  <si>
    <t>Johnson, Jide</t>
  </si>
  <si>
    <t>Johnson, Jon</t>
  </si>
  <si>
    <t>Johnson, Jonathan</t>
  </si>
  <si>
    <t>Johnson, Julie</t>
  </si>
  <si>
    <t>Johnson, Kathleen</t>
  </si>
  <si>
    <t>Johnson, Keith</t>
  </si>
  <si>
    <t>Johnson, Kent</t>
  </si>
  <si>
    <t>Johnson, Kerrin</t>
  </si>
  <si>
    <t>Johnson, Kevin</t>
  </si>
  <si>
    <t>Johnson, Kurt</t>
  </si>
  <si>
    <t>Johnson, Linda</t>
  </si>
  <si>
    <t>Johnson, Mark</t>
  </si>
  <si>
    <t>Johnson, Markf</t>
  </si>
  <si>
    <t>Johnson, Merritt</t>
  </si>
  <si>
    <t>Johnson, Michael</t>
  </si>
  <si>
    <t>Johnson, Michele</t>
  </si>
  <si>
    <t>Johnson, Nadeine</t>
  </si>
  <si>
    <t>Johnson, Patricia</t>
  </si>
  <si>
    <t>Johnson, Raymond</t>
  </si>
  <si>
    <t>Johnson, Renate</t>
  </si>
  <si>
    <t>Johnson, Robert</t>
  </si>
  <si>
    <t>Johnson, Rommie</t>
  </si>
  <si>
    <t>Johnson, Sherrii</t>
  </si>
  <si>
    <t>Johnson, Sonya</t>
  </si>
  <si>
    <t>Johnson, Stacey</t>
  </si>
  <si>
    <t>Johnson, Susan</t>
  </si>
  <si>
    <t>Johnson, Sylvia</t>
  </si>
  <si>
    <t>Johnson, Terry</t>
  </si>
  <si>
    <t>Johnson, Timothy</t>
  </si>
  <si>
    <t>Johnson, Todd</t>
  </si>
  <si>
    <t>Johnson, W</t>
  </si>
  <si>
    <t>Johnston, Deborah</t>
  </si>
  <si>
    <t>Johnston, Maria</t>
  </si>
  <si>
    <t>Johnston, Vance</t>
  </si>
  <si>
    <t>Johnston, William</t>
  </si>
  <si>
    <t>Jolie, Terry</t>
  </si>
  <si>
    <t>Jolman, Julie</t>
  </si>
  <si>
    <t>Joly, Philippe</t>
  </si>
  <si>
    <t>Jonas, Paul</t>
  </si>
  <si>
    <t>Jones, Alan</t>
  </si>
  <si>
    <t>Jones, Ben</t>
  </si>
  <si>
    <t>Jones, Brad</t>
  </si>
  <si>
    <t>Jones, Brandi</t>
  </si>
  <si>
    <t>Jones, Brian</t>
  </si>
  <si>
    <t>Jones, Carletta</t>
  </si>
  <si>
    <t>Jones, Casey</t>
  </si>
  <si>
    <t>Jones, Christian</t>
  </si>
  <si>
    <t>Jones, Christina</t>
  </si>
  <si>
    <t>Jones, Claire</t>
  </si>
  <si>
    <t>Jones, Clifton</t>
  </si>
  <si>
    <t>Jones, David</t>
  </si>
  <si>
    <t>Jones, Debra</t>
  </si>
  <si>
    <t>Jones, Dennis</t>
  </si>
  <si>
    <t>Jones, Eric</t>
  </si>
  <si>
    <t>Jones, Florence</t>
  </si>
  <si>
    <t>Jones, James</t>
  </si>
  <si>
    <t>Jones, Jane</t>
  </si>
  <si>
    <t>Jones, John</t>
  </si>
  <si>
    <t>Jones, Joseph</t>
  </si>
  <si>
    <t>Jones, Laurie</t>
  </si>
  <si>
    <t>Jones, Linda</t>
  </si>
  <si>
    <t>Jones, Lisa</t>
  </si>
  <si>
    <t>Jones, Louis</t>
  </si>
  <si>
    <t>Jones, Lynette</t>
  </si>
  <si>
    <t>Jones, Mark</t>
  </si>
  <si>
    <t>Jones, Milton</t>
  </si>
  <si>
    <t>Jones, Monica</t>
  </si>
  <si>
    <t>Jones, Nancy</t>
  </si>
  <si>
    <t>Jones, Nate</t>
  </si>
  <si>
    <t>Jones, Nathan</t>
  </si>
  <si>
    <t>Jones, Nikki</t>
  </si>
  <si>
    <t>Jones, Reginald</t>
  </si>
  <si>
    <t>Jones, Rita</t>
  </si>
  <si>
    <t>Jones, Robert</t>
  </si>
  <si>
    <t>Jones, Ronald</t>
  </si>
  <si>
    <t>Jones, Sharleen</t>
  </si>
  <si>
    <t>Jones, Timothy</t>
  </si>
  <si>
    <t>Jones, Tricia</t>
  </si>
  <si>
    <t>Jones, Zachary</t>
  </si>
  <si>
    <t>Jones-Brewer, Annette</t>
  </si>
  <si>
    <t>Jordan, Charlie</t>
  </si>
  <si>
    <t>Jordan, Jeff</t>
  </si>
  <si>
    <t>Jordan, Jennifer</t>
  </si>
  <si>
    <t>Joseph, Stephen</t>
  </si>
  <si>
    <t>Joubert, Joyce</t>
  </si>
  <si>
    <t>Jow, Russell</t>
  </si>
  <si>
    <t>Joyce, Jeff</t>
  </si>
  <si>
    <t>Judge, Jeremy</t>
  </si>
  <si>
    <t>Judy, Jacqueline</t>
  </si>
  <si>
    <t>Jugan, Susan</t>
  </si>
  <si>
    <t>Juhnke, Daniel</t>
  </si>
  <si>
    <t>Juhnke, Thomas</t>
  </si>
  <si>
    <t>Juliano, Sam</t>
  </si>
  <si>
    <t>Jumani, Jamal</t>
  </si>
  <si>
    <t>June, William</t>
  </si>
  <si>
    <t>Jurg, Jacco</t>
  </si>
  <si>
    <t>Jurgensen, Daniel</t>
  </si>
  <si>
    <t>Justice, Radfield</t>
  </si>
  <si>
    <t>Kabacinski, Dianne</t>
  </si>
  <si>
    <t>Kabat, Brandey</t>
  </si>
  <si>
    <t>Kadish, Renee</t>
  </si>
  <si>
    <t>Kafka, John</t>
  </si>
  <si>
    <t>Kafkes, George</t>
  </si>
  <si>
    <t>Kagan, Scott</t>
  </si>
  <si>
    <t>Kalafut, John</t>
  </si>
  <si>
    <t>Kalal, Kathleen</t>
  </si>
  <si>
    <t>Kale, John</t>
  </si>
  <si>
    <t>Kalina, Raquel</t>
  </si>
  <si>
    <t>Kalisvaart, Dion</t>
  </si>
  <si>
    <t>Kalokoh, Abu</t>
  </si>
  <si>
    <t>Kamal, Christopher</t>
  </si>
  <si>
    <t>Kamman, Jennifer</t>
  </si>
  <si>
    <t>Kammer, Frank</t>
  </si>
  <si>
    <t>Kamp, Stephanie</t>
  </si>
  <si>
    <t>Kanalakis, Jason</t>
  </si>
  <si>
    <t>Kane, John</t>
  </si>
  <si>
    <t>Kaneshiro, Roy</t>
  </si>
  <si>
    <t>Kang, Mo</t>
  </si>
  <si>
    <t>Kankus, Romas</t>
  </si>
  <si>
    <t>Kapadia, Paritosh</t>
  </si>
  <si>
    <t>Karakoulias, Thomas</t>
  </si>
  <si>
    <t>Karas, Anthony</t>
  </si>
  <si>
    <t>Karcher, David</t>
  </si>
  <si>
    <t>Karchmer, David</t>
  </si>
  <si>
    <t>Karcz, Todd</t>
  </si>
  <si>
    <t>Kardynalski, Ingrid</t>
  </si>
  <si>
    <t>Karlsson, Per</t>
  </si>
  <si>
    <t>Karna, Arun</t>
  </si>
  <si>
    <t>Karr, Jeffrey</t>
  </si>
  <si>
    <t>Kase, Jeffrey</t>
  </si>
  <si>
    <t>Kasper, Andrew</t>
  </si>
  <si>
    <t>Kastendike, George</t>
  </si>
  <si>
    <t>Kastrup, Timothy</t>
  </si>
  <si>
    <t>Katayama, Toshihide</t>
  </si>
  <si>
    <t>Katlovska, Zuzana</t>
  </si>
  <si>
    <t>Kato, Kenji</t>
  </si>
  <si>
    <t>Katzbeck, Scott</t>
  </si>
  <si>
    <t>Katzen, Jeff</t>
  </si>
  <si>
    <t>Kaufman, Gregory</t>
  </si>
  <si>
    <t>Kaufmann, David</t>
  </si>
  <si>
    <t>Kauten, Maureen</t>
  </si>
  <si>
    <t>Kavalle, Michael</t>
  </si>
  <si>
    <t>Kay, Andy</t>
  </si>
  <si>
    <t>Kay, Douglas</t>
  </si>
  <si>
    <t>Kayphillips, Jerri</t>
  </si>
  <si>
    <t>Kearbey, Mary</t>
  </si>
  <si>
    <t>Kearns, James</t>
  </si>
  <si>
    <t>Kearns, Theodore</t>
  </si>
  <si>
    <t>Keaveney, Thomas</t>
  </si>
  <si>
    <t>Kee, Kelly</t>
  </si>
  <si>
    <t>Keefner, Amy</t>
  </si>
  <si>
    <t>Keegan, Brendan</t>
  </si>
  <si>
    <t>Keenan, Daniel</t>
  </si>
  <si>
    <t>Keene, Christopher</t>
  </si>
  <si>
    <t>Keeney, John</t>
  </si>
  <si>
    <t>Keeton, Charles</t>
  </si>
  <si>
    <t>Keiffer, Mark</t>
  </si>
  <si>
    <t>Keith, Cecil</t>
  </si>
  <si>
    <t>Keith, Gloria</t>
  </si>
  <si>
    <t>Keith, Scott</t>
  </si>
  <si>
    <t>Keller, Chris</t>
  </si>
  <si>
    <t>Kellerman, Barbara</t>
  </si>
  <si>
    <t>Kelley, Annette</t>
  </si>
  <si>
    <t>Kelley, Jeffrey</t>
  </si>
  <si>
    <t>Kelley, Kevin</t>
  </si>
  <si>
    <t>Kells, Michael</t>
  </si>
  <si>
    <t>Kelly, Amani</t>
  </si>
  <si>
    <t>Kelly, Blaine</t>
  </si>
  <si>
    <t>Kelly, George</t>
  </si>
  <si>
    <t>Kelly, Gregg</t>
  </si>
  <si>
    <t>Kelly, Jennifer</t>
  </si>
  <si>
    <t>Kelly, John</t>
  </si>
  <si>
    <t>Kelly, Michael</t>
  </si>
  <si>
    <t>Kelly, Padraic</t>
  </si>
  <si>
    <t>Kelly, Peter</t>
  </si>
  <si>
    <t>Kelly, Timothy</t>
  </si>
  <si>
    <t>Kellyvivenzio, Marianne</t>
  </si>
  <si>
    <t>Kelsoe, Sylvia</t>
  </si>
  <si>
    <t>Kemp, David</t>
  </si>
  <si>
    <t>Kemp, Sean</t>
  </si>
  <si>
    <t>Kendrick, Kendall</t>
  </si>
  <si>
    <t>Kennard, George</t>
  </si>
  <si>
    <t>Kenneavy, Roger</t>
  </si>
  <si>
    <t>Kennedy, Brian</t>
  </si>
  <si>
    <t>Kennedy, Robert</t>
  </si>
  <si>
    <t>Kennedy, Sandra</t>
  </si>
  <si>
    <t>Kenning, Kurt</t>
  </si>
  <si>
    <t>Kennings, Lana</t>
  </si>
  <si>
    <t>Kenny, Steven</t>
  </si>
  <si>
    <t>Kent, Bridget</t>
  </si>
  <si>
    <t>Keo, Janet</t>
  </si>
  <si>
    <t>Keogh, Brian</t>
  </si>
  <si>
    <t>Kero, Charles</t>
  </si>
  <si>
    <t>Kersey, Joe</t>
  </si>
  <si>
    <t>Kersey, Sandra</t>
  </si>
  <si>
    <t>Kerwin, Mark</t>
  </si>
  <si>
    <t>Keshinover, Jason</t>
  </si>
  <si>
    <t>Keslar, Susan</t>
  </si>
  <si>
    <t>Kesler, James</t>
  </si>
  <si>
    <t>Kesser, James</t>
  </si>
  <si>
    <t>Kessler, John</t>
  </si>
  <si>
    <t>Ketler, Jeffrey</t>
  </si>
  <si>
    <t>Kettell, David</t>
  </si>
  <si>
    <t>Ketterer, Dean</t>
  </si>
  <si>
    <t>Khailer, Ryan</t>
  </si>
  <si>
    <t>Khan, Islam</t>
  </si>
  <si>
    <t>Khanna, J k</t>
  </si>
  <si>
    <t>Khanna, Vinay</t>
  </si>
  <si>
    <t>Khazan, Hozannah</t>
  </si>
  <si>
    <t>Kheyfets, Alana</t>
  </si>
  <si>
    <t>Khinvasara, Niraj</t>
  </si>
  <si>
    <t>Khym, Jaycw</t>
  </si>
  <si>
    <t>Kidd, James</t>
  </si>
  <si>
    <t>Kidd, Janie</t>
  </si>
  <si>
    <t>Kidder, Stephen</t>
  </si>
  <si>
    <t>Kiebles, Dina</t>
  </si>
  <si>
    <t>Kieffer, William</t>
  </si>
  <si>
    <t>Kiehm, Ricky</t>
  </si>
  <si>
    <t>Kienle, Robert</t>
  </si>
  <si>
    <t>Kiernan, Kathleen</t>
  </si>
  <si>
    <t>Kiili, Petri</t>
  </si>
  <si>
    <t>Kikuchi, Taro</t>
  </si>
  <si>
    <t>Kilian, Tricia</t>
  </si>
  <si>
    <t>Kill, Charles</t>
  </si>
  <si>
    <t>Kilpatrick, R</t>
  </si>
  <si>
    <t>Kim, Christine</t>
  </si>
  <si>
    <t>Kim, Hongjoong</t>
  </si>
  <si>
    <t>Kim, Jimmy</t>
  </si>
  <si>
    <t>Kim, Jin seob</t>
  </si>
  <si>
    <t>Kim, Kwang Jung</t>
  </si>
  <si>
    <t>Kim, Sunggyun</t>
  </si>
  <si>
    <t>Kim, Wesley</t>
  </si>
  <si>
    <t>Kimberly, Dennis</t>
  </si>
  <si>
    <t>Kimble, Melba</t>
  </si>
  <si>
    <t>Kimbrell, Gwen</t>
  </si>
  <si>
    <t>Kimel, Kimberly</t>
  </si>
  <si>
    <t>Kimijima, Yoshiro</t>
  </si>
  <si>
    <t>Kimmel, Brian</t>
  </si>
  <si>
    <t>Kimura, Takashi</t>
  </si>
  <si>
    <t>Kind, John</t>
  </si>
  <si>
    <t>Kindberg, Adam</t>
  </si>
  <si>
    <t>King, Christine</t>
  </si>
  <si>
    <t>King, James</t>
  </si>
  <si>
    <t>King, Kyle</t>
  </si>
  <si>
    <t>King, Mark</t>
  </si>
  <si>
    <t>King, Scott</t>
  </si>
  <si>
    <t>Kingery, Duane</t>
  </si>
  <si>
    <t>Kingman, Brett</t>
  </si>
  <si>
    <t>Kingsten, David</t>
  </si>
  <si>
    <t>Kinney, Pat</t>
  </si>
  <si>
    <t>Kirby, Robert</t>
  </si>
  <si>
    <t>Kirby, Ryan</t>
  </si>
  <si>
    <t>Kirk, Erik</t>
  </si>
  <si>
    <t>Kirk, Jack</t>
  </si>
  <si>
    <t>Kirker, John</t>
  </si>
  <si>
    <t>Kirkland, Ronald</t>
  </si>
  <si>
    <t>Kitchen, Lisa</t>
  </si>
  <si>
    <t>Kittle, Glenn</t>
  </si>
  <si>
    <t>Kizzia, Jay</t>
  </si>
  <si>
    <t>Kjelstrup, Rebecca</t>
  </si>
  <si>
    <t>Klapka, Holly</t>
  </si>
  <si>
    <t>Klassen, Susan</t>
  </si>
  <si>
    <t>Klaus, Keri</t>
  </si>
  <si>
    <t>Klee, Kristan</t>
  </si>
  <si>
    <t>Klein, Christine</t>
  </si>
  <si>
    <t>Klein, Nancy</t>
  </si>
  <si>
    <t>Klein, Robert</t>
  </si>
  <si>
    <t>Klewin, Kay</t>
  </si>
  <si>
    <t>Kliethermes, Julie</t>
  </si>
  <si>
    <t>Klimas, Kathleen</t>
  </si>
  <si>
    <t>Klohe, Jay</t>
  </si>
  <si>
    <t>Kloss, Janna</t>
  </si>
  <si>
    <t>Klug, Connie</t>
  </si>
  <si>
    <t>Klunk, Darlene</t>
  </si>
  <si>
    <t>Kment, Michael</t>
  </si>
  <si>
    <t>Knasel, James</t>
  </si>
  <si>
    <t>Knez, Lindsay</t>
  </si>
  <si>
    <t>Knezevich, Kathy</t>
  </si>
  <si>
    <t>Knight, John</t>
  </si>
  <si>
    <t>Knight, Linda</t>
  </si>
  <si>
    <t>Knight, Shanta</t>
  </si>
  <si>
    <t>Knight, Stephen</t>
  </si>
  <si>
    <t>Knott, Casey</t>
  </si>
  <si>
    <t>Knowles, Meredith</t>
  </si>
  <si>
    <t>Knox, Jeanann</t>
  </si>
  <si>
    <t>Knox, Terrence</t>
  </si>
  <si>
    <t>Knuth, Andrew</t>
  </si>
  <si>
    <t>Kobayashi, Koji</t>
  </si>
  <si>
    <t>Koch, David</t>
  </si>
  <si>
    <t>Kochanski, Chauntel</t>
  </si>
  <si>
    <t>Kocian, Cindy</t>
  </si>
  <si>
    <t>Koechlin, Robert</t>
  </si>
  <si>
    <t>Koehnecke, John</t>
  </si>
  <si>
    <t>Koenig, Dusk</t>
  </si>
  <si>
    <t>Koerner, Christopher</t>
  </si>
  <si>
    <t>Koerner, Darrin</t>
  </si>
  <si>
    <t>Koertge, Christopher</t>
  </si>
  <si>
    <t>Koettenstorfer, Ferdinand</t>
  </si>
  <si>
    <t>Koh, Hirofumi</t>
  </si>
  <si>
    <t>Koh, Wuijin</t>
  </si>
  <si>
    <t>Koizumi, Mitsuya</t>
  </si>
  <si>
    <t>Kok, Brian</t>
  </si>
  <si>
    <t>Kokot, Dale</t>
  </si>
  <si>
    <t>Kolarchick, Scott</t>
  </si>
  <si>
    <t>Kolberg, Deborah</t>
  </si>
  <si>
    <t>Kolda, Edward</t>
  </si>
  <si>
    <t>Koletsos, Johanna</t>
  </si>
  <si>
    <t>Kolker, Glenn</t>
  </si>
  <si>
    <t>Kolo, Edward</t>
  </si>
  <si>
    <t>Kolocsanyi, Julius</t>
  </si>
  <si>
    <t>Komarnicki, Debra</t>
  </si>
  <si>
    <t>Konadu, Juliana</t>
  </si>
  <si>
    <t>Konuta, Osamu</t>
  </si>
  <si>
    <t>Koppa, Kent</t>
  </si>
  <si>
    <t>Kopystynsky, Andrew</t>
  </si>
  <si>
    <t>Korber, Charles</t>
  </si>
  <si>
    <t>Kordes, John</t>
  </si>
  <si>
    <t>Kordik, Geoffrey</t>
  </si>
  <si>
    <t>Kos, Noel</t>
  </si>
  <si>
    <t>Koshgarian, Katherine</t>
  </si>
  <si>
    <t>Koster, John</t>
  </si>
  <si>
    <t>Kostuik, Maureen</t>
  </si>
  <si>
    <t>Kot, Wang chau</t>
  </si>
  <si>
    <t>Kotha, Pooja</t>
  </si>
  <si>
    <t>Kouns, Stephen</t>
  </si>
  <si>
    <t>Kowalski, Cynthia</t>
  </si>
  <si>
    <t>Kowalsky, Matthew</t>
  </si>
  <si>
    <t>Koyama, Beverly</t>
  </si>
  <si>
    <t>Kozemski, Walter</t>
  </si>
  <si>
    <t>Kozlowicz, Nick</t>
  </si>
  <si>
    <t>Kraeger, Scott</t>
  </si>
  <si>
    <t>Kraft, Jason</t>
  </si>
  <si>
    <t>Kraft, Robert</t>
  </si>
  <si>
    <t>Kragen, Mark</t>
  </si>
  <si>
    <t>Kraner, Jason</t>
  </si>
  <si>
    <t>Krause, Craig</t>
  </si>
  <si>
    <t>Kray, Mary</t>
  </si>
  <si>
    <t>Krayzel, Kevin</t>
  </si>
  <si>
    <t>Kreglow, Michael</t>
  </si>
  <si>
    <t>Kreiner, Hannes</t>
  </si>
  <si>
    <t>Kreis, Electa</t>
  </si>
  <si>
    <t>Krenek, Stefanie</t>
  </si>
  <si>
    <t>Krepp, Kevin</t>
  </si>
  <si>
    <t>Kress, Edward</t>
  </si>
  <si>
    <t>Kroemer, William</t>
  </si>
  <si>
    <t>Kroening, Keith</t>
  </si>
  <si>
    <t>Krohn, Karl</t>
  </si>
  <si>
    <t>Kropa, Erik</t>
  </si>
  <si>
    <t>Krost, Lee</t>
  </si>
  <si>
    <t>Krueger, Cheryl</t>
  </si>
  <si>
    <t>Krueger, Dean</t>
  </si>
  <si>
    <t>Kruse, Daryl</t>
  </si>
  <si>
    <t>Kruse, Mark</t>
  </si>
  <si>
    <t>Kryzanowsky, Mark</t>
  </si>
  <si>
    <t>Kubalak, Vicki</t>
  </si>
  <si>
    <t>Kubelka, Michael</t>
  </si>
  <si>
    <t>Kuceba, Jennifer</t>
  </si>
  <si>
    <t>Kuchar, David</t>
  </si>
  <si>
    <t>Kuehl, Stephen</t>
  </si>
  <si>
    <t>Kuehn, Scott</t>
  </si>
  <si>
    <t>Kuenzi, Dennis</t>
  </si>
  <si>
    <t>Kufrovich, Patrick</t>
  </si>
  <si>
    <t>Kuhl, Paul</t>
  </si>
  <si>
    <t>Kuhla, Michael</t>
  </si>
  <si>
    <t>Kuhn, John</t>
  </si>
  <si>
    <t>Kukier, Siegfried</t>
  </si>
  <si>
    <t>Kulow, Russell</t>
  </si>
  <si>
    <t>Kumaraswamy, Jayaraman</t>
  </si>
  <si>
    <t>Kuntz, Jerold</t>
  </si>
  <si>
    <t>Kunze, Brad</t>
  </si>
  <si>
    <t>Kuo, Margaret</t>
  </si>
  <si>
    <t>Kupfer, Margaret</t>
  </si>
  <si>
    <t>Kuramitsu, Daita</t>
  </si>
  <si>
    <t>Kurasz, Thomas</t>
  </si>
  <si>
    <t>Kuriger, Walter</t>
  </si>
  <si>
    <t>Kurlonak, Patricia</t>
  </si>
  <si>
    <t>Kurth, James</t>
  </si>
  <si>
    <t>Kurtz, Marshall</t>
  </si>
  <si>
    <t>Kurucz, Kevin</t>
  </si>
  <si>
    <t>Kuwata, Ryoko</t>
  </si>
  <si>
    <t>Kuypercross, Barbara</t>
  </si>
  <si>
    <t>Kwan, Gerald</t>
  </si>
  <si>
    <t>Kwan, Laiyee</t>
  </si>
  <si>
    <t>Kyzar, Pamela</t>
  </si>
  <si>
    <t>Labadie, Michael</t>
  </si>
  <si>
    <t>Labai, Zoltan</t>
  </si>
  <si>
    <t>Labat, Cheryl</t>
  </si>
  <si>
    <t>Labella, Bryan</t>
  </si>
  <si>
    <t>Labor, Kirsten</t>
  </si>
  <si>
    <t>Labots, Jeroen</t>
  </si>
  <si>
    <t>Laboy, JD</t>
  </si>
  <si>
    <t>Lacey, Michael</t>
  </si>
  <si>
    <t>Lacinski, Michelle</t>
  </si>
  <si>
    <t>Lacroce, Joseph</t>
  </si>
  <si>
    <t>Ladd, Mera</t>
  </si>
  <si>
    <t>Ladig, Deborah</t>
  </si>
  <si>
    <t>Lafalce, Paul</t>
  </si>
  <si>
    <t>Lafrance, Robert</t>
  </si>
  <si>
    <t>Lai, Jean</t>
  </si>
  <si>
    <t>Lai, King fong</t>
  </si>
  <si>
    <t>Laibach, John</t>
  </si>
  <si>
    <t>Lake, Beatrice</t>
  </si>
  <si>
    <t>Lalioff, Michael</t>
  </si>
  <si>
    <t>Lalley, Renee</t>
  </si>
  <si>
    <t>Lam, Sam</t>
  </si>
  <si>
    <t>Lam, Stephanie</t>
  </si>
  <si>
    <t>Lamadrid, Bal</t>
  </si>
  <si>
    <t>Lamb, Augusta</t>
  </si>
  <si>
    <t>Lamb, Barbara</t>
  </si>
  <si>
    <t>Lamberti, Mark</t>
  </si>
  <si>
    <t>Lamere, Kristin</t>
  </si>
  <si>
    <t>Lamont, Cheryl</t>
  </si>
  <si>
    <t>Land, Adam</t>
  </si>
  <si>
    <t>Landa, Lisa</t>
  </si>
  <si>
    <t>Landess, Gary</t>
  </si>
  <si>
    <t>Landkrohn, Jay</t>
  </si>
  <si>
    <t>Landreth, Isaac</t>
  </si>
  <si>
    <t>Landry, Cate</t>
  </si>
  <si>
    <t>Landry, Diane</t>
  </si>
  <si>
    <t>Landry, Kimberly</t>
  </si>
  <si>
    <t>Lane, Anthony</t>
  </si>
  <si>
    <t>Lane, Grant</t>
  </si>
  <si>
    <t>Lane, Leroy</t>
  </si>
  <si>
    <t>Laney, Leigh</t>
  </si>
  <si>
    <t>Lang, Greg</t>
  </si>
  <si>
    <t>Lang, Marianne</t>
  </si>
  <si>
    <t>Langdon, Shelanda</t>
  </si>
  <si>
    <t>Langley, Kerry</t>
  </si>
  <si>
    <t>Langston, Victoria</t>
  </si>
  <si>
    <t>Langston, William</t>
  </si>
  <si>
    <t>Lanier, Shirley</t>
  </si>
  <si>
    <t>Lanierkeys, Tremale</t>
  </si>
  <si>
    <t>Lankford, Victor</t>
  </si>
  <si>
    <t>Lantrip, Todd</t>
  </si>
  <si>
    <t>Lao, Albert</t>
  </si>
  <si>
    <t>Laporte, Chris</t>
  </si>
  <si>
    <t>Lapp, Jessica</t>
  </si>
  <si>
    <t>Lara, Robert</t>
  </si>
  <si>
    <t>Larimer, Patrice</t>
  </si>
  <si>
    <t>Larkin, Michael</t>
  </si>
  <si>
    <t>Larkins, Scott</t>
  </si>
  <si>
    <t>Larose, Toni</t>
  </si>
  <si>
    <t>Larranaga, John</t>
  </si>
  <si>
    <t>Larsen, Stephanie</t>
  </si>
  <si>
    <t>Larson, Brett</t>
  </si>
  <si>
    <t>Lasater, Tracy</t>
  </si>
  <si>
    <t>Laske, Kathleen</t>
  </si>
  <si>
    <t>Laskey, Joe</t>
  </si>
  <si>
    <t>Lata, Michael</t>
  </si>
  <si>
    <t>Lataille, Vicki</t>
  </si>
  <si>
    <t>Latawiec, John</t>
  </si>
  <si>
    <t>Lathrop, Lance</t>
  </si>
  <si>
    <t>Latimer, Miguel</t>
  </si>
  <si>
    <t>Latta, Jacob</t>
  </si>
  <si>
    <t>Laurel, Fernando</t>
  </si>
  <si>
    <t>Lauria, Kelli</t>
  </si>
  <si>
    <t>Lautenbach, Joanne</t>
  </si>
  <si>
    <t>Lauterbach, Paul</t>
  </si>
  <si>
    <t>Lavergne, Daniel</t>
  </si>
  <si>
    <t>Lavizzo, Christopher</t>
  </si>
  <si>
    <t>Lavoie, Christopher</t>
  </si>
  <si>
    <t>Law, Man Wai</t>
  </si>
  <si>
    <t>Law, Mckenzie</t>
  </si>
  <si>
    <t>Lawless, Steven</t>
  </si>
  <si>
    <t>Lawrence, Lisa</t>
  </si>
  <si>
    <t>Laws, Leroy</t>
  </si>
  <si>
    <t>Lawson, Jonathan</t>
  </si>
  <si>
    <t>Lawson, Judy</t>
  </si>
  <si>
    <t>Lawson, Ryan</t>
  </si>
  <si>
    <t>Lawyer, Randall</t>
  </si>
  <si>
    <t>Layng, Mark</t>
  </si>
  <si>
    <t>Lazzari, Amelia</t>
  </si>
  <si>
    <t>Le, Trung</t>
  </si>
  <si>
    <t>Lea, Gary</t>
  </si>
  <si>
    <t>Leach, Leroy</t>
  </si>
  <si>
    <t>Leach, Scott</t>
  </si>
  <si>
    <t>Leach, Vicky</t>
  </si>
  <si>
    <t>LeadDivision1, BDM1</t>
  </si>
  <si>
    <t>Leasure, Gary</t>
  </si>
  <si>
    <t>Leathers, Charles</t>
  </si>
  <si>
    <t>Leatherwood, Marcia</t>
  </si>
  <si>
    <t>Leavy, William</t>
  </si>
  <si>
    <t>Leblanc, Norma</t>
  </si>
  <si>
    <t>Lechleiter, Gregory</t>
  </si>
  <si>
    <t>Lee, Carolyn</t>
  </si>
  <si>
    <t>Lee, Edward</t>
  </si>
  <si>
    <t>Lee, Hyung</t>
  </si>
  <si>
    <t>Lee, Isaac</t>
  </si>
  <si>
    <t>Lee, Jane</t>
  </si>
  <si>
    <t>Lee, Jennifer</t>
  </si>
  <si>
    <t>Lee, Judith</t>
  </si>
  <si>
    <t>Lee, Lisa</t>
  </si>
  <si>
    <t>Lee, Marilou</t>
  </si>
  <si>
    <t>Lee, Patricia</t>
  </si>
  <si>
    <t>Lee, Ronald</t>
  </si>
  <si>
    <t>Lee, Siew cheong</t>
  </si>
  <si>
    <t>Lee, Soon chye</t>
  </si>
  <si>
    <t>Lee, Thomas</t>
  </si>
  <si>
    <t>Lee, Waishim</t>
  </si>
  <si>
    <t>Leedy, James</t>
  </si>
  <si>
    <t>Leeper, Clementina</t>
  </si>
  <si>
    <t>Legaspi, Omar</t>
  </si>
  <si>
    <t>Legendre, Philippe</t>
  </si>
  <si>
    <t>Leger, Elizabeth</t>
  </si>
  <si>
    <t>Legg, Daphne</t>
  </si>
  <si>
    <t>Leggett, Jeffrey</t>
  </si>
  <si>
    <t>Lehan, Jeff</t>
  </si>
  <si>
    <t>Lehman, Rex</t>
  </si>
  <si>
    <t>Lehrer, Thomas</t>
  </si>
  <si>
    <t>Lehtman, Maria</t>
  </si>
  <si>
    <t>Leighty, Craig</t>
  </si>
  <si>
    <t>Leitzel, Cheryl</t>
  </si>
  <si>
    <t>Lekan, Ted</t>
  </si>
  <si>
    <t>Leland, Janice</t>
  </si>
  <si>
    <t>Leloia, Carolyn</t>
  </si>
  <si>
    <t>Lemke, Kenneth</t>
  </si>
  <si>
    <t>Lemmond, Dina</t>
  </si>
  <si>
    <t>Lemond, Natasha</t>
  </si>
  <si>
    <t>Lenard, Steven</t>
  </si>
  <si>
    <t>Lendroth, Martha</t>
  </si>
  <si>
    <t>Lenormand, Rosalynn</t>
  </si>
  <si>
    <t>Lenz, James</t>
  </si>
  <si>
    <t>Leonard, Linda</t>
  </si>
  <si>
    <t>Leone, Andrew</t>
  </si>
  <si>
    <t>Lepkowski, Michael</t>
  </si>
  <si>
    <t>Lesho, David</t>
  </si>
  <si>
    <t>Lesleybarker, Lisa</t>
  </si>
  <si>
    <t>Lesne, Carlos</t>
  </si>
  <si>
    <t>Lessig, William</t>
  </si>
  <si>
    <t>Lessley, Laurie</t>
  </si>
  <si>
    <t>Lestan, William</t>
  </si>
  <si>
    <t>Lester, Richard</t>
  </si>
  <si>
    <t>Leterme, Philippe</t>
  </si>
  <si>
    <t>Leu, Hans</t>
  </si>
  <si>
    <t>Leung, Joseph</t>
  </si>
  <si>
    <t>Leung, Lisa</t>
  </si>
  <si>
    <t>Levasseur, Dawn</t>
  </si>
  <si>
    <t>Levendoski, Lena</t>
  </si>
  <si>
    <t>Levi, Martin</t>
  </si>
  <si>
    <t>Lew, Keyman</t>
  </si>
  <si>
    <t>Lew, Vanessa</t>
  </si>
  <si>
    <t>Lewczyk, Christopher</t>
  </si>
  <si>
    <t>Lewis, Carol</t>
  </si>
  <si>
    <t>Lewis, David</t>
  </si>
  <si>
    <t>Lewis, Jim</t>
  </si>
  <si>
    <t>Lewis, Kameko</t>
  </si>
  <si>
    <t>Lewis, Kenneth</t>
  </si>
  <si>
    <t>Lewis, Larry</t>
  </si>
  <si>
    <t>Lewis, Mary</t>
  </si>
  <si>
    <t>Lewis, Mia</t>
  </si>
  <si>
    <t>Lewis, Nicole</t>
  </si>
  <si>
    <t>Lewis, Sara</t>
  </si>
  <si>
    <t>Lewis, Thomas</t>
  </si>
  <si>
    <t>Leyssens, Valerie</t>
  </si>
  <si>
    <t>Li, RUOWEI</t>
  </si>
  <si>
    <t>Lichtenstein, Jan</t>
  </si>
  <si>
    <t>Liddy, Gerald</t>
  </si>
  <si>
    <t>Liebel, John</t>
  </si>
  <si>
    <t>Liebler, Tracey</t>
  </si>
  <si>
    <t>Light, Darren</t>
  </si>
  <si>
    <t>Lightfoot, Jack</t>
  </si>
  <si>
    <t>Lillo, Robert</t>
  </si>
  <si>
    <t>Lim, Chookohgideon</t>
  </si>
  <si>
    <t>Limbach, John</t>
  </si>
  <si>
    <t>Limbocker, Nicole</t>
  </si>
  <si>
    <t>Lin, David</t>
  </si>
  <si>
    <t>Lin, Eric</t>
  </si>
  <si>
    <t>Lin, Theresa</t>
  </si>
  <si>
    <t>Lincoln, Brittni</t>
  </si>
  <si>
    <t>Lindberg, James</t>
  </si>
  <si>
    <t>Lindborg, Erik</t>
  </si>
  <si>
    <t>Lindenberg, Mark</t>
  </si>
  <si>
    <t>Lindsay, Shauna</t>
  </si>
  <si>
    <t>Lindsey, Jason</t>
  </si>
  <si>
    <t>Lineberger, Ronald</t>
  </si>
  <si>
    <t>Ling, Kokmengdennis</t>
  </si>
  <si>
    <t>Linke, Werner</t>
  </si>
  <si>
    <t>Linn, Elyse</t>
  </si>
  <si>
    <t>Linn, Mindy</t>
  </si>
  <si>
    <t>Linscott, Robin</t>
  </si>
  <si>
    <t>Lipkin, David</t>
  </si>
  <si>
    <t>Lipkin, Robert</t>
  </si>
  <si>
    <t>Lipscomb, A</t>
  </si>
  <si>
    <t>Lishman, Jason</t>
  </si>
  <si>
    <t>Lisovich, Chris</t>
  </si>
  <si>
    <t>Lissy, David</t>
  </si>
  <si>
    <t>Little, Frank</t>
  </si>
  <si>
    <t>Little, Jimmy</t>
  </si>
  <si>
    <t>Little, John</t>
  </si>
  <si>
    <t>Little, T</t>
  </si>
  <si>
    <t>Litwinski, Thomas</t>
  </si>
  <si>
    <t>Liu, Arnold</t>
  </si>
  <si>
    <t>Liu, Kevin</t>
  </si>
  <si>
    <t>Liu, Xing</t>
  </si>
  <si>
    <t>Livinghouse, Steve</t>
  </si>
  <si>
    <t>Livingston, William</t>
  </si>
  <si>
    <t>Lizak, David</t>
  </si>
  <si>
    <t>Lizarralde, Ricardo</t>
  </si>
  <si>
    <t>Llanes, Marc</t>
  </si>
  <si>
    <t>Lloyd, Lexie</t>
  </si>
  <si>
    <t>Lloyd, Louisa</t>
  </si>
  <si>
    <t>Lobaina, Angie</t>
  </si>
  <si>
    <t>Lock, Brian</t>
  </si>
  <si>
    <t>Lockard, Justin</t>
  </si>
  <si>
    <t>Lodahl, Brian</t>
  </si>
  <si>
    <t>Loder, David</t>
  </si>
  <si>
    <t>Lodwick, Peter</t>
  </si>
  <si>
    <t>Loew, Carl</t>
  </si>
  <si>
    <t>Logan, Allison</t>
  </si>
  <si>
    <t>Logan, Bradley</t>
  </si>
  <si>
    <t>Logan, Eric</t>
  </si>
  <si>
    <t>Logan, Mark</t>
  </si>
  <si>
    <t>Logreco, John</t>
  </si>
  <si>
    <t>Logsdon, Douglas</t>
  </si>
  <si>
    <t>Lomas, Kimberly</t>
  </si>
  <si>
    <t>Lomasney, Richard</t>
  </si>
  <si>
    <t>Lombardo, Carlo</t>
  </si>
  <si>
    <t>Lombardo, Rocco</t>
  </si>
  <si>
    <t>Lomeli, Cesar</t>
  </si>
  <si>
    <t>Lomeli, Patricia</t>
  </si>
  <si>
    <t>Lonchar, Michael</t>
  </si>
  <si>
    <t>London, Mary</t>
  </si>
  <si>
    <t>London, Niccola</t>
  </si>
  <si>
    <t>Long, Angela</t>
  </si>
  <si>
    <t>Long, David</t>
  </si>
  <si>
    <t>Long, Justin</t>
  </si>
  <si>
    <t>Long, Patricia</t>
  </si>
  <si>
    <t>Long, Robert</t>
  </si>
  <si>
    <t>Long, Timothy</t>
  </si>
  <si>
    <t>Longnecker, Shawn</t>
  </si>
  <si>
    <t>Looney Iii, Harry</t>
  </si>
  <si>
    <t>Looney, Corby</t>
  </si>
  <si>
    <t>Looper, Carla</t>
  </si>
  <si>
    <t>Lopac, Anthony</t>
  </si>
  <si>
    <t>Lopes, Nanci</t>
  </si>
  <si>
    <t>Lopez, Crystal</t>
  </si>
  <si>
    <t>Lopez, Linda</t>
  </si>
  <si>
    <t>Lopez, Rachel</t>
  </si>
  <si>
    <t>Lopoukhine, Alex</t>
  </si>
  <si>
    <t>Lopresti, Wayne</t>
  </si>
  <si>
    <t>Lorch, Bradd</t>
  </si>
  <si>
    <t>Lorey, Amy</t>
  </si>
  <si>
    <t>Lorico, Romeo</t>
  </si>
  <si>
    <t>Loritz, Jill</t>
  </si>
  <si>
    <t>Loschiavo, Robert</t>
  </si>
  <si>
    <t>Lott, Katrina</t>
  </si>
  <si>
    <t>Louis, David</t>
  </si>
  <si>
    <t>Louis, Paul</t>
  </si>
  <si>
    <t>Lourabi, Bechir</t>
  </si>
  <si>
    <t>Love, Andrew</t>
  </si>
  <si>
    <t>Love, Kelly</t>
  </si>
  <si>
    <t>Love, Mark C</t>
  </si>
  <si>
    <t>Lovell, Mal</t>
  </si>
  <si>
    <t>Lovell, Michael</t>
  </si>
  <si>
    <t>Lovern, Ronald</t>
  </si>
  <si>
    <t>Lovick, Jeanne</t>
  </si>
  <si>
    <t>Low, Tian Wah</t>
  </si>
  <si>
    <t>Lowe, Sarah</t>
  </si>
  <si>
    <t>Lowe, Stephen</t>
  </si>
  <si>
    <t>Lowpensky, Michael</t>
  </si>
  <si>
    <t>Lozada, Ann</t>
  </si>
  <si>
    <t>Lu, Carol</t>
  </si>
  <si>
    <t>Lu, Peter</t>
  </si>
  <si>
    <t>Lubash, Stefanieann</t>
  </si>
  <si>
    <t>Lucarz, Joseph</t>
  </si>
  <si>
    <t>Lucas, Martin</t>
  </si>
  <si>
    <t>Lucas, Woodrow</t>
  </si>
  <si>
    <t>Lucero, Lawrence</t>
  </si>
  <si>
    <t>Lucia, Denise</t>
  </si>
  <si>
    <t>Lucsko, Gary</t>
  </si>
  <si>
    <t>Luczynski, Thomas</t>
  </si>
  <si>
    <t>Ludke, Stephen</t>
  </si>
  <si>
    <t>Ludwig, Monica</t>
  </si>
  <si>
    <t>Ludwigsen, Mark</t>
  </si>
  <si>
    <t>Luera, Margaret</t>
  </si>
  <si>
    <t>Lugar, Mike</t>
  </si>
  <si>
    <t>Lugo, Mario</t>
  </si>
  <si>
    <t>Luker, Kimberly</t>
  </si>
  <si>
    <t>Lumpkin, Charles</t>
  </si>
  <si>
    <t>Lund, Michael</t>
  </si>
  <si>
    <t>Lundquist, Jon</t>
  </si>
  <si>
    <t>Lunenschloss, Steven</t>
  </si>
  <si>
    <t>Lunn, R.</t>
  </si>
  <si>
    <t>Lupton, Jeanett</t>
  </si>
  <si>
    <t>Lurcott, Karen</t>
  </si>
  <si>
    <t>Lusardi, Gary</t>
  </si>
  <si>
    <t>Luscombe, Robert</t>
  </si>
  <si>
    <t>Lust, Jeannette</t>
  </si>
  <si>
    <t>Luter, Jacqueline</t>
  </si>
  <si>
    <t>Luthra, Nisha</t>
  </si>
  <si>
    <t>Lutz, Rhonda</t>
  </si>
  <si>
    <t>Luxbacher, Thomas</t>
  </si>
  <si>
    <t>Lynch, Christopher</t>
  </si>
  <si>
    <t>Lynch, Connie</t>
  </si>
  <si>
    <t>Lynch, Theresa</t>
  </si>
  <si>
    <t>Lynt, Edward</t>
  </si>
  <si>
    <t>Mabry, Dennis</t>
  </si>
  <si>
    <t>Macalik, Tolli</t>
  </si>
  <si>
    <t>Macbride, Scott</t>
  </si>
  <si>
    <t>MacDonald, Darlene</t>
  </si>
  <si>
    <t>Macdonald, David</t>
  </si>
  <si>
    <t>Macias, Robert</t>
  </si>
  <si>
    <t>Mack, David</t>
  </si>
  <si>
    <t>Mackey, Kathleen</t>
  </si>
  <si>
    <t>Mackey, Ralph</t>
  </si>
  <si>
    <t>Mackeymoe, Erin</t>
  </si>
  <si>
    <t>Macon, Tronda</t>
  </si>
  <si>
    <t>Macphee, Paul</t>
  </si>
  <si>
    <t>Macwood, Thomas</t>
  </si>
  <si>
    <t>Madden, Cyndee</t>
  </si>
  <si>
    <t>Madden, Michael</t>
  </si>
  <si>
    <t>Madison, Stephanie</t>
  </si>
  <si>
    <t>Madsen, Bealyndia</t>
  </si>
  <si>
    <t>Maduri, Vasavi</t>
  </si>
  <si>
    <t>Maeda, Koji</t>
  </si>
  <si>
    <t>Magee, Kieran</t>
  </si>
  <si>
    <t>Maggi, Raymond</t>
  </si>
  <si>
    <t>Magruder, Marcy</t>
  </si>
  <si>
    <t>Maguire, Shawn</t>
  </si>
  <si>
    <t>Maguire, Thomas</t>
  </si>
  <si>
    <t>Mahaffey, John</t>
  </si>
  <si>
    <t>Mahan, Michael</t>
  </si>
  <si>
    <t>Maher, Brian</t>
  </si>
  <si>
    <t>Mahon, Belinda</t>
  </si>
  <si>
    <t>Mahoney, Michael</t>
  </si>
  <si>
    <t>Maichle, John</t>
  </si>
  <si>
    <t>Main, Robert</t>
  </si>
  <si>
    <t>Maisonneuve, Lon</t>
  </si>
  <si>
    <t>Majcen, Tomaz</t>
  </si>
  <si>
    <t>Majewski, Renee</t>
  </si>
  <si>
    <t>Makara, David</t>
  </si>
  <si>
    <t>Malajikian, Sime</t>
  </si>
  <si>
    <t>Malaspina, Dawn</t>
  </si>
  <si>
    <t>Malchiodi, Cynthia</t>
  </si>
  <si>
    <t>Maldonado, Daniel J</t>
  </si>
  <si>
    <t>Maldonado, Theresa</t>
  </si>
  <si>
    <t>Malek, John</t>
  </si>
  <si>
    <t>Malhotra, Sumit</t>
  </si>
  <si>
    <t>Malinoski, Ashley</t>
  </si>
  <si>
    <t>Malladi, Raj</t>
  </si>
  <si>
    <t>Mallon, Phil</t>
  </si>
  <si>
    <t>Mallory, Melvin</t>
  </si>
  <si>
    <t>Malloy, Mark</t>
  </si>
  <si>
    <t>Malone, Frank</t>
  </si>
  <si>
    <t>Maloney, Kelli</t>
  </si>
  <si>
    <t>Maloney, Richard</t>
  </si>
  <si>
    <t>Maloof, Margaret</t>
  </si>
  <si>
    <t>Mancera, Xochitl</t>
  </si>
  <si>
    <t>Mancina, Susan</t>
  </si>
  <si>
    <t>Mancini, James</t>
  </si>
  <si>
    <t>Mandahl, Richard</t>
  </si>
  <si>
    <t>Mangiapane, Chris</t>
  </si>
  <si>
    <t>Manley, Lauren</t>
  </si>
  <si>
    <t>Mansfield, Deborah</t>
  </si>
  <si>
    <t>Mara, Helen</t>
  </si>
  <si>
    <t>Marani, William</t>
  </si>
  <si>
    <t>Marasa, Roseanne</t>
  </si>
  <si>
    <t>Marcelino, Genevieve</t>
  </si>
  <si>
    <t>Marchese, Philip</t>
  </si>
  <si>
    <t>Marchina, John</t>
  </si>
  <si>
    <t>Marchiony, Nicholas</t>
  </si>
  <si>
    <t>Marciel, Chamayne</t>
  </si>
  <si>
    <t>Marco, Irene</t>
  </si>
  <si>
    <t>Marcotte, Lou</t>
  </si>
  <si>
    <t>Mardy, Scott</t>
  </si>
  <si>
    <t>Marecki, John</t>
  </si>
  <si>
    <t>Marek, Paul</t>
  </si>
  <si>
    <t>Marendt, Rick</t>
  </si>
  <si>
    <t>Marett, Shane</t>
  </si>
  <si>
    <t>Margolis-Bowman, Ruth</t>
  </si>
  <si>
    <t>Marhee, Frieda</t>
  </si>
  <si>
    <t>Marin, Frank</t>
  </si>
  <si>
    <t>Marinaro, Joseph</t>
  </si>
  <si>
    <t>Marinshaw, Todd</t>
  </si>
  <si>
    <t>Mark, Bradley</t>
  </si>
  <si>
    <t>Markay, Meryl</t>
  </si>
  <si>
    <t>Markey, Travis</t>
  </si>
  <si>
    <t>Markham, Nanette</t>
  </si>
  <si>
    <t>Markle, Susan</t>
  </si>
  <si>
    <t>Markley, Lila</t>
  </si>
  <si>
    <t>Marks, Joseph</t>
  </si>
  <si>
    <t>Marks, Lawrence</t>
  </si>
  <si>
    <t>Marks, Thomas</t>
  </si>
  <si>
    <t>Marlow, Diana</t>
  </si>
  <si>
    <t>Marlow, Melissa</t>
  </si>
  <si>
    <t>Marlowe, Jeffrey</t>
  </si>
  <si>
    <t>Marmolejo, Steve</t>
  </si>
  <si>
    <t>Marotta, Felicia</t>
  </si>
  <si>
    <t>Marquez, Juan</t>
  </si>
  <si>
    <t>Marsceill, Wesley</t>
  </si>
  <si>
    <t>Marshall, Adam</t>
  </si>
  <si>
    <t>Marshall, Amy</t>
  </si>
  <si>
    <t>Marshall, Bradley</t>
  </si>
  <si>
    <t>Marshall, Edward</t>
  </si>
  <si>
    <t>Marshall, Geraldine</t>
  </si>
  <si>
    <t>Marshall, James</t>
  </si>
  <si>
    <t>Marshall, Joe</t>
  </si>
  <si>
    <t>Marshall, John</t>
  </si>
  <si>
    <t>Marshall, Michael</t>
  </si>
  <si>
    <t>Martasin, Shelley</t>
  </si>
  <si>
    <t>Marterella, Eric</t>
  </si>
  <si>
    <t>Marti, Daniel</t>
  </si>
  <si>
    <t>Martin, Beth</t>
  </si>
  <si>
    <t>Martin, Camilla</t>
  </si>
  <si>
    <t>Martin, Carla</t>
  </si>
  <si>
    <t>Martin, Corey</t>
  </si>
  <si>
    <t>Martin, Danette</t>
  </si>
  <si>
    <t>Martin, Douglas</t>
  </si>
  <si>
    <t>Martin, Esther</t>
  </si>
  <si>
    <t>Martin, Kenneth</t>
  </si>
  <si>
    <t>Martin, Sandra</t>
  </si>
  <si>
    <t>Martin, Sean</t>
  </si>
  <si>
    <t>Martin, Simon</t>
  </si>
  <si>
    <t>Martin, Thomas</t>
  </si>
  <si>
    <t>Martineast, Maria</t>
  </si>
  <si>
    <t>Martinez, Mathew</t>
  </si>
  <si>
    <t>Martinez, Rick</t>
  </si>
  <si>
    <t>Martinez, Roberto</t>
  </si>
  <si>
    <t>Martinez, Shawna</t>
  </si>
  <si>
    <t>Martini, Lee</t>
  </si>
  <si>
    <t>Martins, Regina</t>
  </si>
  <si>
    <t>Martone, Dana</t>
  </si>
  <si>
    <t>Marwick, Scott</t>
  </si>
  <si>
    <t>Masamizu, Toshiki</t>
  </si>
  <si>
    <t>Masilan, Barbara</t>
  </si>
  <si>
    <t>Maso, Corey</t>
  </si>
  <si>
    <t>Mason, Clyde</t>
  </si>
  <si>
    <t>Mason, Darrel</t>
  </si>
  <si>
    <t>Mason, Steve</t>
  </si>
  <si>
    <t>Massey, Karen</t>
  </si>
  <si>
    <t>Massey, Patricia</t>
  </si>
  <si>
    <t>Mast, Werner</t>
  </si>
  <si>
    <t>Masters, Daniel</t>
  </si>
  <si>
    <t>Mastrianni, Susan</t>
  </si>
  <si>
    <t>Mastronardi, Katrina</t>
  </si>
  <si>
    <t>Masud, Jim</t>
  </si>
  <si>
    <t>Matarazzi, Linda</t>
  </si>
  <si>
    <t>Matchette, Holly</t>
  </si>
  <si>
    <t>Matherly, Marcus</t>
  </si>
  <si>
    <t>Mathews, John</t>
  </si>
  <si>
    <t>Mathieu, Michael</t>
  </si>
  <si>
    <t>Mathis, Cordelia</t>
  </si>
  <si>
    <t>Matiyak, Brandon</t>
  </si>
  <si>
    <t>Matlas, Jane</t>
  </si>
  <si>
    <t>Matsuura, Danny</t>
  </si>
  <si>
    <t>Matter, Cari</t>
  </si>
  <si>
    <t>Matthews, Danny</t>
  </si>
  <si>
    <t>Mattox, Judith</t>
  </si>
  <si>
    <t>Matus, Shannon</t>
  </si>
  <si>
    <t>Matyak, Melody</t>
  </si>
  <si>
    <t>Mauldin, Debbie</t>
  </si>
  <si>
    <t>Mauldin, Todd</t>
  </si>
  <si>
    <t>Maurer, Scott</t>
  </si>
  <si>
    <t>Maurer, Todd</t>
  </si>
  <si>
    <t>Mauro, Mark</t>
  </si>
  <si>
    <t>Maw, Anke</t>
  </si>
  <si>
    <t>Maxfield, Valencia</t>
  </si>
  <si>
    <t>Maxwell, Karen</t>
  </si>
  <si>
    <t>May, Brian</t>
  </si>
  <si>
    <t>May, Courtney</t>
  </si>
  <si>
    <t>May, Donald</t>
  </si>
  <si>
    <t>May, Gary</t>
  </si>
  <si>
    <t>May, Thomas</t>
  </si>
  <si>
    <t>Mayer, Gregory</t>
  </si>
  <si>
    <t>Mayhew, Michael</t>
  </si>
  <si>
    <t>Mayhew, Timothy</t>
  </si>
  <si>
    <t>Mayles, Mary</t>
  </si>
  <si>
    <t>Mayne, Joseph</t>
  </si>
  <si>
    <t>Mays, Felisha</t>
  </si>
  <si>
    <t>Maytan, David</t>
  </si>
  <si>
    <t>Mazars, Laurent</t>
  </si>
  <si>
    <t>Mazzarella, Annette</t>
  </si>
  <si>
    <t>Mc cauley, Thomas</t>
  </si>
  <si>
    <t>Mc cullough, Kenneth</t>
  </si>
  <si>
    <t>Mc sherry, Timothy</t>
  </si>
  <si>
    <t>Mcaffry, Shannon</t>
  </si>
  <si>
    <t>Mcbride, Barry</t>
  </si>
  <si>
    <t>Mccabe, Rita l</t>
  </si>
  <si>
    <t>Mccaffrey, Thomas</t>
  </si>
  <si>
    <t>McCain, Brandi</t>
  </si>
  <si>
    <t>Mccamley, Claudette</t>
  </si>
  <si>
    <t>Mccance, John</t>
  </si>
  <si>
    <t>Mccann, Patrick</t>
  </si>
  <si>
    <t>McCarter, Janita</t>
  </si>
  <si>
    <t>Mccarthy, Bernadette</t>
  </si>
  <si>
    <t>Mccarthy, Catherine</t>
  </si>
  <si>
    <t>McCarthy, Geoffrey</t>
  </si>
  <si>
    <t>Mccarthy, James</t>
  </si>
  <si>
    <t>Mccarthy, Joseph</t>
  </si>
  <si>
    <t>Mccarthy, Patrick</t>
  </si>
  <si>
    <t>Mccarthy, Robert</t>
  </si>
  <si>
    <t>Mccartney, Rosemary</t>
  </si>
  <si>
    <t>Mccarty, David</t>
  </si>
  <si>
    <t>Mccarty, Mark</t>
  </si>
  <si>
    <t>McCarty, William</t>
  </si>
  <si>
    <t>Mccauley, Jeffrey</t>
  </si>
  <si>
    <t>Mcclellan, Kelly</t>
  </si>
  <si>
    <t>Mcclellan, Sebastian</t>
  </si>
  <si>
    <t>Mcclenny, Darlene</t>
  </si>
  <si>
    <t>Mcclure, Robert</t>
  </si>
  <si>
    <t>Mcconville, Tom</t>
  </si>
  <si>
    <t>Mccormick, Edward</t>
  </si>
  <si>
    <t>Mccormick, Kerry</t>
  </si>
  <si>
    <t>McCowan, Kody</t>
  </si>
  <si>
    <t>Mccoy, Daniel</t>
  </si>
  <si>
    <t>Mccoy, Kevin</t>
  </si>
  <si>
    <t>McCoy, Richard</t>
  </si>
  <si>
    <t>Mccracken, Darci</t>
  </si>
  <si>
    <t>McCracken, Edmund</t>
  </si>
  <si>
    <t>Mccrary, Michael</t>
  </si>
  <si>
    <t>Mccreary, Melanie</t>
  </si>
  <si>
    <t>Mccree, Walter</t>
  </si>
  <si>
    <t>Mcdaniel, Jamie</t>
  </si>
  <si>
    <t>Mcdaniel, Rebecca</t>
  </si>
  <si>
    <t>Mcdermott, Terrance</t>
  </si>
  <si>
    <t>Mcdermott, William</t>
  </si>
  <si>
    <t>Mcdonald, Jacqueline</t>
  </si>
  <si>
    <t>Mcdonald, James</t>
  </si>
  <si>
    <t>Mcdonald, Ruby</t>
  </si>
  <si>
    <t>McDonald, Steven</t>
  </si>
  <si>
    <t>Mcdowell, Vincent</t>
  </si>
  <si>
    <t>McDuffie, Tara</t>
  </si>
  <si>
    <t>Mcelhaney, Douglas</t>
  </si>
  <si>
    <t>Mcevers, Brenda</t>
  </si>
  <si>
    <t>McEvoy, Thomas</t>
  </si>
  <si>
    <t>Mcewen, Dawn</t>
  </si>
  <si>
    <t>McFadden, Mari</t>
  </si>
  <si>
    <t>McGahan, Rich</t>
  </si>
  <si>
    <t>Mcgannhagberg, Christine</t>
  </si>
  <si>
    <t>McGarry, Jeffrey</t>
  </si>
  <si>
    <t>Mcgary, Fretias</t>
  </si>
  <si>
    <t>Mcgee, Theodora</t>
  </si>
  <si>
    <t>Mcgeehughes, Wanya</t>
  </si>
  <si>
    <t>Mcginn, Robert</t>
  </si>
  <si>
    <t>McGinnis, Jeffrey</t>
  </si>
  <si>
    <t>Mcgirr, Margaret</t>
  </si>
  <si>
    <t>Mcgovern-curry, Mary</t>
  </si>
  <si>
    <t>McGrath, Jay</t>
  </si>
  <si>
    <t>Mcgrath, Terrence</t>
  </si>
  <si>
    <t>Mcgregor, Philip</t>
  </si>
  <si>
    <t>Mcgrew, Rodrick</t>
  </si>
  <si>
    <t>Mcguire, Mary</t>
  </si>
  <si>
    <t>Mcharg, Colin</t>
  </si>
  <si>
    <t>Mchugh, Elizabeth</t>
  </si>
  <si>
    <t>Mchugh, Lana</t>
  </si>
  <si>
    <t>Mchugh, Stephen</t>
  </si>
  <si>
    <t>Mckee, Kevin</t>
  </si>
  <si>
    <t>Mckenna, Kathleen</t>
  </si>
  <si>
    <t>Mckenna, Robert</t>
  </si>
  <si>
    <t>McKenna, Steve</t>
  </si>
  <si>
    <t>Mckenzie, Barbara</t>
  </si>
  <si>
    <t>Mckenzie, Hepburn</t>
  </si>
  <si>
    <t>Mckenzie, Mark</t>
  </si>
  <si>
    <t>Mckeon, Vincent</t>
  </si>
  <si>
    <t>McKethen, James</t>
  </si>
  <si>
    <t>Mckiernan, Todd</t>
  </si>
  <si>
    <t>McKinney, Jeremy</t>
  </si>
  <si>
    <t>Mckinney, Sharletta</t>
  </si>
  <si>
    <t>Mckinney, William</t>
  </si>
  <si>
    <t>Mckinstery, Noreen</t>
  </si>
  <si>
    <t>Mckirgan, Shawn</t>
  </si>
  <si>
    <t>McKoy, Nyema</t>
  </si>
  <si>
    <t>Mclaughlin, Anthony</t>
  </si>
  <si>
    <t>Mclaughlin, Grant</t>
  </si>
  <si>
    <t>Mclaughlin, Michael</t>
  </si>
  <si>
    <t>Mclean, John</t>
  </si>
  <si>
    <t>McLendon, Chandra</t>
  </si>
  <si>
    <t>Mcleod, Daniel</t>
  </si>
  <si>
    <t>McLeod, Robert</t>
  </si>
  <si>
    <t>McLeod, Shelly</t>
  </si>
  <si>
    <t>McLurkin, John</t>
  </si>
  <si>
    <t>McMahon, Molly</t>
  </si>
  <si>
    <t>Mcmanus, Karen</t>
  </si>
  <si>
    <t>Mcmanus, Michele</t>
  </si>
  <si>
    <t>McMasters, Scott</t>
  </si>
  <si>
    <t>Mcmillan, Brock</t>
  </si>
  <si>
    <t>McMillan, Dale</t>
  </si>
  <si>
    <t>Mcmullen, Debbie</t>
  </si>
  <si>
    <t>Mcmullen, Michael</t>
  </si>
  <si>
    <t>McNair, Brian</t>
  </si>
  <si>
    <t>Mcnally, Robert</t>
  </si>
  <si>
    <t>Mcnamara, Brian</t>
  </si>
  <si>
    <t>Mcnamee, Ronald</t>
  </si>
  <si>
    <t>Mcnamer, Keneese</t>
  </si>
  <si>
    <t>Mcnatt, Kevin</t>
  </si>
  <si>
    <t>Mcnearney, Elaine</t>
  </si>
  <si>
    <t>Mcneese, James</t>
  </si>
  <si>
    <t>Mcphee, Glen</t>
  </si>
  <si>
    <t>Mcquillan, John</t>
  </si>
  <si>
    <t>Mcquillan, Paul</t>
  </si>
  <si>
    <t>Mcquillin, James</t>
  </si>
  <si>
    <t>Mcrae, Paul</t>
  </si>
  <si>
    <t>Mcshane, Erin</t>
  </si>
  <si>
    <t>Mcvay, Richard</t>
  </si>
  <si>
    <t>Meacham, Jerald</t>
  </si>
  <si>
    <t>Meade, Anna</t>
  </si>
  <si>
    <t>Meade, Kenneth</t>
  </si>
  <si>
    <t>Meade, Michael</t>
  </si>
  <si>
    <t>Meador, Linda</t>
  </si>
  <si>
    <t>Mealer, Gina</t>
  </si>
  <si>
    <t>Mealey, Michael</t>
  </si>
  <si>
    <t>Mecham, Lance</t>
  </si>
  <si>
    <t>Medellin, Michael</t>
  </si>
  <si>
    <t>Medious, Michelle</t>
  </si>
  <si>
    <t>Medlin, Richard</t>
  </si>
  <si>
    <t>Medlyn, Kirk</t>
  </si>
  <si>
    <t>Meeker, Marlies</t>
  </si>
  <si>
    <t>Megginson, Joel</t>
  </si>
  <si>
    <t>Mein, Lee</t>
  </si>
  <si>
    <t>Meissner, Janice</t>
  </si>
  <si>
    <t>Mejias, Peter</t>
  </si>
  <si>
    <t>Mejias, Sangeeta</t>
  </si>
  <si>
    <t>Mekrut, Philip</t>
  </si>
  <si>
    <t>Melaccio, Michele</t>
  </si>
  <si>
    <t>Melancon, Michael</t>
  </si>
  <si>
    <t>Melcher, Brenda</t>
  </si>
  <si>
    <t>Mellecker, Melinda</t>
  </si>
  <si>
    <t>Melone, James</t>
  </si>
  <si>
    <t>Melone, Victor</t>
  </si>
  <si>
    <t>Melton, Robert</t>
  </si>
  <si>
    <t>Melzi, Giancarlo</t>
  </si>
  <si>
    <t>Mendenhall, Miles</t>
  </si>
  <si>
    <t>Meneses, Johnny</t>
  </si>
  <si>
    <t>Menge, Kent</t>
  </si>
  <si>
    <t>Menne, Gregory</t>
  </si>
  <si>
    <t>Menos, Judy</t>
  </si>
  <si>
    <t>Mensing, Arthur</t>
  </si>
  <si>
    <t>Mensing, Daniel r.</t>
  </si>
  <si>
    <t>Merfeld, Michael</t>
  </si>
  <si>
    <t>Mericantante, James</t>
  </si>
  <si>
    <t>Meringolo, Yesun</t>
  </si>
  <si>
    <t>Merk, Thomas</t>
  </si>
  <si>
    <t>Merkle, Tom</t>
  </si>
  <si>
    <t>Merkling, Thomas</t>
  </si>
  <si>
    <t>Merlan, Jovita</t>
  </si>
  <si>
    <t>Merlo, Ona</t>
  </si>
  <si>
    <t>Merola, Thomas</t>
  </si>
  <si>
    <t>Merwin, Daniel</t>
  </si>
  <si>
    <t>Merz, Eric</t>
  </si>
  <si>
    <t>Messina, Kathleen</t>
  </si>
  <si>
    <t>Messuri, Claudine</t>
  </si>
  <si>
    <t>Mestichelli, Michele</t>
  </si>
  <si>
    <t>Metevia, Russell</t>
  </si>
  <si>
    <t>Metzger, Dawn</t>
  </si>
  <si>
    <t>Metzler, Linda</t>
  </si>
  <si>
    <t>Meulendyk, Carol</t>
  </si>
  <si>
    <t>Mewborn, Stephen</t>
  </si>
  <si>
    <t>Meyer, Dennis</t>
  </si>
  <si>
    <t>Meyer, Domenic</t>
  </si>
  <si>
    <t>Meyer, Laura</t>
  </si>
  <si>
    <t>Meyers, Robert</t>
  </si>
  <si>
    <t>Meylor, Jeffery</t>
  </si>
  <si>
    <t>Meza, Ruben</t>
  </si>
  <si>
    <t>Micallef, Grace</t>
  </si>
  <si>
    <t>Micek, Alan</t>
  </si>
  <si>
    <t>Michael, Martine</t>
  </si>
  <si>
    <t>Michaels, Paul</t>
  </si>
  <si>
    <t>Michaels, Todd</t>
  </si>
  <si>
    <t>Michalski, Michael</t>
  </si>
  <si>
    <t>Michaux, Nikki</t>
  </si>
  <si>
    <t>Michels, Heather</t>
  </si>
  <si>
    <t>Michelson, Michael</t>
  </si>
  <si>
    <t>Michetti, Pietro</t>
  </si>
  <si>
    <t>Michiels, Paul</t>
  </si>
  <si>
    <t>Michlinski, Daniel</t>
  </si>
  <si>
    <t>Mick, Steven</t>
  </si>
  <si>
    <t>Mickelson, Clifford</t>
  </si>
  <si>
    <t>Miclette, Patricia</t>
  </si>
  <si>
    <t>Middleton, Cecilia</t>
  </si>
  <si>
    <t>Middleton, Cpat</t>
  </si>
  <si>
    <t>Midgley, Jeremy</t>
  </si>
  <si>
    <t>Mielcarz, Henry</t>
  </si>
  <si>
    <t>Mika, Suzanne</t>
  </si>
  <si>
    <t>Mikols, David</t>
  </si>
  <si>
    <t>Miks, Craig</t>
  </si>
  <si>
    <t>Milanesi, Steven</t>
  </si>
  <si>
    <t>Milano, Dominick</t>
  </si>
  <si>
    <t>Milas, Edward</t>
  </si>
  <si>
    <t>Milazzo, Thomas</t>
  </si>
  <si>
    <t>Miles, Joyce</t>
  </si>
  <si>
    <t>Miles, Kristen</t>
  </si>
  <si>
    <t>Milhorn, James</t>
  </si>
  <si>
    <t>Milisavljevich, Eric</t>
  </si>
  <si>
    <t>Miller, Andrea</t>
  </si>
  <si>
    <t>Miller, Arden</t>
  </si>
  <si>
    <t>Miller, Claire</t>
  </si>
  <si>
    <t>Miller, Clint</t>
  </si>
  <si>
    <t>Miller, Daniel</t>
  </si>
  <si>
    <t>Miller, David</t>
  </si>
  <si>
    <t>Miller, Derek</t>
  </si>
  <si>
    <t>Miller, Donald</t>
  </si>
  <si>
    <t>Miller, John</t>
  </si>
  <si>
    <t>Miller, Joseph</t>
  </si>
  <si>
    <t>Miller, Karen</t>
  </si>
  <si>
    <t>Miller, Matthew</t>
  </si>
  <si>
    <t>Miller, Michael</t>
  </si>
  <si>
    <t>Miller, Pamela</t>
  </si>
  <si>
    <t>Miller, Robert</t>
  </si>
  <si>
    <t>Miller, Roland</t>
  </si>
  <si>
    <t>Miller, Ryan</t>
  </si>
  <si>
    <t>Miller, Sharon</t>
  </si>
  <si>
    <t>Miller, Sherri</t>
  </si>
  <si>
    <t>Miller, Terence</t>
  </si>
  <si>
    <t>Miller-sander, Dawn</t>
  </si>
  <si>
    <t>Millett, Scott</t>
  </si>
  <si>
    <t>Millican, Tracy</t>
  </si>
  <si>
    <t>Milligan, Chris</t>
  </si>
  <si>
    <t>Millis, Jill</t>
  </si>
  <si>
    <t>Mills, Kenneth</t>
  </si>
  <si>
    <t>Mills, Patrick</t>
  </si>
  <si>
    <t>Mills, Rudolph</t>
  </si>
  <si>
    <t>Milrod, Steve</t>
  </si>
  <si>
    <t>Minckler, Cheryl</t>
  </si>
  <si>
    <t>Minestrella, Marla</t>
  </si>
  <si>
    <t>Mineta, Kazunori</t>
  </si>
  <si>
    <t>Minicucci, Carl</t>
  </si>
  <si>
    <t>Mink, Mark</t>
  </si>
  <si>
    <t>Minner, Shelley</t>
  </si>
  <si>
    <t>Minor, Renee</t>
  </si>
  <si>
    <t>Mintz, Kimberly</t>
  </si>
  <si>
    <t>Mirambeau, Clyde</t>
  </si>
  <si>
    <t>Miranti, Kristen</t>
  </si>
  <si>
    <t>Mishra, Shailesh</t>
  </si>
  <si>
    <t>Misilo, Malanka</t>
  </si>
  <si>
    <t>Miska, Joseph</t>
  </si>
  <si>
    <t>Misthos, Shan</t>
  </si>
  <si>
    <t>Mitchell, Brandon</t>
  </si>
  <si>
    <t>Mitchell, David</t>
  </si>
  <si>
    <t>Mitchell, Donald</t>
  </si>
  <si>
    <t>Mitchell, James</t>
  </si>
  <si>
    <t>Mitchell, Lindsay</t>
  </si>
  <si>
    <t>Mitchell, Robert</t>
  </si>
  <si>
    <t>Mitchell, Steven</t>
  </si>
  <si>
    <t>Mitchell, Todd</t>
  </si>
  <si>
    <t>Mitchem, Kevin</t>
  </si>
  <si>
    <t>Mobley, Stephen</t>
  </si>
  <si>
    <t>Moceri, Joseph</t>
  </si>
  <si>
    <t>Moder, Thomas</t>
  </si>
  <si>
    <t>Moen, Jonathan</t>
  </si>
  <si>
    <t>Moenck, Dean</t>
  </si>
  <si>
    <t>Moffett, Johanna</t>
  </si>
  <si>
    <t>Moffitt, John</t>
  </si>
  <si>
    <t>Mogensen, Henrik</t>
  </si>
  <si>
    <t>Moglia, Joseph</t>
  </si>
  <si>
    <t>Mohabbat, John</t>
  </si>
  <si>
    <t>Mohney, Marilyn</t>
  </si>
  <si>
    <t>Moinie, Bob</t>
  </si>
  <si>
    <t>Moirand, Cedric</t>
  </si>
  <si>
    <t>Molenaar, Bareld</t>
  </si>
  <si>
    <t>Molin, Alison</t>
  </si>
  <si>
    <t>Molina, Ernesto</t>
  </si>
  <si>
    <t>Molina, Laura</t>
  </si>
  <si>
    <t>Molina, Marcos</t>
  </si>
  <si>
    <t>Molina, Roman</t>
  </si>
  <si>
    <t>Mollinary, Louis</t>
  </si>
  <si>
    <t>Mollish, Kimberly</t>
  </si>
  <si>
    <t>Molloy, Scott</t>
  </si>
  <si>
    <t>Molskness, Robert</t>
  </si>
  <si>
    <t>Mommaerts, Anita</t>
  </si>
  <si>
    <t>Monaghan, Jeffrey</t>
  </si>
  <si>
    <t>Monnig, James</t>
  </si>
  <si>
    <t>Monroe, Catherine</t>
  </si>
  <si>
    <t>Monroe, Michael</t>
  </si>
  <si>
    <t>Monsevais, Jeff</t>
  </si>
  <si>
    <t>Montagne, Philippe</t>
  </si>
  <si>
    <t>Montagno, Ryan</t>
  </si>
  <si>
    <t>Montaldo, Ernesto</t>
  </si>
  <si>
    <t>Montanez, Christy</t>
  </si>
  <si>
    <t>Montanio, Richard</t>
  </si>
  <si>
    <t>Monteith, Brenda</t>
  </si>
  <si>
    <t>Montemayor, Marcus</t>
  </si>
  <si>
    <t>Montemerlo, Michelle</t>
  </si>
  <si>
    <t>Monteros, Mary</t>
  </si>
  <si>
    <t>Montes De Oca, Jose</t>
  </si>
  <si>
    <t>Montgomery, John</t>
  </si>
  <si>
    <t>Montgomery, Margaret</t>
  </si>
  <si>
    <t>Montgomery, Wanda</t>
  </si>
  <si>
    <t>Montisano, Joe</t>
  </si>
  <si>
    <t>Montoya, Louis</t>
  </si>
  <si>
    <t>Montpas, Paul</t>
  </si>
  <si>
    <t>Moog, Tony</t>
  </si>
  <si>
    <t>Moore, Amy</t>
  </si>
  <si>
    <t>Moore, Connie</t>
  </si>
  <si>
    <t>Moore, Dana</t>
  </si>
  <si>
    <t>Moore, Deanna</t>
  </si>
  <si>
    <t>Moore, Eileen</t>
  </si>
  <si>
    <t>Moore, Kevin</t>
  </si>
  <si>
    <t>Moore, Mary</t>
  </si>
  <si>
    <t>Moore, Michael</t>
  </si>
  <si>
    <t>Moore, R</t>
  </si>
  <si>
    <t>Moore, Rita</t>
  </si>
  <si>
    <t>Moore, Scott</t>
  </si>
  <si>
    <t>Moore, Sherman</t>
  </si>
  <si>
    <t>Moorman, Jill</t>
  </si>
  <si>
    <t>Mor, Benjamin</t>
  </si>
  <si>
    <t>Moraga, Cristine</t>
  </si>
  <si>
    <t>Morales, Damien</t>
  </si>
  <si>
    <t>Morales, Jason</t>
  </si>
  <si>
    <t>Morales, Jody</t>
  </si>
  <si>
    <t>Morales, Letina</t>
  </si>
  <si>
    <t>Morales, Lorenzo</t>
  </si>
  <si>
    <t>Moran, Michael</t>
  </si>
  <si>
    <t>Morehead, Lydia</t>
  </si>
  <si>
    <t>Moreno, Isabel</t>
  </si>
  <si>
    <t>Moreno, Lisa</t>
  </si>
  <si>
    <t>Morgan, David</t>
  </si>
  <si>
    <t>Morgan, Donna</t>
  </si>
  <si>
    <t>Morgan, Grady</t>
  </si>
  <si>
    <t>Morgan, John</t>
  </si>
  <si>
    <t>Morgan, Meghan</t>
  </si>
  <si>
    <t>Morgan, Olufemi</t>
  </si>
  <si>
    <t>Morgan, Patrick</t>
  </si>
  <si>
    <t>Morgan, Tom</t>
  </si>
  <si>
    <t>Morgan, Troy</t>
  </si>
  <si>
    <t>Morgan, Tyest</t>
  </si>
  <si>
    <t>Mori, Takahisa</t>
  </si>
  <si>
    <t>Morley, Rebecca</t>
  </si>
  <si>
    <t>Morovitz, Gregory</t>
  </si>
  <si>
    <t>Morris, Keeli</t>
  </si>
  <si>
    <t>Morris, Lenny</t>
  </si>
  <si>
    <t>Morris, Michael</t>
  </si>
  <si>
    <t>Morris, Tamara</t>
  </si>
  <si>
    <t>Morrison, Peter</t>
  </si>
  <si>
    <t>Morrissey, Tyrone</t>
  </si>
  <si>
    <t>Morrow, Douglas</t>
  </si>
  <si>
    <t>Morrow, Erin</t>
  </si>
  <si>
    <t>Morrow, Steven</t>
  </si>
  <si>
    <t>Morse, Sandra</t>
  </si>
  <si>
    <t>Morss, Suzanne</t>
  </si>
  <si>
    <t>Morten, Elizabeth</t>
  </si>
  <si>
    <t>Mortensen, Suzanne</t>
  </si>
  <si>
    <t>Morvant, Bernard</t>
  </si>
  <si>
    <t>Mosca-cocca, Laurie</t>
  </si>
  <si>
    <t>Moser, Carl</t>
  </si>
  <si>
    <t>Moser, Mary</t>
  </si>
  <si>
    <t>Moskovitz, Robert</t>
  </si>
  <si>
    <t>Mosley, Sean</t>
  </si>
  <si>
    <t>Moss, Glenn</t>
  </si>
  <si>
    <t>Moss, Nicole</t>
  </si>
  <si>
    <t>Mossholder, David</t>
  </si>
  <si>
    <t>Mott, Colette</t>
  </si>
  <si>
    <t>Motz, John p.</t>
  </si>
  <si>
    <t>Motz, Richard</t>
  </si>
  <si>
    <t>Movaghar, Steve</t>
  </si>
  <si>
    <t>Moyer, Janine</t>
  </si>
  <si>
    <t>Moyer, Marielle</t>
  </si>
  <si>
    <t>Moyer, Marsha</t>
  </si>
  <si>
    <t>Moynihan, Timothy</t>
  </si>
  <si>
    <t>Mraz, Paul</t>
  </si>
  <si>
    <t>Mueller, James</t>
  </si>
  <si>
    <t>Mueller, Joerg</t>
  </si>
  <si>
    <t>Mueller, Stan</t>
  </si>
  <si>
    <t>Muenstermann, Jeffery</t>
  </si>
  <si>
    <t>Mukherji, Rajat</t>
  </si>
  <si>
    <t>Mullen, Steven</t>
  </si>
  <si>
    <t>Muller, Scott</t>
  </si>
  <si>
    <t>Mulligan, Melissa</t>
  </si>
  <si>
    <t>Mullins, Dale</t>
  </si>
  <si>
    <t>Mullins, Kimberly</t>
  </si>
  <si>
    <t>Mullins, Michael</t>
  </si>
  <si>
    <t>Mullins, Susan</t>
  </si>
  <si>
    <t>Mulrooney, Steven</t>
  </si>
  <si>
    <t>Mulry, Colleen</t>
  </si>
  <si>
    <t>Mulski, Heather</t>
  </si>
  <si>
    <t>Mundrick, Scott</t>
  </si>
  <si>
    <t>Muneyuki, Toshihide</t>
  </si>
  <si>
    <t>Munoz, Amos</t>
  </si>
  <si>
    <t>Munoz, Breck</t>
  </si>
  <si>
    <t>Munoz, Mary</t>
  </si>
  <si>
    <t>Munshower, Debra</t>
  </si>
  <si>
    <t>Muratore, Michelle</t>
  </si>
  <si>
    <t>Murillo, Christine</t>
  </si>
  <si>
    <t>Murphy, Aaron</t>
  </si>
  <si>
    <t>Murphy, Andrew</t>
  </si>
  <si>
    <t>Murphy, Brendan</t>
  </si>
  <si>
    <t>Murphy, Brian</t>
  </si>
  <si>
    <t>Murphy, Declan</t>
  </si>
  <si>
    <t>Murphy, Dian</t>
  </si>
  <si>
    <t>Murphy, George</t>
  </si>
  <si>
    <t>Murphy, Janette</t>
  </si>
  <si>
    <t>Murphy, Joshua</t>
  </si>
  <si>
    <t>Murphy, Margaret</t>
  </si>
  <si>
    <t>Murphy, Patrick</t>
  </si>
  <si>
    <t>Murphy, Ronald</t>
  </si>
  <si>
    <t>Murphy, Seamus</t>
  </si>
  <si>
    <t>Murphy, Tammy</t>
  </si>
  <si>
    <t>Murphy, Terry</t>
  </si>
  <si>
    <t>Murphy, Thomas</t>
  </si>
  <si>
    <t>Murray, Clark</t>
  </si>
  <si>
    <t>Murray, Johnny</t>
  </si>
  <si>
    <t>Murray, Kenneth</t>
  </si>
  <si>
    <t>Murray, Kevin</t>
  </si>
  <si>
    <t>Murray, Michael</t>
  </si>
  <si>
    <t>Murray, Sandra</t>
  </si>
  <si>
    <t>Murrell, Sharon</t>
  </si>
  <si>
    <t>Mutz, Paula</t>
  </si>
  <si>
    <t>Muzio, Michael</t>
  </si>
  <si>
    <t>Myers, Robert</t>
  </si>
  <si>
    <t>Myhre, Mark</t>
  </si>
  <si>
    <t>Myser, Douglas</t>
  </si>
  <si>
    <t>Nabatian, John</t>
  </si>
  <si>
    <t>Nackers, Thomas</t>
  </si>
  <si>
    <t>Nadler, Stephen</t>
  </si>
  <si>
    <t>Nadrowski, Ray</t>
  </si>
  <si>
    <t>Nagia, Tarek</t>
  </si>
  <si>
    <t>Naidoo, Anthony</t>
  </si>
  <si>
    <t>Nakai, Tsuneaki</t>
  </si>
  <si>
    <t>Nakajima, Ken</t>
  </si>
  <si>
    <t>Nakhavanit, Virabout</t>
  </si>
  <si>
    <t>Naoroji, Percy</t>
  </si>
  <si>
    <t>Napier, Jamie</t>
  </si>
  <si>
    <t>Napodano, Michael</t>
  </si>
  <si>
    <t>Narayan, Adrian</t>
  </si>
  <si>
    <t>Nash, Louis</t>
  </si>
  <si>
    <t>Nasman, Gregory</t>
  </si>
  <si>
    <t>Natsch, Timothy</t>
  </si>
  <si>
    <t>Naum, Sherban</t>
  </si>
  <si>
    <t>Navarro, Edgar</t>
  </si>
  <si>
    <t>Navarro, Marcela</t>
  </si>
  <si>
    <t>Nazario, Abel</t>
  </si>
  <si>
    <t>Neace, Manuel</t>
  </si>
  <si>
    <t>Neal, Lisa</t>
  </si>
  <si>
    <t>Neal, Luvenia</t>
  </si>
  <si>
    <t>Neely, Reginald</t>
  </si>
  <si>
    <t>Neely, Timothy</t>
  </si>
  <si>
    <t>Negosian, Alan</t>
  </si>
  <si>
    <t>Negron, Richard</t>
  </si>
  <si>
    <t>Nelms, Traci</t>
  </si>
  <si>
    <t>Nelson, Deborah</t>
  </si>
  <si>
    <t>Nelson, Elizabeth</t>
  </si>
  <si>
    <t>Nelson, Jane</t>
  </si>
  <si>
    <t>Nelson, Jeanine</t>
  </si>
  <si>
    <t>Nelson, Jeff</t>
  </si>
  <si>
    <t>Nelson, Thomas</t>
  </si>
  <si>
    <t>Nelson, Winston</t>
  </si>
  <si>
    <t>Nemec, Jaymee</t>
  </si>
  <si>
    <t>Nemecek, Michael</t>
  </si>
  <si>
    <t>Nemeth, Darren</t>
  </si>
  <si>
    <t>Neroda, Dennis</t>
  </si>
  <si>
    <t>Neutzler, Karla</t>
  </si>
  <si>
    <t>Neutzling, William</t>
  </si>
  <si>
    <t>Newbold, Tanya</t>
  </si>
  <si>
    <t>Newell, Donald</t>
  </si>
  <si>
    <t>Newhaus, Marc</t>
  </si>
  <si>
    <t>Newman, Chris</t>
  </si>
  <si>
    <t>Newman, Kelly</t>
  </si>
  <si>
    <t>Newman, Robbie</t>
  </si>
  <si>
    <t>Newquist, Patricia</t>
  </si>
  <si>
    <t>Newton, Doreen</t>
  </si>
  <si>
    <t>Newton, Kevin</t>
  </si>
  <si>
    <t>Ng, Khecherraymond</t>
  </si>
  <si>
    <t>Ng, Wai kwan</t>
  </si>
  <si>
    <t>Ngau, Chuk Leung Eric</t>
  </si>
  <si>
    <t>Nguyen, Hao</t>
  </si>
  <si>
    <t>Nicholson, Denise</t>
  </si>
  <si>
    <t>Nicholson, Gary</t>
  </si>
  <si>
    <t>Nicholson, Matt</t>
  </si>
  <si>
    <t>Nicholson, Renee</t>
  </si>
  <si>
    <t>Nicolai, Tina</t>
  </si>
  <si>
    <t>Nicosia, Margaret</t>
  </si>
  <si>
    <t>Nidecker, Sean</t>
  </si>
  <si>
    <t>Niemann, Diana</t>
  </si>
  <si>
    <t>Niemann, Marko</t>
  </si>
  <si>
    <t>Niemi, Amy</t>
  </si>
  <si>
    <t>Nierman, David</t>
  </si>
  <si>
    <t>Nieto, Manuel</t>
  </si>
  <si>
    <t>Nieto, Yvonne</t>
  </si>
  <si>
    <t>Nischbach, John</t>
  </si>
  <si>
    <t>Niskanen, Gary</t>
  </si>
  <si>
    <t>Nisle, Terri</t>
  </si>
  <si>
    <t>Nittler, Michael</t>
  </si>
  <si>
    <t>Niven, Mary</t>
  </si>
  <si>
    <t>Nnanwubar, Judy</t>
  </si>
  <si>
    <t>Noble, Wayne</t>
  </si>
  <si>
    <t>Noda, Tomohiro</t>
  </si>
  <si>
    <t>Noel, Susan</t>
  </si>
  <si>
    <t>Noel-Zuniga, Katherine</t>
  </si>
  <si>
    <t>Noisette, Louis</t>
  </si>
  <si>
    <t>Nolan, Sean</t>
  </si>
  <si>
    <t>Nolan, Thomas</t>
  </si>
  <si>
    <t>Nolan-Stewart, Joanne</t>
  </si>
  <si>
    <t>Nolfo, Paul</t>
  </si>
  <si>
    <t>Noll, Mark</t>
  </si>
  <si>
    <t>Nomura, Ryuhichi</t>
  </si>
  <si>
    <t>Nomura, Shohei</t>
  </si>
  <si>
    <t>Noonan, Lawrence</t>
  </si>
  <si>
    <t>Norfleet, Joyce</t>
  </si>
  <si>
    <t>Norman, Rusty</t>
  </si>
  <si>
    <t>Norred, Nancy</t>
  </si>
  <si>
    <t>Norris, John</t>
  </si>
  <si>
    <t>Norris, Trasey</t>
  </si>
  <si>
    <t>North, Sheri</t>
  </si>
  <si>
    <t>Northrup, Marilyn</t>
  </si>
  <si>
    <t>Norton, Scott</t>
  </si>
  <si>
    <t>Norwood, Timothy</t>
  </si>
  <si>
    <t>Nourse, John</t>
  </si>
  <si>
    <t>Novak, James</t>
  </si>
  <si>
    <t>Novinski, Lance</t>
  </si>
  <si>
    <t>Null, Brent</t>
  </si>
  <si>
    <t>Nunley, Trista</t>
  </si>
  <si>
    <t>Oboyle, Jack</t>
  </si>
  <si>
    <t>Obrien, Bonnie</t>
  </si>
  <si>
    <t>Obrien, Ronald</t>
  </si>
  <si>
    <t>Obrien, Sean</t>
  </si>
  <si>
    <t>Obrien, Shannon</t>
  </si>
  <si>
    <t>Obrien, Theresa</t>
  </si>
  <si>
    <t>Obrien, William</t>
  </si>
  <si>
    <t>Ochrymowicz, Stephen</t>
  </si>
  <si>
    <t>Oconnell, Patrick</t>
  </si>
  <si>
    <t>Oconnell, Timothy</t>
  </si>
  <si>
    <t>Oconnor, Mark</t>
  </si>
  <si>
    <t>Oconnor, Sean</t>
  </si>
  <si>
    <t>Odell, Tracy</t>
  </si>
  <si>
    <t>Oden, David</t>
  </si>
  <si>
    <t>Odonnell, Brendan</t>
  </si>
  <si>
    <t>Odonnell, John</t>
  </si>
  <si>
    <t>Ofarrell, Sean</t>
  </si>
  <si>
    <t>Ogburn, William</t>
  </si>
  <si>
    <t>Oghabian, Ali</t>
  </si>
  <si>
    <t>Ogle, Michael</t>
  </si>
  <si>
    <t>Ohira, Koji</t>
  </si>
  <si>
    <t>Ohnemus, Andy</t>
  </si>
  <si>
    <t>Ohr, Jeffrey</t>
  </si>
  <si>
    <t>Ohrn, David</t>
  </si>
  <si>
    <t>Ojile, Elizabeth</t>
  </si>
  <si>
    <t>Okimura, Gerald</t>
  </si>
  <si>
    <t>Oliver, Charles</t>
  </si>
  <si>
    <t>Oliver, Jerry</t>
  </si>
  <si>
    <t>Oliver, Mark</t>
  </si>
  <si>
    <t>Oliver, Mia</t>
  </si>
  <si>
    <t>Oliver, Raymond</t>
  </si>
  <si>
    <t>Oliveri, Steven</t>
  </si>
  <si>
    <t>Olivier, Jeff</t>
  </si>
  <si>
    <t>Olliges, Michael</t>
  </si>
  <si>
    <t>Olloway, Yolonda</t>
  </si>
  <si>
    <t>Oloughlin, James</t>
  </si>
  <si>
    <t>Olson, Knute</t>
  </si>
  <si>
    <t>Olson, Thomas</t>
  </si>
  <si>
    <t>Olveda, Juan</t>
  </si>
  <si>
    <t>Olynyk, Chris</t>
  </si>
  <si>
    <t>Omar, Magdi</t>
  </si>
  <si>
    <t>Oneil, A</t>
  </si>
  <si>
    <t>Oneil, Brian</t>
  </si>
  <si>
    <t>Oneill, Andrea</t>
  </si>
  <si>
    <t>Oneill, Daniel</t>
  </si>
  <si>
    <t>Oneill, Jacqueline</t>
  </si>
  <si>
    <t>Orban, Michael</t>
  </si>
  <si>
    <t>Orear, Laura</t>
  </si>
  <si>
    <t>Orellana, Hector</t>
  </si>
  <si>
    <t>Orlaska, Kenneth</t>
  </si>
  <si>
    <t>Orlin, Rita</t>
  </si>
  <si>
    <t>Ortega, Jaime</t>
  </si>
  <si>
    <t>Ortega, Paul</t>
  </si>
  <si>
    <t>Orticke, Kristine</t>
  </si>
  <si>
    <t>Ortiz, Julie</t>
  </si>
  <si>
    <t>Ortiz, Olivia</t>
  </si>
  <si>
    <t>Ortiz, Robert</t>
  </si>
  <si>
    <t>Orvis, Scott</t>
  </si>
  <si>
    <t>Orzalesi, Filippo</t>
  </si>
  <si>
    <t>Osborne, Pamela</t>
  </si>
  <si>
    <t>Osby, Rodney</t>
  </si>
  <si>
    <t>Osganian, Gary</t>
  </si>
  <si>
    <t>Osgood, Mark</t>
  </si>
  <si>
    <t>Oshinski, Thomas</t>
  </si>
  <si>
    <t>Ososkie, Richele</t>
  </si>
  <si>
    <t>Osterloh, Doris</t>
  </si>
  <si>
    <t>Ostrander, Carol</t>
  </si>
  <si>
    <t>Ostrander, Karen</t>
  </si>
  <si>
    <t>Ostrowski, Andrew</t>
  </si>
  <si>
    <t>Osullivan, Eleanor</t>
  </si>
  <si>
    <t>Osunsanmi, Babs</t>
  </si>
  <si>
    <t>Oswald, Rebekah</t>
  </si>
  <si>
    <t>Oswalt, Charles</t>
  </si>
  <si>
    <t>Oswalt, David</t>
  </si>
  <si>
    <t>Otoole, Brian</t>
  </si>
  <si>
    <t>Ou, Joe</t>
  </si>
  <si>
    <t>Outland, Rolando</t>
  </si>
  <si>
    <t>Ovalle, Jayne</t>
  </si>
  <si>
    <t>Overfield-Greene, Stephanie</t>
  </si>
  <si>
    <t>Overlock, Frank</t>
  </si>
  <si>
    <t>Owen, Allan</t>
  </si>
  <si>
    <t>Owens, Bruce</t>
  </si>
  <si>
    <t>Owens, Christopher</t>
  </si>
  <si>
    <t>Owens, Debbie</t>
  </si>
  <si>
    <t>Owens, Eric</t>
  </si>
  <si>
    <t>Owens, Karen</t>
  </si>
  <si>
    <t>Owens, Keith</t>
  </si>
  <si>
    <t>Owens, Kimberly</t>
  </si>
  <si>
    <t>Owens, Micki</t>
  </si>
  <si>
    <t>Owensfrick, Lisa</t>
  </si>
  <si>
    <t>Oxner, Michael</t>
  </si>
  <si>
    <t>Pace, Bruce</t>
  </si>
  <si>
    <t>Pacheco, Saul</t>
  </si>
  <si>
    <t>Pacini, Anthony</t>
  </si>
  <si>
    <t>Padilla, Albert</t>
  </si>
  <si>
    <t>Padilla, David</t>
  </si>
  <si>
    <t>Padilla, Michael</t>
  </si>
  <si>
    <t>Paeske, David</t>
  </si>
  <si>
    <t>Paganini, Edward</t>
  </si>
  <si>
    <t>Page, James</t>
  </si>
  <si>
    <t>Page, Joyce</t>
  </si>
  <si>
    <t>Page, Susan</t>
  </si>
  <si>
    <t>Pagel, Jane</t>
  </si>
  <si>
    <t>Paget, Eric</t>
  </si>
  <si>
    <t>Paikai, Vivian</t>
  </si>
  <si>
    <t>Pair, Tom</t>
  </si>
  <si>
    <t>Pajewski, Joan</t>
  </si>
  <si>
    <t>Paju, Petteri</t>
  </si>
  <si>
    <t>Palazzolo, John</t>
  </si>
  <si>
    <t>Palipowski, Jerry</t>
  </si>
  <si>
    <t>Pallares, David</t>
  </si>
  <si>
    <t>Palmer, Alex</t>
  </si>
  <si>
    <t>Palmer, Deborah</t>
  </si>
  <si>
    <t>Palmer, Shelly</t>
  </si>
  <si>
    <t>Palmieri, James</t>
  </si>
  <si>
    <t>Pang, Meechincatherine</t>
  </si>
  <si>
    <t>Pangilinan, Jennifer</t>
  </si>
  <si>
    <t>Panto, Mark</t>
  </si>
  <si>
    <t>Papdi, Zsolt</t>
  </si>
  <si>
    <t>Pappas, Amanda</t>
  </si>
  <si>
    <t>Pappas, Chris</t>
  </si>
  <si>
    <t>Pardo, Consuelo</t>
  </si>
  <si>
    <t>Pariani, Melissa</t>
  </si>
  <si>
    <t>Park, Jun</t>
  </si>
  <si>
    <t>Parker, Benjamin</t>
  </si>
  <si>
    <t>Parker, Fred</t>
  </si>
  <si>
    <t>Parker, Jason</t>
  </si>
  <si>
    <t>Parker, Linda</t>
  </si>
  <si>
    <t>Parker, Michael</t>
  </si>
  <si>
    <t>Parker, Michele</t>
  </si>
  <si>
    <t>Parker, Rick</t>
  </si>
  <si>
    <t>Parker, Stacie</t>
  </si>
  <si>
    <t>Parkins, Douglas</t>
  </si>
  <si>
    <t>Parks, Chantay</t>
  </si>
  <si>
    <t>Parmenter, Ross</t>
  </si>
  <si>
    <t>Parrillo, Erin</t>
  </si>
  <si>
    <t>Parrish, Gina</t>
  </si>
  <si>
    <t>Parsons, Eric</t>
  </si>
  <si>
    <t>Parsons, Russell</t>
  </si>
  <si>
    <t>Parsram, Vijay</t>
  </si>
  <si>
    <t>Partlow, Edward</t>
  </si>
  <si>
    <t>Pascale, Martin</t>
  </si>
  <si>
    <t>Pascetta, Marjorie</t>
  </si>
  <si>
    <t>Pasdar, Behrooz</t>
  </si>
  <si>
    <t>Pashia, Dennis</t>
  </si>
  <si>
    <t>Pasquier, Guillaume</t>
  </si>
  <si>
    <t>Pass, Edward</t>
  </si>
  <si>
    <t>Passaro, Ralph</t>
  </si>
  <si>
    <t>Passet, Frederic</t>
  </si>
  <si>
    <t>Pastor, Bobby</t>
  </si>
  <si>
    <t>Pastor, Joel</t>
  </si>
  <si>
    <t>Pate, Thomas</t>
  </si>
  <si>
    <t>Patel, Dipal</t>
  </si>
  <si>
    <t>Patel, Prathik</t>
  </si>
  <si>
    <t>Patel, Rakesh</t>
  </si>
  <si>
    <t>Patel, Trushita</t>
  </si>
  <si>
    <t>Patrawala, Surekha</t>
  </si>
  <si>
    <t>Pattavina, John</t>
  </si>
  <si>
    <t>Patterson, Gilbert</t>
  </si>
  <si>
    <t>Patterson, Joseph</t>
  </si>
  <si>
    <t>Patterson, Judith</t>
  </si>
  <si>
    <t>Patteson, Trey</t>
  </si>
  <si>
    <t>Patti, Kathryn</t>
  </si>
  <si>
    <t>Patti, Terry</t>
  </si>
  <si>
    <t>Patton, Nancy</t>
  </si>
  <si>
    <t>Patton-Eriksson, Katherine</t>
  </si>
  <si>
    <t>Patulak, Michael</t>
  </si>
  <si>
    <t>Patullo, Bradley</t>
  </si>
  <si>
    <t>Patz, Robert</t>
  </si>
  <si>
    <t>Paul, Bretner</t>
  </si>
  <si>
    <t>Pauleus, Robert</t>
  </si>
  <si>
    <t>Paulson, Diane</t>
  </si>
  <si>
    <t>Pawlik, Dana</t>
  </si>
  <si>
    <t>Pawlowsky, Annemarie</t>
  </si>
  <si>
    <t>Payne, Shara</t>
  </si>
  <si>
    <t>Pearlman, Theodore</t>
  </si>
  <si>
    <t>Pearson, Wilkenya</t>
  </si>
  <si>
    <t>Peck, Stuart</t>
  </si>
  <si>
    <t>Pederson, Terry</t>
  </si>
  <si>
    <t>Peek, Scott</t>
  </si>
  <si>
    <t>Peel, Maria</t>
  </si>
  <si>
    <t>Peelaerts, Anneleen</t>
  </si>
  <si>
    <t>Pekanyande, Joe</t>
  </si>
  <si>
    <t>Pekarek, Tim</t>
  </si>
  <si>
    <t>Pelayo, Carlos</t>
  </si>
  <si>
    <t>Pellegrino, Kathleen</t>
  </si>
  <si>
    <t>Pelletier, Kenny</t>
  </si>
  <si>
    <t>Pemmaraju, Siva</t>
  </si>
  <si>
    <t>Pena, Leslie</t>
  </si>
  <si>
    <t>Pendergrass, Shelly</t>
  </si>
  <si>
    <t>Penn, Preston</t>
  </si>
  <si>
    <t>Peoples, Roslyn</t>
  </si>
  <si>
    <t>Pepe, Albert</t>
  </si>
  <si>
    <t>Pepe, Barbara</t>
  </si>
  <si>
    <t>Pepe, Charles</t>
  </si>
  <si>
    <t>Pepe, Steven</t>
  </si>
  <si>
    <t>Pepper, Bradley</t>
  </si>
  <si>
    <t>Pepper, Jack</t>
  </si>
  <si>
    <t>Percudani, Ellen</t>
  </si>
  <si>
    <t>Perdomo, Javier</t>
  </si>
  <si>
    <t>Perdomo, John</t>
  </si>
  <si>
    <t>Perdue, William</t>
  </si>
  <si>
    <t>Perduejames, Trenna</t>
  </si>
  <si>
    <t>Pereira, Kennedy</t>
  </si>
  <si>
    <t>Perez, Christine</t>
  </si>
  <si>
    <t>Perez, Derek</t>
  </si>
  <si>
    <t>Perez, Enrique</t>
  </si>
  <si>
    <t>Perez, Gloria</t>
  </si>
  <si>
    <t>Perez, Jenny</t>
  </si>
  <si>
    <t>Perez, John</t>
  </si>
  <si>
    <t>Peri, Michael</t>
  </si>
  <si>
    <t>Perillo, Chris</t>
  </si>
  <si>
    <t>Periquet, Ramon</t>
  </si>
  <si>
    <t>Perkins, Adam</t>
  </si>
  <si>
    <t>Perkins, Hollie</t>
  </si>
  <si>
    <t>Perkins, Michael</t>
  </si>
  <si>
    <t>Perkins, Teresa</t>
  </si>
  <si>
    <t>Perlowski, Barbara</t>
  </si>
  <si>
    <t>Perny, Allen</t>
  </si>
  <si>
    <t>Perone, Dino</t>
  </si>
  <si>
    <t>Perrin, Elizabeth</t>
  </si>
  <si>
    <t>Perrino, Philip</t>
  </si>
  <si>
    <t>Perrone, Marc</t>
  </si>
  <si>
    <t>Perry, Connie</t>
  </si>
  <si>
    <t>Perry, Gary</t>
  </si>
  <si>
    <t>Pestillo, David</t>
  </si>
  <si>
    <t>Peters, Jeff</t>
  </si>
  <si>
    <t>Peters, Sethretta</t>
  </si>
  <si>
    <t>Petersen, Eartha</t>
  </si>
  <si>
    <t>Petersen, Elisabeth</t>
  </si>
  <si>
    <t>Petersen, Heather</t>
  </si>
  <si>
    <t>Petersenharvey, Alda</t>
  </si>
  <si>
    <t>Petersiliamorgan, Dana</t>
  </si>
  <si>
    <t>Peterson, Deanna</t>
  </si>
  <si>
    <t>Peterson, Judith</t>
  </si>
  <si>
    <t>Peterson, Timothy</t>
  </si>
  <si>
    <t>Petkoff, Philip</t>
  </si>
  <si>
    <t>Petrignani, Frederick</t>
  </si>
  <si>
    <t>Petrone, James</t>
  </si>
  <si>
    <t>Petropoulos, Eugene</t>
  </si>
  <si>
    <t>Petruccijackson, Jill</t>
  </si>
  <si>
    <t>Petruzzelli, Vincent</t>
  </si>
  <si>
    <t>Pettigrew, Gavin</t>
  </si>
  <si>
    <t>Pfaff, Michael</t>
  </si>
  <si>
    <t>Pfannenstiel, Ronald</t>
  </si>
  <si>
    <t>Pfeifer, Michael</t>
  </si>
  <si>
    <t>Pfeiffer, C</t>
  </si>
  <si>
    <t>Pfister, Carol</t>
  </si>
  <si>
    <t>Pfister, Daniel</t>
  </si>
  <si>
    <t>Phan, Thu</t>
  </si>
  <si>
    <t>Phelan, Joanne</t>
  </si>
  <si>
    <t>Phelps, James</t>
  </si>
  <si>
    <t>Phifer, William</t>
  </si>
  <si>
    <t>Phigler, Mark</t>
  </si>
  <si>
    <t>Philbin, Kathleen</t>
  </si>
  <si>
    <t>Philippi, Edilsa</t>
  </si>
  <si>
    <t>Phillippi, Kevin</t>
  </si>
  <si>
    <t>Phillips, Andrea</t>
  </si>
  <si>
    <t>Phillips, Daniel</t>
  </si>
  <si>
    <t>Phillips, Kimberly</t>
  </si>
  <si>
    <t>Phillips, Linda</t>
  </si>
  <si>
    <t>Phillips, Margaret</t>
  </si>
  <si>
    <t>Phillips, Sharon</t>
  </si>
  <si>
    <t>Phillips, Toy</t>
  </si>
  <si>
    <t>Phinney, Ivan</t>
  </si>
  <si>
    <t>Phoenix, Timothy</t>
  </si>
  <si>
    <t>Phull, Soumya</t>
  </si>
  <si>
    <t>Piazza, Francis</t>
  </si>
  <si>
    <t>Picazo, Arthur</t>
  </si>
  <si>
    <t>Pickerell, Kim</t>
  </si>
  <si>
    <t>Pickering, Paul</t>
  </si>
  <si>
    <t>Piech, Andrew</t>
  </si>
  <si>
    <t>Pierce, Allen</t>
  </si>
  <si>
    <t>Pierce, Rachel</t>
  </si>
  <si>
    <t>Piero, Paul</t>
  </si>
  <si>
    <t>Pierre, Darnelle</t>
  </si>
  <si>
    <t>Pierre, Mary</t>
  </si>
  <si>
    <t>Pierson, James</t>
  </si>
  <si>
    <t>Pilat, Mark</t>
  </si>
  <si>
    <t>Pilatova, Sona</t>
  </si>
  <si>
    <t>Pile, Ymonne</t>
  </si>
  <si>
    <t>Pilgrim, Patrick</t>
  </si>
  <si>
    <t>Piliero, Brandon</t>
  </si>
  <si>
    <t>Pilkenroth, Jennifer</t>
  </si>
  <si>
    <t>Pilkinton, David</t>
  </si>
  <si>
    <t>Pilliod, Joseph</t>
  </si>
  <si>
    <t>Pinch, Claudia</t>
  </si>
  <si>
    <t>Pinder, Brian</t>
  </si>
  <si>
    <t>Pinedo, John</t>
  </si>
  <si>
    <t>Pinera, Noel</t>
  </si>
  <si>
    <t>Pinta, Andrea</t>
  </si>
  <si>
    <t>Pinto, Richard</t>
  </si>
  <si>
    <t>Piper, David</t>
  </si>
  <si>
    <t>Pipkin, Betsy</t>
  </si>
  <si>
    <t>Pirnat, Daniel</t>
  </si>
  <si>
    <t>Pisacich, Kevin</t>
  </si>
  <si>
    <t>Pitcher, Jack</t>
  </si>
  <si>
    <t>Pitrone, Richard</t>
  </si>
  <si>
    <t>Pittman, Robert</t>
  </si>
  <si>
    <t>Pladsen, Troy</t>
  </si>
  <si>
    <t>Planinsek, Marilyn</t>
  </si>
  <si>
    <t>Plank, Jeffrey</t>
  </si>
  <si>
    <t>Plant, Braden</t>
  </si>
  <si>
    <t>Plaster, Dennis</t>
  </si>
  <si>
    <t>Platt, Robert</t>
  </si>
  <si>
    <t>Plumley, Thomas</t>
  </si>
  <si>
    <t>Plunkett, Shaun</t>
  </si>
  <si>
    <t>Plunkett, William</t>
  </si>
  <si>
    <t>Poani, Carla</t>
  </si>
  <si>
    <t>Podolsky, Shane</t>
  </si>
  <si>
    <t>Podvorec, Mark</t>
  </si>
  <si>
    <t>Pohl, Brenda</t>
  </si>
  <si>
    <t>Pokora, Pavel</t>
  </si>
  <si>
    <t>Pokorny, Carolyn</t>
  </si>
  <si>
    <t>Pold, Scott</t>
  </si>
  <si>
    <t>Polidoro, Michael</t>
  </si>
  <si>
    <t>Pollack, Daniel</t>
  </si>
  <si>
    <t>Pollard, Kevin</t>
  </si>
  <si>
    <t>Polley, David</t>
  </si>
  <si>
    <t>Ponder, Darrell</t>
  </si>
  <si>
    <t>Poniecki, Sebastian</t>
  </si>
  <si>
    <t>Poole, Robert</t>
  </si>
  <si>
    <t>Poon, Daisy</t>
  </si>
  <si>
    <t>Popadick, Don</t>
  </si>
  <si>
    <t>Pope, Mel</t>
  </si>
  <si>
    <t>Popek, Joy</t>
  </si>
  <si>
    <t>Popp, Eric</t>
  </si>
  <si>
    <t>Porter, Antwan</t>
  </si>
  <si>
    <t>Porter, Chester</t>
  </si>
  <si>
    <t>Porter, Christopher</t>
  </si>
  <si>
    <t>Position, Holding</t>
  </si>
  <si>
    <t>Possekel, Monica</t>
  </si>
  <si>
    <t>Post, Lisa</t>
  </si>
  <si>
    <t>Postmus, Timothy</t>
  </si>
  <si>
    <t>Potter, Richard</t>
  </si>
  <si>
    <t>Poule, Deborah</t>
  </si>
  <si>
    <t>Poulin, Kimberly</t>
  </si>
  <si>
    <t>Poulos, John</t>
  </si>
  <si>
    <t>Poulos, Susan</t>
  </si>
  <si>
    <t>Pouttu, Kirk</t>
  </si>
  <si>
    <t>Powell, Bret</t>
  </si>
  <si>
    <t>Powell, Derek</t>
  </si>
  <si>
    <t>Powell, Jan</t>
  </si>
  <si>
    <t>Powell, Patrice</t>
  </si>
  <si>
    <t>Powell, William</t>
  </si>
  <si>
    <t>Powers Iii, Frank</t>
  </si>
  <si>
    <t>Powers, John</t>
  </si>
  <si>
    <t>Powers, Maya</t>
  </si>
  <si>
    <t>Poxson, Deborah</t>
  </si>
  <si>
    <t>Pozarski, Judy</t>
  </si>
  <si>
    <t>Pozezinski, Kristen</t>
  </si>
  <si>
    <t>Pracht, Jeffray</t>
  </si>
  <si>
    <t>Pradia, Andre</t>
  </si>
  <si>
    <t>Pratt Ii, Kevin</t>
  </si>
  <si>
    <t>Pratt Sr., Keenan</t>
  </si>
  <si>
    <t>Pratt, Ordreldro</t>
  </si>
  <si>
    <t>Preble, Douglas</t>
  </si>
  <si>
    <t>Preece, Debra</t>
  </si>
  <si>
    <t>Prendez, David</t>
  </si>
  <si>
    <t>Prentice, Caroline</t>
  </si>
  <si>
    <t>Prescott, Karen</t>
  </si>
  <si>
    <t>President - Vacant, Bcs</t>
  </si>
  <si>
    <t>Prestera, J Nicholas</t>
  </si>
  <si>
    <t>Presti, Marco</t>
  </si>
  <si>
    <t>Preston Jr, R</t>
  </si>
  <si>
    <t>Preston, Jeffrey</t>
  </si>
  <si>
    <t>Preston, Patrick</t>
  </si>
  <si>
    <t>Preston, Timothy</t>
  </si>
  <si>
    <t>Prettyman, John</t>
  </si>
  <si>
    <t>Priboy, Edward</t>
  </si>
  <si>
    <t>Price, Ashley</t>
  </si>
  <si>
    <t>Price, Cindy</t>
  </si>
  <si>
    <t>Price, David</t>
  </si>
  <si>
    <t>Price, Elizabeth</t>
  </si>
  <si>
    <t>Price, Harry</t>
  </si>
  <si>
    <t>Price, Jenny</t>
  </si>
  <si>
    <t>Price, Joseph</t>
  </si>
  <si>
    <t>Price, Kathy</t>
  </si>
  <si>
    <t>Price, Larry</t>
  </si>
  <si>
    <t>Price, Lillian</t>
  </si>
  <si>
    <t>Price, Marni</t>
  </si>
  <si>
    <t>Pricestrozier, Kendra</t>
  </si>
  <si>
    <t>Prickett, Larry</t>
  </si>
  <si>
    <t>Prier, Scott</t>
  </si>
  <si>
    <t>Priest, Mark</t>
  </si>
  <si>
    <t>Prince, Altoria</t>
  </si>
  <si>
    <t>Prince, Tracey</t>
  </si>
  <si>
    <t>Principe, Diana</t>
  </si>
  <si>
    <t>Probus, Zac</t>
  </si>
  <si>
    <t>Procter, Kent</t>
  </si>
  <si>
    <t>Proctor, Amberlee</t>
  </si>
  <si>
    <t>Proctor, Jeff</t>
  </si>
  <si>
    <t>Prosser, William</t>
  </si>
  <si>
    <t>Proulx, David</t>
  </si>
  <si>
    <t>Provinzino, Elizabeth</t>
  </si>
  <si>
    <t>Provost, Denise</t>
  </si>
  <si>
    <t>Pruett, James</t>
  </si>
  <si>
    <t>Pruitt, Angela</t>
  </si>
  <si>
    <t>Pruitt, Stephen</t>
  </si>
  <si>
    <t>Pruitt, Ted</t>
  </si>
  <si>
    <t>Prysiazny, I</t>
  </si>
  <si>
    <t>Puech, Nicolas</t>
  </si>
  <si>
    <t>Puente, Demitrius</t>
  </si>
  <si>
    <t>Pugh, Richard</t>
  </si>
  <si>
    <t>Pulchinski, Dennis</t>
  </si>
  <si>
    <t>Pulliam, Zane</t>
  </si>
  <si>
    <t>Purcell, Tara</t>
  </si>
  <si>
    <t>Pursley, Sharon</t>
  </si>
  <si>
    <t>Puskala, Larry</t>
  </si>
  <si>
    <t>Pustka, Kristi</t>
  </si>
  <si>
    <t>Putter, Jerry</t>
  </si>
  <si>
    <t>Pylant, Jonathan</t>
  </si>
  <si>
    <t>Pyle, Sheila</t>
  </si>
  <si>
    <t>Quach, Diana</t>
  </si>
  <si>
    <t>Quade, Carol</t>
  </si>
  <si>
    <t>Queen, James</t>
  </si>
  <si>
    <t>Quek, Sze-hui</t>
  </si>
  <si>
    <t>Quest, Matt</t>
  </si>
  <si>
    <t>Quick, Joseph</t>
  </si>
  <si>
    <t>Quihuiz, Margaret</t>
  </si>
  <si>
    <t>Quijada, Ronnie</t>
  </si>
  <si>
    <t>Quinn, Brian</t>
  </si>
  <si>
    <t>Quinn, Douglas</t>
  </si>
  <si>
    <t>Quinn, G</t>
  </si>
  <si>
    <t>Quinn, Suzanne</t>
  </si>
  <si>
    <t>Quinn, William</t>
  </si>
  <si>
    <t>Quinnan, Cindy</t>
  </si>
  <si>
    <t>Quinones, Consuelo</t>
  </si>
  <si>
    <t>Quintero, Manuel</t>
  </si>
  <si>
    <t>Quiroz, Michael</t>
  </si>
  <si>
    <t>Quist, David</t>
  </si>
  <si>
    <t>Rabin, Ofer</t>
  </si>
  <si>
    <t>Rabung, Andrew</t>
  </si>
  <si>
    <t>Racher, Timothy</t>
  </si>
  <si>
    <t>Radebaugh, Jeff</t>
  </si>
  <si>
    <t>Rader, Scottie</t>
  </si>
  <si>
    <t>Radigan, John</t>
  </si>
  <si>
    <t>Radike, Paul</t>
  </si>
  <si>
    <t>Radnedge, Simon</t>
  </si>
  <si>
    <t>Radtke, Ellen</t>
  </si>
  <si>
    <t>Rae, James</t>
  </si>
  <si>
    <t>Rafsky, Howard</t>
  </si>
  <si>
    <t>Ragusa, Courtney</t>
  </si>
  <si>
    <t>Rahmah, Kaldoun</t>
  </si>
  <si>
    <t>Rahning, Paula</t>
  </si>
  <si>
    <t>Rai, Geeta</t>
  </si>
  <si>
    <t>Rai, Uttama</t>
  </si>
  <si>
    <t>Raia, Peter</t>
  </si>
  <si>
    <t>Raichle, Richard</t>
  </si>
  <si>
    <t>Raimist, Lynn</t>
  </si>
  <si>
    <t>Raine, Dana</t>
  </si>
  <si>
    <t>Rainey, Andrew</t>
  </si>
  <si>
    <t>Rainey, Janna</t>
  </si>
  <si>
    <t>Rainsberger, David</t>
  </si>
  <si>
    <t>Rajaram, Gomathy</t>
  </si>
  <si>
    <t>Rajaram, Sarvanan</t>
  </si>
  <si>
    <t>Rajpoot, Ashwin</t>
  </si>
  <si>
    <t>Ramage, John</t>
  </si>
  <si>
    <t>Ramey, Jacqueline</t>
  </si>
  <si>
    <t>Ramey, Michael</t>
  </si>
  <si>
    <t>Ramieri, Jacqueline</t>
  </si>
  <si>
    <t>Ramirez, Daniel</t>
  </si>
  <si>
    <t>Ramirez, Frank</t>
  </si>
  <si>
    <t>Ramirez, Jeimy</t>
  </si>
  <si>
    <t>Ramirez, Shirley</t>
  </si>
  <si>
    <t>Ramirezjr, Tony</t>
  </si>
  <si>
    <t>Ramos, Gabriel</t>
  </si>
  <si>
    <t>Ramos, Robert</t>
  </si>
  <si>
    <t>Ramsay, Gary</t>
  </si>
  <si>
    <t>Ramsden, Thomas</t>
  </si>
  <si>
    <t>Ramsey, Stephen</t>
  </si>
  <si>
    <t>Randall, Christopher</t>
  </si>
  <si>
    <t>Randall, Ellen</t>
  </si>
  <si>
    <t>Randall, George</t>
  </si>
  <si>
    <t>Randall, Todd</t>
  </si>
  <si>
    <t>Rando, Robert</t>
  </si>
  <si>
    <t>Range, Shanda</t>
  </si>
  <si>
    <t>Ransom, David</t>
  </si>
  <si>
    <t>Rasmussen, Jens Peter B</t>
  </si>
  <si>
    <t>Rasmussen, Linda</t>
  </si>
  <si>
    <t>Rasmussen, Thomas</t>
  </si>
  <si>
    <t>Rasseneur-criqu, Valerie</t>
  </si>
  <si>
    <t>Rathbone, Elizabeth</t>
  </si>
  <si>
    <t>Ratkowski, Gary</t>
  </si>
  <si>
    <t>Ratliff, Angela</t>
  </si>
  <si>
    <t>Rau, Catherine</t>
  </si>
  <si>
    <t>Rau, Christopher</t>
  </si>
  <si>
    <t>Rau, Mark</t>
  </si>
  <si>
    <t>Ravazza, Jennifer</t>
  </si>
  <si>
    <t>Ravnitzky, Jeffrey</t>
  </si>
  <si>
    <t>Rawls Jr, Henry</t>
  </si>
  <si>
    <t>Ray, Gary</t>
  </si>
  <si>
    <t>Ray, Steven</t>
  </si>
  <si>
    <t>Raymond, Monique</t>
  </si>
  <si>
    <t>Raysor, Arianne</t>
  </si>
  <si>
    <t>Ready, Christopher</t>
  </si>
  <si>
    <t>Reams, Ricky</t>
  </si>
  <si>
    <t>Reardon, Michael</t>
  </si>
  <si>
    <t>Rebuck, Chad</t>
  </si>
  <si>
    <t>Redden, Robert</t>
  </si>
  <si>
    <t>Reddish, Randall</t>
  </si>
  <si>
    <t>Reddy, Rajeev</t>
  </si>
  <si>
    <t>Reddy, Vasu</t>
  </si>
  <si>
    <t>Redman, Michael</t>
  </si>
  <si>
    <t>Redmond, Tomika</t>
  </si>
  <si>
    <t>Reece, Janice</t>
  </si>
  <si>
    <t>Reed, Christine</t>
  </si>
  <si>
    <t>Reed, Corey</t>
  </si>
  <si>
    <t>Reed, David</t>
  </si>
  <si>
    <t>Reed, James</t>
  </si>
  <si>
    <t>Reed, Jason</t>
  </si>
  <si>
    <t>Reed, Lisa</t>
  </si>
  <si>
    <t>Reed, Nancy</t>
  </si>
  <si>
    <t>Reed, Robert</t>
  </si>
  <si>
    <t>Reed, Shawn</t>
  </si>
  <si>
    <t>Reehill, Joseph</t>
  </si>
  <si>
    <t>Rees, Charles</t>
  </si>
  <si>
    <t>Reeves, Julie</t>
  </si>
  <si>
    <t>Regalado, Ernest</t>
  </si>
  <si>
    <t>Reger, Dawn</t>
  </si>
  <si>
    <t>Reibrich, Richard</t>
  </si>
  <si>
    <t>Reichelt, Dorothea</t>
  </si>
  <si>
    <t>Reicks, Kevin</t>
  </si>
  <si>
    <t>Reid, Holly</t>
  </si>
  <si>
    <t>Reid, Kim</t>
  </si>
  <si>
    <t>Reidy, Kristi</t>
  </si>
  <si>
    <t>Reilly, Karen</t>
  </si>
  <si>
    <t>Reilly, Robert</t>
  </si>
  <si>
    <t>Reilly, Thomas</t>
  </si>
  <si>
    <t>Reiner, Errol</t>
  </si>
  <si>
    <t>Reinhart, Julie</t>
  </si>
  <si>
    <t>Reinholz, Stephanie</t>
  </si>
  <si>
    <t>Reinman, Matthew</t>
  </si>
  <si>
    <t>Reitman, David</t>
  </si>
  <si>
    <t>Remick, Linda</t>
  </si>
  <si>
    <t>Rempe, Terry</t>
  </si>
  <si>
    <t>Renaudette, Kevin</t>
  </si>
  <si>
    <t>Renfrow, Charles</t>
  </si>
  <si>
    <t>Renner, Bruce</t>
  </si>
  <si>
    <t>Rennert, Katherine</t>
  </si>
  <si>
    <t>Renninger, Erik</t>
  </si>
  <si>
    <t>Reno, Ralph</t>
  </si>
  <si>
    <t>Renshaw, Jill</t>
  </si>
  <si>
    <t>Rentschler, Teresa</t>
  </si>
  <si>
    <t>Renwick, Michael</t>
  </si>
  <si>
    <t>Repko, Paul</t>
  </si>
  <si>
    <t>Resnick, Carl</t>
  </si>
  <si>
    <t>Resnick, Francine</t>
  </si>
  <si>
    <t>Reta, Joseph</t>
  </si>
  <si>
    <t>Reupert, Troy</t>
  </si>
  <si>
    <t>Reustle, Robert</t>
  </si>
  <si>
    <t>Revard, Julie</t>
  </si>
  <si>
    <t>Revard, Mary</t>
  </si>
  <si>
    <t>Rex, Michael</t>
  </si>
  <si>
    <t>Reyes, Alicia</t>
  </si>
  <si>
    <t>Reyes, Armando</t>
  </si>
  <si>
    <t>Reynolds, Cindy</t>
  </si>
  <si>
    <t>Reynolds, Deborah</t>
  </si>
  <si>
    <t>Reynolds, Erik</t>
  </si>
  <si>
    <t>Reynolds, Richard</t>
  </si>
  <si>
    <t>Rezendes, Brian</t>
  </si>
  <si>
    <t>Rhinehart, Ross</t>
  </si>
  <si>
    <t>Rhodes, Christopher</t>
  </si>
  <si>
    <t>Rhodes, Matthew</t>
  </si>
  <si>
    <t>Rhodes, Nathaniel</t>
  </si>
  <si>
    <t>Rhodes, Richard</t>
  </si>
  <si>
    <t>Rhone-Dorsey, Tikki</t>
  </si>
  <si>
    <t>Rhyoo, Joseph</t>
  </si>
  <si>
    <t>Riachi, Lisa</t>
  </si>
  <si>
    <t>Ricchiuto, Michael</t>
  </si>
  <si>
    <t>Rice, Andrew</t>
  </si>
  <si>
    <t>Rice, Joe</t>
  </si>
  <si>
    <t>Rice, Joseph</t>
  </si>
  <si>
    <t>Rice, Robin</t>
  </si>
  <si>
    <t>Rich, Kenneth</t>
  </si>
  <si>
    <t>Richards, Douglas</t>
  </si>
  <si>
    <t>Richards, Elizabeth</t>
  </si>
  <si>
    <t>Richards, Mark</t>
  </si>
  <si>
    <t>Richards, Rohaven</t>
  </si>
  <si>
    <t>Richardson, Alan</t>
  </si>
  <si>
    <t>Richardson, Brenda</t>
  </si>
  <si>
    <t>Richardson, Franklin</t>
  </si>
  <si>
    <t>Richardson, Susan</t>
  </si>
  <si>
    <t>Richardson, Valerie</t>
  </si>
  <si>
    <t>Richardson, Wendy</t>
  </si>
  <si>
    <t>Richichi, James</t>
  </si>
  <si>
    <t>Richmond, Craig</t>
  </si>
  <si>
    <t>Richmond, Jacqueline</t>
  </si>
  <si>
    <t>Richter, Daniel</t>
  </si>
  <si>
    <t>Ricker, Michael</t>
  </si>
  <si>
    <t>Rickett, Ed</t>
  </si>
  <si>
    <t>Ridderman, Justin</t>
  </si>
  <si>
    <t>Riddle, Kevin</t>
  </si>
  <si>
    <t>Riddle, Lorraine</t>
  </si>
  <si>
    <t>Ridenour, Sheri</t>
  </si>
  <si>
    <t>Ries, Gordon</t>
  </si>
  <si>
    <t>Rife, William</t>
  </si>
  <si>
    <t>Riley, Christopher</t>
  </si>
  <si>
    <t>Riley, Michael</t>
  </si>
  <si>
    <t>Rimmer, Donna</t>
  </si>
  <si>
    <t>Rincon, Luis</t>
  </si>
  <si>
    <t>Ring, Brandon</t>
  </si>
  <si>
    <t>Riosa, Michael</t>
  </si>
  <si>
    <t>Ripoll, Yolita</t>
  </si>
  <si>
    <t>Riska, Daniel</t>
  </si>
  <si>
    <t>Ristow, Randy</t>
  </si>
  <si>
    <t>Rivera, Rafael</t>
  </si>
  <si>
    <t>Rivera, Rodrigo</t>
  </si>
  <si>
    <t>Rivers, Stephanie</t>
  </si>
  <si>
    <t>Rivituso, Robert</t>
  </si>
  <si>
    <t>Rix, Joseph</t>
  </si>
  <si>
    <t>Rixson, Gary</t>
  </si>
  <si>
    <t>Rizzetta, David</t>
  </si>
  <si>
    <t>Rizzo, Michael</t>
  </si>
  <si>
    <t>Roach, Lisa</t>
  </si>
  <si>
    <t>Roarty, Donald</t>
  </si>
  <si>
    <t>Roarty, Stacey</t>
  </si>
  <si>
    <t>Robbins, D</t>
  </si>
  <si>
    <t>Robbins, Kenneth</t>
  </si>
  <si>
    <t>Robbs, Albert</t>
  </si>
  <si>
    <t>Roberson, Joshua</t>
  </si>
  <si>
    <t>Roberson, Sheilia</t>
  </si>
  <si>
    <t>Roberts, Jennifer</t>
  </si>
  <si>
    <t>Roberts, Karen</t>
  </si>
  <si>
    <t>Roberts, Mark</t>
  </si>
  <si>
    <t>Roberts, Mike</t>
  </si>
  <si>
    <t>Roberts, Steven</t>
  </si>
  <si>
    <t>Roberts, Terri</t>
  </si>
  <si>
    <t>Robertson Jr, David</t>
  </si>
  <si>
    <t>Robertson, Michael</t>
  </si>
  <si>
    <t>Robertson, Terry</t>
  </si>
  <si>
    <t>Robinson, Christopher</t>
  </si>
  <si>
    <t>Robinson, Helen</t>
  </si>
  <si>
    <t>Robinson, Jodi</t>
  </si>
  <si>
    <t>Robinson, Joyce</t>
  </si>
  <si>
    <t>Robinson, Kizzy</t>
  </si>
  <si>
    <t>Robinson, Lamond</t>
  </si>
  <si>
    <t>Robinson, Lee</t>
  </si>
  <si>
    <t>Robinson, Melissa</t>
  </si>
  <si>
    <t>Robinson, Paul</t>
  </si>
  <si>
    <t>Robinson, Richard</t>
  </si>
  <si>
    <t>Robles, Olga</t>
  </si>
  <si>
    <t>Roby, G</t>
  </si>
  <si>
    <t>Roca, Ruth</t>
  </si>
  <si>
    <t>Rocco, John</t>
  </si>
  <si>
    <t>Roche, Deena</t>
  </si>
  <si>
    <t>Roche, Michael</t>
  </si>
  <si>
    <t>Roche, Stephen</t>
  </si>
  <si>
    <t>Rochelle, Laura</t>
  </si>
  <si>
    <t>Rochester, Ian</t>
  </si>
  <si>
    <t>Rockwood, Jeffrey</t>
  </si>
  <si>
    <t>Rodden, Frederick</t>
  </si>
  <si>
    <t>Rodenbaugh, Kenneth</t>
  </si>
  <si>
    <t>Rodenhofer, Jill</t>
  </si>
  <si>
    <t>Rodgers, Daniel</t>
  </si>
  <si>
    <t>Rodgers, Jewel</t>
  </si>
  <si>
    <t>Rodgers, Shana</t>
  </si>
  <si>
    <t>Rodimer, Kathryn</t>
  </si>
  <si>
    <t>Rodricks, Goretti</t>
  </si>
  <si>
    <t>Rodricks, Sonia</t>
  </si>
  <si>
    <t>Rodrigues, Jude</t>
  </si>
  <si>
    <t>Rodriguez, Andre</t>
  </si>
  <si>
    <t>Rodriguez, Arnold</t>
  </si>
  <si>
    <t>Rodriguez, Chris</t>
  </si>
  <si>
    <t>Rodriguez, Gerardo</t>
  </si>
  <si>
    <t>Rodriguez, Jason</t>
  </si>
  <si>
    <t>Rodriguez, Lillian</t>
  </si>
  <si>
    <t>Rodriguez, Lydia</t>
  </si>
  <si>
    <t>Rodriguez, Mark</t>
  </si>
  <si>
    <t>Rodriguez, Traci</t>
  </si>
  <si>
    <t>Rodriquez, Sylvia</t>
  </si>
  <si>
    <t>Roebuck, Steve</t>
  </si>
  <si>
    <t>Rogan, James</t>
  </si>
  <si>
    <t>Rogers Iii, John</t>
  </si>
  <si>
    <t>Rogers, Beth</t>
  </si>
  <si>
    <t>Rogers, Eric</t>
  </si>
  <si>
    <t>Rogers, Gina</t>
  </si>
  <si>
    <t>Rogers, Glen</t>
  </si>
  <si>
    <t>Rogers, Kenny</t>
  </si>
  <si>
    <t>Rogers, Michael</t>
  </si>
  <si>
    <t>Rogers, Randy</t>
  </si>
  <si>
    <t>Rogers, Stephen</t>
  </si>
  <si>
    <t>Rogers, Zachary</t>
  </si>
  <si>
    <t>Rohe, Maria</t>
  </si>
  <si>
    <t>Rohling, Alvin</t>
  </si>
  <si>
    <t>Rojo, Pablo</t>
  </si>
  <si>
    <t>Roknian, Jeanette</t>
  </si>
  <si>
    <t>Rokosny, Thomas</t>
  </si>
  <si>
    <t>Roldan, David</t>
  </si>
  <si>
    <t>Rollins, Auretta</t>
  </si>
  <si>
    <t>Rolnicki, Melissa</t>
  </si>
  <si>
    <t>Rolofs, Reinhard</t>
  </si>
  <si>
    <t>Romano, Richard</t>
  </si>
  <si>
    <t>Romei-thompson, L</t>
  </si>
  <si>
    <t>Romeo, Linda</t>
  </si>
  <si>
    <t>Romeo, Richard</t>
  </si>
  <si>
    <t>Romero, James</t>
  </si>
  <si>
    <t>Romero, Michelle</t>
  </si>
  <si>
    <t>Romero, Nathan</t>
  </si>
  <si>
    <t>Romero, Nestor</t>
  </si>
  <si>
    <t>Roof, Theresa</t>
  </si>
  <si>
    <t>Rorie, Lauren</t>
  </si>
  <si>
    <t>Rosales, Alex</t>
  </si>
  <si>
    <t>Rosales, Benilda</t>
  </si>
  <si>
    <t>Rose, Jennifer</t>
  </si>
  <si>
    <t>Rose, Mandy</t>
  </si>
  <si>
    <t>Rosek, Daniel</t>
  </si>
  <si>
    <t>Roselli, Kenneth</t>
  </si>
  <si>
    <t>Rosen, Jonathan</t>
  </si>
  <si>
    <t>Rosenbaum, Rick</t>
  </si>
  <si>
    <t>Rosenberg, Marc</t>
  </si>
  <si>
    <t>Rosenberg, Sandra</t>
  </si>
  <si>
    <t>Rosengren, Charles</t>
  </si>
  <si>
    <t>Rosevear, Sharon</t>
  </si>
  <si>
    <t>Ross, Benjamin</t>
  </si>
  <si>
    <t>Ross, Colin</t>
  </si>
  <si>
    <t>Ross, Corynn</t>
  </si>
  <si>
    <t>Ross, Douglas</t>
  </si>
  <si>
    <t>Ross, Jack</t>
  </si>
  <si>
    <t>Ross, Jason</t>
  </si>
  <si>
    <t>Ross, Nancyhall</t>
  </si>
  <si>
    <t>Ross, Paula</t>
  </si>
  <si>
    <t>Ross, Ryan</t>
  </si>
  <si>
    <t>Ross, Samuel</t>
  </si>
  <si>
    <t>Ross, William</t>
  </si>
  <si>
    <t>Rossi, Julie</t>
  </si>
  <si>
    <t>Rossi, Kevin</t>
  </si>
  <si>
    <t>Rossi, Pasquale</t>
  </si>
  <si>
    <t>Rosso, Stefani</t>
  </si>
  <si>
    <t>Roswurm, Cherie</t>
  </si>
  <si>
    <t>Roth, Michael</t>
  </si>
  <si>
    <t>Rothaus, Robin</t>
  </si>
  <si>
    <t>Rothwell, Steve</t>
  </si>
  <si>
    <t>Rott, Jeffrey</t>
  </si>
  <si>
    <t>Rowan, Monica</t>
  </si>
  <si>
    <t>Rowan, Stacey</t>
  </si>
  <si>
    <t>Rowbury, Adam</t>
  </si>
  <si>
    <t>Rowland, Sheri</t>
  </si>
  <si>
    <t>Rowley, Daniel</t>
  </si>
  <si>
    <t>Roy, Christopher</t>
  </si>
  <si>
    <t>Roy, Noreen</t>
  </si>
  <si>
    <t>Roy-Chapman, Debbie</t>
  </si>
  <si>
    <t>Royalty, Victoria</t>
  </si>
  <si>
    <t>Royce, Richard</t>
  </si>
  <si>
    <t>Rubard, Mark</t>
  </si>
  <si>
    <t>Rubel, Elaine</t>
  </si>
  <si>
    <t>Rubin, Leslie</t>
  </si>
  <si>
    <t>Rubin, Scott</t>
  </si>
  <si>
    <t>Rucker, Kelli</t>
  </si>
  <si>
    <t>Rucker, Thomas</t>
  </si>
  <si>
    <t>Rucosky, Raymond</t>
  </si>
  <si>
    <t>Rudich, Marci</t>
  </si>
  <si>
    <t>Rudnick, Burt</t>
  </si>
  <si>
    <t>Rudolph, Lynne</t>
  </si>
  <si>
    <t>Ruffin, Benjamin</t>
  </si>
  <si>
    <t>Ruggieri, James</t>
  </si>
  <si>
    <t>Ruiz, Alexandra</t>
  </si>
  <si>
    <t>Ruiz, Mario</t>
  </si>
  <si>
    <t>Rukat, Deborah</t>
  </si>
  <si>
    <t>Rumple, Steven</t>
  </si>
  <si>
    <t>Runnels, Debie</t>
  </si>
  <si>
    <t>Runyan, Melvin</t>
  </si>
  <si>
    <t>Rupnick, Karen</t>
  </si>
  <si>
    <t>Rushefsky, Daniel</t>
  </si>
  <si>
    <t>Rushing, Brian</t>
  </si>
  <si>
    <t>Rushing, Stephen</t>
  </si>
  <si>
    <t>Rusnak, Brian</t>
  </si>
  <si>
    <t>Russell, Christopher</t>
  </si>
  <si>
    <t>Russell, Donald</t>
  </si>
  <si>
    <t>Russell, Donna</t>
  </si>
  <si>
    <t>Russell, Rand</t>
  </si>
  <si>
    <t>Russo, Christopher</t>
  </si>
  <si>
    <t>Russo, Stacey</t>
  </si>
  <si>
    <t>Rutland, Sarah</t>
  </si>
  <si>
    <t>Ruzicka, Kelley</t>
  </si>
  <si>
    <t>Ryan, James</t>
  </si>
  <si>
    <t>Ryan, Jeanene</t>
  </si>
  <si>
    <t>Ryan, Laverne</t>
  </si>
  <si>
    <t>Ryan, Patrick</t>
  </si>
  <si>
    <t>Ryan, Phillip</t>
  </si>
  <si>
    <t>Ryan, Richard</t>
  </si>
  <si>
    <t>Ryan, Virgil</t>
  </si>
  <si>
    <t>Rydzak, Richard</t>
  </si>
  <si>
    <t>Rysztak, Rosalie</t>
  </si>
  <si>
    <t>Rzeznik, Paul</t>
  </si>
  <si>
    <t>Saavedra, Xavier</t>
  </si>
  <si>
    <t>Sabino, Susan</t>
  </si>
  <si>
    <t>Sacchetti, Margaret</t>
  </si>
  <si>
    <t>Saccomando, Morgan</t>
  </si>
  <si>
    <t>Sadeghi, Mike</t>
  </si>
  <si>
    <t>Sadler, Stacy</t>
  </si>
  <si>
    <t>Saenz, Ruth</t>
  </si>
  <si>
    <t>Saglietto, Aldo</t>
  </si>
  <si>
    <t>Sailors, Brandon</t>
  </si>
  <si>
    <t>Saito, Debbie</t>
  </si>
  <si>
    <t>Salama, Zarif</t>
  </si>
  <si>
    <t>Salas, Helen</t>
  </si>
  <si>
    <t>Salata, Brian</t>
  </si>
  <si>
    <t>Salazar, Roman</t>
  </si>
  <si>
    <t>Salee, Francine</t>
  </si>
  <si>
    <t>SalesCenter1, AE1</t>
  </si>
  <si>
    <t>SalesCenter1, AE2</t>
  </si>
  <si>
    <t>SalesCenter1, DataHostingAE1</t>
  </si>
  <si>
    <t>Salk, Steven</t>
  </si>
  <si>
    <t>Sallee, Jeffrey</t>
  </si>
  <si>
    <t>Salliotte, Tom</t>
  </si>
  <si>
    <t>Salvi, Lisa</t>
  </si>
  <si>
    <t>Salyer, Cary</t>
  </si>
  <si>
    <t>Salzedo, Antonio</t>
  </si>
  <si>
    <t>Sambrano, Jose</t>
  </si>
  <si>
    <t>Samman, Mark</t>
  </si>
  <si>
    <t>Sampson, Thomas</t>
  </si>
  <si>
    <t>Sams Iii, James</t>
  </si>
  <si>
    <t>Sams, Terri</t>
  </si>
  <si>
    <t>Sams, Theresa</t>
  </si>
  <si>
    <t>Samson, Christer</t>
  </si>
  <si>
    <t>Samuel, Greg</t>
  </si>
  <si>
    <t>Samuels, Careta</t>
  </si>
  <si>
    <t>Sanchez, Frank</t>
  </si>
  <si>
    <t>Sanchez, Jennifer</t>
  </si>
  <si>
    <t>Sanchez, Ralph</t>
  </si>
  <si>
    <t>Sanchez, Rick</t>
  </si>
  <si>
    <t>Sanchez, Sue</t>
  </si>
  <si>
    <t>Sanchez, Tommy</t>
  </si>
  <si>
    <t>Sanchez-Agramonte, Ruth</t>
  </si>
  <si>
    <t>Sanders, John</t>
  </si>
  <si>
    <t>Sanders, Julia</t>
  </si>
  <si>
    <t>Sanders, Laundra</t>
  </si>
  <si>
    <t>Sanders, Ronald</t>
  </si>
  <si>
    <t>Sandison, John</t>
  </si>
  <si>
    <t>Sands, Paul</t>
  </si>
  <si>
    <t>Sanek, Larry</t>
  </si>
  <si>
    <t>Sanfilippo, Sam</t>
  </si>
  <si>
    <t>Santana, Jorge</t>
  </si>
  <si>
    <t>Santangelo, David</t>
  </si>
  <si>
    <t>Santino, Sharon</t>
  </si>
  <si>
    <t>Santonelli, Michael</t>
  </si>
  <si>
    <t>Santoro, Lea</t>
  </si>
  <si>
    <t>Santos, Jane</t>
  </si>
  <si>
    <t>Sanz, Loren</t>
  </si>
  <si>
    <t>Sapir, Brad</t>
  </si>
  <si>
    <t>Sargent, April</t>
  </si>
  <si>
    <t>Sarin, Donald</t>
  </si>
  <si>
    <t>Sarkisian, Andrew</t>
  </si>
  <si>
    <t>Sarris, Sam</t>
  </si>
  <si>
    <t>Sarsgard, Roger</t>
  </si>
  <si>
    <t>Sasada, Michael</t>
  </si>
  <si>
    <t>Satin, Mari Ann</t>
  </si>
  <si>
    <t>Sato, Shuichi</t>
  </si>
  <si>
    <t>Sato, Susan</t>
  </si>
  <si>
    <t>Satterfield, Rick</t>
  </si>
  <si>
    <t>Sattler, Timothy</t>
  </si>
  <si>
    <t>Saucedo, Michael</t>
  </si>
  <si>
    <t>Saucier, Kimberly</t>
  </si>
  <si>
    <t>Saul, Rachell</t>
  </si>
  <si>
    <t>Saunders, John</t>
  </si>
  <si>
    <t>Saunders, Susan</t>
  </si>
  <si>
    <t>Sausedo, Michelle</t>
  </si>
  <si>
    <t>Savage, Joyce</t>
  </si>
  <si>
    <t>Savage, R</t>
  </si>
  <si>
    <t>Savino, Michael</t>
  </si>
  <si>
    <t>Savulich, Peter</t>
  </si>
  <si>
    <t>Sawatske, Mary</t>
  </si>
  <si>
    <t>Sawicki, Paulette</t>
  </si>
  <si>
    <t>Sawyer, Christopher</t>
  </si>
  <si>
    <t>Saxe, James</t>
  </si>
  <si>
    <t>Sayers, John</t>
  </si>
  <si>
    <t>Scalf, Steven</t>
  </si>
  <si>
    <t>Scamardo, Sam</t>
  </si>
  <si>
    <t>Scanlon, Barbra</t>
  </si>
  <si>
    <t>Scanlon, Patrick</t>
  </si>
  <si>
    <t>Scarberry, Kelli</t>
  </si>
  <si>
    <t>Scaringella, Peter</t>
  </si>
  <si>
    <t>Scavo, Jim</t>
  </si>
  <si>
    <t>Schaberg, Trina</t>
  </si>
  <si>
    <t>Schad, Gregory</t>
  </si>
  <si>
    <t>Schaecher, Katie</t>
  </si>
  <si>
    <t>Schaefer, Ermelita</t>
  </si>
  <si>
    <t>Schaefer, John</t>
  </si>
  <si>
    <t>Schafer, Jonathan</t>
  </si>
  <si>
    <t>Schaffner, Matthew</t>
  </si>
  <si>
    <t>Schantz, Brent</t>
  </si>
  <si>
    <t>Schany, Kelly</t>
  </si>
  <si>
    <t>Schau, Steven</t>
  </si>
  <si>
    <t>Schauwecker, Patricia</t>
  </si>
  <si>
    <t>Scheder, Frank</t>
  </si>
  <si>
    <t>Scheinert, Steve</t>
  </si>
  <si>
    <t>Schenk, John</t>
  </si>
  <si>
    <t>Scherek, Paula</t>
  </si>
  <si>
    <t>Scherer, Matthew</t>
  </si>
  <si>
    <t>Schewe, Craig</t>
  </si>
  <si>
    <t>Schibly, Anne</t>
  </si>
  <si>
    <t>Schifferli, Vicki</t>
  </si>
  <si>
    <t>Schiller, Catherine</t>
  </si>
  <si>
    <t>Schilling, Kimberly</t>
  </si>
  <si>
    <t>Schimmel, Brad</t>
  </si>
  <si>
    <t>Schlecht, Mark</t>
  </si>
  <si>
    <t>Schleck, Kurt</t>
  </si>
  <si>
    <t>Schless, Michael</t>
  </si>
  <si>
    <t>Schlicht, William</t>
  </si>
  <si>
    <t>Schmickley, John</t>
  </si>
  <si>
    <t>Schmid, William</t>
  </si>
  <si>
    <t>Schmidt, Charles</t>
  </si>
  <si>
    <t>Schmidt, Danita</t>
  </si>
  <si>
    <t>Schmidt, Mary e</t>
  </si>
  <si>
    <t>Schmidt, Matthew</t>
  </si>
  <si>
    <t>Schmidt, Scott</t>
  </si>
  <si>
    <t>Schmidt, Steven</t>
  </si>
  <si>
    <t>Schmitz, John</t>
  </si>
  <si>
    <t>Schneckloth, Sophia</t>
  </si>
  <si>
    <t>Schneider, David</t>
  </si>
  <si>
    <t>Schneider, Evan</t>
  </si>
  <si>
    <t>Schneider, Raymond</t>
  </si>
  <si>
    <t>Schneider, Thomas</t>
  </si>
  <si>
    <t>Schoemehl, John</t>
  </si>
  <si>
    <t>Schoenecker, Donna</t>
  </si>
  <si>
    <t>Schoeni, Carol</t>
  </si>
  <si>
    <t>Schofield, Kimberly</t>
  </si>
  <si>
    <t>Schollsmith, Maria</t>
  </si>
  <si>
    <t>Schoonmaker, James</t>
  </si>
  <si>
    <t>Schoonover, Emily</t>
  </si>
  <si>
    <t>Schreckenhofer, Jay</t>
  </si>
  <si>
    <t>Schroeck, Debra</t>
  </si>
  <si>
    <t>Schroeder, Jill</t>
  </si>
  <si>
    <t>Schroeder, Mark</t>
  </si>
  <si>
    <t>Schroeder, Peter</t>
  </si>
  <si>
    <t>Schroeder, Sara</t>
  </si>
  <si>
    <t>Schroeder, Thomas</t>
  </si>
  <si>
    <t>Schuller, Joseph</t>
  </si>
  <si>
    <t>Schultz, Andrea</t>
  </si>
  <si>
    <t>Schultz, Christopher</t>
  </si>
  <si>
    <t>Schultz, Jason</t>
  </si>
  <si>
    <t>Schultz, Jeff</t>
  </si>
  <si>
    <t>Schultz, Neil</t>
  </si>
  <si>
    <t>Schultzhowell, Leslie</t>
  </si>
  <si>
    <t>Schumacher, Dana</t>
  </si>
  <si>
    <t>Schumer, Kathleen</t>
  </si>
  <si>
    <t>Schuyler, Juana</t>
  </si>
  <si>
    <t>Schwalb, Theodore</t>
  </si>
  <si>
    <t>Schwallie, Terry</t>
  </si>
  <si>
    <t>Schwanke, Carrie</t>
  </si>
  <si>
    <t>Schwartz, Maryanne</t>
  </si>
  <si>
    <t>Schwartz, Michael</t>
  </si>
  <si>
    <t>Schwartz, Sarah</t>
  </si>
  <si>
    <t>Schwartz, Scott</t>
  </si>
  <si>
    <t>Schwarzendruber, Gregory</t>
  </si>
  <si>
    <t>Schweer, John</t>
  </si>
  <si>
    <t>Scibek, Edward</t>
  </si>
  <si>
    <t>Scorey, Corinne</t>
  </si>
  <si>
    <t>Scott, April</t>
  </si>
  <si>
    <t>Scott, Arthur</t>
  </si>
  <si>
    <t>Scott, Clemmie</t>
  </si>
  <si>
    <t>Scott, Gary</t>
  </si>
  <si>
    <t>Scott, Hugh</t>
  </si>
  <si>
    <t>Scott, Jeff</t>
  </si>
  <si>
    <t>Scott, Mark</t>
  </si>
  <si>
    <t>Scott, Mary</t>
  </si>
  <si>
    <t>Scott, Robert</t>
  </si>
  <si>
    <t>Scott, Rodney</t>
  </si>
  <si>
    <t>Scott, Roger</t>
  </si>
  <si>
    <t>Scott, Sheryl</t>
  </si>
  <si>
    <t>Scott, Todd</t>
  </si>
  <si>
    <t>Scourten, Gilbert</t>
  </si>
  <si>
    <t>Scribner, Allison</t>
  </si>
  <si>
    <t>Scrivani, Nicholas</t>
  </si>
  <si>
    <t>Scully, Brant</t>
  </si>
  <si>
    <t>Scutaro, Mariellen</t>
  </si>
  <si>
    <t>Seabrook, Pamela</t>
  </si>
  <si>
    <t>Seal, Anthony</t>
  </si>
  <si>
    <t>Seals, Cynthia</t>
  </si>
  <si>
    <t>Searles, Richard</t>
  </si>
  <si>
    <t>Seawright, James</t>
  </si>
  <si>
    <t>Sechrist, Charles</t>
  </si>
  <si>
    <t>Sedlack, Robert</t>
  </si>
  <si>
    <t>Seech, Mark</t>
  </si>
  <si>
    <t>Segars, Scott</t>
  </si>
  <si>
    <t>Segovia, Jim</t>
  </si>
  <si>
    <t>Seidel, Denise</t>
  </si>
  <si>
    <t>Seidel, Linda</t>
  </si>
  <si>
    <t>Seidel, Peter</t>
  </si>
  <si>
    <t>Seifert, Brian</t>
  </si>
  <si>
    <t>Seifried, Paul</t>
  </si>
  <si>
    <t>Seils, Diane</t>
  </si>
  <si>
    <t>Sekach, Carrie</t>
  </si>
  <si>
    <t>Self, Stephen</t>
  </si>
  <si>
    <t>Sellers, J</t>
  </si>
  <si>
    <t>Sellers, Ryan</t>
  </si>
  <si>
    <t>Semans, Edwin</t>
  </si>
  <si>
    <t>Semple, Maryellen</t>
  </si>
  <si>
    <t>Senarikova, Zuzana</t>
  </si>
  <si>
    <t>Serafin, Jacqueline</t>
  </si>
  <si>
    <t>Serafin, Joanna</t>
  </si>
  <si>
    <t>Sergesketter, Stephen</t>
  </si>
  <si>
    <t>Sermersheim, David</t>
  </si>
  <si>
    <t>Serpico, Anthony</t>
  </si>
  <si>
    <t>Serpico, Thomas</t>
  </si>
  <si>
    <t>Serrano, O.</t>
  </si>
  <si>
    <t>Setterington, Christina</t>
  </si>
  <si>
    <t>Settles, Lanina</t>
  </si>
  <si>
    <t>Severe, David</t>
  </si>
  <si>
    <t>Severin, Wendy</t>
  </si>
  <si>
    <t>Sevos, Gregory</t>
  </si>
  <si>
    <t>Sewell, Jonathan</t>
  </si>
  <si>
    <t>Seybert, Grant</t>
  </si>
  <si>
    <t>Shackleford, Charlie</t>
  </si>
  <si>
    <t>Shadden, Teresa</t>
  </si>
  <si>
    <t>Shadrick, Laura</t>
  </si>
  <si>
    <t>Shaeffer, Russell</t>
  </si>
  <si>
    <t>Shafer, Ernst</t>
  </si>
  <si>
    <t>Shafer, John</t>
  </si>
  <si>
    <t>Shafer, Stephanie</t>
  </si>
  <si>
    <t>Shaffer, Christine</t>
  </si>
  <si>
    <t>Shah, Ahsan</t>
  </si>
  <si>
    <t>Shah, Milind</t>
  </si>
  <si>
    <t>Shah, Uzma</t>
  </si>
  <si>
    <t>Shahandeh, Shahdad</t>
  </si>
  <si>
    <t>Shank, Gregory</t>
  </si>
  <si>
    <t>Shanks, Walter</t>
  </si>
  <si>
    <t>Sharma, Vikram</t>
  </si>
  <si>
    <t>Sharma, Vishal</t>
  </si>
  <si>
    <t>Sharp, Robert</t>
  </si>
  <si>
    <t>Sharp, Toni</t>
  </si>
  <si>
    <t>Sharpe, Grady</t>
  </si>
  <si>
    <t>Sharpe, Michael</t>
  </si>
  <si>
    <t>Sharpton, Steven</t>
  </si>
  <si>
    <t>Shatzen, Martha</t>
  </si>
  <si>
    <t>Shaw, Barton</t>
  </si>
  <si>
    <t>Shaw, Irina</t>
  </si>
  <si>
    <t>Shaw, Kara</t>
  </si>
  <si>
    <t>Shaw, Susan</t>
  </si>
  <si>
    <t>Shaw, Tanya</t>
  </si>
  <si>
    <t>Shea, Robert</t>
  </si>
  <si>
    <t>Sheahan, Martin</t>
  </si>
  <si>
    <t>Sheddrick, Glenn</t>
  </si>
  <si>
    <t>Sheehan, Michael</t>
  </si>
  <si>
    <t>Sheehan, Paul</t>
  </si>
  <si>
    <t>Shegda, Robert</t>
  </si>
  <si>
    <t>Shelby, Roxanne</t>
  </si>
  <si>
    <t>Sheldon, Richard</t>
  </si>
  <si>
    <t>Shelley, Malcolm</t>
  </si>
  <si>
    <t>Shelton, John</t>
  </si>
  <si>
    <t>Shelton, Juanita</t>
  </si>
  <si>
    <t>Shepard, Brad</t>
  </si>
  <si>
    <t>Sheridan, Julie</t>
  </si>
  <si>
    <t>Sherl, Brent</t>
  </si>
  <si>
    <t>Sherman, Andrew</t>
  </si>
  <si>
    <t>Sherry, Christianne</t>
  </si>
  <si>
    <t>Shi, Jun</t>
  </si>
  <si>
    <t>Shier, Summir</t>
  </si>
  <si>
    <t>Shilo, Phyllis</t>
  </si>
  <si>
    <t>Shimada, Reiko</t>
  </si>
  <si>
    <t>Shinault, Dwayne</t>
  </si>
  <si>
    <t>Shine, Glenn</t>
  </si>
  <si>
    <t>Shipley, Larry</t>
  </si>
  <si>
    <t>Shires, Kenneth</t>
  </si>
  <si>
    <t>Shively, Jason</t>
  </si>
  <si>
    <t>Shneyder, Lynn</t>
  </si>
  <si>
    <t>Shobe, Heidi</t>
  </si>
  <si>
    <t>Shoemaker, Brent</t>
  </si>
  <si>
    <t>Shoemaker, Valeri</t>
  </si>
  <si>
    <t>Short, Daniel</t>
  </si>
  <si>
    <t>Short, Nelvin</t>
  </si>
  <si>
    <t>Shortal, Bradley</t>
  </si>
  <si>
    <t>Shortes, Alan</t>
  </si>
  <si>
    <t>Shortmeyer, Scott</t>
  </si>
  <si>
    <t>Shorts, Ronald</t>
  </si>
  <si>
    <t>Showalter, Kendal</t>
  </si>
  <si>
    <t>Shreck, Lori</t>
  </si>
  <si>
    <t>Shriber, Stephen</t>
  </si>
  <si>
    <t>Shull, Elizabeth</t>
  </si>
  <si>
    <t>Shum, Siu</t>
  </si>
  <si>
    <t>Sickles, Richard</t>
  </si>
  <si>
    <t>Siddall, Beth</t>
  </si>
  <si>
    <t>Sides, Austin</t>
  </si>
  <si>
    <t>Sidote, Cheryl</t>
  </si>
  <si>
    <t>Siegel, David</t>
  </si>
  <si>
    <t>Siemon, Wandadenice</t>
  </si>
  <si>
    <t>Sienkiewicz, Lori</t>
  </si>
  <si>
    <t>Sierlecki, Jacquelyn</t>
  </si>
  <si>
    <t>Sifford, Brian</t>
  </si>
  <si>
    <t>Sigler, Roxanna</t>
  </si>
  <si>
    <t>Siko, Sherri</t>
  </si>
  <si>
    <t>Silberstein, Barry</t>
  </si>
  <si>
    <t>Siler, T</t>
  </si>
  <si>
    <t>Sill, Reanna</t>
  </si>
  <si>
    <t>Silveira, Jorge</t>
  </si>
  <si>
    <t>Silver, Salome</t>
  </si>
  <si>
    <t>Silverman, Stefan</t>
  </si>
  <si>
    <t>Silvester, Robert</t>
  </si>
  <si>
    <t>Silvestri, Nancy</t>
  </si>
  <si>
    <t>Silvia, Mieki</t>
  </si>
  <si>
    <t>Siminski, Kevin</t>
  </si>
  <si>
    <t>Simmonds, Alan</t>
  </si>
  <si>
    <t>Simmons, David</t>
  </si>
  <si>
    <t>Simmons, Joshua</t>
  </si>
  <si>
    <t>Simmons, Lincoln</t>
  </si>
  <si>
    <t>Simmons, Lynn</t>
  </si>
  <si>
    <t>Simmons, Mac</t>
  </si>
  <si>
    <t>Simmons, Phyllis</t>
  </si>
  <si>
    <t>Simms, Adrienne</t>
  </si>
  <si>
    <t>Simms, Wayne</t>
  </si>
  <si>
    <t>Simon, Hans</t>
  </si>
  <si>
    <t>Simon, Luke</t>
  </si>
  <si>
    <t>Simons, Andrew</t>
  </si>
  <si>
    <t>Simonton, Jennifer</t>
  </si>
  <si>
    <t>Simosik, Tedor</t>
  </si>
  <si>
    <t>Simpson, Robert</t>
  </si>
  <si>
    <t>Simpson, Valerie</t>
  </si>
  <si>
    <t>Sinacori, Michael</t>
  </si>
  <si>
    <t>Singer, Daniel</t>
  </si>
  <si>
    <t>Singer, Timothy</t>
  </si>
  <si>
    <t>Singh, Shyam</t>
  </si>
  <si>
    <t>Singleton, Carole</t>
  </si>
  <si>
    <t>Singleton, Gary</t>
  </si>
  <si>
    <t>Singleton, Hugh</t>
  </si>
  <si>
    <t>Sinnott, Chris</t>
  </si>
  <si>
    <t>Sirianni, Mark</t>
  </si>
  <si>
    <t>Sisk, Julie</t>
  </si>
  <si>
    <t>Sismilich, David</t>
  </si>
  <si>
    <t>Sizemore, Steven</t>
  </si>
  <si>
    <t>Sizemore, Summer</t>
  </si>
  <si>
    <t>Skaggs, Anthony</t>
  </si>
  <si>
    <t>Skelton, Jesse</t>
  </si>
  <si>
    <t>Skidmore, Jeffrey</t>
  </si>
  <si>
    <t>Skidmore, Leigh</t>
  </si>
  <si>
    <t>Skiles, Doreen</t>
  </si>
  <si>
    <t>Sklavounos, John</t>
  </si>
  <si>
    <t>Skobe, Kathleen</t>
  </si>
  <si>
    <t>Skrobanski, Zygmunt</t>
  </si>
  <si>
    <t>Slager, Marlene</t>
  </si>
  <si>
    <t>Slaman, Raymond</t>
  </si>
  <si>
    <t>Slater, Dan</t>
  </si>
  <si>
    <t>Slater, Jennifer</t>
  </si>
  <si>
    <t>Slater, John</t>
  </si>
  <si>
    <t>Slating, Nicole</t>
  </si>
  <si>
    <t>Slavetsy, Paul</t>
  </si>
  <si>
    <t>Slavick, Frank</t>
  </si>
  <si>
    <t>Sleeper, Orin</t>
  </si>
  <si>
    <t>Slider, Robert</t>
  </si>
  <si>
    <t>Sloan, Eric</t>
  </si>
  <si>
    <t>Sloan, Scott</t>
  </si>
  <si>
    <t>Sluis, Michelle</t>
  </si>
  <si>
    <t>Small, David</t>
  </si>
  <si>
    <t>Smeltink, Erwin</t>
  </si>
  <si>
    <t>Smiljanic, Simone</t>
  </si>
  <si>
    <t>Smisek, Robert</t>
  </si>
  <si>
    <t>Smith, Adrian</t>
  </si>
  <si>
    <t>Smith, Benjamin</t>
  </si>
  <si>
    <t>Smith, Bernard</t>
  </si>
  <si>
    <t>Smith, Brian</t>
  </si>
  <si>
    <t>Smith, C.</t>
  </si>
  <si>
    <t>Smith, Crystal</t>
  </si>
  <si>
    <t>Smith, Dale</t>
  </si>
  <si>
    <t>Smith, David</t>
  </si>
  <si>
    <t>Smith, Deborah</t>
  </si>
  <si>
    <t>Smith, Denise</t>
  </si>
  <si>
    <t>Smith, Frieda</t>
  </si>
  <si>
    <t>Smith, Gary</t>
  </si>
  <si>
    <t>Smith, Gregory</t>
  </si>
  <si>
    <t>Smith, Jerry</t>
  </si>
  <si>
    <t>Smith, Jessica</t>
  </si>
  <si>
    <t>Smith, Jo Ellen</t>
  </si>
  <si>
    <t>Smith, John</t>
  </si>
  <si>
    <t>Smith, Jonathan</t>
  </si>
  <si>
    <t>Smith, Keith</t>
  </si>
  <si>
    <t>Smith, Kevin</t>
  </si>
  <si>
    <t>Smith, Leslie</t>
  </si>
  <si>
    <t>Smith, Lori</t>
  </si>
  <si>
    <t>Smith, Luray A</t>
  </si>
  <si>
    <t>Smith, Lynn</t>
  </si>
  <si>
    <t>Smith, Michael</t>
  </si>
  <si>
    <t>Smith, Odessa</t>
  </si>
  <si>
    <t>Smith, Omar</t>
  </si>
  <si>
    <t>Smith, Patricia</t>
  </si>
  <si>
    <t>Smith, Paul</t>
  </si>
  <si>
    <t>Smith, Preston</t>
  </si>
  <si>
    <t>Smith, Raymondg</t>
  </si>
  <si>
    <t>Smith, Richard</t>
  </si>
  <si>
    <t>Smith, Robert</t>
  </si>
  <si>
    <t>Smith, Samuel</t>
  </si>
  <si>
    <t>Smith, Scott</t>
  </si>
  <si>
    <t>Smith, Shawn</t>
  </si>
  <si>
    <t>Smith, Stephen</t>
  </si>
  <si>
    <t>Smith, Steve</t>
  </si>
  <si>
    <t>Smith, Steven</t>
  </si>
  <si>
    <t>Smith, Tamara</t>
  </si>
  <si>
    <t>Smith, Thomas</t>
  </si>
  <si>
    <t>Smith, Thurl</t>
  </si>
  <si>
    <t>Smith, Travis</t>
  </si>
  <si>
    <t>Smolen, Michael</t>
  </si>
  <si>
    <t>Smosky, Kevin</t>
  </si>
  <si>
    <t>Smout, Ronald</t>
  </si>
  <si>
    <t>Smoyer, Michael</t>
  </si>
  <si>
    <t>Smuda, Michael</t>
  </si>
  <si>
    <t>Smullen, Ken</t>
  </si>
  <si>
    <t>Smyth, Andrew</t>
  </si>
  <si>
    <t>Smyth, Steven</t>
  </si>
  <si>
    <t>Snead, Kevin</t>
  </si>
  <si>
    <t>Snedegar, John</t>
  </si>
  <si>
    <t>Snisky, Jennifer</t>
  </si>
  <si>
    <t>Snodgrass, Kenneth</t>
  </si>
  <si>
    <t>Snoga, Jennifer</t>
  </si>
  <si>
    <t>Snow, Aaron</t>
  </si>
  <si>
    <t>Snowden, Sharon</t>
  </si>
  <si>
    <t>Snyder, Douglas</t>
  </si>
  <si>
    <t>Snyder, Eric</t>
  </si>
  <si>
    <t>Snyder, Evette</t>
  </si>
  <si>
    <t>Snyder, Gregory</t>
  </si>
  <si>
    <t>Snyder, Kenneth</t>
  </si>
  <si>
    <t>Snyder, Thomas</t>
  </si>
  <si>
    <t>Soares, Jeffrey</t>
  </si>
  <si>
    <t>Sobieraj, Jeffrey</t>
  </si>
  <si>
    <t>Socia, Todd</t>
  </si>
  <si>
    <t>Soderberg, Hakan</t>
  </si>
  <si>
    <t>Sogar, Steven</t>
  </si>
  <si>
    <t>Soik, Catherine</t>
  </si>
  <si>
    <t>Solberg, Richard</t>
  </si>
  <si>
    <t>Solomos, James</t>
  </si>
  <si>
    <t>Song, John</t>
  </si>
  <si>
    <t>Sonnenberg, Paul</t>
  </si>
  <si>
    <t>Sonntag, Eric</t>
  </si>
  <si>
    <t>Sorensen, Matthew</t>
  </si>
  <si>
    <t>Sorra, Nimrod</t>
  </si>
  <si>
    <t>Sorrentino, Gabriela</t>
  </si>
  <si>
    <t>Sosa, Paul</t>
  </si>
  <si>
    <t>Soto, Cleofas</t>
  </si>
  <si>
    <t>Southard, Bill</t>
  </si>
  <si>
    <t>Southworth, Shawn</t>
  </si>
  <si>
    <t>Soya, Hideaki</t>
  </si>
  <si>
    <t>Spadafore Bell, Sandra</t>
  </si>
  <si>
    <t>Spahn, Gary</t>
  </si>
  <si>
    <t>Spain, Charles</t>
  </si>
  <si>
    <t>Spano, Craig</t>
  </si>
  <si>
    <t>Sparks, Jeff</t>
  </si>
  <si>
    <t>Spears, Carrie</t>
  </si>
  <si>
    <t>Spears, Linda</t>
  </si>
  <si>
    <t>Speca, Steven</t>
  </si>
  <si>
    <t>Specht, Ashley</t>
  </si>
  <si>
    <t>Speckman, Kara</t>
  </si>
  <si>
    <t>Speer, Yolanda</t>
  </si>
  <si>
    <t>Spell, Michael</t>
  </si>
  <si>
    <t>Spence, Richard</t>
  </si>
  <si>
    <t>Spencer, David</t>
  </si>
  <si>
    <t>Spencer, Deborah</t>
  </si>
  <si>
    <t>Spencer, Sherry</t>
  </si>
  <si>
    <t>Spengel, Mark</t>
  </si>
  <si>
    <t>Spensley, Gerard</t>
  </si>
  <si>
    <t>Sperring, Daniel</t>
  </si>
  <si>
    <t>Spica, Matthew</t>
  </si>
  <si>
    <t>Spicer, Dan</t>
  </si>
  <si>
    <t>Spicer, James</t>
  </si>
  <si>
    <t>Spickler, Anthony</t>
  </si>
  <si>
    <t>Spiegel, Earl</t>
  </si>
  <si>
    <t>Spiegel, Juliann</t>
  </si>
  <si>
    <t>Spies, William</t>
  </si>
  <si>
    <t>Spillerman, Chad</t>
  </si>
  <si>
    <t>Spitzer, David</t>
  </si>
  <si>
    <t>Splawn, Audrey</t>
  </si>
  <si>
    <t>Spoelma, Scott</t>
  </si>
  <si>
    <t>Spoelma, Todd</t>
  </si>
  <si>
    <t>Spooner, April</t>
  </si>
  <si>
    <t>Spragg, Frances</t>
  </si>
  <si>
    <t>Spray, Philip</t>
  </si>
  <si>
    <t>Spriggs, Kevin</t>
  </si>
  <si>
    <t>Springer, Bradley</t>
  </si>
  <si>
    <t>Sprissler, Steven</t>
  </si>
  <si>
    <t>Sprotte, Patti</t>
  </si>
  <si>
    <t>Spurlock, Erik</t>
  </si>
  <si>
    <t>Srinivasan, Uma</t>
  </si>
  <si>
    <t>St Claire, Dana</t>
  </si>
  <si>
    <t>Staab, Joan</t>
  </si>
  <si>
    <t>Staccia, Dawn-Marie</t>
  </si>
  <si>
    <t>Stachova, Lenka</t>
  </si>
  <si>
    <t>Stack, Loleeta</t>
  </si>
  <si>
    <t>Stafford, Carly</t>
  </si>
  <si>
    <t>Stafford, Dwayne</t>
  </si>
  <si>
    <t>Stafford, Matt</t>
  </si>
  <si>
    <t>Stai, Michael</t>
  </si>
  <si>
    <t>Staller, Brian</t>
  </si>
  <si>
    <t>Stallman, William</t>
  </si>
  <si>
    <t>Stamaria, Carlito</t>
  </si>
  <si>
    <t>Stanczyk-Brown, Donna</t>
  </si>
  <si>
    <t>Standard, Kevin</t>
  </si>
  <si>
    <t>Standfield, Conn</t>
  </si>
  <si>
    <t>Standriff, Robert</t>
  </si>
  <si>
    <t>Stango, Joel</t>
  </si>
  <si>
    <t>Stanley, Ronald</t>
  </si>
  <si>
    <t>Stansell, Charles</t>
  </si>
  <si>
    <t>Stark, Chad</t>
  </si>
  <si>
    <t>Starkand, Mark</t>
  </si>
  <si>
    <t>Stathis, Dennis</t>
  </si>
  <si>
    <t>Stauffer, Laura</t>
  </si>
  <si>
    <t>Stauffer, Randall</t>
  </si>
  <si>
    <t>Steck, Albert</t>
  </si>
  <si>
    <t>Stednitz, Martin</t>
  </si>
  <si>
    <t>Steele, Dawn</t>
  </si>
  <si>
    <t>Steele, Deborah</t>
  </si>
  <si>
    <t>Steele, Ronald</t>
  </si>
  <si>
    <t>Steele, Tobie</t>
  </si>
  <si>
    <t>Stefani, Leslie</t>
  </si>
  <si>
    <t>Steffens, Robert</t>
  </si>
  <si>
    <t>Steffensen, Paul</t>
  </si>
  <si>
    <t>Steffes, Barbara</t>
  </si>
  <si>
    <t>Stefke, Lisa</t>
  </si>
  <si>
    <t>Steggell, Mark</t>
  </si>
  <si>
    <t>Stein, Kurt</t>
  </si>
  <si>
    <t>Stein, Michael</t>
  </si>
  <si>
    <t>Steindler, Thomas</t>
  </si>
  <si>
    <t>Steiner, Carol</t>
  </si>
  <si>
    <t>Steiner, Joseph</t>
  </si>
  <si>
    <t>Steinerova, Sona</t>
  </si>
  <si>
    <t>Steinert, Scott</t>
  </si>
  <si>
    <t>Steinle, Rebecca</t>
  </si>
  <si>
    <t>Steinmetz, Jim</t>
  </si>
  <si>
    <t>Stelzer, Tammy</t>
  </si>
  <si>
    <t>Stence, Beth</t>
  </si>
  <si>
    <t>Stencel, Laurie</t>
  </si>
  <si>
    <t>Stenzig, Wolfgang</t>
  </si>
  <si>
    <t>Stephens, Erin</t>
  </si>
  <si>
    <t>Stephens, Justin</t>
  </si>
  <si>
    <t>Stephenson, Blair</t>
  </si>
  <si>
    <t>Stern, David</t>
  </si>
  <si>
    <t>Sterzinar, John</t>
  </si>
  <si>
    <t>Stevens, Craig</t>
  </si>
  <si>
    <t>Stevens, Dalene</t>
  </si>
  <si>
    <t>Stevens, Marciav</t>
  </si>
  <si>
    <t>Stevens, Matthew</t>
  </si>
  <si>
    <t>Stevens, Rhonda</t>
  </si>
  <si>
    <t>Stevens, Terry</t>
  </si>
  <si>
    <t>Stevens, Tom</t>
  </si>
  <si>
    <t>Stevens, Zhawn</t>
  </si>
  <si>
    <t>Stevenson, David</t>
  </si>
  <si>
    <t>Stevenson, John</t>
  </si>
  <si>
    <t>Steward, Robert</t>
  </si>
  <si>
    <t>Stewart, Austin</t>
  </si>
  <si>
    <t>Stewart, Gary</t>
  </si>
  <si>
    <t>Stewart, Ian</t>
  </si>
  <si>
    <t>Stewart, Linda</t>
  </si>
  <si>
    <t>Stewart, Shane</t>
  </si>
  <si>
    <t>Sthill, Shaun</t>
  </si>
  <si>
    <t>Stickels, James</t>
  </si>
  <si>
    <t>Stinchcomb, Janetmarie</t>
  </si>
  <si>
    <t>Stipe, Patricia</t>
  </si>
  <si>
    <t>Stivers, Brent</t>
  </si>
  <si>
    <t>Stivers, Clayton</t>
  </si>
  <si>
    <t>Stobbe, Owen</t>
  </si>
  <si>
    <t>Stock, David</t>
  </si>
  <si>
    <t>Stockler, Andrew</t>
  </si>
  <si>
    <t>Stockman, William</t>
  </si>
  <si>
    <t>Stockwell, Christopher</t>
  </si>
  <si>
    <t>Stocum, Leo</t>
  </si>
  <si>
    <t>Stofer, Karlheinz</t>
  </si>
  <si>
    <t>Stojanowski, Robert</t>
  </si>
  <si>
    <t>Stokes, B</t>
  </si>
  <si>
    <t>Stokes, Catherine</t>
  </si>
  <si>
    <t>Stokes, Michael</t>
  </si>
  <si>
    <t>Stone, John</t>
  </si>
  <si>
    <t>Stone, Joseaf</t>
  </si>
  <si>
    <t>Stone, Walter</t>
  </si>
  <si>
    <t>Stone, Yvonne</t>
  </si>
  <si>
    <t>Stoppa, Simona</t>
  </si>
  <si>
    <t>Storkel, Victor</t>
  </si>
  <si>
    <t>Story, Colleen</t>
  </si>
  <si>
    <t>Stovall, Alex</t>
  </si>
  <si>
    <t>Strange, Jackie</t>
  </si>
  <si>
    <t>Strange, John</t>
  </si>
  <si>
    <t>Strasser, Eric</t>
  </si>
  <si>
    <t>Stratton, Kenny</t>
  </si>
  <si>
    <t>Stratton, Michael</t>
  </si>
  <si>
    <t>Strauss, William</t>
  </si>
  <si>
    <t>Streapy, Lisa</t>
  </si>
  <si>
    <t>Street, Donald</t>
  </si>
  <si>
    <t>Stricker, Eric</t>
  </si>
  <si>
    <t>Strickland, Delynne</t>
  </si>
  <si>
    <t>Strickland, Michael</t>
  </si>
  <si>
    <t>Strickland, Neill</t>
  </si>
  <si>
    <t>Strickland, Richard</t>
  </si>
  <si>
    <t>Strieter, Brent</t>
  </si>
  <si>
    <t>Strobel, William</t>
  </si>
  <si>
    <t>Strom, Michael</t>
  </si>
  <si>
    <t>Stroud, Michael</t>
  </si>
  <si>
    <t>Stuart hill, Bruce</t>
  </si>
  <si>
    <t>Stuber, Tracy</t>
  </si>
  <si>
    <t>Stuckey, James</t>
  </si>
  <si>
    <t>Stuckey, Jeff</t>
  </si>
  <si>
    <t>Stuewe, Michelle</t>
  </si>
  <si>
    <t>Stultz, Robert</t>
  </si>
  <si>
    <t>Stuntz, William</t>
  </si>
  <si>
    <t>Su, Jing</t>
  </si>
  <si>
    <t>Su, Sue</t>
  </si>
  <si>
    <t>Sugrue, Saundra</t>
  </si>
  <si>
    <t>Suhling, Douglas</t>
  </si>
  <si>
    <t>Sullins, Scott</t>
  </si>
  <si>
    <t>Sullivan, Charles</t>
  </si>
  <si>
    <t>Sullivan, David</t>
  </si>
  <si>
    <t>Sullivan, Jesse</t>
  </si>
  <si>
    <t>Sullivan, Joyce</t>
  </si>
  <si>
    <t>Sullivan, Kathleen</t>
  </si>
  <si>
    <t>Sullivan, Patrick</t>
  </si>
  <si>
    <t>Sullivan, Ray</t>
  </si>
  <si>
    <t>Sullivan, Richard</t>
  </si>
  <si>
    <t>Sullivan, Stephen</t>
  </si>
  <si>
    <t>Sulprizio, Dana</t>
  </si>
  <si>
    <t>Summerall, Steve</t>
  </si>
  <si>
    <t>Summers, Stephen</t>
  </si>
  <si>
    <t>Summins, Nicole</t>
  </si>
  <si>
    <t>Sumner, Jared</t>
  </si>
  <si>
    <t>Sundberg, Dan</t>
  </si>
  <si>
    <t>Surber, Andrew</t>
  </si>
  <si>
    <t>Surdukowski, Wendell</t>
  </si>
  <si>
    <t>Surman, Janis</t>
  </si>
  <si>
    <t>Surrusco, Christopher</t>
  </si>
  <si>
    <t>Sutherland, Amanda</t>
  </si>
  <si>
    <t>Sutter, James</t>
  </si>
  <si>
    <t>Sutton, Billy</t>
  </si>
  <si>
    <t>Sutton, Kathy</t>
  </si>
  <si>
    <t>Sutton, Mary</t>
  </si>
  <si>
    <t>Sutton, Pamela</t>
  </si>
  <si>
    <t>Sutton, Sandra</t>
  </si>
  <si>
    <t>Suzuki, Hideaki</t>
  </si>
  <si>
    <t>Suzuki, Hiroyuki</t>
  </si>
  <si>
    <t>Suzuki, Mao</t>
  </si>
  <si>
    <t>Swab, James</t>
  </si>
  <si>
    <t>Swann, Rodney</t>
  </si>
  <si>
    <t>Swanson, Katherine</t>
  </si>
  <si>
    <t>Swart, Matthew</t>
  </si>
  <si>
    <t>Swartz, Bruce</t>
  </si>
  <si>
    <t>Sweeney, Dianna</t>
  </si>
  <si>
    <t>Sweeney, James</t>
  </si>
  <si>
    <t>Swett, Mary</t>
  </si>
  <si>
    <t>Swiderski, Edward</t>
  </si>
  <si>
    <t>Swift, Carla</t>
  </si>
  <si>
    <t>Swift, Kelly</t>
  </si>
  <si>
    <t>Swilley, Jessica</t>
  </si>
  <si>
    <t>Swindell, Jonathan</t>
  </si>
  <si>
    <t>Switzer, Brian</t>
  </si>
  <si>
    <t>Switzer, Paul</t>
  </si>
  <si>
    <t>Sykes, Lane</t>
  </si>
  <si>
    <t>Sylvester, Elaine</t>
  </si>
  <si>
    <t>Sylvester, Shirley</t>
  </si>
  <si>
    <t>Syrios, James</t>
  </si>
  <si>
    <t>Szeglin, Michele</t>
  </si>
  <si>
    <t>Szewczyk, Kleber</t>
  </si>
  <si>
    <t>Taake, Brenda</t>
  </si>
  <si>
    <t>Tabor, Randall</t>
  </si>
  <si>
    <t>Taefy, Jeffrey</t>
  </si>
  <si>
    <t>Taefy, Jeffrey Jamal</t>
  </si>
  <si>
    <t>Tafelski, James</t>
  </si>
  <si>
    <t>Tahbaz, Mohammad</t>
  </si>
  <si>
    <t>Tai, Hooi seng</t>
  </si>
  <si>
    <t>Takacs, Claudia</t>
  </si>
  <si>
    <t>Takeda, Kiyohiro</t>
  </si>
  <si>
    <t>Takeuchi, Akiko</t>
  </si>
  <si>
    <t>Talley, Pauline</t>
  </si>
  <si>
    <t>Talley, Sean</t>
  </si>
  <si>
    <t>Talwar, Rohit</t>
  </si>
  <si>
    <t>Tam, Benjamin</t>
  </si>
  <si>
    <t>Tamura, Hiroaki</t>
  </si>
  <si>
    <t>Tan, Hui</t>
  </si>
  <si>
    <t>Tan, Jon</t>
  </si>
  <si>
    <t>Tan, Ke Wei</t>
  </si>
  <si>
    <t>Tanachaisang, Sanchai</t>
  </si>
  <si>
    <t>Tanamachi, Rodney</t>
  </si>
  <si>
    <t>Tang, Charles</t>
  </si>
  <si>
    <t>Tang, Tony</t>
  </si>
  <si>
    <t>Tanksley, Nancy</t>
  </si>
  <si>
    <t>Tannehill, Ernie</t>
  </si>
  <si>
    <t>Tanner, Connie</t>
  </si>
  <si>
    <t>Tappe, Mark</t>
  </si>
  <si>
    <t>Tarasi, Ray</t>
  </si>
  <si>
    <t>Taravella, Louis</t>
  </si>
  <si>
    <t>Tarrant, Carl</t>
  </si>
  <si>
    <t>Tate, Paul</t>
  </si>
  <si>
    <t>Tatro, Gerry</t>
  </si>
  <si>
    <t>Taylor, Beverly</t>
  </si>
  <si>
    <t>Taylor, Cathy</t>
  </si>
  <si>
    <t>Taylor, Ellen</t>
  </si>
  <si>
    <t>Taylor, Eugene</t>
  </si>
  <si>
    <t>Taylor, James</t>
  </si>
  <si>
    <t>Taylor, Jan</t>
  </si>
  <si>
    <t>Taylor, Johnny</t>
  </si>
  <si>
    <t>Taylor, Jordan</t>
  </si>
  <si>
    <t>Taylor, Kristian</t>
  </si>
  <si>
    <t>Taylor, Mickly</t>
  </si>
  <si>
    <t>Taylor, Patricia</t>
  </si>
  <si>
    <t>Taylor, Robert</t>
  </si>
  <si>
    <t>Taylor, Stacey</t>
  </si>
  <si>
    <t>Taylor, Ted</t>
  </si>
  <si>
    <t>Taylor, Valarie</t>
  </si>
  <si>
    <t>Teater, Andrew</t>
  </si>
  <si>
    <t>Tedone, Joseph</t>
  </si>
  <si>
    <t>Teferi, Asqual</t>
  </si>
  <si>
    <t>Teitelbaum, Mark</t>
  </si>
  <si>
    <t>Tempesta, Gastone</t>
  </si>
  <si>
    <t>Templar, Robert</t>
  </si>
  <si>
    <t>Temple, Gretchen</t>
  </si>
  <si>
    <t>Temple, Ricky</t>
  </si>
  <si>
    <t>Tennant, Rosemary</t>
  </si>
  <si>
    <t>Tennison, Joan</t>
  </si>
  <si>
    <t>Terrazas, Joseph</t>
  </si>
  <si>
    <t>Terrell, Grant</t>
  </si>
  <si>
    <t>Terrell, Robert</t>
  </si>
  <si>
    <t>Terry, Mark</t>
  </si>
  <si>
    <t>Terry, Merideth</t>
  </si>
  <si>
    <t>Terry, Ray</t>
  </si>
  <si>
    <t>Terwilliger, Kmelissa</t>
  </si>
  <si>
    <t>Testa, Vincent</t>
  </si>
  <si>
    <t>Teuber, Craig</t>
  </si>
  <si>
    <t>Tewey, Joseph</t>
  </si>
  <si>
    <t>Tewinkel, Keith</t>
  </si>
  <si>
    <t>Thackeray, Robert</t>
  </si>
  <si>
    <t>Thibodeaux, Michael</t>
  </si>
  <si>
    <t>Thiele, Jason</t>
  </si>
  <si>
    <t>Thies, Michael</t>
  </si>
  <si>
    <t>Thigpen, Michael</t>
  </si>
  <si>
    <t>Thimis, Sandra</t>
  </si>
  <si>
    <t>Thomas, Arun</t>
  </si>
  <si>
    <t>Thomas, Ashley</t>
  </si>
  <si>
    <t>Thomas, Chuck</t>
  </si>
  <si>
    <t>Thomas, Danny</t>
  </si>
  <si>
    <t>Thomas, David</t>
  </si>
  <si>
    <t>Thomas, Gregory</t>
  </si>
  <si>
    <t>Thomas, Kenneth</t>
  </si>
  <si>
    <t>Thomas, Linda</t>
  </si>
  <si>
    <t>Thomas, Matthew</t>
  </si>
  <si>
    <t>Thomas, Max</t>
  </si>
  <si>
    <t>Thomas, Thomas</t>
  </si>
  <si>
    <t>Thomason, Wylie</t>
  </si>
  <si>
    <t>Thome, Gerald</t>
  </si>
  <si>
    <t>Thompson, Anne</t>
  </si>
  <si>
    <t>Thompson, Anthony</t>
  </si>
  <si>
    <t>Thompson, Carolyn</t>
  </si>
  <si>
    <t>Thompson, Christopher</t>
  </si>
  <si>
    <t>Thompson, Daniel</t>
  </si>
  <si>
    <t>Thompson, Denene</t>
  </si>
  <si>
    <t>Thompson, Derek</t>
  </si>
  <si>
    <t>Thompson, Diane</t>
  </si>
  <si>
    <t>Thompson, Don</t>
  </si>
  <si>
    <t>Thompson, Eric</t>
  </si>
  <si>
    <t>Thompson, Jarrod</t>
  </si>
  <si>
    <t>Thompson, Jean</t>
  </si>
  <si>
    <t>Thompson, Kenneth</t>
  </si>
  <si>
    <t>Thompson, Laura</t>
  </si>
  <si>
    <t>Thompson, Michael</t>
  </si>
  <si>
    <t>Thompson, Stephen</t>
  </si>
  <si>
    <t>Thomsonmckeehan, Vallery</t>
  </si>
  <si>
    <t>Thornton, Steven</t>
  </si>
  <si>
    <t>Thornton, Tammy</t>
  </si>
  <si>
    <t>Thunberg, Thomas</t>
  </si>
  <si>
    <t>Thurrott, Burton</t>
  </si>
  <si>
    <t>Tibaldi, Craig</t>
  </si>
  <si>
    <t>Tico, Justine</t>
  </si>
  <si>
    <t>Tidwell, Courtney</t>
  </si>
  <si>
    <t>Tierney, Joseph</t>
  </si>
  <si>
    <t>Tierney, Kimberele</t>
  </si>
  <si>
    <t>Tierney, Richard</t>
  </si>
  <si>
    <t>Tierney, Sarah</t>
  </si>
  <si>
    <t>Tilley, Keith</t>
  </si>
  <si>
    <t>Tilley, Shawn</t>
  </si>
  <si>
    <t>Tilley, Wayne</t>
  </si>
  <si>
    <t>Tillhammar, Lars</t>
  </si>
  <si>
    <t>Tillman, Kimberly</t>
  </si>
  <si>
    <t>Tillman, Terri</t>
  </si>
  <si>
    <t>Timm, Steven</t>
  </si>
  <si>
    <t>Timmerman, Cynthia</t>
  </si>
  <si>
    <t>Tindal Jr, Travis</t>
  </si>
  <si>
    <t>Ting, Marie</t>
  </si>
  <si>
    <t>Tingler, Ashley</t>
  </si>
  <si>
    <t>Tinney, Matthew</t>
  </si>
  <si>
    <t>Tjoa, Triman</t>
  </si>
  <si>
    <t>Tkacikova, Alena</t>
  </si>
  <si>
    <t>To, Wan Man Michelle</t>
  </si>
  <si>
    <t>Tobolkova, Zuzana</t>
  </si>
  <si>
    <t>Todd, Dale</t>
  </si>
  <si>
    <t>Todd, Daniel</t>
  </si>
  <si>
    <t>Todd, Susan</t>
  </si>
  <si>
    <t>Toennessen, Donald</t>
  </si>
  <si>
    <t>Toepfer, Russell</t>
  </si>
  <si>
    <t>Toft, Bonnie</t>
  </si>
  <si>
    <t>Tokarski, Christine</t>
  </si>
  <si>
    <t>Tokash, Ron</t>
  </si>
  <si>
    <t>Tolbert, Todd</t>
  </si>
  <si>
    <t>Toles, Tye</t>
  </si>
  <si>
    <t>Tollman, Heather</t>
  </si>
  <si>
    <t>Tomita, Junko</t>
  </si>
  <si>
    <t>Tomlin, Klaudia</t>
  </si>
  <si>
    <t>Tondre, Eugene</t>
  </si>
  <si>
    <t>Tong, Shutak</t>
  </si>
  <si>
    <t>Toohey, Marguerite</t>
  </si>
  <si>
    <t>Toombs, Patricia</t>
  </si>
  <si>
    <t>Toroyan, Artin</t>
  </si>
  <si>
    <t>Torres, Isaac</t>
  </si>
  <si>
    <t>Torres, Jose</t>
  </si>
  <si>
    <t>Torres, Ramon</t>
  </si>
  <si>
    <t>Torrey, Gary</t>
  </si>
  <si>
    <t>Tortorelli, Maryanne</t>
  </si>
  <si>
    <t>Tortorelli, Nick</t>
  </si>
  <si>
    <t>Toth, Glenn</t>
  </si>
  <si>
    <t>Tousey, Michael</t>
  </si>
  <si>
    <t>Townsend Jr, Lonnie</t>
  </si>
  <si>
    <t>Toxey, Heather</t>
  </si>
  <si>
    <t>Tracey, Eric</t>
  </si>
  <si>
    <t>Trainor, Paul</t>
  </si>
  <si>
    <t>Trammel, Kimberly</t>
  </si>
  <si>
    <t>Trammell, Timothy</t>
  </si>
  <si>
    <t>Trampel, Joe</t>
  </si>
  <si>
    <t>Tranchida, Steven</t>
  </si>
  <si>
    <t>Trautman, David</t>
  </si>
  <si>
    <t>Travis, Mark</t>
  </si>
  <si>
    <t>Travis, Maureen</t>
  </si>
  <si>
    <t>Traynor, Michael</t>
  </si>
  <si>
    <t>Tredinnick, Falex</t>
  </si>
  <si>
    <t>Trevino, Carmela</t>
  </si>
  <si>
    <t>Trevino, Randy</t>
  </si>
  <si>
    <t>Trevithick, Keith</t>
  </si>
  <si>
    <t>Triano, Christina</t>
  </si>
  <si>
    <t>Tribble, Lysbeth</t>
  </si>
  <si>
    <t>Trigueros, Raquel</t>
  </si>
  <si>
    <t>Trimble, Shawn</t>
  </si>
  <si>
    <t>Trinh, Kelly</t>
  </si>
  <si>
    <t>Trinidad, Larry</t>
  </si>
  <si>
    <t>Trinque, Virginia</t>
  </si>
  <si>
    <t>Tripp, Kenneth</t>
  </si>
  <si>
    <t>Troiano, Vicente</t>
  </si>
  <si>
    <t>Trombley, Michael</t>
  </si>
  <si>
    <t>Troseth, Shane</t>
  </si>
  <si>
    <t>Trotter, Stephen</t>
  </si>
  <si>
    <t>Trowbridge, Laura</t>
  </si>
  <si>
    <t>Trower, Gregory</t>
  </si>
  <si>
    <t>Trueman, Thomas</t>
  </si>
  <si>
    <t>Trujillo, Javier</t>
  </si>
  <si>
    <t>Trustyholt, Jane</t>
  </si>
  <si>
    <t>Tryon, Cleve</t>
  </si>
  <si>
    <t>Tsirigos, Peter</t>
  </si>
  <si>
    <t>Tsuiki, Akira</t>
  </si>
  <si>
    <t>Tsujikawa, Akira</t>
  </si>
  <si>
    <t>Tuberville, Karen</t>
  </si>
  <si>
    <t>Tucker, James</t>
  </si>
  <si>
    <t>Tucker, Michael</t>
  </si>
  <si>
    <t>Tucker, Monica</t>
  </si>
  <si>
    <t>Tucker, William</t>
  </si>
  <si>
    <t>Tully, Denise</t>
  </si>
  <si>
    <t>Tung, Sze Wei</t>
  </si>
  <si>
    <t>Tureck, Brian</t>
  </si>
  <si>
    <t>Turner, Aaron</t>
  </si>
  <si>
    <t>Turner, Cameron</t>
  </si>
  <si>
    <t>Turner, Christopher</t>
  </si>
  <si>
    <t>Turner, Dianna</t>
  </si>
  <si>
    <t>Turner, Keith</t>
  </si>
  <si>
    <t>Turner, Kurene</t>
  </si>
  <si>
    <t>Turner, Michel</t>
  </si>
  <si>
    <t>Turner, Milton</t>
  </si>
  <si>
    <t>Turner, Phillip</t>
  </si>
  <si>
    <t>Turner, Rohan</t>
  </si>
  <si>
    <t>Turner, Ronnie</t>
  </si>
  <si>
    <t>Turturro, Glenn</t>
  </si>
  <si>
    <t>Tuttle, Hayden</t>
  </si>
  <si>
    <t>Tuttle, Mark</t>
  </si>
  <si>
    <t>Twarog, John</t>
  </si>
  <si>
    <t>Twelker, Hans</t>
  </si>
  <si>
    <t>Tye, Albert</t>
  </si>
  <si>
    <t>Tyler, Peter</t>
  </si>
  <si>
    <t>Tyler, William</t>
  </si>
  <si>
    <t>Tylus, Jack</t>
  </si>
  <si>
    <t>Tyndall, John</t>
  </si>
  <si>
    <t>Typpi, Frank</t>
  </si>
  <si>
    <t>Tyranski, Michael</t>
  </si>
  <si>
    <t>Uber, Denise</t>
  </si>
  <si>
    <t>Uchi, Maria</t>
  </si>
  <si>
    <t>Ugalde, Joseph</t>
  </si>
  <si>
    <t>Uhrine, Theresa</t>
  </si>
  <si>
    <t>Uilk, Marilyn</t>
  </si>
  <si>
    <t>Ulbrich, Jason</t>
  </si>
  <si>
    <t>Ulloa, Laura</t>
  </si>
  <si>
    <t>Underwood, David</t>
  </si>
  <si>
    <t>Underwood, Deborah</t>
  </si>
  <si>
    <t>Uniack, Colleen</t>
  </si>
  <si>
    <t>Unitt, Sandra</t>
  </si>
  <si>
    <t>Unspecified, Unspecified</t>
  </si>
  <si>
    <t>Uppal, Amrik</t>
  </si>
  <si>
    <t>Uptain, David</t>
  </si>
  <si>
    <t>Uschmann, Shawn</t>
  </si>
  <si>
    <t>Uszynski, Robert</t>
  </si>
  <si>
    <t>Vaidis, Didier</t>
  </si>
  <si>
    <t>Vakos, Michael</t>
  </si>
  <si>
    <t>Valdes, Veronica</t>
  </si>
  <si>
    <t>Valdez, Rosemary</t>
  </si>
  <si>
    <t>Valdez, Roy</t>
  </si>
  <si>
    <t>Valencia, Robert</t>
  </si>
  <si>
    <t>Valentini, George</t>
  </si>
  <si>
    <t>Valerius, Gregory</t>
  </si>
  <si>
    <t>Valmurthy, Chitra</t>
  </si>
  <si>
    <t>Valverde, Armando</t>
  </si>
  <si>
    <t>Van Cleave, Sonya</t>
  </si>
  <si>
    <t>Van Duzen, Jay</t>
  </si>
  <si>
    <t>Van hest, Erwin</t>
  </si>
  <si>
    <t>Van Meter, Gregory</t>
  </si>
  <si>
    <t>Van Orshoven, Martha</t>
  </si>
  <si>
    <t>Van Vliet, Ari Johannes</t>
  </si>
  <si>
    <t>Vancauwenbergh, Jan</t>
  </si>
  <si>
    <t>Vandefifer, Garry</t>
  </si>
  <si>
    <t>Vandenberg, Daniel</t>
  </si>
  <si>
    <t>Vandenbusch, Jon</t>
  </si>
  <si>
    <t>Vandergriff, Shawn</t>
  </si>
  <si>
    <t>Vanderpool, Mary</t>
  </si>
  <si>
    <t>Vanderzee, Thomas</t>
  </si>
  <si>
    <t>Vandewater, Tom</t>
  </si>
  <si>
    <t>Vandeynze, Tom</t>
  </si>
  <si>
    <t>Vandorselaer, David</t>
  </si>
  <si>
    <t>Vanecek, David</t>
  </si>
  <si>
    <t>Vanecek, Timothy</t>
  </si>
  <si>
    <t>Vangels, Lawrence</t>
  </si>
  <si>
    <t>Vangundy, Paul</t>
  </si>
  <si>
    <t>Vanke, Cynthia</t>
  </si>
  <si>
    <t>Vansuch, David</t>
  </si>
  <si>
    <t>Vanveckhoven, Thomas</t>
  </si>
  <si>
    <t>Vanvliet, Arie</t>
  </si>
  <si>
    <t>Vanwyhe, Stephen</t>
  </si>
  <si>
    <t>Varana, Bruce</t>
  </si>
  <si>
    <t>Vargas, Galo</t>
  </si>
  <si>
    <t>Vargas, Veronica</t>
  </si>
  <si>
    <t>Vargo, Constance</t>
  </si>
  <si>
    <t>Varn, David</t>
  </si>
  <si>
    <t>Vasilatos, Jenny</t>
  </si>
  <si>
    <t>Vassalla, Jerry</t>
  </si>
  <si>
    <t>Vaughan, Brian</t>
  </si>
  <si>
    <t>Vaughan, Dennis</t>
  </si>
  <si>
    <t>Vaughan, Stephen</t>
  </si>
  <si>
    <t>VAUGHN, JARED</t>
  </si>
  <si>
    <t>Vavra, Greg</t>
  </si>
  <si>
    <t>Veal, Landry</t>
  </si>
  <si>
    <t>Velazquez, Leonardo</t>
  </si>
  <si>
    <t>Velazquez, Reynaldo</t>
  </si>
  <si>
    <t>Velez, Alfredo</t>
  </si>
  <si>
    <t>Velgaard, Kim</t>
  </si>
  <si>
    <t>Veline, Robert</t>
  </si>
  <si>
    <t>Velker, Mark</t>
  </si>
  <si>
    <t>Veloso, Jose</t>
  </si>
  <si>
    <t>Venner, Donald</t>
  </si>
  <si>
    <t>Vera, Denise</t>
  </si>
  <si>
    <t>Vera, Omar</t>
  </si>
  <si>
    <t>Verba, Laura</t>
  </si>
  <si>
    <t>Verburg, Michelle</t>
  </si>
  <si>
    <t>Verhein, Krista</t>
  </si>
  <si>
    <t>Vermeulen, Albert</t>
  </si>
  <si>
    <t>Vermont, Jan</t>
  </si>
  <si>
    <t>Vess, Emily</t>
  </si>
  <si>
    <t>Vettraino, Michael</t>
  </si>
  <si>
    <t>Vick, Kenneth</t>
  </si>
  <si>
    <t>Vick, Mark</t>
  </si>
  <si>
    <t>Vickers, Robert</t>
  </si>
  <si>
    <t>Vickers, Sydney</t>
  </si>
  <si>
    <t>Victoriano, Christina Lenore</t>
  </si>
  <si>
    <t>Vidalvasquez, Sandra</t>
  </si>
  <si>
    <t>Viele, Donald</t>
  </si>
  <si>
    <t>Viguers, Ralph</t>
  </si>
  <si>
    <t>Villa, Edgar</t>
  </si>
  <si>
    <t>Villafarra, Ava</t>
  </si>
  <si>
    <t>Villamarin, Santiago</t>
  </si>
  <si>
    <t>Villasana, Richard</t>
  </si>
  <si>
    <t>Vincent, Patrick</t>
  </si>
  <si>
    <t>Vincent, Rick</t>
  </si>
  <si>
    <t>Vine, Steve</t>
  </si>
  <si>
    <t>Vinez, Nancy</t>
  </si>
  <si>
    <t>Vinh, Johnny</t>
  </si>
  <si>
    <t>Vinson, Susan</t>
  </si>
  <si>
    <t>Violanti, Michael</t>
  </si>
  <si>
    <t>Vion, Joseph</t>
  </si>
  <si>
    <t>Vitali, Cesare</t>
  </si>
  <si>
    <t>Vitro, Nick</t>
  </si>
  <si>
    <t>Vittorini, John</t>
  </si>
  <si>
    <t>Vivion, Ginger</t>
  </si>
  <si>
    <t>Vivrette, John</t>
  </si>
  <si>
    <t>Vladimirov, Roumen</t>
  </si>
  <si>
    <t>Vlahos, John</t>
  </si>
  <si>
    <t>Vogel, J</t>
  </si>
  <si>
    <t>Vogler, David</t>
  </si>
  <si>
    <t>Voight, James</t>
  </si>
  <si>
    <t>Volpe, Arthur</t>
  </si>
  <si>
    <t>Volpe, Joe</t>
  </si>
  <si>
    <t>Volpe, Leonard</t>
  </si>
  <si>
    <t>Voltaire, Edwin</t>
  </si>
  <si>
    <t>Vonbergen, William</t>
  </si>
  <si>
    <t>Vonderlinden, Steven</t>
  </si>
  <si>
    <t>Vontimitta, Satish</t>
  </si>
  <si>
    <t>Voorhees, Stephen</t>
  </si>
  <si>
    <t>Vranish, Kevin</t>
  </si>
  <si>
    <t>Vuylstekereardon, Eva</t>
  </si>
  <si>
    <t>Wacht, Carol</t>
  </si>
  <si>
    <t>Wachtler, Megan</t>
  </si>
  <si>
    <t>Wade, Brian</t>
  </si>
  <si>
    <t>Wadley, Edd</t>
  </si>
  <si>
    <t>Wadley, W.</t>
  </si>
  <si>
    <t>Wadsworth, Jennifer</t>
  </si>
  <si>
    <t>Waffer, Jan</t>
  </si>
  <si>
    <t>Waghorn, Tamra</t>
  </si>
  <si>
    <t>Wagner, Neil</t>
  </si>
  <si>
    <t>Wagner, Patrick</t>
  </si>
  <si>
    <t>Wagner, Suzanne</t>
  </si>
  <si>
    <t>Wainscott, Timothy</t>
  </si>
  <si>
    <t>Walker, Christopher</t>
  </si>
  <si>
    <t>Walker, Darrol</t>
  </si>
  <si>
    <t>Walker, David</t>
  </si>
  <si>
    <t>Walker, Denise</t>
  </si>
  <si>
    <t>Walker, Dorlene</t>
  </si>
  <si>
    <t>Walker, Gregory</t>
  </si>
  <si>
    <t>Walker, James</t>
  </si>
  <si>
    <t>Walker, Lorinda</t>
  </si>
  <si>
    <t>Walker, Lou Ella</t>
  </si>
  <si>
    <t>Walker, Melissa</t>
  </si>
  <si>
    <t>Walker, Michael</t>
  </si>
  <si>
    <t>Walker, Misti</t>
  </si>
  <si>
    <t>Walker, Norman</t>
  </si>
  <si>
    <t>Walker, Pamela</t>
  </si>
  <si>
    <t>Walker, Reva</t>
  </si>
  <si>
    <t>Wall, Joseph</t>
  </si>
  <si>
    <t>Wallace, Ashley</t>
  </si>
  <si>
    <t>Wallace, Carla</t>
  </si>
  <si>
    <t>Wallace, Jamie</t>
  </si>
  <si>
    <t>Wallace, Kathy</t>
  </si>
  <si>
    <t>Wallace, Matt</t>
  </si>
  <si>
    <t>Wallace, Vincent</t>
  </si>
  <si>
    <t>Wallach, Duffy</t>
  </si>
  <si>
    <t>Waller, Michael</t>
  </si>
  <si>
    <t>Wallerstein, Candice</t>
  </si>
  <si>
    <t>Walls, Traci</t>
  </si>
  <si>
    <t>Walsh, Jennings</t>
  </si>
  <si>
    <t>Walsh, Patrick</t>
  </si>
  <si>
    <t>Walsh, Sean</t>
  </si>
  <si>
    <t>Walter, Saskia</t>
  </si>
  <si>
    <t>Walters, Robert</t>
  </si>
  <si>
    <t>Walther, Philip</t>
  </si>
  <si>
    <t>Wandrei, Herman</t>
  </si>
  <si>
    <t>Wang, Angela</t>
  </si>
  <si>
    <t>Wang, Austin</t>
  </si>
  <si>
    <t>Wang, Cliff</t>
  </si>
  <si>
    <t>Wang, Henry</t>
  </si>
  <si>
    <t>Wang, Jack</t>
  </si>
  <si>
    <t>Wang, Jason</t>
  </si>
  <si>
    <t>Wang, Ruo-shu</t>
  </si>
  <si>
    <t>Wang, Waipai</t>
  </si>
  <si>
    <t>Wang, Ximing</t>
  </si>
  <si>
    <t>Wang, Yin</t>
  </si>
  <si>
    <t>Wannemuehler, Angela</t>
  </si>
  <si>
    <t>Ward Iii, Matt</t>
  </si>
  <si>
    <t>Ward, Glen</t>
  </si>
  <si>
    <t>Ward, Kim</t>
  </si>
  <si>
    <t>Ward, Lisa</t>
  </si>
  <si>
    <t>Ward, Michael</t>
  </si>
  <si>
    <t>Ward, Patricia</t>
  </si>
  <si>
    <t>Ward, Stephen</t>
  </si>
  <si>
    <t>Wardell, William</t>
  </si>
  <si>
    <t>Warmbier, Richard</t>
  </si>
  <si>
    <t>Warner, Christopher</t>
  </si>
  <si>
    <t>Warner, James</t>
  </si>
  <si>
    <t>Warner, Keegan</t>
  </si>
  <si>
    <t>Warren, Donnell</t>
  </si>
  <si>
    <t>Warwick, W.Anthony</t>
  </si>
  <si>
    <t>Washington, Beth</t>
  </si>
  <si>
    <t>Washington, Patrick</t>
  </si>
  <si>
    <t>Washington, Shawn</t>
  </si>
  <si>
    <t>Washington, Sheila</t>
  </si>
  <si>
    <t>Washioka, Hiroyuki</t>
  </si>
  <si>
    <t>Wasser, Garrett</t>
  </si>
  <si>
    <t>Wasserman, Joshua</t>
  </si>
  <si>
    <t>Waszak, David</t>
  </si>
  <si>
    <t>Watanabe, Toshimi</t>
  </si>
  <si>
    <t>Waterbury, Lisa</t>
  </si>
  <si>
    <t>Waters, Amy</t>
  </si>
  <si>
    <t>Waters, Anthony</t>
  </si>
  <si>
    <t>Waters, Marcus</t>
  </si>
  <si>
    <t>Waters, Rachelle</t>
  </si>
  <si>
    <t>Waters, Terry</t>
  </si>
  <si>
    <t>Watkins, Donna</t>
  </si>
  <si>
    <t>Watkins, Patricia</t>
  </si>
  <si>
    <t>Watkins, Samuel</t>
  </si>
  <si>
    <t>Watkins, Thaddeus</t>
  </si>
  <si>
    <t>Watkins, Trent</t>
  </si>
  <si>
    <t>Watley, Michael</t>
  </si>
  <si>
    <t>Watson, Malcolm</t>
  </si>
  <si>
    <t>Watson, Michele</t>
  </si>
  <si>
    <t>Watson, Scott</t>
  </si>
  <si>
    <t>Watson, Shabeth</t>
  </si>
  <si>
    <t>Watson, Tracy</t>
  </si>
  <si>
    <t>Watt, Ian</t>
  </si>
  <si>
    <t>Watterson, Alan</t>
  </si>
  <si>
    <t>Watts, Jacqueline</t>
  </si>
  <si>
    <t>Watts, Jason</t>
  </si>
  <si>
    <t>Way, Charles</t>
  </si>
  <si>
    <t>Weaver, Cathy</t>
  </si>
  <si>
    <t>Weaver, Debra</t>
  </si>
  <si>
    <t>Weaver, James</t>
  </si>
  <si>
    <t>Webb, Simon</t>
  </si>
  <si>
    <t>Webb, Walter</t>
  </si>
  <si>
    <t>Webber, James</t>
  </si>
  <si>
    <t>Weber, Andrew</t>
  </si>
  <si>
    <t>Weber, Denise</t>
  </si>
  <si>
    <t>Weber, G</t>
  </si>
  <si>
    <t>Weber, Katina</t>
  </si>
  <si>
    <t>Weber, Paul</t>
  </si>
  <si>
    <t>Weber, Roberta</t>
  </si>
  <si>
    <t>Weber, Timothy</t>
  </si>
  <si>
    <t>Weddel, Charles</t>
  </si>
  <si>
    <t>Weems, Siuchiu</t>
  </si>
  <si>
    <t>Wei, Larry</t>
  </si>
  <si>
    <t>Wei, Wei</t>
  </si>
  <si>
    <t>Weidenbach, Susan</t>
  </si>
  <si>
    <t>Weidlich, Valerie</t>
  </si>
  <si>
    <t>Weigel, Ashley</t>
  </si>
  <si>
    <t>Weihmeir, Angelynn</t>
  </si>
  <si>
    <t>Weik, Kate</t>
  </si>
  <si>
    <t>Weiland, Frances</t>
  </si>
  <si>
    <t>Weiler, Matthew</t>
  </si>
  <si>
    <t>Weimert, Stephen</t>
  </si>
  <si>
    <t>Weiner, Christina</t>
  </si>
  <si>
    <t>Weiner, Jennifer</t>
  </si>
  <si>
    <t>Weinstein, Paul</t>
  </si>
  <si>
    <t>Weintritt, Ralf-michael</t>
  </si>
  <si>
    <t>Weir, Joseph</t>
  </si>
  <si>
    <t>Weiss, Christian</t>
  </si>
  <si>
    <t>Weiss, Christine</t>
  </si>
  <si>
    <t>Weitlauf, Kevin</t>
  </si>
  <si>
    <t>Weitz, Tara</t>
  </si>
  <si>
    <t>Welch, Michael</t>
  </si>
  <si>
    <t>Welch, Norman</t>
  </si>
  <si>
    <t>Welch, Stephanie</t>
  </si>
  <si>
    <t>Welch, Stephen</t>
  </si>
  <si>
    <t>Welham, Jeffrey</t>
  </si>
  <si>
    <t>Wells, Elizabeth</t>
  </si>
  <si>
    <t>Wells, Eric</t>
  </si>
  <si>
    <t>Wells, Jamie</t>
  </si>
  <si>
    <t>Wells, Karen</t>
  </si>
  <si>
    <t>Wells, Ronald</t>
  </si>
  <si>
    <t>Welsh, Bryan</t>
  </si>
  <si>
    <t>Welsh, Melanie</t>
  </si>
  <si>
    <t>Wen, Jiang</t>
  </si>
  <si>
    <t>Wendenburg, Gerhard</t>
  </si>
  <si>
    <t>Wengatz, Christopher</t>
  </si>
  <si>
    <t>Wengert, Ted</t>
  </si>
  <si>
    <t>Werner, David</t>
  </si>
  <si>
    <t>Wert, G</t>
  </si>
  <si>
    <t>Wesley, Bryant</t>
  </si>
  <si>
    <t>Wesley, Deborah</t>
  </si>
  <si>
    <t>West, BCS</t>
  </si>
  <si>
    <t>West, Catherine</t>
  </si>
  <si>
    <t>West, Katherine</t>
  </si>
  <si>
    <t>West, Lance</t>
  </si>
  <si>
    <t>West, Lisa</t>
  </si>
  <si>
    <t>West, Paula</t>
  </si>
  <si>
    <t>West, Sara</t>
  </si>
  <si>
    <t>West, Susan</t>
  </si>
  <si>
    <t>Westbrook, Beverly</t>
  </si>
  <si>
    <t>Westcott, Ann</t>
  </si>
  <si>
    <t>Westfall, Rebecca</t>
  </si>
  <si>
    <t>Westman, Thomas</t>
  </si>
  <si>
    <t>Weston, Eugene</t>
  </si>
  <si>
    <t>Wetherholt, Ronald</t>
  </si>
  <si>
    <t>Wetmore, Thomas</t>
  </si>
  <si>
    <t>Wetzstein, Hans</t>
  </si>
  <si>
    <t>Weymouth, Charles</t>
  </si>
  <si>
    <t>Whalen, Marc</t>
  </si>
  <si>
    <t>Wheat, Stephen</t>
  </si>
  <si>
    <t>Whedon, Gregory</t>
  </si>
  <si>
    <t>Wheeler, David</t>
  </si>
  <si>
    <t>Wheeler, Jim</t>
  </si>
  <si>
    <t>Whelchel, Scott</t>
  </si>
  <si>
    <t>Whitaker, Charles</t>
  </si>
  <si>
    <t>Whitaker, Phyllis</t>
  </si>
  <si>
    <t>Whitbourn, Brian</t>
  </si>
  <si>
    <t>White, Demetria</t>
  </si>
  <si>
    <t>White, Eloiseelaine</t>
  </si>
  <si>
    <t>White, Eric</t>
  </si>
  <si>
    <t>White, Erica</t>
  </si>
  <si>
    <t>White, Gavin</t>
  </si>
  <si>
    <t>White, Jill</t>
  </si>
  <si>
    <t>White, Koni</t>
  </si>
  <si>
    <t>White, Phillip</t>
  </si>
  <si>
    <t>White, Renee</t>
  </si>
  <si>
    <t>White, Robert</t>
  </si>
  <si>
    <t>White, Scott</t>
  </si>
  <si>
    <t>White, Vicki</t>
  </si>
  <si>
    <t>White, William</t>
  </si>
  <si>
    <t>Whitehead, Robert</t>
  </si>
  <si>
    <t>Whitehouse, Amy</t>
  </si>
  <si>
    <t>Whitehouse, Michael</t>
  </si>
  <si>
    <t>Whitelaw, Quentin</t>
  </si>
  <si>
    <t>Whitemon, Erik</t>
  </si>
  <si>
    <t>Whitesides, Lynette</t>
  </si>
  <si>
    <t>Whitford, Tom</t>
  </si>
  <si>
    <t>Whitham, Christopher</t>
  </si>
  <si>
    <t>Whitley, Bobby</t>
  </si>
  <si>
    <t>Whitney, James</t>
  </si>
  <si>
    <t>Whitney, Jean</t>
  </si>
  <si>
    <t>Whitten, Tom</t>
  </si>
  <si>
    <t>Wichmann, Christoph</t>
  </si>
  <si>
    <t>Wicker, Gail</t>
  </si>
  <si>
    <t>Wicker, William</t>
  </si>
  <si>
    <t>Wickline, Matthew</t>
  </si>
  <si>
    <t>Widau, John</t>
  </si>
  <si>
    <t>Widener, Joey</t>
  </si>
  <si>
    <t>Widmann, Aaron</t>
  </si>
  <si>
    <t>Wiechmann, Michael</t>
  </si>
  <si>
    <t>Wiedeck, Ronald</t>
  </si>
  <si>
    <t>Wiegert, Lisa</t>
  </si>
  <si>
    <t>Wieland, John</t>
  </si>
  <si>
    <t>Wierzbicki, Tess</t>
  </si>
  <si>
    <t>Wiggins, Derrick</t>
  </si>
  <si>
    <t>Wiggins, John</t>
  </si>
  <si>
    <t>Wiggins, Mark</t>
  </si>
  <si>
    <t>Wilcox, David</t>
  </si>
  <si>
    <t>Wiley, Mark</t>
  </si>
  <si>
    <t>Wiley, Raquel</t>
  </si>
  <si>
    <t>Wilhelmi, Rutger</t>
  </si>
  <si>
    <t>Willard, Paul</t>
  </si>
  <si>
    <t>Willcoxon, Dan</t>
  </si>
  <si>
    <t>Willey, Cecilia</t>
  </si>
  <si>
    <t>Williams, Andre</t>
  </si>
  <si>
    <t>Williams, Barry</t>
  </si>
  <si>
    <t>Williams, Bryan</t>
  </si>
  <si>
    <t>Williams, Christopher</t>
  </si>
  <si>
    <t>Williams, Cynthia</t>
  </si>
  <si>
    <t>Williams, Daniel</t>
  </si>
  <si>
    <t>Williams, David</t>
  </si>
  <si>
    <t>Williams, Derrick</t>
  </si>
  <si>
    <t>Williams, Diane</t>
  </si>
  <si>
    <t>Williams, Doris</t>
  </si>
  <si>
    <t>Williams, Greggory</t>
  </si>
  <si>
    <t>Williams, Griffith</t>
  </si>
  <si>
    <t>Williams, James</t>
  </si>
  <si>
    <t>Williams, John</t>
  </si>
  <si>
    <t>Williams, Keith</t>
  </si>
  <si>
    <t>Williams, Ken</t>
  </si>
  <si>
    <t>Williams, Kevin</t>
  </si>
  <si>
    <t>Williams, Lynli</t>
  </si>
  <si>
    <t>Williams, Mary</t>
  </si>
  <si>
    <t>Williams, Mychael</t>
  </si>
  <si>
    <t>Williams, Patricia</t>
  </si>
  <si>
    <t>Williams, Quenshell</t>
  </si>
  <si>
    <t>Williams, Sharita</t>
  </si>
  <si>
    <t>Williams, Todd</t>
  </si>
  <si>
    <t>Williams, Tony</t>
  </si>
  <si>
    <t>Williams, Wanda</t>
  </si>
  <si>
    <t>Williams, Wylencia</t>
  </si>
  <si>
    <t>Williamsfradette, Cheryl</t>
  </si>
  <si>
    <t>Williamson, Linda</t>
  </si>
  <si>
    <t>Williford, Robert</t>
  </si>
  <si>
    <t>Willingham, Michelle</t>
  </si>
  <si>
    <t>Willis, Kevin</t>
  </si>
  <si>
    <t>Willoughby, Jon</t>
  </si>
  <si>
    <t>Wills, Adam</t>
  </si>
  <si>
    <t>Wilmoth, Ingrid</t>
  </si>
  <si>
    <t>Wilson Sr., James</t>
  </si>
  <si>
    <t>Wilson, Brenda</t>
  </si>
  <si>
    <t>Wilson, Christopher</t>
  </si>
  <si>
    <t>Wilson, Courtney</t>
  </si>
  <si>
    <t>Wilson, Dalton</t>
  </si>
  <si>
    <t>Wilson, David</t>
  </si>
  <si>
    <t>Wilson, Derric</t>
  </si>
  <si>
    <t>Wilson, Diane</t>
  </si>
  <si>
    <t>Wilson, Elaine</t>
  </si>
  <si>
    <t>Wilson, J Elaine</t>
  </si>
  <si>
    <t>Wilson, Janet</t>
  </si>
  <si>
    <t>Wilson, Jeanine</t>
  </si>
  <si>
    <t>Wilson, Jonathan</t>
  </si>
  <si>
    <t>Wilson, Linda</t>
  </si>
  <si>
    <t>Wilson, Matthew</t>
  </si>
  <si>
    <t>Wilson, Michael</t>
  </si>
  <si>
    <t>Wilson, Mike</t>
  </si>
  <si>
    <t>Wilson, Pamela</t>
  </si>
  <si>
    <t>Wilson, Patricia</t>
  </si>
  <si>
    <t>Wilson, Paul</t>
  </si>
  <si>
    <t>Wilson, Richard</t>
  </si>
  <si>
    <t>Wilson, Steven</t>
  </si>
  <si>
    <t>Wilson, Wendi</t>
  </si>
  <si>
    <t>Wilson, William</t>
  </si>
  <si>
    <t>Wiltfong, Ronald</t>
  </si>
  <si>
    <t>Wimpye, James</t>
  </si>
  <si>
    <t>Winans, Hannah</t>
  </si>
  <si>
    <t>Windsor, Judith</t>
  </si>
  <si>
    <t>Wineinger, Anthony</t>
  </si>
  <si>
    <t>Winfrey, Rebecca</t>
  </si>
  <si>
    <t>Winick, Linda</t>
  </si>
  <si>
    <t>Wink, Steven</t>
  </si>
  <si>
    <t>Winkler, Barry</t>
  </si>
  <si>
    <t>Winland, Brian</t>
  </si>
  <si>
    <t>Wintczak, David</t>
  </si>
  <si>
    <t>Winters, David</t>
  </si>
  <si>
    <t>Winters, Douglas</t>
  </si>
  <si>
    <t>Winters, Monique</t>
  </si>
  <si>
    <t>Winthrop, Devon</t>
  </si>
  <si>
    <t>Wipperman, Gary</t>
  </si>
  <si>
    <t>Wirtmiller, Josh</t>
  </si>
  <si>
    <t>Wise, Tim</t>
  </si>
  <si>
    <t>Wist, Andreas</t>
  </si>
  <si>
    <t>Wit, Judd</t>
  </si>
  <si>
    <t>Witherspoon, Tonda</t>
  </si>
  <si>
    <t>Withycombe, Wendy</t>
  </si>
  <si>
    <t>Witort, Janet</t>
  </si>
  <si>
    <t>Witt, Christopher</t>
  </si>
  <si>
    <t>Wittenberg, Dieter</t>
  </si>
  <si>
    <t>Wodehouse, Richard</t>
  </si>
  <si>
    <t>Woehr, David</t>
  </si>
  <si>
    <t>Woerner, R</t>
  </si>
  <si>
    <t>Wohlers, Bryan</t>
  </si>
  <si>
    <t>Wojtasiak, Jeffrey</t>
  </si>
  <si>
    <t>Wolever, Linda</t>
  </si>
  <si>
    <t>Wolf, Gregory</t>
  </si>
  <si>
    <t>Wolf, Jacee</t>
  </si>
  <si>
    <t>Wolfe, Emily</t>
  </si>
  <si>
    <t>Wolfe, Stephen</t>
  </si>
  <si>
    <t>Wolfgram, Loren</t>
  </si>
  <si>
    <t>Wolfson, Peter</t>
  </si>
  <si>
    <t>Wolheim, Eric</t>
  </si>
  <si>
    <t>Wolney, Ronald</t>
  </si>
  <si>
    <t>Wolski, James</t>
  </si>
  <si>
    <t>Wolverton, Kyle</t>
  </si>
  <si>
    <t>Wong, Gail</t>
  </si>
  <si>
    <t>Wong, Gregory</t>
  </si>
  <si>
    <t>Wong, Jack</t>
  </si>
  <si>
    <t>Wong, Lynna</t>
  </si>
  <si>
    <t>Wong, Pui pui</t>
  </si>
  <si>
    <t>Wong, Tammy</t>
  </si>
  <si>
    <t>Wong, Tina</t>
  </si>
  <si>
    <t>Wong, Yukming</t>
  </si>
  <si>
    <t>Wood, Heidi</t>
  </si>
  <si>
    <t>Wood, James</t>
  </si>
  <si>
    <t>Wood, Janet</t>
  </si>
  <si>
    <t>Wood, Joseph</t>
  </si>
  <si>
    <t>Wood, Martin</t>
  </si>
  <si>
    <t>Wood, Meaghan</t>
  </si>
  <si>
    <t>Wood, Steven</t>
  </si>
  <si>
    <t>Woodall, Reginald</t>
  </si>
  <si>
    <t>Woodard, D</t>
  </si>
  <si>
    <t>Woodard-Sullivan, Cheryl</t>
  </si>
  <si>
    <t>Woodfine, Ricardo</t>
  </si>
  <si>
    <t>Woodford, Craig</t>
  </si>
  <si>
    <t>Woodruff, Nelson</t>
  </si>
  <si>
    <t>Woodruff, Patrick</t>
  </si>
  <si>
    <t>Woodrum, Robert</t>
  </si>
  <si>
    <t>Woods, Annette</t>
  </si>
  <si>
    <t>Woods, Christy</t>
  </si>
  <si>
    <t>Woods, Gloria</t>
  </si>
  <si>
    <t>Woods, Kendall</t>
  </si>
  <si>
    <t>Woods, Mark</t>
  </si>
  <si>
    <t>Woodworth, James</t>
  </si>
  <si>
    <t>Woolbright, Tina</t>
  </si>
  <si>
    <t>Woon, Hazel</t>
  </si>
  <si>
    <t>Wootton, Matthew</t>
  </si>
  <si>
    <t>Working, Craig</t>
  </si>
  <si>
    <t>Worley, Brian</t>
  </si>
  <si>
    <t>Worozilcak, Denise</t>
  </si>
  <si>
    <t>Worthy, Vera</t>
  </si>
  <si>
    <t>Wright, Cordelia</t>
  </si>
  <si>
    <t>Wright, Deborah</t>
  </si>
  <si>
    <t>Wright, Jacqueline</t>
  </si>
  <si>
    <t>Wright, John</t>
  </si>
  <si>
    <t>Wright, Lawrence</t>
  </si>
  <si>
    <t>Wright, Lisa</t>
  </si>
  <si>
    <t>Wrightington, William</t>
  </si>
  <si>
    <t>Wruk, Karen</t>
  </si>
  <si>
    <t>Wu, Andrew</t>
  </si>
  <si>
    <t>Wuerthner, Jennifer</t>
  </si>
  <si>
    <t>Wujec, Gregory</t>
  </si>
  <si>
    <t>Wulff, Evelyn</t>
  </si>
  <si>
    <t>Wyatt, Marjorie</t>
  </si>
  <si>
    <t>Wylie, Bradleyleon</t>
  </si>
  <si>
    <t>Wyman, Richard</t>
  </si>
  <si>
    <t>Wynne, Deidre</t>
  </si>
  <si>
    <t>Xie, Hui</t>
  </si>
  <si>
    <t>Yahnke, Garrick</t>
  </si>
  <si>
    <t>Yaklich, Melissa</t>
  </si>
  <si>
    <t>Yamada, Junya</t>
  </si>
  <si>
    <t>Yamada, Koji</t>
  </si>
  <si>
    <t>Yamasaki, Jack</t>
  </si>
  <si>
    <t>Yang, Richard</t>
  </si>
  <si>
    <t>Yanko, Thor</t>
  </si>
  <si>
    <t>Yanniello, Paul</t>
  </si>
  <si>
    <t>Yao, Wang</t>
  </si>
  <si>
    <t>Yarnall, Robert</t>
  </si>
  <si>
    <t>Yassa, Edward</t>
  </si>
  <si>
    <t>Yates, Christopher</t>
  </si>
  <si>
    <t>Yates, Connie</t>
  </si>
  <si>
    <t>Yates, Jason</t>
  </si>
  <si>
    <t>Yates, Krystal</t>
  </si>
  <si>
    <t>Yates, Sybil</t>
  </si>
  <si>
    <t>Yates, William</t>
  </si>
  <si>
    <t>Yazgoor, Fredric</t>
  </si>
  <si>
    <t>Ybarra, David</t>
  </si>
  <si>
    <t>Yee, Janelle</t>
  </si>
  <si>
    <t>Yee, May</t>
  </si>
  <si>
    <t>Yeh, Esther</t>
  </si>
  <si>
    <t>Yeiser, Harold</t>
  </si>
  <si>
    <t>Yeo, Sokwanandy</t>
  </si>
  <si>
    <t>Yeoman, Bruce</t>
  </si>
  <si>
    <t>Yocum, Sandy</t>
  </si>
  <si>
    <t>Yoder, Elwood</t>
  </si>
  <si>
    <t>Yokley, Sam</t>
  </si>
  <si>
    <t>Yoo, Thomas</t>
  </si>
  <si>
    <t>York, Marianne</t>
  </si>
  <si>
    <t>Yoshiba, Nagaaki</t>
  </si>
  <si>
    <t>Yoshida, Hiroko</t>
  </si>
  <si>
    <t>Young, Andrea</t>
  </si>
  <si>
    <t>Young, David</t>
  </si>
  <si>
    <t>Young, Garry</t>
  </si>
  <si>
    <t>Young, John</t>
  </si>
  <si>
    <t>Young, Lisa</t>
  </si>
  <si>
    <t>Young, Lynn</t>
  </si>
  <si>
    <t>Young, Mark</t>
  </si>
  <si>
    <t>Young, Raymond</t>
  </si>
  <si>
    <t>Young, Ronald</t>
  </si>
  <si>
    <t>Young, Ty</t>
  </si>
  <si>
    <t>Young, Tyrrie</t>
  </si>
  <si>
    <t>Young, V j</t>
  </si>
  <si>
    <t>Young-Brohn, Malia</t>
  </si>
  <si>
    <t>Younger, Kevin</t>
  </si>
  <si>
    <t>Younkins, Gary</t>
  </si>
  <si>
    <t>Younts, Tyler</t>
  </si>
  <si>
    <t>Yu, Jason</t>
  </si>
  <si>
    <t>Yu, Judy</t>
  </si>
  <si>
    <t>Yu, Sandra</t>
  </si>
  <si>
    <t>Yuhas, Michael</t>
  </si>
  <si>
    <t>Yuhas, Robert</t>
  </si>
  <si>
    <t>Yurchukonis, Christine</t>
  </si>
  <si>
    <t>Zabel, Jessica</t>
  </si>
  <si>
    <t>Zadina, Shelley</t>
  </si>
  <si>
    <t>Zakskorn, Lynn</t>
  </si>
  <si>
    <t>Zaldivar, Rodrigo</t>
  </si>
  <si>
    <t>Zaldivar, Zoe</t>
  </si>
  <si>
    <t>Zamora, Conrad</t>
  </si>
  <si>
    <t>Zamora, Erica</t>
  </si>
  <si>
    <t>Zancanaro, David</t>
  </si>
  <si>
    <t>Zander, Aaron</t>
  </si>
  <si>
    <t>Zane, Diane</t>
  </si>
  <si>
    <t>Zang, James</t>
  </si>
  <si>
    <t>Zapiecki, Jamie</t>
  </si>
  <si>
    <t>Zbasnik, Theresa</t>
  </si>
  <si>
    <t>Zelaya, Jose</t>
  </si>
  <si>
    <t>Zell, Glen</t>
  </si>
  <si>
    <t>Zentgraf, Dan</t>
  </si>
  <si>
    <t>Zepeda, Leny</t>
  </si>
  <si>
    <t>Zerega, Christopher</t>
  </si>
  <si>
    <t>Zhang, Jun</t>
  </si>
  <si>
    <t>Zhang, Shan Shan</t>
  </si>
  <si>
    <t>Zhou, Rachel</t>
  </si>
  <si>
    <t>Zhuthompson, Yao</t>
  </si>
  <si>
    <t>Ziegler, Suzanne</t>
  </si>
  <si>
    <t>Zielinski, Peter</t>
  </si>
  <si>
    <t>Zilch, Joan</t>
  </si>
  <si>
    <t>Zimmerman, Jimmie</t>
  </si>
  <si>
    <t>Zimmerman, Portia</t>
  </si>
  <si>
    <t>Zinkewich, Steven</t>
  </si>
  <si>
    <t>Zinngraebe, Joerg</t>
  </si>
  <si>
    <t>Zinniel, Ellen</t>
  </si>
  <si>
    <t>Ziola, Agata</t>
  </si>
  <si>
    <t>Zizlavsky, Frank</t>
  </si>
  <si>
    <t>Zizolfo, Robert</t>
  </si>
  <si>
    <t>Zook, Robert</t>
  </si>
  <si>
    <t>Zorn, John</t>
  </si>
  <si>
    <t>Zorn, Todd</t>
  </si>
  <si>
    <t>Zoubek, Sandra</t>
  </si>
  <si>
    <t>Zoutenbier, Rob</t>
  </si>
  <si>
    <t>Zucker, Bradley</t>
  </si>
  <si>
    <t>Zumm, Jennifer</t>
  </si>
  <si>
    <t>Zych, Cathy</t>
  </si>
  <si>
    <t>Dalfonso, Frank</t>
  </si>
  <si>
    <t>DAmato, David</t>
  </si>
  <si>
    <t>Dovidio, Michael</t>
  </si>
  <si>
    <t>OBannon, Kevin</t>
  </si>
  <si>
    <t>OBriant, Shawna</t>
  </si>
  <si>
    <t>Obrien, Ellen</t>
  </si>
  <si>
    <t>OBrien, Joseph</t>
  </si>
  <si>
    <t>Obrien, Michael</t>
  </si>
  <si>
    <t>OBrien, Mike</t>
  </si>
  <si>
    <t>OConnell, Lauren</t>
  </si>
  <si>
    <t>OConnell, Patrick J</t>
  </si>
  <si>
    <t>Oconnor, Martin</t>
  </si>
  <si>
    <t>Odonnell, Donna</t>
  </si>
  <si>
    <t>Oneill, Faith</t>
  </si>
  <si>
    <t>ONeill, Kevin</t>
  </si>
  <si>
    <t>Oneill, Mark</t>
  </si>
  <si>
    <t>Oreilley jr, Daniel j</t>
  </si>
  <si>
    <t>Otoole, Vincent</t>
  </si>
  <si>
    <t>Fixed double submission of NSS OEM AC when creating an IMS2 #</t>
  </si>
  <si>
    <t>Fixed issue with spurious OEM AC error message and inconsistent messages</t>
  </si>
  <si>
    <t>Fixed clearing of OEM AC with 1 row plus counting of submitted rows</t>
  </si>
  <si>
    <t>Campos Calo, Eduardo</t>
  </si>
  <si>
    <t>Jeffords, Melanie A</t>
  </si>
  <si>
    <t>Shyu, Peter</t>
  </si>
  <si>
    <t>Test All Retail</t>
  </si>
  <si>
    <t>Hutchison, Frank</t>
  </si>
  <si>
    <t>Require ecrm number for eRate, validate ecrm number via user form</t>
  </si>
  <si>
    <t>Kern, Tres</t>
  </si>
  <si>
    <t>Fixed leading 0 disappearing when selecting from long list box</t>
  </si>
  <si>
    <t>fixed erate checkbox vb error when undoing the checkbox selection</t>
  </si>
  <si>
    <t>Refixed the expand all excel conversion of numeric values in key</t>
  </si>
  <si>
    <t>Fix TABLE type read into fields (was truncated)</t>
  </si>
  <si>
    <t>Matos-Mulero, Aimee</t>
  </si>
  <si>
    <t>Connected the Online_Product_List table to the new Express tab</t>
  </si>
  <si>
    <t>Added the Express tab that shows the products for Online and Express</t>
  </si>
  <si>
    <t>Added CNTL W command on Step 0 that auto populates wholesale content into Step 0.</t>
  </si>
  <si>
    <t>Project 121155b CR927 changes  --- checks Landing Pad being imported and makes sure data is properly summarized.</t>
  </si>
  <si>
    <t>Fixed credits dropdown</t>
  </si>
  <si>
    <t>Pfeifle, Chere</t>
  </si>
  <si>
    <t>Reinhardt, Eric</t>
  </si>
  <si>
    <t>ROM import</t>
  </si>
  <si>
    <t>Fixed erate ecrm box - when canceling out, clear ecrm #</t>
  </si>
  <si>
    <t>Project 121155b CR927 changes  --- final changes for October Release.</t>
  </si>
  <si>
    <t>FMODbTable28</t>
  </si>
  <si>
    <t>Solutions</t>
  </si>
  <si>
    <t>OfferInstances</t>
  </si>
  <si>
    <t>ProductInstances</t>
  </si>
  <si>
    <t>ComponentInstSpecs</t>
  </si>
  <si>
    <t>SiteLevelComponentInstances</t>
  </si>
  <si>
    <t>ComponentInstances</t>
  </si>
  <si>
    <t>PricingScenarios</t>
  </si>
  <si>
    <t>PricePlanInstances</t>
  </si>
  <si>
    <t>CommitmentInstances</t>
  </si>
  <si>
    <t>PricePlanProductInstances</t>
  </si>
  <si>
    <t>DiscountInstances</t>
  </si>
  <si>
    <t>RatePlanInstances</t>
  </si>
  <si>
    <t>RateInstances</t>
  </si>
  <si>
    <t>EthernetAccess</t>
  </si>
  <si>
    <t>Port</t>
  </si>
  <si>
    <t>CustomerLocationInfo</t>
  </si>
  <si>
    <t>Billing</t>
  </si>
  <si>
    <t>CustomerPremiseEquipment</t>
  </si>
  <si>
    <t>VoiceOverIp</t>
  </si>
  <si>
    <t>Price</t>
  </si>
  <si>
    <t>CircuitAccess</t>
  </si>
  <si>
    <t>ConnectionPoint</t>
  </si>
  <si>
    <t>IpLogicalChannel</t>
  </si>
  <si>
    <t>SiteAddresses</t>
  </si>
  <si>
    <t>FMOXRef</t>
  </si>
  <si>
    <t>FMOCDTAdrXRef</t>
  </si>
  <si>
    <t>FMOModelAdrXRef</t>
  </si>
  <si>
    <t>ModelHash</t>
  </si>
  <si>
    <t>ValidationErrors</t>
  </si>
  <si>
    <t>RateIdMatchUp</t>
  </si>
  <si>
    <t>ValueSettingRules</t>
  </si>
  <si>
    <t>ProductSummaryRules</t>
  </si>
  <si>
    <t>AccessResults</t>
  </si>
  <si>
    <t>AVPNResults</t>
  </si>
  <si>
    <t>BVoIPResults</t>
  </si>
  <si>
    <t>EthernetAccessResults</t>
  </si>
  <si>
    <t>MISResults</t>
  </si>
  <si>
    <t>FMO Table Names</t>
  </si>
  <si>
    <t>Data Tab Name</t>
  </si>
  <si>
    <t>FMODbTable1</t>
  </si>
  <si>
    <t>FMODbTable2</t>
  </si>
  <si>
    <t>FMODbTable3</t>
  </si>
  <si>
    <t>FMODbTable4</t>
  </si>
  <si>
    <t>FMODbTable5</t>
  </si>
  <si>
    <t>FMODbTable6</t>
  </si>
  <si>
    <t>FMODbTable7</t>
  </si>
  <si>
    <t>FMODbTable8</t>
  </si>
  <si>
    <t>FMODbTable9</t>
  </si>
  <si>
    <t>FMODbTable10</t>
  </si>
  <si>
    <t>FMODbTable11</t>
  </si>
  <si>
    <t>FMODbTable12</t>
  </si>
  <si>
    <t>FMODbTable13</t>
  </si>
  <si>
    <t>FMODbTable14</t>
  </si>
  <si>
    <t>FMODbTable15</t>
  </si>
  <si>
    <t>FMODbTable16</t>
  </si>
  <si>
    <t>FMODbTable17</t>
  </si>
  <si>
    <t>FMODbTable18</t>
  </si>
  <si>
    <t>FMODbTable19</t>
  </si>
  <si>
    <t>FMODbTable20</t>
  </si>
  <si>
    <t>FMODbTable21</t>
  </si>
  <si>
    <t>FMODbTable22</t>
  </si>
  <si>
    <t>FMODbTable23</t>
  </si>
  <si>
    <t>FMODbTable24</t>
  </si>
  <si>
    <t>FMODbTable25</t>
  </si>
  <si>
    <t>FMODbTable26</t>
  </si>
  <si>
    <t>FMODbTable27</t>
  </si>
  <si>
    <t>FMODbTable29</t>
  </si>
  <si>
    <t>FMODbTable30</t>
  </si>
  <si>
    <t>FMODbTable31</t>
  </si>
  <si>
    <t>FMODbTable32</t>
  </si>
  <si>
    <t>FMODbTable33</t>
  </si>
  <si>
    <t>FMODbTable34</t>
  </si>
  <si>
    <t>FMODbTable35</t>
  </si>
  <si>
    <t>FMODbTable36</t>
  </si>
  <si>
    <t>FMODbTable37</t>
  </si>
  <si>
    <t>FMODbTable38</t>
  </si>
  <si>
    <t>FMODbTable39</t>
  </si>
  <si>
    <t>FMODbTable40</t>
  </si>
  <si>
    <t xml:space="preserve">Updated the date of the file for release.  In VB, Step 1 tab, there was an E-Rate message box that tested the eCRM number that was commented out.    We needed this function, so the lines were reengaged and the tool was compiled.  The steps appear to function properly.  Soham has generally approved. </t>
  </si>
  <si>
    <t>adjusted paste routine to check for prices even when the paste area is outside of price-driving columns (during pasteOn only)</t>
  </si>
  <si>
    <t>Updated date of file, added control buttons on scratchpad tab to hide and unhide all tabs (debugit &amp; groundstate), the macro code already existed.  Removed visibility of test server check box on login template, and added text advising not to use a test ID on a live deal.</t>
  </si>
  <si>
    <t>Cheng, Albert</t>
  </si>
  <si>
    <t>Goh, Kevin</t>
  </si>
  <si>
    <t>Yim, Bella</t>
  </si>
  <si>
    <t>GES</t>
  </si>
  <si>
    <t>replaced blank checking formulas</t>
  </si>
  <si>
    <t>Current CIR</t>
  </si>
  <si>
    <t>fixed mis-spelling on OEMAC tab , changed buttons for better visibility</t>
  </si>
  <si>
    <t>changed nss routing to honor "skip" action</t>
  </si>
  <si>
    <t>sMpaType</t>
  </si>
  <si>
    <t>sMeet_Clli</t>
  </si>
  <si>
    <t>sAffDaInd</t>
  </si>
  <si>
    <t>sDaAsrID</t>
  </si>
  <si>
    <t>sDaCircuitID</t>
  </si>
  <si>
    <t>sNteNcte_Clli</t>
  </si>
  <si>
    <t>sAltIpagRequested</t>
  </si>
  <si>
    <t>sAafIpag_Clli</t>
  </si>
  <si>
    <t>sFineGrainCard</t>
  </si>
  <si>
    <t>iLoopLength</t>
  </si>
  <si>
    <t>sSingleCosPpcos</t>
  </si>
  <si>
    <t>sCosSingMulSched</t>
  </si>
  <si>
    <t>sCPSS</t>
  </si>
  <si>
    <t>sNewCIR</t>
  </si>
  <si>
    <t>Mpa Type</t>
  </si>
  <si>
    <t xml:space="preserve">Meetpoint Destination CLLI </t>
  </si>
  <si>
    <t>AAF/DA Indicator</t>
  </si>
  <si>
    <t>DA ASR Item ID</t>
  </si>
  <si>
    <t>DA Circuit ID</t>
  </si>
  <si>
    <t>Alt IPAG Requested</t>
  </si>
  <si>
    <t>AAF IPAG CLLI</t>
  </si>
  <si>
    <t>Fine Grain Card</t>
  </si>
  <si>
    <t>Loop Length(kf)</t>
  </si>
  <si>
    <t>Single COS/PPCOS</t>
  </si>
  <si>
    <t>CPSS (Customer Premise Support Structure)</t>
  </si>
  <si>
    <t>sSiteAlias</t>
  </si>
  <si>
    <t>sSiteType</t>
  </si>
  <si>
    <t>sAsrItemID</t>
  </si>
  <si>
    <t>Customer Reference or Site Alias</t>
  </si>
  <si>
    <t>Site Type</t>
  </si>
  <si>
    <t>Asr Item ID</t>
  </si>
  <si>
    <t>Port CIR</t>
  </si>
  <si>
    <t>Updated date, and launched.</t>
  </si>
  <si>
    <t>VT</t>
  </si>
  <si>
    <t>Dev</t>
  </si>
  <si>
    <t>Sites~Customer Reference or Site Alias</t>
  </si>
  <si>
    <t>Routes~Site Type</t>
  </si>
  <si>
    <t>Routes~Mpa Type</t>
  </si>
  <si>
    <t>Routes~Alternate Switch Requested</t>
  </si>
  <si>
    <t>Routes~New CIR</t>
  </si>
  <si>
    <t>data~Loop Length(kf)</t>
  </si>
  <si>
    <t>Port~Meetpoint Destination CLLI</t>
  </si>
  <si>
    <t>Updated date, added new OEMAC fields</t>
  </si>
  <si>
    <t>Clear copy command data for OEMAC fields that are in later releases</t>
  </si>
  <si>
    <t>EMUX Type</t>
  </si>
  <si>
    <t>sEmuxType</t>
  </si>
  <si>
    <t>Removed CPSS copy command text from OEMAC template tab</t>
  </si>
  <si>
    <t>Found in Sa</t>
  </si>
  <si>
    <t>Changed NSS Loop length to 1 decimal, changed NSS address error checking conditional formatting</t>
  </si>
  <si>
    <t>OEMAC - relocated SWC fields, in region indicator, made red for blank, changed SA file dialogue</t>
  </si>
  <si>
    <t>Garcell, Hector</t>
  </si>
  <si>
    <t>Hammock, Bryan</t>
  </si>
  <si>
    <t>Jernigan, Justin</t>
  </si>
  <si>
    <t>Posey, Todd</t>
  </si>
  <si>
    <t>Schroeder, Rick</t>
  </si>
  <si>
    <t>Tomiye, Robert</t>
  </si>
  <si>
    <t>Repointed LiteB function to ddSalesChannel</t>
  </si>
  <si>
    <t>Rename OEM AC to NSS ASE + Universal translator coding</t>
  </si>
  <si>
    <t>Clearing ...</t>
  </si>
  <si>
    <t>Include notes tab with AIS import</t>
  </si>
  <si>
    <t>Atkinson, Jeanie</t>
  </si>
  <si>
    <t>View Products</t>
  </si>
  <si>
    <t>Groups</t>
  </si>
  <si>
    <t>Group:</t>
  </si>
  <si>
    <t>Add product listing tab</t>
  </si>
  <si>
    <t>Add universal translator export coding</t>
  </si>
  <si>
    <t>CUSTOM OPPORTUNITY SUMMARY</t>
  </si>
  <si>
    <t xml:space="preserve">Customer Name: </t>
  </si>
  <si>
    <t xml:space="preserve">Market Share and Competitive Assessment </t>
  </si>
  <si>
    <t>based on customer's actual telecom spend. AT&amp;T numbers should be accurate, estimate spend outside of AT&amp;T where necessary.</t>
  </si>
  <si>
    <t>AT&amp;T Annual
Spend</t>
  </si>
  <si>
    <t>Competitive Annual
Spend</t>
  </si>
  <si>
    <t>Competitive
Share %</t>
  </si>
  <si>
    <t>Mobility</t>
  </si>
  <si>
    <t>Contract Status</t>
  </si>
  <si>
    <t>Services</t>
  </si>
  <si>
    <t>Actual Annual Revenue</t>
  </si>
  <si>
    <t>Annual Contract Committed Spend</t>
  </si>
  <si>
    <t>Annual Shadow</t>
  </si>
  <si>
    <t>Current Provider(s)</t>
  </si>
  <si>
    <t>Competitor #1</t>
  </si>
  <si>
    <t>Competitor #2</t>
  </si>
  <si>
    <t>AT&amp;T Requested Offer</t>
  </si>
  <si>
    <t xml:space="preserve">List Providers ==&gt; </t>
  </si>
  <si>
    <t>AT&amp;T Term (mo.):</t>
  </si>
  <si>
    <t xml:space="preserve">List Services </t>
  </si>
  <si>
    <t>Annual Revenue</t>
  </si>
  <si>
    <t>Proposing at Sales Authority or Need Custom Pricing</t>
  </si>
  <si>
    <t>(list provider if different than above)</t>
  </si>
  <si>
    <t>(input service here)</t>
  </si>
  <si>
    <t>Total Annual Revenue:</t>
  </si>
  <si>
    <t>Sales Strategy</t>
  </si>
  <si>
    <t xml:space="preserve">Include key advantages AT&amp;T has over competitive offer </t>
  </si>
  <si>
    <t>Timeframe</t>
  </si>
  <si>
    <t>Scenario</t>
  </si>
  <si>
    <t>Unanalyzed Terms  (in months)</t>
  </si>
  <si>
    <t>Writedown</t>
  </si>
  <si>
    <t>Annual Recurring Revenue</t>
  </si>
  <si>
    <t>Total Credits (Annual)</t>
  </si>
  <si>
    <t>Proposed MARC (Annual)</t>
  </si>
  <si>
    <t>Scen 1</t>
  </si>
  <si>
    <t>Scen 2</t>
  </si>
  <si>
    <t>Scen 3</t>
  </si>
  <si>
    <t>Callahan, Phil</t>
  </si>
  <si>
    <t>Castleberry, Scott</t>
  </si>
  <si>
    <t>Lusardi, Lynda</t>
  </si>
  <si>
    <t>Mondillo, Tiffany</t>
  </si>
  <si>
    <t>Owens, Todd</t>
  </si>
  <si>
    <t>Shank-Sickles, Julie</t>
  </si>
  <si>
    <t>Singer, Sam</t>
  </si>
  <si>
    <t>Styles, Maurice</t>
  </si>
  <si>
    <t>Thornton, Shelly</t>
  </si>
  <si>
    <t>Vergine, Steve</t>
  </si>
  <si>
    <t>Wells, Martha</t>
  </si>
  <si>
    <t>Wilson, Todd</t>
  </si>
  <si>
    <t>Yatsko, Mark</t>
  </si>
  <si>
    <t>Add product summary tab and code</t>
  </si>
  <si>
    <t>revamp customer oppty tab</t>
  </si>
  <si>
    <t>CSM</t>
  </si>
  <si>
    <t>Hid line 1 in Product 2 to match the other product tabs.</t>
  </si>
  <si>
    <t>Added VB code into ThisWorkbook tab that notifies Sales that a newer CDT version is available.  They are directed to SalesLinks tab if they select Yes.</t>
  </si>
  <si>
    <t>Begin work to have 6 little products and more than 12 fields</t>
  </si>
  <si>
    <t>Begin architecture save work</t>
  </si>
  <si>
    <t>* Req MRC</t>
  </si>
  <si>
    <t>Existing Qty</t>
  </si>
  <si>
    <t>(Monthly)</t>
  </si>
  <si>
    <t>(Annual)</t>
  </si>
  <si>
    <t>(Contract)</t>
  </si>
  <si>
    <t>Existing Qty * Existing MRC (Monthly)</t>
  </si>
  <si>
    <t>Existing Qty * Req Qty (Monthly)</t>
  </si>
  <si>
    <t>Writedown (Monthly)</t>
  </si>
  <si>
    <t>Req Qty * Req MRC (Monthly)</t>
  </si>
  <si>
    <t>Existing Qty * Existing MRC (Contract)</t>
  </si>
  <si>
    <t>Existing Qty * Req Qty (Contract)</t>
  </si>
  <si>
    <t>Writedown (Contract)</t>
  </si>
  <si>
    <t>Req Qty * Req MRC (Contract)</t>
  </si>
  <si>
    <t>Existing Qty * Existing MRC (Annual)</t>
  </si>
  <si>
    <t>Existing Qty * Req Qty (Annual)</t>
  </si>
  <si>
    <t>Writedown (Annual)</t>
  </si>
  <si>
    <t>Req Qty * Req MRC (Annual)</t>
  </si>
  <si>
    <t>Revenue</t>
  </si>
  <si>
    <t>Impact</t>
  </si>
  <si>
    <t>New Revenue (Monthly)</t>
  </si>
  <si>
    <t>Revenue Impact (Monthly)</t>
  </si>
  <si>
    <t>New Revenue (Annual)</t>
  </si>
  <si>
    <t>Revenue Impact (Annual)</t>
  </si>
  <si>
    <t>New Revenue (Contract)</t>
  </si>
  <si>
    <t>Revenue Impact (Contract)</t>
  </si>
  <si>
    <t>* Current MRC</t>
  </si>
  <si>
    <t>Revamp product summary tab based on feedback</t>
  </si>
  <si>
    <t>Deal Manager</t>
  </si>
  <si>
    <t>Stokes, Timothy</t>
  </si>
  <si>
    <t>% MARC</t>
  </si>
  <si>
    <t>Sub-Total</t>
  </si>
  <si>
    <t>Total Qty</t>
  </si>
  <si>
    <t>Additional changes to product summary tab - fix on customer oppty tab</t>
  </si>
  <si>
    <t>Proposed Solution and Competitive Info.</t>
  </si>
  <si>
    <t xml:space="preserve"> (click + sign on the left to expand for more rows)</t>
  </si>
  <si>
    <t>Current Annual Revenue</t>
  </si>
  <si>
    <t xml:space="preserve">This template is required for all custom pricing requests. </t>
  </si>
  <si>
    <t>Total Customer Annual 
Spend</t>
  </si>
  <si>
    <t xml:space="preserve">   "light green" cells are required input / data</t>
  </si>
  <si>
    <t>Current Provider / Vendor</t>
  </si>
  <si>
    <t>Various changes to customer oppty tab + add mobility to step 1 marcs</t>
  </si>
  <si>
    <t xml:space="preserve"> Estimated % of locations in AT&amp;T offer that are in franchise/ in footprint: </t>
  </si>
  <si>
    <t>Total Proposed Spend (Annual)</t>
  </si>
  <si>
    <t>Telco Annual Recurring Revenue</t>
  </si>
  <si>
    <t>LD Annual Recurring Revenue</t>
  </si>
  <si>
    <t>Mobility Annual Recurring Revenue</t>
  </si>
  <si>
    <t>anything with telco</t>
  </si>
  <si>
    <t>anything with mobility</t>
  </si>
  <si>
    <t>all else</t>
  </si>
  <si>
    <t>Contracted Term (mo)</t>
  </si>
  <si>
    <t>Expiration Date of Contract</t>
  </si>
  <si>
    <t>Annual Revenue at Sales Authority</t>
  </si>
  <si>
    <t>Requested/Target Annual Revenue</t>
  </si>
  <si>
    <t>Routes~AAF/DA Indicator</t>
  </si>
  <si>
    <t>Routes~DA ASR Item ID</t>
  </si>
  <si>
    <t>Routes~DA Circuit ID</t>
  </si>
  <si>
    <t>Routes~AAF IPAG CLLI</t>
  </si>
  <si>
    <t>Routes~Fine Grain Card</t>
  </si>
  <si>
    <t>Port~Single COS/PPCOS</t>
  </si>
  <si>
    <t>2/4/20011</t>
  </si>
  <si>
    <t>Added reference to PC Globes location for several ASE (OEM AC) fields</t>
  </si>
  <si>
    <t>Changes to Customer Oppty Tab</t>
  </si>
  <si>
    <t>Harman, Brett</t>
  </si>
  <si>
    <t>Menditto, Michael</t>
  </si>
  <si>
    <t>Change "AIS Required" message formula</t>
  </si>
  <si>
    <t>Removed reverence to wb.doingdaimport variable</t>
  </si>
  <si>
    <t>Fixed iteration through dropdown collection when there are no dropdowns (key is jurisdiction only)</t>
  </si>
  <si>
    <t>Allow import of excel 2007 AISs</t>
  </si>
  <si>
    <t>various changes to product summary tab + have step 1 trigger summary recalc</t>
  </si>
  <si>
    <t>Port~NTE CLLI</t>
  </si>
  <si>
    <t>Port~EMUX CLLI</t>
  </si>
  <si>
    <t>Port~IPAG CLLI</t>
  </si>
  <si>
    <t>Port~CoS Package</t>
  </si>
  <si>
    <t>Sites~Room</t>
  </si>
  <si>
    <t>sFloor</t>
  </si>
  <si>
    <t>Sites~Floor</t>
  </si>
  <si>
    <t>sBuilding</t>
  </si>
  <si>
    <t>Sites~Building</t>
  </si>
  <si>
    <t>sSuite</t>
  </si>
  <si>
    <t>Sites~Suite</t>
  </si>
  <si>
    <t>Floor</t>
  </si>
  <si>
    <t>Building</t>
  </si>
  <si>
    <t>Suite</t>
  </si>
  <si>
    <t>added 3 new fields to OEMAC plus changed a few others</t>
  </si>
  <si>
    <t>Made change to cut and paste to allow universal translator pastes to pricing fields withour over-rides</t>
  </si>
  <si>
    <t>Added check to product loading during universal translator to fail with an error message if translator</t>
  </si>
  <si>
    <t>asks for product that does not exist</t>
  </si>
  <si>
    <t>Enter Contract (mos) ==&gt;</t>
  </si>
  <si>
    <t>coterminous</t>
  </si>
  <si>
    <t>supercede</t>
  </si>
  <si>
    <t>Customer Oppty changes per Soham and Jeff R.</t>
  </si>
  <si>
    <t>If Yes, then please provide your high level international access price targets (i.e. OTC waiver, x% MRC discount, etc)</t>
  </si>
  <si>
    <t xml:space="preserve">      ICB Online</t>
  </si>
  <si>
    <t xml:space="preserve">     International Access</t>
  </si>
  <si>
    <t>Credits - Annual</t>
  </si>
  <si>
    <t>Annualized Credits (New)</t>
  </si>
  <si>
    <t>Annualized Credits (Current)</t>
  </si>
  <si>
    <t>Monthly Credits (New)</t>
  </si>
  <si>
    <t>Contract Credits (Current)</t>
  </si>
  <si>
    <t>Contract Credits (New)</t>
  </si>
  <si>
    <t>Credits - One Time (spread)</t>
  </si>
  <si>
    <t>Customer Oppty and Product changes per Soham</t>
  </si>
  <si>
    <t xml:space="preserve">Estimated Net Annual Revenue Impact </t>
  </si>
  <si>
    <t>Brack, Kevin D</t>
  </si>
  <si>
    <t>Fulton, Cecelia M</t>
  </si>
  <si>
    <t>Grejda, Fred W</t>
  </si>
  <si>
    <t>Guettler, Cheryl L</t>
  </si>
  <si>
    <t>Hunter, Shay C</t>
  </si>
  <si>
    <t>Singewald, Sandra A</t>
  </si>
  <si>
    <t>Aspinall, David</t>
  </si>
  <si>
    <t>Carey, Karen</t>
  </si>
  <si>
    <t>Goodlow, Don</t>
  </si>
  <si>
    <t>Gross, Mark</t>
  </si>
  <si>
    <t>McFarlin, John</t>
  </si>
  <si>
    <t>Mehlin, Jeff</t>
  </si>
  <si>
    <t>Reid, Viette</t>
  </si>
  <si>
    <t>Spencer, George</t>
  </si>
  <si>
    <t>Stovall, William</t>
  </si>
  <si>
    <t>Tyler, Dave</t>
  </si>
  <si>
    <t>Baqri, Ali</t>
  </si>
  <si>
    <t>Brown, Debbie</t>
  </si>
  <si>
    <t>Carty, Karen</t>
  </si>
  <si>
    <t>Cox, Quent</t>
  </si>
  <si>
    <t>Domalewski, Bruce</t>
  </si>
  <si>
    <t>Fiorillo, Sal</t>
  </si>
  <si>
    <t>Gayen, Sanjukta</t>
  </si>
  <si>
    <t>Haeri, Bijan</t>
  </si>
  <si>
    <t>Haning, Jeff</t>
  </si>
  <si>
    <t>Heidt, Steven</t>
  </si>
  <si>
    <t>Heimerl, Michael A</t>
  </si>
  <si>
    <t>Hodyl, John</t>
  </si>
  <si>
    <t>Kamin, Peter W</t>
  </si>
  <si>
    <t>Kamm, Leigh Carlson</t>
  </si>
  <si>
    <t>Kim, Hank</t>
  </si>
  <si>
    <t>Komar, Gene</t>
  </si>
  <si>
    <t>Lamb, Bill</t>
  </si>
  <si>
    <t>Lawson, Keith</t>
  </si>
  <si>
    <t>Lazo, Oscar A</t>
  </si>
  <si>
    <t>Nixon, Stephen R</t>
  </si>
  <si>
    <t>Oberman, Rick</t>
  </si>
  <si>
    <t>Peduzzi, Mark R</t>
  </si>
  <si>
    <t>Pelton, Scott</t>
  </si>
  <si>
    <t>Peynado, Esteban J</t>
  </si>
  <si>
    <t>Ranney, David E</t>
  </si>
  <si>
    <t>Rawson, Dave</t>
  </si>
  <si>
    <t>Rubin, Paul G</t>
  </si>
  <si>
    <t>Silva, Mauricio</t>
  </si>
  <si>
    <t>Sosa, Miguel</t>
  </si>
  <si>
    <t>Wheeler, Phil</t>
  </si>
  <si>
    <t>Wresh, Theresa</t>
  </si>
  <si>
    <t>Unanalyzed (input monthly)</t>
  </si>
  <si>
    <t>PriceMobility</t>
  </si>
  <si>
    <t>Add save as dialog when submitting to NSS</t>
  </si>
  <si>
    <t>Expr/Cert Btn</t>
  </si>
  <si>
    <t>Onselection routine check for target.rows to avoid overflow error when selecting all cells in a tab</t>
  </si>
  <si>
    <t>Express/Certified button with custom messages</t>
  </si>
  <si>
    <t>Nix, Shaun</t>
  </si>
  <si>
    <t>Make AIS required message bold red</t>
  </si>
  <si>
    <t>oppty.reqResponseDate</t>
  </si>
  <si>
    <t>oppty.segment</t>
  </si>
  <si>
    <t>oppty.salesChannel</t>
  </si>
  <si>
    <t>oppty.salesVP</t>
  </si>
  <si>
    <t>oppty.salesState</t>
  </si>
  <si>
    <t>oppty.accountExecutive</t>
  </si>
  <si>
    <t>oppty.ecrmWorkReqID</t>
  </si>
  <si>
    <t>oppty.customerName</t>
  </si>
  <si>
    <t>oppty.dealDescShort</t>
  </si>
  <si>
    <t>oppty.competitor</t>
  </si>
  <si>
    <t>Unmerged cells on Customer_Opportunity</t>
  </si>
  <si>
    <t>Added custOpptyInfo named range</t>
  </si>
  <si>
    <t>Burke, Eric</t>
  </si>
  <si>
    <t>Villigan, Brandon</t>
  </si>
  <si>
    <t>Walker-Bialek, Joey</t>
  </si>
  <si>
    <t>Warner, Chris</t>
  </si>
  <si>
    <t>Waters, Valerie</t>
  </si>
  <si>
    <t>White, Dale</t>
  </si>
  <si>
    <t>Wiese, John</t>
  </si>
  <si>
    <t>Yata, Greg</t>
  </si>
  <si>
    <t>Yi, Kelly</t>
  </si>
  <si>
    <t>oppty.BU</t>
  </si>
  <si>
    <t>Morrisett, William</t>
  </si>
  <si>
    <t>Primary</t>
  </si>
  <si>
    <t>Dev CSM</t>
  </si>
  <si>
    <t>altPrimary</t>
  </si>
  <si>
    <t>Alternate</t>
  </si>
  <si>
    <t>Submitted to ICB?</t>
  </si>
  <si>
    <t>Read Only?</t>
  </si>
  <si>
    <t>Submitted?</t>
  </si>
  <si>
    <t>Mapping Source</t>
  </si>
  <si>
    <t>Map Source ID</t>
  </si>
  <si>
    <t>Actions</t>
  </si>
  <si>
    <t>Clear Data Button</t>
  </si>
  <si>
    <t>Load Products</t>
  </si>
  <si>
    <t>Import (do in cost model)</t>
  </si>
  <si>
    <t>add/replace:</t>
  </si>
  <si>
    <t>clears product definition and data</t>
  </si>
  <si>
    <t>clears product def. and data</t>
  </si>
  <si>
    <t>imports input data into model</t>
  </si>
  <si>
    <t>edit:</t>
  </si>
  <si>
    <t>does not clear definition or data</t>
  </si>
  <si>
    <t>does not clear def. or data</t>
  </si>
  <si>
    <t>skip:</t>
  </si>
  <si>
    <t>does not import input data into model</t>
  </si>
  <si>
    <t>Credits</t>
  </si>
  <si>
    <t>Enter the current credit elements required on the deal</t>
  </si>
  <si>
    <t>Scenario 1</t>
  </si>
  <si>
    <t>Scenario 3</t>
  </si>
  <si>
    <t>Credit Type  
(One Time or Annual)</t>
  </si>
  <si>
    <t>Related to
(Existing or Winback/New)</t>
  </si>
  <si>
    <t>Current Term</t>
  </si>
  <si>
    <t>TOTAL Current Credit Value ($)</t>
  </si>
  <si>
    <t>Monthly Credits (Current)</t>
  </si>
  <si>
    <t>Terms</t>
  </si>
  <si>
    <t>TermOffsets</t>
  </si>
  <si>
    <t>passListrates</t>
  </si>
  <si>
    <t>output #</t>
  </si>
  <si>
    <t>top prod ID</t>
  </si>
  <si>
    <t>Status</t>
  </si>
  <si>
    <t>Permssions</t>
  </si>
  <si>
    <t>Ims Deal Number</t>
  </si>
  <si>
    <t>Ims Version</t>
  </si>
  <si>
    <t xml:space="preserve"> </t>
  </si>
  <si>
    <t xml:space="preserve">  </t>
  </si>
  <si>
    <r>
      <t xml:space="preserve">Warning: </t>
    </r>
    <r>
      <rPr>
        <sz val="12"/>
        <rFont val="Arial"/>
        <family val="2"/>
      </rPr>
      <t>if this sheet appeared when opening this spreadsheet your macro protections are too high or you did not select</t>
    </r>
  </si>
  <si>
    <t>enable macros when opening.  To fix this issue follow these 2 steps.  (Scroll down to see screen shots.)</t>
  </si>
  <si>
    <t>1. Enable content for this workbook when opening</t>
  </si>
  <si>
    <t>or - make the location the file is in (defaults to c:/Program Files) trusted</t>
  </si>
  <si>
    <t>2. When opening select "Enable macros"</t>
  </si>
  <si>
    <t>Last Save</t>
  </si>
  <si>
    <t>Permissions</t>
  </si>
  <si>
    <t>ICB Pricers</t>
  </si>
  <si>
    <t>WSales</t>
  </si>
  <si>
    <t>Express</t>
  </si>
  <si>
    <t>WExpress</t>
  </si>
  <si>
    <t>InR</t>
  </si>
  <si>
    <t>FMO</t>
  </si>
  <si>
    <t>FedLD</t>
  </si>
  <si>
    <t>CSA</t>
  </si>
  <si>
    <t>Current Groups</t>
  </si>
  <si>
    <t>adfads</t>
  </si>
  <si>
    <t>Assigned?</t>
  </si>
  <si>
    <t>Exists</t>
  </si>
  <si>
    <t>Locked</t>
  </si>
  <si>
    <t>Locked by</t>
  </si>
  <si>
    <t>ROME Support Request ID</t>
  </si>
  <si>
    <t>ROME Work Req/Bid ID</t>
  </si>
  <si>
    <t>Submitted Status</t>
  </si>
  <si>
    <t>Submitted to Cost?</t>
  </si>
  <si>
    <t>Min Threshold App'd Exception:</t>
  </si>
  <si>
    <t>Mapping Src</t>
  </si>
  <si>
    <t>Condense</t>
  </si>
  <si>
    <t>Curran, Brian</t>
  </si>
  <si>
    <t>Younger, Michael</t>
  </si>
  <si>
    <t>Loaded in Model?</t>
  </si>
  <si>
    <t>IMS2 Status</t>
  </si>
  <si>
    <t>Abaci, Tamer</t>
  </si>
  <si>
    <t>Antonelli, John</t>
  </si>
  <si>
    <t>Batts, Michael J</t>
  </si>
  <si>
    <t>Bentley, Coleman</t>
  </si>
  <si>
    <t>Bierman, Kendra</t>
  </si>
  <si>
    <t>Boughton, Robert</t>
  </si>
  <si>
    <t>Buescher, Robert</t>
  </si>
  <si>
    <t>Cheng, Yat-Fan</t>
  </si>
  <si>
    <t>Cho, Kevin</t>
  </si>
  <si>
    <t>Clute, Kenneth</t>
  </si>
  <si>
    <t>Colin, Lee</t>
  </si>
  <si>
    <t>Collins, Jeffrey</t>
  </si>
  <si>
    <t>Cornett, Bill</t>
  </si>
  <si>
    <t>Cremasco, Joao Adriano</t>
  </si>
  <si>
    <t>Crever, Kasey</t>
  </si>
  <si>
    <t>Croce, Nafisa</t>
  </si>
  <si>
    <t>Curtis, Sean</t>
  </si>
  <si>
    <t>Datesman, Cathy</t>
  </si>
  <si>
    <t>Davis, William</t>
  </si>
  <si>
    <t>De Milia, Diane</t>
  </si>
  <si>
    <t>Do, Hoang</t>
  </si>
  <si>
    <t>Donehoo, John</t>
  </si>
  <si>
    <t>Dyer, Phillip</t>
  </si>
  <si>
    <t>Esparza, Andres</t>
  </si>
  <si>
    <t>Feranec, Michael</t>
  </si>
  <si>
    <t>Fletcher, James</t>
  </si>
  <si>
    <t>Fluke, Christopher</t>
  </si>
  <si>
    <t>G, Sudeep</t>
  </si>
  <si>
    <t>Gabbard, Michael</t>
  </si>
  <si>
    <t>Gaines, Nakesha</t>
  </si>
  <si>
    <t>Garrett, Luke</t>
  </si>
  <si>
    <t>Goodman, Micah</t>
  </si>
  <si>
    <t>Grady, Charles R</t>
  </si>
  <si>
    <t>Guarino, Joseph</t>
  </si>
  <si>
    <t>Gueye, Karim</t>
  </si>
  <si>
    <t>Guiblain, Olivier</t>
  </si>
  <si>
    <t>Gulia, Frank</t>
  </si>
  <si>
    <t>Gupta, Abhinav</t>
  </si>
  <si>
    <t>Gupta, Rahul</t>
  </si>
  <si>
    <t>Gurav, Hemant</t>
  </si>
  <si>
    <t>H G, Swathi</t>
  </si>
  <si>
    <t>Haag, Eric</t>
  </si>
  <si>
    <t>Haas, David</t>
  </si>
  <si>
    <t>Haas, Stefan</t>
  </si>
  <si>
    <t>Haberek, Daye</t>
  </si>
  <si>
    <t>Haby, Bryan</t>
  </si>
  <si>
    <t>Hadge, Vishal</t>
  </si>
  <si>
    <t>Hadjimarkos, Thomas</t>
  </si>
  <si>
    <t>Hagerman, James</t>
  </si>
  <si>
    <t>Haigis, Kurt</t>
  </si>
  <si>
    <t>Halbach, Patrick</t>
  </si>
  <si>
    <t>Haldeman, Sarah</t>
  </si>
  <si>
    <t>Haley, Foster</t>
  </si>
  <si>
    <t>Hall, Michael</t>
  </si>
  <si>
    <t>Halligan, Kelly</t>
  </si>
  <si>
    <t>Halm, Jutta</t>
  </si>
  <si>
    <t>Hamler, William</t>
  </si>
  <si>
    <t>Hampton, Wayne</t>
  </si>
  <si>
    <t>Handfield, Wayne</t>
  </si>
  <si>
    <t>Hannah, Antonia</t>
  </si>
  <si>
    <t>Hannon, Edmund</t>
  </si>
  <si>
    <t>Hansen, Robert</t>
  </si>
  <si>
    <t>Hanssen, Christer</t>
  </si>
  <si>
    <t>Harbaruk, Neil</t>
  </si>
  <si>
    <t>Hardy, Pierre</t>
  </si>
  <si>
    <t>Hargrett, James</t>
  </si>
  <si>
    <t>Harinkhede, Shailendra</t>
  </si>
  <si>
    <t>Harper, Lisa</t>
  </si>
  <si>
    <t>Harrell, Traci</t>
  </si>
  <si>
    <t>Harris, Antonio</t>
  </si>
  <si>
    <t>Harrison, Andrew</t>
  </si>
  <si>
    <t>Hart, Howard</t>
  </si>
  <si>
    <t>Hartman, Donald</t>
  </si>
  <si>
    <t>Harvey, William</t>
  </si>
  <si>
    <t>Haskins, Michael</t>
  </si>
  <si>
    <t>Hathorn, Sharlene</t>
  </si>
  <si>
    <t>Hau, Amanda</t>
  </si>
  <si>
    <t>Haugen, Erik</t>
  </si>
  <si>
    <t>Hayes, Lindon</t>
  </si>
  <si>
    <t>Hazell, Ian</t>
  </si>
  <si>
    <t>Hazenoot, Jacob</t>
  </si>
  <si>
    <t>He, Nathalie</t>
  </si>
  <si>
    <t>Headley, Teresa</t>
  </si>
  <si>
    <t>Heaney, Timothy</t>
  </si>
  <si>
    <t>Hebbelinck, Catherine</t>
  </si>
  <si>
    <t>Hedau, Prashant</t>
  </si>
  <si>
    <t>Hegde, Mahavishnu</t>
  </si>
  <si>
    <t>Hekhuis, Ann</t>
  </si>
  <si>
    <t>Hendel, Lorne</t>
  </si>
  <si>
    <t>Henderson, Matt</t>
  </si>
  <si>
    <t>Hengel, Katherine</t>
  </si>
  <si>
    <t>Henning, Lauren</t>
  </si>
  <si>
    <t>Herman, Gregg</t>
  </si>
  <si>
    <t>Herrera, Alejandro</t>
  </si>
  <si>
    <t>Herrera-Baker, Louis</t>
  </si>
  <si>
    <t>Herron, Mike</t>
  </si>
  <si>
    <t>Herum, Ginette</t>
  </si>
  <si>
    <t>Hesterley, K</t>
  </si>
  <si>
    <t>Hicks, Judy</t>
  </si>
  <si>
    <t>Hidalgo, Jose</t>
  </si>
  <si>
    <t>Hidrogo, Diane</t>
  </si>
  <si>
    <t>Hiersoux, Michel</t>
  </si>
  <si>
    <t>Hill, Lauren</t>
  </si>
  <si>
    <t>Hill, Paul</t>
  </si>
  <si>
    <t>Hiller, Jeremy</t>
  </si>
  <si>
    <t>Hillman, Chad</t>
  </si>
  <si>
    <t>Hinds, Dustin</t>
  </si>
  <si>
    <t>Hinninger, Volker</t>
  </si>
  <si>
    <t>Hinske, Mike</t>
  </si>
  <si>
    <t>Hinson, Jody</t>
  </si>
  <si>
    <t>Ho, Tsz Ling</t>
  </si>
  <si>
    <t>Hoffman, Daniel</t>
  </si>
  <si>
    <t>Hoffman, Debra</t>
  </si>
  <si>
    <t>Holmes, Christopher</t>
  </si>
  <si>
    <t>Holmes, Cynthia</t>
  </si>
  <si>
    <t>Holmes, Kevin</t>
  </si>
  <si>
    <t>Holtz, Brian</t>
  </si>
  <si>
    <t>Hooper, Vickie</t>
  </si>
  <si>
    <t>Hoppe, Robin P</t>
  </si>
  <si>
    <t>Horikawa, Shingo</t>
  </si>
  <si>
    <t>Hornsby, Michael</t>
  </si>
  <si>
    <t>Hosalli, Neeta</t>
  </si>
  <si>
    <t>Hoskota, Suresh</t>
  </si>
  <si>
    <t>Houdart, Benoit</t>
  </si>
  <si>
    <t>Howell, Josephine</t>
  </si>
  <si>
    <t>Howes, Wayne</t>
  </si>
  <si>
    <t>Hsiao, Man Sze</t>
  </si>
  <si>
    <t>Hsu, Marty</t>
  </si>
  <si>
    <t>Hu, Honggang</t>
  </si>
  <si>
    <t>Huang, Xiaoliang</t>
  </si>
  <si>
    <t>Huber, Florian</t>
  </si>
  <si>
    <t>Huber, Klaus</t>
  </si>
  <si>
    <t>Hughen, Dana</t>
  </si>
  <si>
    <t>Hughes, Karen</t>
  </si>
  <si>
    <t>Hulin, Sean</t>
  </si>
  <si>
    <t>Hull, Jean</t>
  </si>
  <si>
    <t>Humler, Paul</t>
  </si>
  <si>
    <t>Hunter, Cynthia</t>
  </si>
  <si>
    <t>Hunter, Elizabeth</t>
  </si>
  <si>
    <t>Hunter, Pamela</t>
  </si>
  <si>
    <t>Hurley, Patrick</t>
  </si>
  <si>
    <t>Hurst, William</t>
  </si>
  <si>
    <t>Hutcherson, Kelvin</t>
  </si>
  <si>
    <t>Hutchison, Donal</t>
  </si>
  <si>
    <t>Huyen, Lilian</t>
  </si>
  <si>
    <t>Hynes, Beth</t>
  </si>
  <si>
    <t>Iacono, Matthew</t>
  </si>
  <si>
    <t>Ianace, Ernie</t>
  </si>
  <si>
    <t>Ientile, Francesco</t>
  </si>
  <si>
    <t>Igel, Clement</t>
  </si>
  <si>
    <t>Ionta, Samuel</t>
  </si>
  <si>
    <t>Ireland, Margaret</t>
  </si>
  <si>
    <t>Ireland, Michael</t>
  </si>
  <si>
    <t>Ito, Mika</t>
  </si>
  <si>
    <t>Itty, Reeja</t>
  </si>
  <si>
    <t>Jaadhav, Sambhaji</t>
  </si>
  <si>
    <t>Jackson, Cordelia</t>
  </si>
  <si>
    <t>Jacques, Jerry</t>
  </si>
  <si>
    <t>Jadhao, Shankar</t>
  </si>
  <si>
    <t>Jadhav, Sushant</t>
  </si>
  <si>
    <t>Jagernauth, Stephen</t>
  </si>
  <si>
    <t>Jager-Ortega, Liliane</t>
  </si>
  <si>
    <t>Jaggernauth, Jeff</t>
  </si>
  <si>
    <t>Jagwani, Tanuja</t>
  </si>
  <si>
    <t>Jakobi, Lawrence</t>
  </si>
  <si>
    <t>Jami, Ramesh</t>
  </si>
  <si>
    <t>Jani, Kandarp</t>
  </si>
  <si>
    <t>Janniche, Erik</t>
  </si>
  <si>
    <t>Jansseune, Tom</t>
  </si>
  <si>
    <t>Jaswal, Suresh</t>
  </si>
  <si>
    <t>Jathar, Atul</t>
  </si>
  <si>
    <t>Jayaprakash, Amit</t>
  </si>
  <si>
    <t>Jefferis, Nigel</t>
  </si>
  <si>
    <t>Jenkins, Brian</t>
  </si>
  <si>
    <t>Jennings, Sarina</t>
  </si>
  <si>
    <t>Jensen, Guenther Bo</t>
  </si>
  <si>
    <t>Jirapure, Sachin</t>
  </si>
  <si>
    <t>Joel, Peter</t>
  </si>
  <si>
    <t>John, Jino</t>
  </si>
  <si>
    <t>Johnson, Brian</t>
  </si>
  <si>
    <t>Johnson, Gregg</t>
  </si>
  <si>
    <t>Johnson, Harriet</t>
  </si>
  <si>
    <t>Johnson, Jay</t>
  </si>
  <si>
    <t>Johnson, Kerry</t>
  </si>
  <si>
    <t>Johnson, Neil</t>
  </si>
  <si>
    <t>Johnson, Nigel</t>
  </si>
  <si>
    <t>Johnson, Roger</t>
  </si>
  <si>
    <t>Jones, Len</t>
  </si>
  <si>
    <t>Jose, Lijo</t>
  </si>
  <si>
    <t>Joseph, Melvin</t>
  </si>
  <si>
    <t>Joshi, Manasi</t>
  </si>
  <si>
    <t>Jovanovski, Bob</t>
  </si>
  <si>
    <t>Judd, Caroline</t>
  </si>
  <si>
    <t>Judd, Lisa</t>
  </si>
  <si>
    <t>Jurco, Jan</t>
  </si>
  <si>
    <t>Jusko, Jaymee</t>
  </si>
  <si>
    <t>Kaehly, Michael</t>
  </si>
  <si>
    <t>Kaemmer, Brian</t>
  </si>
  <si>
    <t>Kahler, Gary</t>
  </si>
  <si>
    <t>Kahn, Laurence</t>
  </si>
  <si>
    <t>Kakade, Vanita</t>
  </si>
  <si>
    <t>Kakade, Vishal</t>
  </si>
  <si>
    <t>Kalus, Michael</t>
  </si>
  <si>
    <t>Kampe, Peter</t>
  </si>
  <si>
    <t>Kanamori, Akemi</t>
  </si>
  <si>
    <t>Kang, Inseog</t>
  </si>
  <si>
    <t>Kaplan, Mark</t>
  </si>
  <si>
    <t>Kapse, Shiwanand</t>
  </si>
  <si>
    <t>Karnik, Arjun</t>
  </si>
  <si>
    <t>Karpe, Santosh</t>
  </si>
  <si>
    <t>Karpinski, Carolyn</t>
  </si>
  <si>
    <t>Katekhaye, Hitendra</t>
  </si>
  <si>
    <t>Kato, Barbara</t>
  </si>
  <si>
    <t>Kattimani, Sachin</t>
  </si>
  <si>
    <t>Kausheek, Nandy</t>
  </si>
  <si>
    <t>Kavanaugh, Rebecca</t>
  </si>
  <si>
    <t>Kawa, Diane</t>
  </si>
  <si>
    <t>Keefe, Lorene</t>
  </si>
  <si>
    <t>Keirle, Mark</t>
  </si>
  <si>
    <t>Keller, Larry</t>
  </si>
  <si>
    <t>Kent, Jake</t>
  </si>
  <si>
    <t>Khadke, Prashant</t>
  </si>
  <si>
    <t>Khalane, Asha</t>
  </si>
  <si>
    <t>Khaliq, Shanaz</t>
  </si>
  <si>
    <t>Khan, Ahmad</t>
  </si>
  <si>
    <t>Khan, Mohammed</t>
  </si>
  <si>
    <t>Khurana, Shashi</t>
  </si>
  <si>
    <t>Kierez, Lilia</t>
  </si>
  <si>
    <t>Killion, Greg</t>
  </si>
  <si>
    <t>Kilroy, Christopher</t>
  </si>
  <si>
    <t>Kim, Nak Ki</t>
  </si>
  <si>
    <t>Kim, Yong H</t>
  </si>
  <si>
    <t>Kimball, Rebecca</t>
  </si>
  <si>
    <t>Kingston, Jean</t>
  </si>
  <si>
    <t>Klusova, Katarina</t>
  </si>
  <si>
    <t>Kluth, Bernd</t>
  </si>
  <si>
    <t>Knauff, David</t>
  </si>
  <si>
    <t>Knobbe, Brian</t>
  </si>
  <si>
    <t>Knox, Dennis</t>
  </si>
  <si>
    <t>Kobrick, Marguerite</t>
  </si>
  <si>
    <t>Koehler, Birgitta</t>
  </si>
  <si>
    <t>Koelman, Leo</t>
  </si>
  <si>
    <t>Koerper, Kathy</t>
  </si>
  <si>
    <t>Kofler, Danielle</t>
  </si>
  <si>
    <t>Koh, Horn Kwong</t>
  </si>
  <si>
    <t>Kohl, Margaret</t>
  </si>
  <si>
    <t>Koler, Susan</t>
  </si>
  <si>
    <t>Kolhatkar, Sachin</t>
  </si>
  <si>
    <t>Kollar, Margaret</t>
  </si>
  <si>
    <t>Koo, Oi Yee</t>
  </si>
  <si>
    <t>Koren, William</t>
  </si>
  <si>
    <t>Korol, Walter</t>
  </si>
  <si>
    <t>Kosir, Frantisek</t>
  </si>
  <si>
    <t>Kovacs, Stefan</t>
  </si>
  <si>
    <t>Kozlik, Viktoria</t>
  </si>
  <si>
    <t>Kr, Suchindran</t>
  </si>
  <si>
    <t>Kraft, Timothy</t>
  </si>
  <si>
    <t>Krause, Paul</t>
  </si>
  <si>
    <t>Krek, Michael</t>
  </si>
  <si>
    <t>Kretchmar Hernandez, Guillermo</t>
  </si>
  <si>
    <t>Kreuger, Daren</t>
  </si>
  <si>
    <t>Krishnan, Muthukumaran</t>
  </si>
  <si>
    <t>Krovatin, James</t>
  </si>
  <si>
    <t>Kruse, Donald</t>
  </si>
  <si>
    <t>Kugarajah, Velkumar</t>
  </si>
  <si>
    <t>Kuhn, Richard</t>
  </si>
  <si>
    <t>Kumar, Ashwini</t>
  </si>
  <si>
    <t>Kumar, Buddish</t>
  </si>
  <si>
    <t>Kumar, Prabhat</t>
  </si>
  <si>
    <t>Kumar, Pradeep</t>
  </si>
  <si>
    <t>Kumar, Pranab</t>
  </si>
  <si>
    <t>Kumar, Sunil</t>
  </si>
  <si>
    <t>Kunz, Juerg</t>
  </si>
  <si>
    <t>Kurtinitis, Mark</t>
  </si>
  <si>
    <t>Kusswurm, Edward</t>
  </si>
  <si>
    <t>Kv, Madhushri</t>
  </si>
  <si>
    <t>Lacaba, Rigoberto</t>
  </si>
  <si>
    <t>Lacey, John</t>
  </si>
  <si>
    <t>Lagrange-Johnson, Jolie</t>
  </si>
  <si>
    <t>Lam, Johnny</t>
  </si>
  <si>
    <t>Lam, Shing Choi Anthony</t>
  </si>
  <si>
    <t>Lambert, Douglas</t>
  </si>
  <si>
    <t>Lamon, Timothy</t>
  </si>
  <si>
    <t>Lanchester, Paul</t>
  </si>
  <si>
    <t>Landre, Elizabeth</t>
  </si>
  <si>
    <t>Landrock, Peter</t>
  </si>
  <si>
    <t>Langwasser, Kenneth</t>
  </si>
  <si>
    <t>Lanka, Kiran</t>
  </si>
  <si>
    <t>Lanoue, Mark</t>
  </si>
  <si>
    <t>Lao, Raymond</t>
  </si>
  <si>
    <t>Larson, Bruce</t>
  </si>
  <si>
    <t>Larson, Thea</t>
  </si>
  <si>
    <t>Lau, Chin Ka</t>
  </si>
  <si>
    <t>Lauer, Thorsten</t>
  </si>
  <si>
    <t>Lavania, Arun</t>
  </si>
  <si>
    <t>Lawrence, Miner</t>
  </si>
  <si>
    <t>Lay, Dale</t>
  </si>
  <si>
    <t>Lazo, Victor</t>
  </si>
  <si>
    <t>Lee, Colwyn</t>
  </si>
  <si>
    <t>Lee, Geck Pheng</t>
  </si>
  <si>
    <t>Lee, Meng Keong</t>
  </si>
  <si>
    <t>Lee, Yeow Loong</t>
  </si>
  <si>
    <t>Lefavor, David</t>
  </si>
  <si>
    <t>Leifer, Aaron</t>
  </si>
  <si>
    <t>Lemasurier, Cathie</t>
  </si>
  <si>
    <t>Leonard, William</t>
  </si>
  <si>
    <t>Leoni, Charles</t>
  </si>
  <si>
    <t>Leslie, Patricia</t>
  </si>
  <si>
    <t>Leung, Ho Woon</t>
  </si>
  <si>
    <t>Leung, Sung Tai</t>
  </si>
  <si>
    <t>Lewis, Irene</t>
  </si>
  <si>
    <t>Lewis, L T</t>
  </si>
  <si>
    <t>Li, Ying Ze</t>
  </si>
  <si>
    <t>Lie, Suprijanpi</t>
  </si>
  <si>
    <t>Liebchen, Kenneth</t>
  </si>
  <si>
    <t>Liebenthal, Jacquelyn</t>
  </si>
  <si>
    <t>Lim, Gim Hong, Jimmy</t>
  </si>
  <si>
    <t>Lim, Wee Lee</t>
  </si>
  <si>
    <t>Lindquist, Christoffer</t>
  </si>
  <si>
    <t>Lindquist, Kristen</t>
  </si>
  <si>
    <t>Lindquist, Terry</t>
  </si>
  <si>
    <t>Lipscomb, Hollis</t>
  </si>
  <si>
    <t>Liverpool, Henry</t>
  </si>
  <si>
    <t>Lloyd, Lawrence</t>
  </si>
  <si>
    <t>Lloyd, Susan</t>
  </si>
  <si>
    <t>Lo, Yuen Mei</t>
  </si>
  <si>
    <t>Loeblich, Matthew</t>
  </si>
  <si>
    <t>Loesing, Norbert</t>
  </si>
  <si>
    <t>Lofters, Heather</t>
  </si>
  <si>
    <t>Logsdon, James</t>
  </si>
  <si>
    <t>Lohier, Jean</t>
  </si>
  <si>
    <t>Lolge, Pushkaraj</t>
  </si>
  <si>
    <t>Long, Richard</t>
  </si>
  <si>
    <t>Lopez, Fernando</t>
  </si>
  <si>
    <t>Louie, Jeffrey</t>
  </si>
  <si>
    <t>Lowrance, Kenneth</t>
  </si>
  <si>
    <t>Lubbe, Susan</t>
  </si>
  <si>
    <t>Lucari, Susan</t>
  </si>
  <si>
    <t>Luciano, James</t>
  </si>
  <si>
    <t>Luckhaupt, Kevin</t>
  </si>
  <si>
    <t>Luko, Michael</t>
  </si>
  <si>
    <t>Lun, Pui Kee</t>
  </si>
  <si>
    <t>Luna, Hector</t>
  </si>
  <si>
    <t>Luna, Kevin</t>
  </si>
  <si>
    <t>Lupinski, Gary</t>
  </si>
  <si>
    <t>M R, Pragatheeswari</t>
  </si>
  <si>
    <t>Macafee, James</t>
  </si>
  <si>
    <t>Maccarini, Angel</t>
  </si>
  <si>
    <t>Macdavitt, Daniel</t>
  </si>
  <si>
    <t>Macklin, Larry</t>
  </si>
  <si>
    <t>Maclachlan, Stanley</t>
  </si>
  <si>
    <t>Madhyani, Bharatlal</t>
  </si>
  <si>
    <t>Madhyela, Mahesh</t>
  </si>
  <si>
    <t>Madrigal, Laura</t>
  </si>
  <si>
    <t>Magersupp, Andrew</t>
  </si>
  <si>
    <t>Magill, Lauren</t>
  </si>
  <si>
    <t>Magiorano, Pablo</t>
  </si>
  <si>
    <t>Mahajan, Hina</t>
  </si>
  <si>
    <t>Mahajan, Nikhil</t>
  </si>
  <si>
    <t>Mahajan, Shailesh</t>
  </si>
  <si>
    <t>Majcen, Suzana</t>
  </si>
  <si>
    <t>Mali, Amit</t>
  </si>
  <si>
    <t>Mali, Raupesh</t>
  </si>
  <si>
    <t>Mali, Vinayak</t>
  </si>
  <si>
    <t>Malineni, Haribabu</t>
  </si>
  <si>
    <t>Mallinson, Frazer</t>
  </si>
  <si>
    <t>Maloney, Donald</t>
  </si>
  <si>
    <t>Malsure, Kedarnath</t>
  </si>
  <si>
    <t>Manickavasagam, Manikandan</t>
  </si>
  <si>
    <t>Manning, Anthony</t>
  </si>
  <si>
    <t>Manno, Christina</t>
  </si>
  <si>
    <t>Manoj, Kumar</t>
  </si>
  <si>
    <t>Marell, Elena</t>
  </si>
  <si>
    <t>Marginian, Joseph</t>
  </si>
  <si>
    <t>Maringer, Fred</t>
  </si>
  <si>
    <t>Marini, Daniel</t>
  </si>
  <si>
    <t>Marlow, Steve</t>
  </si>
  <si>
    <t>Marquez, Peter</t>
  </si>
  <si>
    <t>Marsh, Randy</t>
  </si>
  <si>
    <t>Marshall, Patricia</t>
  </si>
  <si>
    <t>Marshall, Stefan</t>
  </si>
  <si>
    <t>Martin, Christopher</t>
  </si>
  <si>
    <t>Martin, Diane</t>
  </si>
  <si>
    <t>Masbad, Raynato</t>
  </si>
  <si>
    <t>Massey, Anthony</t>
  </si>
  <si>
    <t>Matarazzi, Mark</t>
  </si>
  <si>
    <t>Matsil, Andrew</t>
  </si>
  <si>
    <t>Matson, Nigel</t>
  </si>
  <si>
    <t>Mattocks, Colin</t>
  </si>
  <si>
    <t>Matulewski, Leonard</t>
  </si>
  <si>
    <t>Mauzekar, Mahesh</t>
  </si>
  <si>
    <t>Mawokomatanda, Shongedzai</t>
  </si>
  <si>
    <t>May, Judith</t>
  </si>
  <si>
    <t>Mayer, Richard</t>
  </si>
  <si>
    <t>Mbow, Mohamadou</t>
  </si>
  <si>
    <t>Mc Caffrey, Sean</t>
  </si>
  <si>
    <t>Mc Enaney, John</t>
  </si>
  <si>
    <t>Mcadam, William</t>
  </si>
  <si>
    <t>Mcauley, C</t>
  </si>
  <si>
    <t>Mcauliffe, Lynn</t>
  </si>
  <si>
    <t>Mccauley, Kevin</t>
  </si>
  <si>
    <t>Mcclary, Mark</t>
  </si>
  <si>
    <t>Mcclendon, Randy</t>
  </si>
  <si>
    <t>Mcconnell, Nicki</t>
  </si>
  <si>
    <t>Mcdermaid, Marion</t>
  </si>
  <si>
    <t>Mcdonald, Debra</t>
  </si>
  <si>
    <t>Mcdonald, Mary Anne</t>
  </si>
  <si>
    <t>Mcdonnell, Jeffrey</t>
  </si>
  <si>
    <t>Mcgrath, James</t>
  </si>
  <si>
    <t>Mcgregor, Thomas</t>
  </si>
  <si>
    <t>Mckenzie, Michael</t>
  </si>
  <si>
    <t>Mckillop, James</t>
  </si>
  <si>
    <t>Mckinney, Marlon</t>
  </si>
  <si>
    <t>Mcmanamon, Philip</t>
  </si>
  <si>
    <t>Mcmasters, Scott</t>
  </si>
  <si>
    <t>Mcnaughton, Raymond</t>
  </si>
  <si>
    <t>Mcnicholas, Cynthia</t>
  </si>
  <si>
    <t>Meadows, John</t>
  </si>
  <si>
    <t>Medlock, Leslie</t>
  </si>
  <si>
    <t>Mehl, Wolfgang</t>
  </si>
  <si>
    <t>Mehta, Mangesh</t>
  </si>
  <si>
    <t>Meissner, Andrew</t>
  </si>
  <si>
    <t>Mejia, Francisco</t>
  </si>
  <si>
    <t>Melendez, Abraham</t>
  </si>
  <si>
    <t>Melendez, Harry</t>
  </si>
  <si>
    <t>Meloche, Cindy</t>
  </si>
  <si>
    <t>Melton, James</t>
  </si>
  <si>
    <t>Meono, Carlos</t>
  </si>
  <si>
    <t>Merrill, James</t>
  </si>
  <si>
    <t>Meserve, Scott</t>
  </si>
  <si>
    <t>Mesias, Samuel</t>
  </si>
  <si>
    <t>Meyer-Lobejko, Joyce</t>
  </si>
  <si>
    <t>Mhoon, Guyla</t>
  </si>
  <si>
    <t>Michela, Lawrence</t>
  </si>
  <si>
    <t>Miers-Pandolfi, Nicole</t>
  </si>
  <si>
    <t>Mihans, Brian</t>
  </si>
  <si>
    <t>Mikkelsen, Torben Romby</t>
  </si>
  <si>
    <t>Mikulic, Frances</t>
  </si>
  <si>
    <t>Mills, John</t>
  </si>
  <si>
    <t>Milo, Michael</t>
  </si>
  <si>
    <t>Mimura, Ishikawa Chikako</t>
  </si>
  <si>
    <t>Mirza, Umair</t>
  </si>
  <si>
    <t>Mishio, Joshua</t>
  </si>
  <si>
    <t>Mishra, Brijesh</t>
  </si>
  <si>
    <t>Mistretta, Maureen</t>
  </si>
  <si>
    <t>Miyazaki, Makiko</t>
  </si>
  <si>
    <t>Moen, Peter</t>
  </si>
  <si>
    <t>Moffat, Edward</t>
  </si>
  <si>
    <t>Mohammed, Ahad</t>
  </si>
  <si>
    <t>Mohammed, Ezam</t>
  </si>
  <si>
    <t>Mohammed, Fahad</t>
  </si>
  <si>
    <t>Mohammed, Faizal</t>
  </si>
  <si>
    <t>Mohammed, Fayyaz</t>
  </si>
  <si>
    <t>Mohammed, Tahir</t>
  </si>
  <si>
    <t>Mohan, Thyvelikakath</t>
  </si>
  <si>
    <t>Mohandass, Vinu</t>
  </si>
  <si>
    <t>Mohanta, Asha Rani</t>
  </si>
  <si>
    <t>Moharana, Bishwapredeep</t>
  </si>
  <si>
    <t>Molden, Agnes</t>
  </si>
  <si>
    <t>Mommsen, Paul</t>
  </si>
  <si>
    <t>Monson, Robert</t>
  </si>
  <si>
    <t>Montague, Ronald</t>
  </si>
  <si>
    <t>Montapert, Glenn</t>
  </si>
  <si>
    <t>Montero, Julio</t>
  </si>
  <si>
    <t>Montgomery, Patrick</t>
  </si>
  <si>
    <t>Montoya, Steve</t>
  </si>
  <si>
    <t>Montoya-Ripoche, Catherine</t>
  </si>
  <si>
    <t>Moore, Joel</t>
  </si>
  <si>
    <t>Moore, Karen</t>
  </si>
  <si>
    <t>Moore, Larry</t>
  </si>
  <si>
    <t>Moore, V Carol</t>
  </si>
  <si>
    <t>Moors, Rosemarie</t>
  </si>
  <si>
    <t>Mora, Andres</t>
  </si>
  <si>
    <t>More, Sandeep</t>
  </si>
  <si>
    <t>More, Shashank</t>
  </si>
  <si>
    <t>More, Shubhangi</t>
  </si>
  <si>
    <t>Morehead, Bruce</t>
  </si>
  <si>
    <t>Morehouse, Kent</t>
  </si>
  <si>
    <t>Moreno, Carlos</t>
  </si>
  <si>
    <t>Morris, Teresa</t>
  </si>
  <si>
    <t>Morse, Michael</t>
  </si>
  <si>
    <t>Morton, Rebecca</t>
  </si>
  <si>
    <t>Morton, Thomas</t>
  </si>
  <si>
    <t>Moseley, John</t>
  </si>
  <si>
    <t>Moses, Leslie</t>
  </si>
  <si>
    <t>Mosher, Michael</t>
  </si>
  <si>
    <t>Mosquera, Jaime</t>
  </si>
  <si>
    <t>Moyer, Diana</t>
  </si>
  <si>
    <t>Moynahan, Peter</t>
  </si>
  <si>
    <t>Mues, Eric</t>
  </si>
  <si>
    <t>Mullan, Michael</t>
  </si>
  <si>
    <t>Mullen, William</t>
  </si>
  <si>
    <t>Munoz, Ed</t>
  </si>
  <si>
    <t>Murillo, Olger</t>
  </si>
  <si>
    <t>Murray, John</t>
  </si>
  <si>
    <t>Murray, Randall</t>
  </si>
  <si>
    <t>Murray, Renee</t>
  </si>
  <si>
    <t>Murugasamy, Balamurugan</t>
  </si>
  <si>
    <t>Mutimer, Gerard</t>
  </si>
  <si>
    <t>Mycek, John</t>
  </si>
  <si>
    <t>Myers, Betty</t>
  </si>
  <si>
    <t>Nabec, Renaud</t>
  </si>
  <si>
    <t>Nagle, Gordon</t>
  </si>
  <si>
    <t>Naik, Bharath</t>
  </si>
  <si>
    <t>Naik, Sushant Sadanand</t>
  </si>
  <si>
    <t>Nair, Rishi Dave</t>
  </si>
  <si>
    <t>Nakajima, Shigeki</t>
  </si>
  <si>
    <t>Nambiar, Jaisha Chandrasekharan</t>
  </si>
  <si>
    <t>Nandi, Gautam</t>
  </si>
  <si>
    <t>Napolitano, Eileen</t>
  </si>
  <si>
    <t>Natarajan, Balaji</t>
  </si>
  <si>
    <t>Natarajan, Rajesh</t>
  </si>
  <si>
    <t>Naveh, Tal</t>
  </si>
  <si>
    <t>Naykuji, Dhanraj</t>
  </si>
  <si>
    <t>Neb, Sunmeet</t>
  </si>
  <si>
    <t>Neike, Harry</t>
  </si>
  <si>
    <t>Nelson, Brad</t>
  </si>
  <si>
    <t>Nelson, Peter</t>
  </si>
  <si>
    <t>Nelthropp, Jeffrey</t>
  </si>
  <si>
    <t>Nettles, Linda</t>
  </si>
  <si>
    <t>Neuber, Nelson</t>
  </si>
  <si>
    <t>Newman, Lih Yen</t>
  </si>
  <si>
    <t>Newton, Eric</t>
  </si>
  <si>
    <t>Ng, Kwok Ming</t>
  </si>
  <si>
    <t>Nguyen, Duc</t>
  </si>
  <si>
    <t>Nicholas, Stephen</t>
  </si>
  <si>
    <t>Nikam, Yogesh</t>
  </si>
  <si>
    <t>Nissar, Khader</t>
  </si>
  <si>
    <t>Nizami, Javed Johar</t>
  </si>
  <si>
    <t>Noeth, Patricia</t>
  </si>
  <si>
    <t>Nolte, William</t>
  </si>
  <si>
    <t>Noonan, Sheila</t>
  </si>
  <si>
    <t>Norris, Christian</t>
  </si>
  <si>
    <t>Nunes De Oliveira, Amauri</t>
  </si>
  <si>
    <t>O'Brien, Christine</t>
  </si>
  <si>
    <t>Ochman, John</t>
  </si>
  <si>
    <t>O'Connell, Eugene</t>
  </si>
  <si>
    <t>O''Connor, Christopher</t>
  </si>
  <si>
    <t>O''Connor, Michael</t>
  </si>
  <si>
    <t>Offutt, Thomas</t>
  </si>
  <si>
    <t>Ohmstead, Jeffrey</t>
  </si>
  <si>
    <t>Olesen, Jesper Bay</t>
  </si>
  <si>
    <t>Oliver, Lori</t>
  </si>
  <si>
    <t>Oller, Natalie</t>
  </si>
  <si>
    <t>O'Neill, Amanda</t>
  </si>
  <si>
    <t>Ong, Gim Meng</t>
  </si>
  <si>
    <t>Onorato, Michael</t>
  </si>
  <si>
    <t>Opseth, Geir</t>
  </si>
  <si>
    <t>Oquendo, John</t>
  </si>
  <si>
    <t>Ott, Eric</t>
  </si>
  <si>
    <t>Ouellette, Allen</t>
  </si>
  <si>
    <t>Oyang, Tony</t>
  </si>
  <si>
    <t>P, Janaki</t>
  </si>
  <si>
    <t>Padhye, Manas</t>
  </si>
  <si>
    <t>Padwal, Sunil</t>
  </si>
  <si>
    <t>Pahor, John</t>
  </si>
  <si>
    <t>Pais, Fernanda Dos Santos</t>
  </si>
  <si>
    <t>Pal, Adesh</t>
  </si>
  <si>
    <t>Pal, Supriya</t>
  </si>
  <si>
    <t>Palande, Sanjay</t>
  </si>
  <si>
    <t>Palecki, Paul</t>
  </si>
  <si>
    <t>Palmentiero, Nicole</t>
  </si>
  <si>
    <t>Palmer, James</t>
  </si>
  <si>
    <t>Pan, Tingfu</t>
  </si>
  <si>
    <t>Pande, Abhijeet</t>
  </si>
  <si>
    <t>Pandey, Akhilesh</t>
  </si>
  <si>
    <t>Panya, Nidhi</t>
  </si>
  <si>
    <t>Papadopoulos, Christine</t>
  </si>
  <si>
    <t>Papaianopol, Alin</t>
  </si>
  <si>
    <t>Pardeshi, Hitesh</t>
  </si>
  <si>
    <t>Pareeth, Ansal</t>
  </si>
  <si>
    <t>Parisi, Anthony</t>
  </si>
  <si>
    <t>Parkes, Jennifer</t>
  </si>
  <si>
    <t>Pasha, Omer</t>
  </si>
  <si>
    <t>Patekar, Trupti</t>
  </si>
  <si>
    <t>Patel, Chaitanya</t>
  </si>
  <si>
    <t>Patel, Dipen</t>
  </si>
  <si>
    <t>Patel, Dipesh</t>
  </si>
  <si>
    <t>Patel, Javed</t>
  </si>
  <si>
    <t>Pathak, Garima</t>
  </si>
  <si>
    <t>Patil, Aniruddha</t>
  </si>
  <si>
    <t>Patil, Kamlakar</t>
  </si>
  <si>
    <t>Patil, Rohan</t>
  </si>
  <si>
    <t>Patil, Sahana</t>
  </si>
  <si>
    <t>Patil, Yashwant</t>
  </si>
  <si>
    <t>Patole, Vishwanath</t>
  </si>
  <si>
    <t>Patterson, Valerie</t>
  </si>
  <si>
    <t>Patton, William</t>
  </si>
  <si>
    <t>Paup, John</t>
  </si>
  <si>
    <t>Pavlovich, Melissa</t>
  </si>
  <si>
    <t>Pawar, Swapnil</t>
  </si>
  <si>
    <t>Pearson, Jay</t>
  </si>
  <si>
    <t>Pedriana, Jori</t>
  </si>
  <si>
    <t>Pedrick, Thomas</t>
  </si>
  <si>
    <t>Peggs, Stephen</t>
  </si>
  <si>
    <t>Peirano, D</t>
  </si>
  <si>
    <t>Pena, Christian</t>
  </si>
  <si>
    <t>Pendleton, Les</t>
  </si>
  <si>
    <t>Penegor, Bonnie</t>
  </si>
  <si>
    <t>Peralta, Tony</t>
  </si>
  <si>
    <t>Perdelwitz, Harold</t>
  </si>
  <si>
    <t>Perehodnik, Boris</t>
  </si>
  <si>
    <t>Pereira, Vanderlei</t>
  </si>
  <si>
    <t>Perry, Edward</t>
  </si>
  <si>
    <t>Perry, Ian</t>
  </si>
  <si>
    <t>Perticone, Anthony</t>
  </si>
  <si>
    <t>Peters, Bradford</t>
  </si>
  <si>
    <t>Peterson, Ann</t>
  </si>
  <si>
    <t>Peterson, Paul W</t>
  </si>
  <si>
    <t>Petrle, Kristina</t>
  </si>
  <si>
    <t>Petrle, Roman</t>
  </si>
  <si>
    <t>Petrone, Janet</t>
  </si>
  <si>
    <t>Pettit, Lee</t>
  </si>
  <si>
    <t>Peyrard, Olivier</t>
  </si>
  <si>
    <t>Phelps, Mike</t>
  </si>
  <si>
    <t>Phillips, Ann</t>
  </si>
  <si>
    <t>Phillips, Gabriel</t>
  </si>
  <si>
    <t>Phillips, Kim</t>
  </si>
  <si>
    <t>Phillips, Matthew</t>
  </si>
  <si>
    <t>Pierce, Chris</t>
  </si>
  <si>
    <t>Pierce, Steven</t>
  </si>
  <si>
    <t>Pigeon, Michael</t>
  </si>
  <si>
    <t>Pillai, Anushree</t>
  </si>
  <si>
    <t>Pillai, Harikrishnan</t>
  </si>
  <si>
    <t>Pillai, Mahesh</t>
  </si>
  <si>
    <t>Pinjari, Salauddin Abdulgani</t>
  </si>
  <si>
    <t>Platten, Alfred</t>
  </si>
  <si>
    <t>Plum, Jennifer</t>
  </si>
  <si>
    <t>Poggioli, Marcelo</t>
  </si>
  <si>
    <t>Pohl, Sean</t>
  </si>
  <si>
    <t>Polak, John</t>
  </si>
  <si>
    <t>Poli, Christopher</t>
  </si>
  <si>
    <t>Police, Ora</t>
  </si>
  <si>
    <t>Polka, Chris</t>
  </si>
  <si>
    <t>Pollino, Paul</t>
  </si>
  <si>
    <t>Popejoy, James</t>
  </si>
  <si>
    <t>Porter, Peggy</t>
  </si>
  <si>
    <t>Porter, Shawn</t>
  </si>
  <si>
    <t>Pottorf, James</t>
  </si>
  <si>
    <t>Poulos, Thomas</t>
  </si>
  <si>
    <t>Powell, Susan</t>
  </si>
  <si>
    <t>Powney, Mark</t>
  </si>
  <si>
    <t>Prabhu, Mangaldas</t>
  </si>
  <si>
    <t>Prachar, Juraj</t>
  </si>
  <si>
    <t>Prado, Ben</t>
  </si>
  <si>
    <t>Prajapati, Mitang</t>
  </si>
  <si>
    <t>Prajapati, Sanjay</t>
  </si>
  <si>
    <t>Pramanik, Amit</t>
  </si>
  <si>
    <t>Prince, James</t>
  </si>
  <si>
    <t>Priseman, Christopher</t>
  </si>
  <si>
    <t>Pruett, Donna</t>
  </si>
  <si>
    <t>Przeslawski, Thomas</t>
  </si>
  <si>
    <t>Puccinelli, Paul</t>
  </si>
  <si>
    <t>Purohit, Vikas</t>
  </si>
  <si>
    <t>Quade, Harriet</t>
  </si>
  <si>
    <t>Quale, Jean</t>
  </si>
  <si>
    <t>Querceto, Mark</t>
  </si>
  <si>
    <t>Quigley, Timothy</t>
  </si>
  <si>
    <t>Quinat, Romain</t>
  </si>
  <si>
    <t>Quintero, Maria</t>
  </si>
  <si>
    <t>Radner, Deborah</t>
  </si>
  <si>
    <t>Raghuwanshi, Sudershan</t>
  </si>
  <si>
    <t>Raj, Vishal</t>
  </si>
  <si>
    <t>Rajagopal, Vaidyanathan</t>
  </si>
  <si>
    <t>Rajendiran, Kirankumar</t>
  </si>
  <si>
    <t>Rajpoot, Kuldeep</t>
  </si>
  <si>
    <t>Rajurkar, Prajakta</t>
  </si>
  <si>
    <t>Ramirez, Carlos</t>
  </si>
  <si>
    <t>Ramirez, Norberto</t>
  </si>
  <si>
    <t>Ramos, Ralph</t>
  </si>
  <si>
    <t>Ramsbottom, David</t>
  </si>
  <si>
    <t>Ramsey, Jack</t>
  </si>
  <si>
    <t>Rane, Shashikant</t>
  </si>
  <si>
    <t>Ransom, Laura</t>
  </si>
  <si>
    <t>Rao, Arup</t>
  </si>
  <si>
    <t>Rao, Sambasiva</t>
  </si>
  <si>
    <t>Rasch, Sandra</t>
  </si>
  <si>
    <t>Rathburn, Robert</t>
  </si>
  <si>
    <t>Rathna, Anmol</t>
  </si>
  <si>
    <t>Rauscher, Frank</t>
  </si>
  <si>
    <t>Raut, Chetan</t>
  </si>
  <si>
    <t>Rawal, Vivek</t>
  </si>
  <si>
    <t>Rawlins, Charles</t>
  </si>
  <si>
    <t>Reale, Aaron</t>
  </si>
  <si>
    <t>Reckley, Michael</t>
  </si>
  <si>
    <t>Redden, Jeremiah</t>
  </si>
  <si>
    <t>Redden, Samuel</t>
  </si>
  <si>
    <t>Reddi, Sreekanth</t>
  </si>
  <si>
    <t>Reddy, Rami</t>
  </si>
  <si>
    <t>Redfern, Ian</t>
  </si>
  <si>
    <t>Reed, Stephen</t>
  </si>
  <si>
    <t>Reeder, Jeff</t>
  </si>
  <si>
    <t>Rees, David</t>
  </si>
  <si>
    <t>Reichel, Robert</t>
  </si>
  <si>
    <t>Reiman, Sharon</t>
  </si>
  <si>
    <t>Reitor, Julio</t>
  </si>
  <si>
    <t>Rembert, Cedrick</t>
  </si>
  <si>
    <t>Rendino, Phyllis</t>
  </si>
  <si>
    <t>Resende, Lucia</t>
  </si>
  <si>
    <t>Revel, Patrick</t>
  </si>
  <si>
    <t>Reyes, Jorge</t>
  </si>
  <si>
    <t>Reyes, Tony</t>
  </si>
  <si>
    <t>Rhodes, Ed</t>
  </si>
  <si>
    <t>Rhodes, Sandra</t>
  </si>
  <si>
    <t>Rich, Jeanette</t>
  </si>
  <si>
    <t>Richards, Anthony</t>
  </si>
  <si>
    <t>Riede, Willem Jan</t>
  </si>
  <si>
    <t>Rieger, Gerry</t>
  </si>
  <si>
    <t>Rimbert, Peggy</t>
  </si>
  <si>
    <t>Ritchson, Brenda</t>
  </si>
  <si>
    <t>Ritter, Andrew</t>
  </si>
  <si>
    <t>Robbins, Guy</t>
  </si>
  <si>
    <t>Robertson, Earl</t>
  </si>
  <si>
    <t>Robinson, Andrew</t>
  </si>
  <si>
    <t>Robinson, Lisa</t>
  </si>
  <si>
    <t>Roche, Daniel</t>
  </si>
  <si>
    <t>Roman, Matthew</t>
  </si>
  <si>
    <t>Roohi, Mark</t>
  </si>
  <si>
    <t>Roshan, Devakanth</t>
  </si>
  <si>
    <t>Ross, Roy</t>
  </si>
  <si>
    <t>Rout, Prachi</t>
  </si>
  <si>
    <t>Rowe, Raymond</t>
  </si>
  <si>
    <t>Ruesch, Linda</t>
  </si>
  <si>
    <t>Ruiz, Debra</t>
  </si>
  <si>
    <t>Ruiz, Francisco</t>
  </si>
  <si>
    <t>Runwal, Ankita</t>
  </si>
  <si>
    <t>Rupert, Dion</t>
  </si>
  <si>
    <t>Russo, Humberto</t>
  </si>
  <si>
    <t>Ryan, Stephen</t>
  </si>
  <si>
    <t>Rybanska, Katarina</t>
  </si>
  <si>
    <t>Ryberg, Michelle</t>
  </si>
  <si>
    <t>Rynjah, Clarich Iasuklang</t>
  </si>
  <si>
    <t>S Rao, Shruti</t>
  </si>
  <si>
    <t>Saboor, Syed</t>
  </si>
  <si>
    <t>Sacco, Ralph</t>
  </si>
  <si>
    <t>Sackett, George</t>
  </si>
  <si>
    <t>Sadiq, Reza</t>
  </si>
  <si>
    <t>Saeed, Mohammad</t>
  </si>
  <si>
    <t>Saenz, Roland</t>
  </si>
  <si>
    <t>Saffels, James</t>
  </si>
  <si>
    <t>Sagare, Rina</t>
  </si>
  <si>
    <t>Sahay, Anchit</t>
  </si>
  <si>
    <t>Sahay, Sumit</t>
  </si>
  <si>
    <t>Said, Khaled</t>
  </si>
  <si>
    <t>Sams, Jack</t>
  </si>
  <si>
    <t>Samsel, Bart</t>
  </si>
  <si>
    <t>Sanchez, Antonio</t>
  </si>
  <si>
    <t>Sandlin, Michael</t>
  </si>
  <si>
    <t>Santos, Luiz</t>
  </si>
  <si>
    <t>Sar, Rachana</t>
  </si>
  <si>
    <t>Sargre, Parvin</t>
  </si>
  <si>
    <t>Sarkar, Deepak</t>
  </si>
  <si>
    <t>Sass, Tarnissha</t>
  </si>
  <si>
    <t>Sastry, Amarnath</t>
  </si>
  <si>
    <t>Sato, Masatoshi</t>
  </si>
  <si>
    <t>Sauvage, Gerald</t>
  </si>
  <si>
    <t>Savazzi, Fernanda</t>
  </si>
  <si>
    <t>Sawant, Shivani</t>
  </si>
  <si>
    <t>Saxena, Ashish</t>
  </si>
  <si>
    <t>Schaarschmidt, Helmut</t>
  </si>
  <si>
    <t>Schacht, Glenn</t>
  </si>
  <si>
    <t>Schafer, Kenneth</t>
  </si>
  <si>
    <t>Schaffer, Matthew</t>
  </si>
  <si>
    <t>Scherer, Robert</t>
  </si>
  <si>
    <t>Scheurer, Dana</t>
  </si>
  <si>
    <t>Schindler, Elyssa</t>
  </si>
  <si>
    <t>Schmidt, Gregory</t>
  </si>
  <si>
    <t>Schmitt, Alicia</t>
  </si>
  <si>
    <t>Schneider, Charles</t>
  </si>
  <si>
    <t>Schneider, Cynthia</t>
  </si>
  <si>
    <t>Schneider, Michael</t>
  </si>
  <si>
    <t>Scholler, Laurent</t>
  </si>
  <si>
    <t>Schooley, Mary</t>
  </si>
  <si>
    <t>Schoop, Barry</t>
  </si>
  <si>
    <t>Schrader, Judd</t>
  </si>
  <si>
    <t>Schreiber, Melanie</t>
  </si>
  <si>
    <t>Schulte, Ken</t>
  </si>
  <si>
    <t>Schulze, Martin</t>
  </si>
  <si>
    <t>Schumbeck, Sven-Oliver</t>
  </si>
  <si>
    <t>Schwartz, Theodore</t>
  </si>
  <si>
    <t>Scott, Gloria</t>
  </si>
  <si>
    <t>Seaton, Mark</t>
  </si>
  <si>
    <t>Sebastian, Kristen</t>
  </si>
  <si>
    <t>Seibert, Keith</t>
  </si>
  <si>
    <t>Seifert, Brad</t>
  </si>
  <si>
    <t>Sekanina, Dusan</t>
  </si>
  <si>
    <t>Seluchins, Richard</t>
  </si>
  <si>
    <t>Semanchik, Jennine</t>
  </si>
  <si>
    <t>Semens, Keith</t>
  </si>
  <si>
    <t>Sen, Sujoy</t>
  </si>
  <si>
    <t>Sengupta, Joydeep</t>
  </si>
  <si>
    <t>Seshadri, Sowrirajan</t>
  </si>
  <si>
    <t>Sethre, Gard</t>
  </si>
  <si>
    <t>Settembrini, Nathan</t>
  </si>
  <si>
    <t>Seymore, Debbie</t>
  </si>
  <si>
    <t>Sgaramella, Joe</t>
  </si>
  <si>
    <t>Shah, Ninad</t>
  </si>
  <si>
    <t>Shahawar, Dure</t>
  </si>
  <si>
    <t>Shaik, Salim</t>
  </si>
  <si>
    <t>Shaikh, Samir</t>
  </si>
  <si>
    <t>Shankar, Vinay</t>
  </si>
  <si>
    <t>Sharma, Agam</t>
  </si>
  <si>
    <t>Sharma, Ashish</t>
  </si>
  <si>
    <t>Sharma, Khimraj</t>
  </si>
  <si>
    <t>Sharma, Pravin</t>
  </si>
  <si>
    <t>Sharp, Kenneth</t>
  </si>
  <si>
    <t>Sheehan, Amanda</t>
  </si>
  <si>
    <t>Sheffler, James</t>
  </si>
  <si>
    <t>Shejal, Jayu</t>
  </si>
  <si>
    <t>Shendkar, Sachin</t>
  </si>
  <si>
    <t>Sheregar, Shailesh</t>
  </si>
  <si>
    <t>Sherman, Brian</t>
  </si>
  <si>
    <t>Shewale, Pallavi</t>
  </si>
  <si>
    <t>Shi, Jiong</t>
  </si>
  <si>
    <t>Shieh, Ming</t>
  </si>
  <si>
    <t>Shields, Lydia</t>
  </si>
  <si>
    <t>Shifflett-Leach, Eddye</t>
  </si>
  <si>
    <t>Shimizu, Sayako</t>
  </si>
  <si>
    <t>Shimoda, Aparecido</t>
  </si>
  <si>
    <t>Shin, John</t>
  </si>
  <si>
    <t>Shinde, Prashant</t>
  </si>
  <si>
    <t>Shinde, Sushilkumar</t>
  </si>
  <si>
    <t>Shine, Robin</t>
  </si>
  <si>
    <t>Shirke, Anshul</t>
  </si>
  <si>
    <t>Shirse, Sushil</t>
  </si>
  <si>
    <t>Shishikura, Mariko</t>
  </si>
  <si>
    <t>Shumate, Gabrielle</t>
  </si>
  <si>
    <t>Sia, Yuen Yie</t>
  </si>
  <si>
    <t>Silva, Claudson</t>
  </si>
  <si>
    <t>Sim, Wai Sin</t>
  </si>
  <si>
    <t>Simkins, Timothy</t>
  </si>
  <si>
    <t>Simmons, Frances</t>
  </si>
  <si>
    <t>Sims, Robert</t>
  </si>
  <si>
    <t>Sims, Verdene</t>
  </si>
  <si>
    <t>Singer, Elizabeth</t>
  </si>
  <si>
    <t>Singh, Anand</t>
  </si>
  <si>
    <t>Singh, Chandra</t>
  </si>
  <si>
    <t>Singh, Jagdeep</t>
  </si>
  <si>
    <t>Singh, Piyush</t>
  </si>
  <si>
    <t>Singh, Sameer</t>
  </si>
  <si>
    <t>Singh, Sanjay</t>
  </si>
  <si>
    <t>Singhal, Rishi</t>
  </si>
  <si>
    <t>Singla, Ashwani</t>
  </si>
  <si>
    <t>Sink, Douglas</t>
  </si>
  <si>
    <t>Sipos, Martin</t>
  </si>
  <si>
    <t>Sippial, Melba</t>
  </si>
  <si>
    <t>Slover, Bruce</t>
  </si>
  <si>
    <t>Smallwood, James</t>
  </si>
  <si>
    <t>Smith, George</t>
  </si>
  <si>
    <t>Smitter, Mark</t>
  </si>
  <si>
    <t>Snook, Nancy</t>
  </si>
  <si>
    <t>Sobek, David</t>
  </si>
  <si>
    <t>Sobolevitch, Stephen</t>
  </si>
  <si>
    <t>Soffientino, Davide</t>
  </si>
  <si>
    <t>Sofia, Rosemary</t>
  </si>
  <si>
    <t>Softic, Edina</t>
  </si>
  <si>
    <t>Soh, Cheok Choun,</t>
  </si>
  <si>
    <t>Sohoza, Carolyn</t>
  </si>
  <si>
    <t>Solanki, Ketan</t>
  </si>
  <si>
    <t>Song, Mike</t>
  </si>
  <si>
    <t>Sonneborn, Lisa</t>
  </si>
  <si>
    <t>Sonnenberg, Richard</t>
  </si>
  <si>
    <t>Soukup, Robert</t>
  </si>
  <si>
    <t>Southard, Peter</t>
  </si>
  <si>
    <t>Spencer, Geoffrey</t>
  </si>
  <si>
    <t>Spencer, Tim</t>
  </si>
  <si>
    <t>Spera, Kelly</t>
  </si>
  <si>
    <t>Spiegelman, Marc</t>
  </si>
  <si>
    <t>Sprague, Mary</t>
  </si>
  <si>
    <t>Srinivas, Sandesh</t>
  </si>
  <si>
    <t>Srivastava, Nidhi</t>
  </si>
  <si>
    <t>Srivatsava, Sachin</t>
  </si>
  <si>
    <t>St Pierre, Shannon</t>
  </si>
  <si>
    <t>Stabile, Pat</t>
  </si>
  <si>
    <t>Stachova, Andrea</t>
  </si>
  <si>
    <t>Stagg, Todd</t>
  </si>
  <si>
    <t>Stallings, Judith</t>
  </si>
  <si>
    <t>Standing, Terrence</t>
  </si>
  <si>
    <t>Standish, Glenn</t>
  </si>
  <si>
    <t>Stankiewicz, Wlodek</t>
  </si>
  <si>
    <t>Stanley, Davis</t>
  </si>
  <si>
    <t>Starbuck, Taylor</t>
  </si>
  <si>
    <t>Stark, Thomas</t>
  </si>
  <si>
    <t>Steffen, Craig</t>
  </si>
  <si>
    <t>Steimel, Jill</t>
  </si>
  <si>
    <t>Stein, Georg</t>
  </si>
  <si>
    <t>Steinhauser, Gail</t>
  </si>
  <si>
    <t>Stern, Jeffrey</t>
  </si>
  <si>
    <t>Stewart, Harold</t>
  </si>
  <si>
    <t>Stewart, John</t>
  </si>
  <si>
    <t>Still-Taylor, Martha</t>
  </si>
  <si>
    <t>Stokes, Charlton</t>
  </si>
  <si>
    <t>Stone, Gerard</t>
  </si>
  <si>
    <t>Story, Martin</t>
  </si>
  <si>
    <t>Strauss, Stephen</t>
  </si>
  <si>
    <t>Strich, David</t>
  </si>
  <si>
    <t>Stroud, Charles</t>
  </si>
  <si>
    <t>Stroud, Scott</t>
  </si>
  <si>
    <t>Stuckey, Roger</t>
  </si>
  <si>
    <t>Su, Alan</t>
  </si>
  <si>
    <t>Subramanian, Sayee</t>
  </si>
  <si>
    <t>Suess, James</t>
  </si>
  <si>
    <t>Sullivan, Greg</t>
  </si>
  <si>
    <t>Sullivant, William</t>
  </si>
  <si>
    <t>Sulsh, Ray</t>
  </si>
  <si>
    <t>Summerlin, Steve</t>
  </si>
  <si>
    <t>Sun, Paul</t>
  </si>
  <si>
    <t>Sun, Ting Yu</t>
  </si>
  <si>
    <t>Sura, Hiten</t>
  </si>
  <si>
    <t>Surber, Fred</t>
  </si>
  <si>
    <t>Sure, Bhaskar</t>
  </si>
  <si>
    <t>Sutton, Kristina</t>
  </si>
  <si>
    <t>Svensson, Stig Ingvar</t>
  </si>
  <si>
    <t>Swagatam, Gosh</t>
  </si>
  <si>
    <t>Swami, Raman</t>
  </si>
  <si>
    <t>Swanson, Debbie</t>
  </si>
  <si>
    <t>Swanson, Gareth</t>
  </si>
  <si>
    <t>Swartz, Susan</t>
  </si>
  <si>
    <t>Swenson, Michael</t>
  </si>
  <si>
    <t>Syed, Adnan</t>
  </si>
  <si>
    <t>Syed, Imran</t>
  </si>
  <si>
    <t>Sylvester, Ann</t>
  </si>
  <si>
    <t>Syvertsen, Kathleen</t>
  </si>
  <si>
    <t>Szabo, Debra</t>
  </si>
  <si>
    <t>Szawiel, Helen</t>
  </si>
  <si>
    <t>Sznip, Garrett</t>
  </si>
  <si>
    <t>Szymanski, Richard</t>
  </si>
  <si>
    <t>T C, Anil</t>
  </si>
  <si>
    <t>Tadepalli, Shilpa Kalyan</t>
  </si>
  <si>
    <t>Taj, Rizwan</t>
  </si>
  <si>
    <t>Talotta, Robert</t>
  </si>
  <si>
    <t>Tamang, Esther</t>
  </si>
  <si>
    <t>Tan, Sok Lang</t>
  </si>
  <si>
    <t>Tandale, Mahendra</t>
  </si>
  <si>
    <t>Tandon, Rajiv</t>
  </si>
  <si>
    <t>Taneja, Sunit</t>
  </si>
  <si>
    <t>Tantry, Chandrashekar</t>
  </si>
  <si>
    <t>Tapkir, Awdhoot</t>
  </si>
  <si>
    <t>Tarullo, Helen</t>
  </si>
  <si>
    <t>Tashjian, Raffi</t>
  </si>
  <si>
    <t>Tatavarti, Sudhir</t>
  </si>
  <si>
    <t>Taylor, Brent</t>
  </si>
  <si>
    <t>Taylor, Jeffrey</t>
  </si>
  <si>
    <t>Taylor, Paul</t>
  </si>
  <si>
    <t>Taylor, Shaun</t>
  </si>
  <si>
    <t>Te Punga, Paul</t>
  </si>
  <si>
    <t>Teakell, Doug</t>
  </si>
  <si>
    <t>Tedford, Peggy</t>
  </si>
  <si>
    <t>Terebecki, Charles</t>
  </si>
  <si>
    <t>Terheide, Susan</t>
  </si>
  <si>
    <t>Thakur, Ishwar Singh</t>
  </si>
  <si>
    <t>Thakur, Prakash Singh</t>
  </si>
  <si>
    <t>Thalari, Chaitanya</t>
  </si>
  <si>
    <t>Thames, Wade</t>
  </si>
  <si>
    <t>Theisen, Kathryn</t>
  </si>
  <si>
    <t>Thielke, Claudia</t>
  </si>
  <si>
    <t>Thoene, Matt</t>
  </si>
  <si>
    <t>Thomas, John</t>
  </si>
  <si>
    <t>Thomas, Tiffany</t>
  </si>
  <si>
    <t>Thompson, Robert</t>
  </si>
  <si>
    <t>Thorat, Girish</t>
  </si>
  <si>
    <t>Thorat, Pratibha</t>
  </si>
  <si>
    <t>Thygesen, Jorgen Hertz</t>
  </si>
  <si>
    <t>Tidswell, Jason</t>
  </si>
  <si>
    <t>Tiedeman, James</t>
  </si>
  <si>
    <t>Tiesi, Barbara</t>
  </si>
  <si>
    <t>Tillack, Juergen</t>
  </si>
  <si>
    <t>Tilley, Gary</t>
  </si>
  <si>
    <t>Tippy, Ron</t>
  </si>
  <si>
    <t>Toivonen, John</t>
  </si>
  <si>
    <t>Tomiak, Anna</t>
  </si>
  <si>
    <t>Torres, Victor</t>
  </si>
  <si>
    <t>Torroni, Carole</t>
  </si>
  <si>
    <t>Totten, Andrew</t>
  </si>
  <si>
    <t>Tralli, Frank</t>
  </si>
  <si>
    <t>Traub, Andreas</t>
  </si>
  <si>
    <t>Traut, David</t>
  </si>
  <si>
    <t>Tribble, David</t>
  </si>
  <si>
    <t>Trinagre, Vishnu</t>
  </si>
  <si>
    <t>Trinh, Huy</t>
  </si>
  <si>
    <t>Troup, Brian</t>
  </si>
  <si>
    <t>Troyo, Francisco</t>
  </si>
  <si>
    <t>Tsacoumis, Rebecca</t>
  </si>
  <si>
    <t>Tsao, Tsa</t>
  </si>
  <si>
    <t>Tse, King Pang</t>
  </si>
  <si>
    <t>Tsoi, E Ching</t>
  </si>
  <si>
    <t>Turner, Earl</t>
  </si>
  <si>
    <t>Turp, Mike</t>
  </si>
  <si>
    <t>Twiddy, Charles</t>
  </si>
  <si>
    <t>Uhlenhake, Leif</t>
  </si>
  <si>
    <t>Undayag-Mcdowell, Lina</t>
  </si>
  <si>
    <t>Uppal, Pala</t>
  </si>
  <si>
    <t>Urpate, Shailesh</t>
  </si>
  <si>
    <t>Usmani, Ahmed</t>
  </si>
  <si>
    <t>Vacca, Michael</t>
  </si>
  <si>
    <t>Vago, L Susan</t>
  </si>
  <si>
    <t>Valade, Charles</t>
  </si>
  <si>
    <t>Vallone, Michael D</t>
  </si>
  <si>
    <t>Van Brocklin, Michael</t>
  </si>
  <si>
    <t>Van Damme, Bart</t>
  </si>
  <si>
    <t>Van De Vijver, Paul</t>
  </si>
  <si>
    <t>Van Der Bijl, Jacobus</t>
  </si>
  <si>
    <t>Van Der Minnen, Jeroen</t>
  </si>
  <si>
    <t>Van Der Sloot, Rob</t>
  </si>
  <si>
    <t>Van Essen, Hans</t>
  </si>
  <si>
    <t>Van Hoorebeke, Christof</t>
  </si>
  <si>
    <t>Vanarase, Sameer</t>
  </si>
  <si>
    <t>Varangaonkar, Shruti</t>
  </si>
  <si>
    <t>Vargas, Aaron</t>
  </si>
  <si>
    <t>Vargas, Ken</t>
  </si>
  <si>
    <t>Varshney, Jyoti</t>
  </si>
  <si>
    <t>Vasmatkar, Gajanan</t>
  </si>
  <si>
    <t>Vaswani, Sailesh</t>
  </si>
  <si>
    <t>Vaughan, Cara</t>
  </si>
  <si>
    <t>Vaziri, Shams</t>
  </si>
  <si>
    <t>Veile, Donna</t>
  </si>
  <si>
    <t>Venkataraman, Ramgopal</t>
  </si>
  <si>
    <t>Venkateshan, Balaji</t>
  </si>
  <si>
    <t>Verma, Juhi</t>
  </si>
  <si>
    <t>Veselovska, Lucia</t>
  </si>
  <si>
    <t>Vezain, Thomas</t>
  </si>
  <si>
    <t>Viaches, Nicholas</t>
  </si>
  <si>
    <t>Viduna, Robert</t>
  </si>
  <si>
    <t>Vijayaraj, Nivetha</t>
  </si>
  <si>
    <t>Vilardell, Luis Salvador</t>
  </si>
  <si>
    <t>Villescas, Yvonne</t>
  </si>
  <si>
    <t>Virdi, Inderjit</t>
  </si>
  <si>
    <t>Vittil, Rajesh</t>
  </si>
  <si>
    <t>Vittor, Maria</t>
  </si>
  <si>
    <t>Vo, Mimi</t>
  </si>
  <si>
    <t>Voelker, Jochen</t>
  </si>
  <si>
    <t>Vona, Nancy</t>
  </si>
  <si>
    <t>Vonderohe, Todd</t>
  </si>
  <si>
    <t>Vora, Purvang</t>
  </si>
  <si>
    <t>Wade-Sineath, Julie</t>
  </si>
  <si>
    <t>Waghmare, Mangesh Vishnuji</t>
  </si>
  <si>
    <t>Waghmode, Anil</t>
  </si>
  <si>
    <t>Wahls, Richard</t>
  </si>
  <si>
    <t>Waite, Sharon</t>
  </si>
  <si>
    <t>Walker, Mark</t>
  </si>
  <si>
    <t>Wallin, Joanne</t>
  </si>
  <si>
    <t>Walsh, Christopher</t>
  </si>
  <si>
    <t>Walsh, Lawrence</t>
  </si>
  <si>
    <t>Walsh, Tony</t>
  </si>
  <si>
    <t>Walter, Winston</t>
  </si>
  <si>
    <t>Walworth, Helen</t>
  </si>
  <si>
    <t>Wang, Neil</t>
  </si>
  <si>
    <t>Warren, Rick</t>
  </si>
  <si>
    <t>Wasielewski, Tim</t>
  </si>
  <si>
    <t>Wasif, Mohammed</t>
  </si>
  <si>
    <t>Waterhouse, Thomas</t>
  </si>
  <si>
    <t>Watts, Katherine</t>
  </si>
  <si>
    <t>Weaver, Mary</t>
  </si>
  <si>
    <t>Webb, Barbara</t>
  </si>
  <si>
    <t>Webster, Paul</t>
  </si>
  <si>
    <t>Weed, Thomas</t>
  </si>
  <si>
    <t>Wehling, Julie</t>
  </si>
  <si>
    <t>Weiss, Janna</t>
  </si>
  <si>
    <t>Wenger, Johnnie</t>
  </si>
  <si>
    <t>Westhoff, Amy</t>
  </si>
  <si>
    <t>Wetzels, Frank</t>
  </si>
  <si>
    <t>Wheatley, Andrew</t>
  </si>
  <si>
    <t>Whelply, Frederick</t>
  </si>
  <si>
    <t>White, Brian</t>
  </si>
  <si>
    <t>Whitelow, Vercy</t>
  </si>
  <si>
    <t>Whitley, Jeff</t>
  </si>
  <si>
    <t>Whitley, Raymond</t>
  </si>
  <si>
    <t>Wicker, Richard</t>
  </si>
  <si>
    <t>Wiemann, Michael</t>
  </si>
  <si>
    <t>Wilde, James</t>
  </si>
  <si>
    <t>Williams, Gregory</t>
  </si>
  <si>
    <t>Williams, Nichole</t>
  </si>
  <si>
    <t>Williams, Pamela</t>
  </si>
  <si>
    <t>Williams, Richard</t>
  </si>
  <si>
    <t>Wilson, Trevor</t>
  </si>
  <si>
    <t>Winter, William</t>
  </si>
  <si>
    <t>Wise, Mark</t>
  </si>
  <si>
    <t>Witte, Thomas</t>
  </si>
  <si>
    <t>Wolters, Elaine</t>
  </si>
  <si>
    <t>Wong, Chadwick</t>
  </si>
  <si>
    <t>Wong, Craig</t>
  </si>
  <si>
    <t>Wong, Siu Wang</t>
  </si>
  <si>
    <t>Woods, Steven</t>
  </si>
  <si>
    <t>Woody, Steven</t>
  </si>
  <si>
    <t>Worfel, Chris</t>
  </si>
  <si>
    <t>Worley, Charles</t>
  </si>
  <si>
    <t>Wottle, Katherine</t>
  </si>
  <si>
    <t>Yadav, Prabhakar</t>
  </si>
  <si>
    <t>Yalawar, Akshatha</t>
  </si>
  <si>
    <t>Yankowski, Barbara</t>
  </si>
  <si>
    <t>Yarborough, Kelly</t>
  </si>
  <si>
    <t>Yaseen, Mohammed</t>
  </si>
  <si>
    <t>Ye, Hui</t>
  </si>
  <si>
    <t>Yim, Audrey</t>
  </si>
  <si>
    <t>Yong, Alicia</t>
  </si>
  <si>
    <t>Yoo, Vipasiri</t>
  </si>
  <si>
    <t>Yu, Tae</t>
  </si>
  <si>
    <t>Zahid, Mohammed</t>
  </si>
  <si>
    <t>Zarco, Gilberto</t>
  </si>
  <si>
    <t>Zarou, Loretta</t>
  </si>
  <si>
    <t>Zents, Felix</t>
  </si>
  <si>
    <t>Zhang, Jason</t>
  </si>
  <si>
    <t>Zhang, Quan</t>
  </si>
  <si>
    <t>Zhang, Xiaobin</t>
  </si>
  <si>
    <t>Zhang, Xin</t>
  </si>
  <si>
    <t>Zhang, Yan</t>
  </si>
  <si>
    <t>Ziaya, Josephine</t>
  </si>
  <si>
    <t>Zimmerman, Patrick</t>
  </si>
  <si>
    <t>Zofchak, Christopher</t>
  </si>
  <si>
    <t>Zuluaga, Orlando</t>
  </si>
  <si>
    <t>Zurkammer, Michael</t>
  </si>
  <si>
    <t>Required</t>
  </si>
  <si>
    <t>Data Entry</t>
  </si>
  <si>
    <t>#</t>
  </si>
  <si>
    <t>Select Product Number 
(From column A)</t>
  </si>
  <si>
    <t>do not delete</t>
  </si>
  <si>
    <t>last selection</t>
  </si>
  <si>
    <t>Inventory Prod Num</t>
  </si>
  <si>
    <t>LittleProd</t>
  </si>
  <si>
    <t>Cost Team</t>
  </si>
  <si>
    <t>User Permissions</t>
  </si>
  <si>
    <t>Hanson, Danielle</t>
  </si>
  <si>
    <t>prods loaded'</t>
  </si>
  <si>
    <t>Calc</t>
  </si>
  <si>
    <t>Roche, Dan</t>
  </si>
  <si>
    <t>Dolle, Lance</t>
  </si>
  <si>
    <t>Spicer, Carrie</t>
  </si>
  <si>
    <t>Contract Type</t>
  </si>
  <si>
    <t>If ACDA, MAC$?</t>
  </si>
  <si>
    <t>ACDA</t>
  </si>
  <si>
    <t>AT&amp;T Discount</t>
  </si>
  <si>
    <t>AT&amp;T Offer</t>
  </si>
  <si>
    <t>Competitor's Offer</t>
  </si>
  <si>
    <t>CRU</t>
  </si>
  <si>
    <t># of Subs</t>
  </si>
  <si>
    <t>Plan Access</t>
  </si>
  <si>
    <t>Package MOUs</t>
  </si>
  <si>
    <t>Monthly Recurring Credit</t>
  </si>
  <si>
    <t xml:space="preserve"> Discount ($)</t>
  </si>
  <si>
    <t>Discounted Monthly Revenue ($)</t>
  </si>
  <si>
    <t>Total Access Revenue (2 Years)</t>
  </si>
  <si>
    <t>VOICE</t>
  </si>
  <si>
    <t>Voice Subtotals</t>
  </si>
  <si>
    <t>DATA</t>
  </si>
  <si>
    <t>Data Subtotals</t>
  </si>
  <si>
    <t>FEATURES</t>
  </si>
  <si>
    <t>Feature Subtotals</t>
  </si>
  <si>
    <t>DEVICES</t>
  </si>
  <si>
    <t># of Devices</t>
  </si>
  <si>
    <t>Price per Device</t>
  </si>
  <si>
    <t>Total Device Revenue</t>
  </si>
  <si>
    <t>Device Subtotals</t>
  </si>
  <si>
    <t>Subtotal Device Revenue</t>
  </si>
  <si>
    <t>CTNs Eligible for Acquisition Credit</t>
  </si>
  <si>
    <t>Acquisition Credit per Sub</t>
  </si>
  <si>
    <t>Total 2-year Spend (inclusive of equipment/credits)</t>
  </si>
  <si>
    <t>Total2-year Spend (inclusive of equipment/credits)</t>
  </si>
  <si>
    <t>Total Monthly Spend (inclusive of equipment/credits)</t>
  </si>
  <si>
    <t>Total Monthly Spend (excludes equipment/credits)</t>
  </si>
  <si>
    <t>ARPU</t>
  </si>
  <si>
    <t>AT&amp;T Premium/(Discount) $</t>
  </si>
  <si>
    <t>AT&amp;T Premium/(Discount) %</t>
  </si>
  <si>
    <t>ICB USE</t>
  </si>
  <si>
    <t>Acquisition Credit Needed to MATCH Verizon</t>
  </si>
  <si>
    <t>Acquisition Credit Needed for 10% Premium vs. Sprint</t>
  </si>
  <si>
    <t>Acquisition Credit Needed for 15% Premium vs. TMO Acquisition</t>
  </si>
  <si>
    <t>Acquisition Credit Needed for 20% Premium vs. TMO Retention</t>
  </si>
  <si>
    <t>Acquisition Credit Needed for 25% Premium vs. Regional</t>
  </si>
  <si>
    <t>Input</t>
  </si>
  <si>
    <t>From Comparison Tool</t>
  </si>
  <si>
    <t>CURRENT RATE PLANS and OFFER ELEMENTS</t>
  </si>
  <si>
    <t>Customer's Current AT&amp;T Wireless Spend</t>
  </si>
  <si>
    <t>CRU Voice</t>
  </si>
  <si>
    <t>CRU Data Blend</t>
  </si>
  <si>
    <t>Total Subscribers</t>
  </si>
  <si>
    <t xml:space="preserve">ARPU </t>
  </si>
  <si>
    <t>Monthly Revenue</t>
  </si>
  <si>
    <t>Price Impact of Embedded Base</t>
  </si>
  <si>
    <t>Total Customers</t>
  </si>
  <si>
    <t>Customer's Projected Future AT&amp;T Wireless Spend</t>
  </si>
  <si>
    <t>Projected Contract Term (Years)</t>
  </si>
  <si>
    <t>Contract Term Revenue Write Down</t>
  </si>
  <si>
    <t>Gain/(Write Down)%</t>
  </si>
  <si>
    <t>Proj. Annual Revenue Change</t>
  </si>
  <si>
    <t>order by sortOrder</t>
  </si>
  <si>
    <t xml:space="preserve">Is a commissioned 3rd party agent </t>
  </si>
  <si>
    <t>involved with this opportunity?</t>
  </si>
  <si>
    <t>Package MOUs/MBs</t>
  </si>
  <si>
    <t>Discounted Monthly Price ($)</t>
  </si>
  <si>
    <t>AMB</t>
  </si>
  <si>
    <t>key</t>
  </si>
  <si>
    <t>Annualized</t>
  </si>
  <si>
    <t>Added premium calculator for mobility</t>
  </si>
  <si>
    <t>Reset macro button text entries on step 0 and step 1 for emphasis.</t>
  </si>
  <si>
    <t>Inactive</t>
  </si>
  <si>
    <t>Sales Center VP/RVP</t>
  </si>
  <si>
    <t>ROME Oppty #</t>
  </si>
  <si>
    <t>Add Products &amp; Services not included in this CDT but to be bundled with this opportunity (Examples: MDA, Alternate CDTs, etc.) - Enter manually in monthly cells</t>
  </si>
  <si>
    <t>Submitted to cost pre-process?</t>
  </si>
  <si>
    <t>**specify all AT&amp;T contracts and any known competitor contract information</t>
  </si>
  <si>
    <t>FRN (470) #</t>
  </si>
  <si>
    <t>eRate Market Rate Mode?</t>
  </si>
  <si>
    <t>Benitez, Mark</t>
  </si>
  <si>
    <t>Gronneberg, Richard N</t>
  </si>
  <si>
    <t>Miklis, Kathleen</t>
  </si>
  <si>
    <t>O Brien, Christopher</t>
  </si>
  <si>
    <t>O Donnell, Kimberly</t>
  </si>
  <si>
    <t>Petit, Ray P</t>
  </si>
  <si>
    <t>Weiner, Jonathan</t>
  </si>
  <si>
    <t>Leser, Jeffery</t>
  </si>
  <si>
    <t>SI/SR Request #</t>
  </si>
  <si>
    <t>SI/SR Case #</t>
  </si>
  <si>
    <t>Wholesale Affiliate Request #</t>
  </si>
  <si>
    <t>Wholesale Affiliate Case #</t>
  </si>
  <si>
    <t>delete:</t>
  </si>
  <si>
    <t>removes the product</t>
  </si>
  <si>
    <t>Alexander, Quentin J</t>
  </si>
  <si>
    <t>Alford, Neda S</t>
  </si>
  <si>
    <t>Anderson, Judy A</t>
  </si>
  <si>
    <t>Antiniw, Marie</t>
  </si>
  <si>
    <t>Armstrong, Aaron T</t>
  </si>
  <si>
    <t>Avdienko, Monique B</t>
  </si>
  <si>
    <t>Babcock, Gregory</t>
  </si>
  <si>
    <t>Bacon, Kent R</t>
  </si>
  <si>
    <t>Baker, Ross J</t>
  </si>
  <si>
    <t>Balken, Cathy M</t>
  </si>
  <si>
    <t>Baptista, Alex</t>
  </si>
  <si>
    <t>Barnes, Cameron</t>
  </si>
  <si>
    <t>Barrows, Jarrett W</t>
  </si>
  <si>
    <t>Bean, Terrance K</t>
  </si>
  <si>
    <t>Bearden, Lauren E</t>
  </si>
  <si>
    <t>Bell, Jennifer</t>
  </si>
  <si>
    <t>Bicha, Paul</t>
  </si>
  <si>
    <t>Bilodeau, Jeffrey</t>
  </si>
  <si>
    <t>Bird, Robyn</t>
  </si>
  <si>
    <t>Boam, Kevin R</t>
  </si>
  <si>
    <t>Boat, Tammy L</t>
  </si>
  <si>
    <t>Bodine, Brian J</t>
  </si>
  <si>
    <t>Boilla, Dawn M</t>
  </si>
  <si>
    <t>Bolden, Allison L</t>
  </si>
  <si>
    <t>Bonniwell, Barth A</t>
  </si>
  <si>
    <t>Bradford, Erik</t>
  </si>
  <si>
    <t>Braggs, Tanya Y</t>
  </si>
  <si>
    <t>Brennan, Lauren</t>
  </si>
  <si>
    <t>Briner, Terry A</t>
  </si>
  <si>
    <t>Brown, Matthew R</t>
  </si>
  <si>
    <t>Brown, William R</t>
  </si>
  <si>
    <t>Bruce, Teresa</t>
  </si>
  <si>
    <t>Buck, Ron Buck</t>
  </si>
  <si>
    <t>Buck, Sarah</t>
  </si>
  <si>
    <t>Buckendahl, Larry</t>
  </si>
  <si>
    <t>Butler, Willie J</t>
  </si>
  <si>
    <t>Byrne, Jim</t>
  </si>
  <si>
    <t>Calefate, Brett R</t>
  </si>
  <si>
    <t>Cancryn, Wayne S</t>
  </si>
  <si>
    <t>Cappellini, Gifford</t>
  </si>
  <si>
    <t>Carrasco, Yvan</t>
  </si>
  <si>
    <t>Carvallo, Eddie</t>
  </si>
  <si>
    <t>Casey, Charles R</t>
  </si>
  <si>
    <t>Catlin, Joel D</t>
  </si>
  <si>
    <t>Cavaioli, Frank</t>
  </si>
  <si>
    <t>Chain, Steven B</t>
  </si>
  <si>
    <t>Chung, Bob</t>
  </si>
  <si>
    <t>Clayton, Jennifer A</t>
  </si>
  <si>
    <t>Cofer, Toni L</t>
  </si>
  <si>
    <t>Coffman, Stephen</t>
  </si>
  <si>
    <t>Cohen, Michael B</t>
  </si>
  <si>
    <t>Colbaugh, Anthony M</t>
  </si>
  <si>
    <t>Collier, Bryan C</t>
  </si>
  <si>
    <t>Collins, Robert L</t>
  </si>
  <si>
    <t>Collis, Teresa A</t>
  </si>
  <si>
    <t>Comer, Scott D</t>
  </si>
  <si>
    <t>Conklin, Taylor H</t>
  </si>
  <si>
    <t>Connor, Brendan W</t>
  </si>
  <si>
    <t>Constantine, James</t>
  </si>
  <si>
    <t>Conte, Dawn K</t>
  </si>
  <si>
    <t>Cook, Keith</t>
  </si>
  <si>
    <t>Coppola, Michael</t>
  </si>
  <si>
    <t>Corbett, Kevin P</t>
  </si>
  <si>
    <t>Craig, Nycia F</t>
  </si>
  <si>
    <t>Culpepper, Shaun W</t>
  </si>
  <si>
    <t>Curley, Matthew P</t>
  </si>
  <si>
    <t>Currie, Sherry L</t>
  </si>
  <si>
    <t>Curry, Eldon A</t>
  </si>
  <si>
    <t>Curtis, Catlin D</t>
  </si>
  <si>
    <t>Curtis, David G</t>
  </si>
  <si>
    <t>Daugherty, Jim</t>
  </si>
  <si>
    <t>Dillon, Sean</t>
  </si>
  <si>
    <t>Distel, David R</t>
  </si>
  <si>
    <t>Dittman, Everett</t>
  </si>
  <si>
    <t>Doan, Derek R</t>
  </si>
  <si>
    <t>Doebler, Dirk</t>
  </si>
  <si>
    <t>Donatelli, Derek P</t>
  </si>
  <si>
    <t>Donohoe, Heather L</t>
  </si>
  <si>
    <t>Dow, Brent D</t>
  </si>
  <si>
    <t>Dray, Ryan</t>
  </si>
  <si>
    <t>Dreiss, Amy</t>
  </si>
  <si>
    <t>Eads, Christie M</t>
  </si>
  <si>
    <t>Eagleton, Tivarri J</t>
  </si>
  <si>
    <t>Eaton, Ty</t>
  </si>
  <si>
    <t>Eckert, Grant E</t>
  </si>
  <si>
    <t>Edsell, Joseph P</t>
  </si>
  <si>
    <t>Ehlenberger, Brian M</t>
  </si>
  <si>
    <t>Ellison, Michael J</t>
  </si>
  <si>
    <t>Eng, Michael</t>
  </si>
  <si>
    <t>Everling, Chris</t>
  </si>
  <si>
    <t>Falcon, Antonio S</t>
  </si>
  <si>
    <t>Farber, Charles W</t>
  </si>
  <si>
    <t>Favara, Richard S</t>
  </si>
  <si>
    <t>Fay, Kimberly C</t>
  </si>
  <si>
    <t>Feaster, Lane</t>
  </si>
  <si>
    <t>Fellure, Diana S</t>
  </si>
  <si>
    <t>Ferris, Keith S</t>
  </si>
  <si>
    <t>Feuerhelm, Adam J</t>
  </si>
  <si>
    <t>Fields, Kim</t>
  </si>
  <si>
    <t>Fillpot, Jay S</t>
  </si>
  <si>
    <t>Fiorentino, Lisa M</t>
  </si>
  <si>
    <t>Fitzhugh, Michelle N</t>
  </si>
  <si>
    <t>Fletter, Dwayne A</t>
  </si>
  <si>
    <t>Flor, Andrew O</t>
  </si>
  <si>
    <t>Flores, Norrell</t>
  </si>
  <si>
    <t>Fraedrich-Serdan, Melissa C</t>
  </si>
  <si>
    <t>Fritz, David</t>
  </si>
  <si>
    <t>Gamble Jr., John H</t>
  </si>
  <si>
    <t>Gamble, Park</t>
  </si>
  <si>
    <t>Geohaghan, Richard S</t>
  </si>
  <si>
    <t>George, Kyle S</t>
  </si>
  <si>
    <t>Givens, Greg M</t>
  </si>
  <si>
    <t>Golembeski, David J</t>
  </si>
  <si>
    <t>Gomez, Sarah J</t>
  </si>
  <si>
    <t>Gonzalez, Hector L</t>
  </si>
  <si>
    <t>Green, Ellen</t>
  </si>
  <si>
    <t>Griffeth, Grant R</t>
  </si>
  <si>
    <t>Grusse, Dana E</t>
  </si>
  <si>
    <t>Gump, Abra C</t>
  </si>
  <si>
    <t>Hallett, William R</t>
  </si>
  <si>
    <t>Hanson, Kenneth E</t>
  </si>
  <si>
    <t>Hazzard, Robert A</t>
  </si>
  <si>
    <t>Helm, Richard T</t>
  </si>
  <si>
    <t>Herncane, Shawn</t>
  </si>
  <si>
    <t>Herndon, Valerie D</t>
  </si>
  <si>
    <t>Hill, Abram E</t>
  </si>
  <si>
    <t>Hirschfield, Michael H</t>
  </si>
  <si>
    <t>Hoben, Meghan K</t>
  </si>
  <si>
    <t>Holt, Jeremy R</t>
  </si>
  <si>
    <t>Horne, Annabel C</t>
  </si>
  <si>
    <t>Horton, Curtis J</t>
  </si>
  <si>
    <t>Howard, Ty</t>
  </si>
  <si>
    <t>Hubbard, Brandon D</t>
  </si>
  <si>
    <t>Iovanna, Christopher M</t>
  </si>
  <si>
    <t>Jackson, Brett C</t>
  </si>
  <si>
    <t>Jackson, Keith</t>
  </si>
  <si>
    <t>James, Bob</t>
  </si>
  <si>
    <t>Johns Ii, Creighton</t>
  </si>
  <si>
    <t>Johnson Iv, Lucius</t>
  </si>
  <si>
    <t>Johnson, Ashley B</t>
  </si>
  <si>
    <t>Johnson, Tina M</t>
  </si>
  <si>
    <t>Johnston, Ty</t>
  </si>
  <si>
    <t>Jones, Bryan M</t>
  </si>
  <si>
    <t>Jorgensen, Michael W</t>
  </si>
  <si>
    <t>Jung, Richard N</t>
  </si>
  <si>
    <t>Kahn, Stuart</t>
  </si>
  <si>
    <t>Karidis, Dimitri C</t>
  </si>
  <si>
    <t>Karlis, Peter</t>
  </si>
  <si>
    <t>Kaus, Christina</t>
  </si>
  <si>
    <t>Keesling Jr., Robert L</t>
  </si>
  <si>
    <t>Keir, David J</t>
  </si>
  <si>
    <t>Kennedy, Rachel A</t>
  </si>
  <si>
    <t>Kent, Kris D</t>
  </si>
  <si>
    <t>Kessler, Susan M</t>
  </si>
  <si>
    <t>King, Jeffrey</t>
  </si>
  <si>
    <t>Konicke, Angela V</t>
  </si>
  <si>
    <t>Konopa, Michael P</t>
  </si>
  <si>
    <t>Kyles, Maria</t>
  </si>
  <si>
    <t>Lajoie, Jeanne</t>
  </si>
  <si>
    <t>Lamaison-Wagner, Michelle</t>
  </si>
  <si>
    <t>Lander, Robert</t>
  </si>
  <si>
    <t>Landry, Wayne J</t>
  </si>
  <si>
    <t>Larocco, Joseph A</t>
  </si>
  <si>
    <t>Lawrence, Jennifer H</t>
  </si>
  <si>
    <t>Lee, James P</t>
  </si>
  <si>
    <t>Leser, Jeff</t>
  </si>
  <si>
    <t>Less, Fredric M</t>
  </si>
  <si>
    <t>Leverett, Aulaire D</t>
  </si>
  <si>
    <t>Lewis, Thomas H</t>
  </si>
  <si>
    <t>Lidholm, Jeni</t>
  </si>
  <si>
    <t>Light, Michelle</t>
  </si>
  <si>
    <t>Link, Sunny</t>
  </si>
  <si>
    <t>Litvak, Marc</t>
  </si>
  <si>
    <t>Long, Jason W</t>
  </si>
  <si>
    <t>Lopez, Mark A</t>
  </si>
  <si>
    <t>Lueckenhoff, Greg</t>
  </si>
  <si>
    <t>Macdonald, Barbara L</t>
  </si>
  <si>
    <t>Magnuson, Thomas R</t>
  </si>
  <si>
    <t>Malacrida, Jessica L</t>
  </si>
  <si>
    <t>Martin, Jennifer</t>
  </si>
  <si>
    <t>Massengale, William A</t>
  </si>
  <si>
    <t>Mayor, Emilio O</t>
  </si>
  <si>
    <t>Mcrae, Zachary W</t>
  </si>
  <si>
    <t>Mcrandal, John</t>
  </si>
  <si>
    <t>Mead, Mark A</t>
  </si>
  <si>
    <t>Meeth, Scott P</t>
  </si>
  <si>
    <t>Mehaffey, Kimberly</t>
  </si>
  <si>
    <t>Melone, Victor J</t>
  </si>
  <si>
    <t>Mero, John</t>
  </si>
  <si>
    <t>Merrill-Elmore, Winda K</t>
  </si>
  <si>
    <t>Mifsud, Carolyn M</t>
  </si>
  <si>
    <t>Miller, Robert W</t>
  </si>
  <si>
    <t>Minor, Ellis J</t>
  </si>
  <si>
    <t>Mock, Steven</t>
  </si>
  <si>
    <t>Monson, Grant R</t>
  </si>
  <si>
    <t>Moore, Jessica M</t>
  </si>
  <si>
    <t>Moore, Jonathan H</t>
  </si>
  <si>
    <t>Moore, Matthew P</t>
  </si>
  <si>
    <t>Morby, Heath L</t>
  </si>
  <si>
    <t>Mott, Meredith</t>
  </si>
  <si>
    <t>Muranko Ii, Eugene E</t>
  </si>
  <si>
    <t>Murray, Lynn</t>
  </si>
  <si>
    <t>Nadler, Jolie A</t>
  </si>
  <si>
    <t>Navarrete, Chad A</t>
  </si>
  <si>
    <t>Nawn, Catherine</t>
  </si>
  <si>
    <t>Neihaus, Marcy R</t>
  </si>
  <si>
    <t>Newman, Allyson</t>
  </si>
  <si>
    <t>Nichols, Michelle L</t>
  </si>
  <si>
    <t>Norman, Brian L</t>
  </si>
  <si>
    <t>Nowitz, Franklin</t>
  </si>
  <si>
    <t>ODonnell, Michael N</t>
  </si>
  <si>
    <t>ONeal, Greg</t>
  </si>
  <si>
    <t>ONeill, Brian P</t>
  </si>
  <si>
    <t>Orsini, David</t>
  </si>
  <si>
    <t>OSullivan, Timothy F</t>
  </si>
  <si>
    <t>Pace, Denise A</t>
  </si>
  <si>
    <t>Pancione, Katie M</t>
  </si>
  <si>
    <t>Pattee, Jason B</t>
  </si>
  <si>
    <t>Pentland, Joel</t>
  </si>
  <si>
    <t>Perkins, Brad</t>
  </si>
  <si>
    <t>Perkins, Wade</t>
  </si>
  <si>
    <t>Perreault, Mary K</t>
  </si>
  <si>
    <t>Petersen, Charles G</t>
  </si>
  <si>
    <t>Petersen, Denise</t>
  </si>
  <si>
    <t>Peterson, Jason L</t>
  </si>
  <si>
    <t>Philbeck, Robert</t>
  </si>
  <si>
    <t>Piekut, Izabela</t>
  </si>
  <si>
    <t>Potaniec, Michael C</t>
  </si>
  <si>
    <t>Potter, Joe</t>
  </si>
  <si>
    <t>Puscas, George N</t>
  </si>
  <si>
    <t>Putnam, Daniel</t>
  </si>
  <si>
    <t>Quaintance, Alan</t>
  </si>
  <si>
    <t>Quince, Latanya D</t>
  </si>
  <si>
    <t>Radadia, Payal</t>
  </si>
  <si>
    <t>Rasmussen, Jamie A</t>
  </si>
  <si>
    <t>Raynaud, Tim</t>
  </si>
  <si>
    <t>Relfe, Sarah</t>
  </si>
  <si>
    <t>Renninger, Erik W</t>
  </si>
  <si>
    <t>Repetto Jr., Joseph A</t>
  </si>
  <si>
    <t>Reppenhagen, Tom</t>
  </si>
  <si>
    <t>Rice, Michael J</t>
  </si>
  <si>
    <t>Robinson, Sean C</t>
  </si>
  <si>
    <t>Robledo, Cheryl L</t>
  </si>
  <si>
    <t>Rothman, Felicia S</t>
  </si>
  <si>
    <t>Russell, Brittany D</t>
  </si>
  <si>
    <t>Satre, James A</t>
  </si>
  <si>
    <t>Sawyer, Collin</t>
  </si>
  <si>
    <t>Schmidt, Steven W</t>
  </si>
  <si>
    <t>Schweppe, Kersten</t>
  </si>
  <si>
    <t>Scott, Butch</t>
  </si>
  <si>
    <t>Senour, Edward T</t>
  </si>
  <si>
    <t>Sewell, Mickie S</t>
  </si>
  <si>
    <t>Shultz, Andrea M</t>
  </si>
  <si>
    <t>Siaweleski, Cristina</t>
  </si>
  <si>
    <t>Siebert, Lisa</t>
  </si>
  <si>
    <t>Silva Jr., Jerry</t>
  </si>
  <si>
    <t>Simpson, Jacob</t>
  </si>
  <si>
    <t>Smith, Jason E</t>
  </si>
  <si>
    <t>Smith, Judy R</t>
  </si>
  <si>
    <t>Smith, Torrey</t>
  </si>
  <si>
    <t>Spicer, Jamie</t>
  </si>
  <si>
    <t>Spigner, Cheri D</t>
  </si>
  <si>
    <t>Steele, Carolyn M</t>
  </si>
  <si>
    <t>Steiner, Michael R</t>
  </si>
  <si>
    <t>Stratton, Brian P</t>
  </si>
  <si>
    <t>Sullivan, Leanne M</t>
  </si>
  <si>
    <t>Sumner, Jared T</t>
  </si>
  <si>
    <t>Swenson, Stephen</t>
  </si>
  <si>
    <t>Swiantek, Rick</t>
  </si>
  <si>
    <t>Tharp, Brent A</t>
  </si>
  <si>
    <t>Thompson, Ian D</t>
  </si>
  <si>
    <t>Tong, Beth H</t>
  </si>
  <si>
    <t>Torres, Carlos</t>
  </si>
  <si>
    <t>Totten, Rhonda</t>
  </si>
  <si>
    <t>Trujillo, Heather M</t>
  </si>
  <si>
    <t>Tullman, Jenifer L</t>
  </si>
  <si>
    <t>Twisdale, Kimberly</t>
  </si>
  <si>
    <t>Tyre, Marreon</t>
  </si>
  <si>
    <t>Van Den Berg, Mary</t>
  </si>
  <si>
    <t>Van Hoose, Tami</t>
  </si>
  <si>
    <t>Vandaveer, Louise E</t>
  </si>
  <si>
    <t>Vander Ven, Sheri L</t>
  </si>
  <si>
    <t>Vascil, John A</t>
  </si>
  <si>
    <t>Walters, Ted</t>
  </si>
  <si>
    <t>Wappner, Laura K</t>
  </si>
  <si>
    <t>Washburn, Laura L</t>
  </si>
  <si>
    <t>Wasp, James J</t>
  </si>
  <si>
    <t>Webster, Richard H</t>
  </si>
  <si>
    <t>Wendelken, James A</t>
  </si>
  <si>
    <t>Whitfield, Sybil A</t>
  </si>
  <si>
    <t>Williams, Jamie M</t>
  </si>
  <si>
    <t>Williams, Michael N</t>
  </si>
  <si>
    <t>Winter, Trey</t>
  </si>
  <si>
    <t>Wisely, Denny</t>
  </si>
  <si>
    <t>Witcher, Scott S</t>
  </si>
  <si>
    <t>Wyman, Richard A</t>
  </si>
  <si>
    <t>Yoshida, Steven K</t>
  </si>
  <si>
    <t>Zamarripa, Ben J</t>
  </si>
  <si>
    <t>Ziola, Robert A</t>
  </si>
  <si>
    <t>FCC</t>
  </si>
  <si>
    <t>Component</t>
  </si>
  <si>
    <t>Cond 1</t>
  </si>
  <si>
    <t>Cond 2</t>
  </si>
  <si>
    <t>Cond 3</t>
  </si>
  <si>
    <t>Cond 4</t>
  </si>
  <si>
    <t>Cond 5</t>
  </si>
  <si>
    <t>Rate Letter</t>
  </si>
  <si>
    <t>Scenario:</t>
  </si>
  <si>
    <t>Customer Name:</t>
  </si>
  <si>
    <t>Rate Letter Expires Upon:</t>
  </si>
  <si>
    <t>ATQ Type</t>
  </si>
  <si>
    <t>Market Rates</t>
  </si>
  <si>
    <t>Rate Letter Version Number:</t>
  </si>
  <si>
    <t>TSE/BDM</t>
  </si>
  <si>
    <t>IMS Number:</t>
  </si>
  <si>
    <t>Sales Lead:</t>
  </si>
  <si>
    <t>Sales RVP:</t>
  </si>
  <si>
    <t>Sales Channel:</t>
  </si>
  <si>
    <t>Form 470 #</t>
  </si>
  <si>
    <t/>
  </si>
  <si>
    <t>Total Monthly Market Rate</t>
  </si>
  <si>
    <t>MRC</t>
  </si>
  <si>
    <t>NRC</t>
  </si>
  <si>
    <t>Product 1</t>
  </si>
  <si>
    <t>Term: 36</t>
  </si>
  <si>
    <t>Quantity</t>
  </si>
  <si>
    <t>Standard Pricing</t>
  </si>
  <si>
    <t>Modifier</t>
  </si>
  <si>
    <t>Modified Standard Pricing</t>
  </si>
  <si>
    <t>Discount</t>
  </si>
  <si>
    <t>Unit Discount Pricing</t>
  </si>
  <si>
    <t>Monthly Extended Total</t>
  </si>
  <si>
    <t>Description</t>
  </si>
  <si>
    <t>Q New</t>
  </si>
  <si>
    <t>Q Existing</t>
  </si>
  <si>
    <t>Recurring</t>
  </si>
  <si>
    <t>Non-Recurring</t>
  </si>
  <si>
    <t>Optional for Mobility</t>
  </si>
  <si>
    <t>NRC (new only)</t>
  </si>
  <si>
    <t>Top Product Name</t>
  </si>
  <si>
    <t>ROME Opportunity:</t>
  </si>
  <si>
    <t>Rate Letter Initially Created:</t>
  </si>
  <si>
    <t>Total MRC</t>
  </si>
  <si>
    <t>Total NRC</t>
  </si>
  <si>
    <t>Colombo, Michael W</t>
  </si>
  <si>
    <t>Palumbo, David</t>
  </si>
  <si>
    <t>Header 1</t>
  </si>
  <si>
    <t>Header 2</t>
  </si>
  <si>
    <t>Body 2</t>
  </si>
  <si>
    <t>Body 1</t>
  </si>
  <si>
    <t>Body 3</t>
  </si>
  <si>
    <t>Body 4</t>
  </si>
  <si>
    <t>Body 5</t>
  </si>
  <si>
    <t>Body 6</t>
  </si>
  <si>
    <t>Adams, Brenda C</t>
  </si>
  <si>
    <t>Robinson, Dave</t>
  </si>
  <si>
    <t>Voelkel, Patty</t>
  </si>
  <si>
    <t>Mobility State</t>
  </si>
  <si>
    <t>LookupTables_eRate_MobilityStateContractList</t>
  </si>
  <si>
    <t>sErateContract</t>
  </si>
  <si>
    <t>LookupTables_eRate_MobilityStateContracts</t>
  </si>
  <si>
    <t>AZWSCA II AZ</t>
  </si>
  <si>
    <t>CACA - SCIF</t>
  </si>
  <si>
    <t>KSWSCA II KS</t>
  </si>
  <si>
    <t>NDWSCA II ND</t>
  </si>
  <si>
    <t>OKWSCA II OK</t>
  </si>
  <si>
    <t>TXTX - DIR</t>
  </si>
  <si>
    <t>Jagarlamudi, Ramdev</t>
  </si>
  <si>
    <t>OMeara, Timothy D</t>
  </si>
  <si>
    <t>Mobility eRate Contract</t>
  </si>
  <si>
    <t>eRate market rates functionality</t>
  </si>
  <si>
    <t>spoof user with login@machineuser</t>
  </si>
  <si>
    <t>fixed bug:  cdt re-locking an already locked-by-someone-else deal</t>
  </si>
  <si>
    <t>allow manual price overwrites to persist when changing quantities</t>
  </si>
  <si>
    <t>Fixed clear step1 bug introduced by IT</t>
  </si>
  <si>
    <t>Clear out AIS costs when saving deal under new deal number</t>
  </si>
  <si>
    <t>Make form 470 required, make Rome not required for eRate Market Rates</t>
  </si>
  <si>
    <t>enable calc function for mobility modifier lookup</t>
  </si>
  <si>
    <t>enable modifier for mobility rate letter</t>
  </si>
  <si>
    <t>modified oppty field save routine to detect dates and save them in the yyyy/mm/dd format</t>
  </si>
  <si>
    <t>fixed unlocking</t>
  </si>
  <si>
    <t>added locking on opening a filled out CDT and bypassing opening dialogs</t>
  </si>
  <si>
    <t>Voorhees, Stephen C</t>
  </si>
  <si>
    <t>lineitem visibility</t>
  </si>
  <si>
    <t>Added top-product messages for eRate</t>
  </si>
  <si>
    <t>simplify buttons on Log tab</t>
  </si>
  <si>
    <t>erate price refresh on term change and state or marc change</t>
  </si>
  <si>
    <t>skip error check for skipped products</t>
  </si>
  <si>
    <t>fixed bug: recalc requested discount on inventory load when requested price is not numeric</t>
  </si>
  <si>
    <t>Checked NSS locking and unlocking -- adjusted so that NSS actors don't have to version</t>
  </si>
  <si>
    <t>renamed TSE/BDM</t>
  </si>
  <si>
    <t>TSE/BDM or Coordinator</t>
  </si>
  <si>
    <t>eRate - suppress product msg if required field is already filled out</t>
  </si>
  <si>
    <t>eRate - suppress RL generation if resaving as new number</t>
  </si>
  <si>
    <t>eRate - suppress clear cost msg</t>
  </si>
  <si>
    <t>E-Rate Test</t>
  </si>
  <si>
    <t>Andrews, Cathy C</t>
  </si>
  <si>
    <t>adjusted NSS ASE check for eCRM number</t>
  </si>
  <si>
    <t>Benner, Kevin</t>
  </si>
  <si>
    <t>Delete deleted products from inventory on deletion from CDT</t>
  </si>
  <si>
    <t>Turned off error checking for FMO</t>
  </si>
  <si>
    <t>Fixed discount calc on Erate RL</t>
  </si>
  <si>
    <t>Fixed error checking on inactive scenarios</t>
  </si>
  <si>
    <t>Restored proper copy/paste detection which was commented out</t>
  </si>
  <si>
    <t>Corrected loading of discount with int'l curreclies</t>
  </si>
  <si>
    <t>http://salesone.web.att.com/SalesOne_SharedScripts/dwnld_win_pop/index.cfm?fuseaction=pop_eportals&amp;vardwnld_id=21036&amp;portal_id=27&amp;page_id=244</t>
  </si>
  <si>
    <t>http://salesone.web.att.com/SalesOne_SharedScripts/dwnld_win_pop/index.cfm?fuseaction=pop_eportals&amp;vardwnld_id=20876&amp;portal_id=27&amp;page_id=244</t>
  </si>
  <si>
    <t>Hyperlinks</t>
  </si>
  <si>
    <t>Normal</t>
  </si>
  <si>
    <t>E-Rate</t>
  </si>
  <si>
    <t>IMS2 training links linked changing when simplifying or unsimplifying the CDT</t>
  </si>
  <si>
    <t>Form 470 Number - Wireless</t>
  </si>
  <si>
    <t>Form 470 Number - Wireline</t>
  </si>
  <si>
    <t>Form 470 wireless number field added to step0</t>
  </si>
  <si>
    <t>Contract Discount</t>
  </si>
  <si>
    <t>Fixed std rate field showing header as requested</t>
  </si>
  <si>
    <t>Opportunity</t>
  </si>
  <si>
    <t>Fixed FMO issue where FMO locked and protected requested prices and changing discount was erroring out on trying to recalc those reuqested prices</t>
  </si>
  <si>
    <t>Form 470 wireless number field error checking adjusted to require only 1</t>
  </si>
  <si>
    <t>Reset date to 11/9 and checked the hyperlink content attached to the "Click for Training" ICONS.</t>
  </si>
  <si>
    <t>Sales Files in SalesOne</t>
  </si>
  <si>
    <t>http://salesone.web.att.com/SalesOne/sitemap/ePortals/index.cfm?portal_id=27&amp;page_id=244&amp;fuseaction=viewPage</t>
  </si>
  <si>
    <r>
      <t xml:space="preserve">The link to T-Space is at the top of this page.  Double click the </t>
    </r>
    <r>
      <rPr>
        <b/>
        <sz val="10"/>
        <color rgb="FFFF0000"/>
        <rFont val="Arial"/>
        <family val="2"/>
      </rPr>
      <t>IMS2 Sales Tools</t>
    </r>
    <r>
      <rPr>
        <sz val="10"/>
        <rFont val="Arial"/>
        <family val="2"/>
      </rPr>
      <t xml:space="preserve"> link to transfer to T-Space for IMS2 Sales Tools</t>
    </r>
  </si>
  <si>
    <t>Sales Files in T-Space</t>
  </si>
  <si>
    <t>http://tspace.web.att.com/communities/service/html/communityview?communityUuid=223b1e80-21d8-4975-94ec-5f12e3b31fcf</t>
  </si>
  <si>
    <r>
      <t xml:space="preserve">The Files folder is at the bottom of this page.  Double click the </t>
    </r>
    <r>
      <rPr>
        <b/>
        <sz val="10"/>
        <color rgb="FFFF0000"/>
        <rFont val="Arial"/>
        <family val="2"/>
      </rPr>
      <t>Sales.EXE</t>
    </r>
    <r>
      <rPr>
        <sz val="10"/>
        <rFont val="Arial"/>
        <family val="2"/>
      </rPr>
      <t xml:space="preserve"> file to start the download.  Click Open or Run at any message button.</t>
    </r>
  </si>
  <si>
    <t>This link posts files to your desktop folder - IMS2 Master Files.</t>
  </si>
  <si>
    <t>Pricer Files in SalesOne</t>
  </si>
  <si>
    <t>http://salesone.web.att.com/SalesOne/sitemap/ePortals/index.cfm?portal_id=217&amp;page_id=994&amp;fuseaction=viewPage</t>
  </si>
  <si>
    <r>
      <t xml:space="preserve">The link to T-Space is at the top of this page.  Double click the </t>
    </r>
    <r>
      <rPr>
        <b/>
        <sz val="10"/>
        <color rgb="FFFF0000"/>
        <rFont val="Arial"/>
        <family val="2"/>
      </rPr>
      <t>IMS2 Pricer Tools</t>
    </r>
    <r>
      <rPr>
        <sz val="10"/>
        <rFont val="Arial"/>
        <family val="2"/>
      </rPr>
      <t xml:space="preserve"> link to transfer to T-Space for IMS2 Sales Tools</t>
    </r>
  </si>
  <si>
    <t>Pricer Files in T-Space</t>
  </si>
  <si>
    <t>http://tspace.web.att.com/communities/service/html/communityview?communityUuid=2a5f1cbf-a668-43db-96d5-185dd6491e21</t>
  </si>
  <si>
    <r>
      <t xml:space="preserve">The Files folder is at the bottom of this page.  Double click the </t>
    </r>
    <r>
      <rPr>
        <b/>
        <sz val="10"/>
        <color rgb="FFFF0000"/>
        <rFont val="Arial"/>
        <family val="2"/>
      </rPr>
      <t>Pricer.EXE</t>
    </r>
    <r>
      <rPr>
        <sz val="10"/>
        <rFont val="Arial"/>
        <family val="2"/>
      </rPr>
      <t xml:space="preserve"> file to start the download.  Click Open or Run at any message button.</t>
    </r>
  </si>
  <si>
    <t>Protect Rate Letter</t>
  </si>
  <si>
    <t>Added rangenames to save marcs table and scenario descrptions</t>
  </si>
  <si>
    <t>Added calc price lookup to E-Rate price lookups to enable DS3</t>
  </si>
  <si>
    <t>Added calc arguments of std price fields to part of key derivative fields</t>
  </si>
  <si>
    <t>Jones, Ranita</t>
  </si>
  <si>
    <t>Kim, Dal</t>
  </si>
  <si>
    <t>Kumar, Krishna</t>
  </si>
  <si>
    <t>Vallabhaneni, Krishna</t>
  </si>
  <si>
    <t>skip error check for required fields for manual lineitems</t>
  </si>
  <si>
    <t>Form 470 # wireless</t>
  </si>
  <si>
    <t>Add form 470 # wireless to RL template</t>
  </si>
  <si>
    <t>Allow NSS actors to submit deals to ICB that have been submitted to cost pre-process</t>
  </si>
  <si>
    <t>Revise dropdown downloads to include correct inactive tag</t>
  </si>
  <si>
    <t>changed discount lookup for erate to value2 to carry through greater presision of defined discount</t>
  </si>
  <si>
    <t>Warning message for skipped products</t>
  </si>
  <si>
    <t>Corrected typo AES to ASE</t>
  </si>
  <si>
    <t xml:space="preserve">Added SDTools module to VB code.  This establishes two user defined formats for Excel and VB that tests for text (=hasText) or numbers (=hasNumber).  Added VB code in the CheckCDT module that uses both of these formats to test the term field (Scenarios range name) and the product listing (Product_Grid range name) in Step 1.  If either are blank, the "Check for Errors" button will not allow check process or save process to continue.  Also posted this code into the Inventory module in "submit to ICB" sub, the "submit to cost" sub, and the "submit to NSS" sub in the ICBOnline module.  Added function in load products and initialize both Express and Online buttons.  </t>
  </si>
  <si>
    <t>Port~Port Interface Type</t>
  </si>
  <si>
    <t>Smith, Ria A</t>
  </si>
  <si>
    <t>Foreign currency on prod summary tab</t>
  </si>
  <si>
    <t>Screen off on save as new number</t>
  </si>
  <si>
    <t>Show submitted to NSS on search screen</t>
  </si>
  <si>
    <t>Changed message wording on canceled version msg</t>
  </si>
  <si>
    <t>Allow negative quantities not to interfere with the product summary calcs</t>
  </si>
  <si>
    <t>Remove error check coloring from manual lines</t>
  </si>
  <si>
    <t>OneNet list rates - keep discount when std rate is manual input</t>
  </si>
  <si>
    <t>Added SDTools module to VB code.  This establishes two user defined formats for Excel and VB that tests for text (=hasText) or numbers (=hasNumber).  Added VB code in the CheckCDT module that uses both of these formats to test the term field (Scenarios range name) and the product listing (Product_Grid range name) in Step 1.  If either are blank, the "Check for Errors" button will not allow check process or save process to continue.  Also posted this code into the Inventory module in "submit to ICB" sub, the "submit to cost" sub, and the "submit to NSS" sub in the ICBOnline module.  Added function in load products and initialize both Express and Online buttons.  The tests include looking at the scenarios block, the product_grid block, and individual lines to check for errors.</t>
  </si>
  <si>
    <t>Agredano, Josephine</t>
  </si>
  <si>
    <t>Bowlin, James</t>
  </si>
  <si>
    <t>Cheatum, Charlotte</t>
  </si>
  <si>
    <t>Collins, Judy</t>
  </si>
  <si>
    <t>Cooley, Janice L</t>
  </si>
  <si>
    <t>Heubach, Ralph</t>
  </si>
  <si>
    <t>Holden, Neal</t>
  </si>
  <si>
    <t>Jackson, Cynthia</t>
  </si>
  <si>
    <t>Johnson, Marsha</t>
  </si>
  <si>
    <t>Jones, Grace</t>
  </si>
  <si>
    <t>Keenze, Sherry</t>
  </si>
  <si>
    <t>Knudsen, Curtis</t>
  </si>
  <si>
    <t>Kroh, Kara</t>
  </si>
  <si>
    <t>Leibold, Jeanett Lupton</t>
  </si>
  <si>
    <t>Main, James</t>
  </si>
  <si>
    <t>Meehan, Chris</t>
  </si>
  <si>
    <t>Montgomery, Jeanne</t>
  </si>
  <si>
    <t>Nava- Johnson, Martha</t>
  </si>
  <si>
    <t>Oden, Judy</t>
  </si>
  <si>
    <t>Osborn, Margaret</t>
  </si>
  <si>
    <t>Perry, John</t>
  </si>
  <si>
    <t>Pippin, Patricia</t>
  </si>
  <si>
    <t>Pyle, William Ken</t>
  </si>
  <si>
    <t>Robinson, Crystal</t>
  </si>
  <si>
    <t>Seaver, David</t>
  </si>
  <si>
    <t>Strassenberg, Bonnie</t>
  </si>
  <si>
    <t>Thomas, Jerlyn</t>
  </si>
  <si>
    <t>Weaver, Elaine</t>
  </si>
  <si>
    <t>Widloe, Linda</t>
  </si>
  <si>
    <t>Wollweber, Donald J</t>
  </si>
  <si>
    <t>Suppress ASE message to fill support req number of loading from inventory</t>
  </si>
  <si>
    <t>Check for ~ when saving CDT values to inventory and replace with -</t>
  </si>
  <si>
    <t>Disabled product permissions check during inventory load</t>
  </si>
  <si>
    <t>Customer Country</t>
  </si>
  <si>
    <t>Customer Zip Code</t>
  </si>
  <si>
    <t>Customer State</t>
  </si>
  <si>
    <t>Customer City</t>
  </si>
  <si>
    <t>Customer Street Address</t>
  </si>
  <si>
    <t>Addressee Title</t>
  </si>
  <si>
    <t>Addressee Last Name</t>
  </si>
  <si>
    <t>Addressee First Name</t>
  </si>
  <si>
    <t>Addressee Honorific (e.g., Mr., Mrs, etc)</t>
  </si>
  <si>
    <t>Enter time frame that completes the sentence: (e.g., "on June 1").  We’ll contact you _____ to go over the information and discuss…</t>
  </si>
  <si>
    <t>Complete the following sentence by briefly describing the main solution and any additional products or options in generic terms (e.g., "a voice and data network that includes managed VPN, Ethernet access, managed security, equipment and maintenance, etc.)</t>
  </si>
  <si>
    <t>Enter the customer organization name</t>
  </si>
  <si>
    <t>Type a high-level business goal (e.g., "increase revenue," "reduce costs," "improve network security") that the solution would support to populate the second blank in the sentence above</t>
  </si>
  <si>
    <t xml:space="preserve">Select an article to precede the solution name typed above </t>
  </si>
  <si>
    <t>Type a generic solution name that would be meaningful to the customer (e.g., "managed WAN"or "managed Internet") to populate the first blank in the sentence above</t>
  </si>
  <si>
    <t xml:space="preserve">    we’re submitting the attached pricing quotation and solution information.</t>
  </si>
  <si>
    <t xml:space="preserve">    As part of our ongoing discussion about &lt;a_an&gt; ______ solution to help &lt;CustomerOrg&gt; ______, </t>
  </si>
  <si>
    <t>The next 4 questions help fill in this sentence:</t>
  </si>
  <si>
    <t>Save Erate RL for eBuilder</t>
  </si>
  <si>
    <t>error handling for CSM products incompatible with the CDT</t>
  </si>
  <si>
    <t>Skipped loading of hidden fields due to protection issues</t>
  </si>
  <si>
    <t>IBM Entry</t>
  </si>
  <si>
    <t>Multi-value dropdowns for Calc functions</t>
  </si>
  <si>
    <t>Proposal Request</t>
  </si>
  <si>
    <t>Do you want to generate a proposal from E-Builder for this deal?</t>
  </si>
  <si>
    <t>Removed business direct from eBuilder Template, renamed template section</t>
  </si>
  <si>
    <t>Added OOF tag to blank AIS/no AIS costs required</t>
  </si>
  <si>
    <t>Hurst, Darryl</t>
  </si>
  <si>
    <t>wrapping on erate rl</t>
  </si>
  <si>
    <t>mobility contract number on rl</t>
  </si>
  <si>
    <t>LookupTables_eRate_MobilityStateAgreements</t>
  </si>
  <si>
    <t>State Agreement Number</t>
  </si>
  <si>
    <t>Datacom</t>
  </si>
  <si>
    <t>Fixed bug with proposal error checking</t>
  </si>
  <si>
    <t>Sites~ROME Row ID</t>
  </si>
  <si>
    <t>Port~ASR Item ID</t>
  </si>
  <si>
    <t>Port~In-Region Indicator</t>
  </si>
  <si>
    <t>Port~SWC 
(Serving Wireline Center)
CLLI</t>
  </si>
  <si>
    <t>Ported in code to skip bad rows on the routes tab for NSS ASE product, plus changed several field names/locations</t>
  </si>
  <si>
    <t>Customer Contracts?</t>
  </si>
  <si>
    <t>Customer Contract ID</t>
  </si>
  <si>
    <t>Customer Contract</t>
  </si>
  <si>
    <t>Fixed loophole where online initialize and express initialize was allowing to overwrite submitted deals</t>
  </si>
  <si>
    <t>Customer Level Contracts</t>
  </si>
  <si>
    <t>House Bill terms driven from database</t>
  </si>
  <si>
    <t>Hide Customer Contracts button for all except test login</t>
  </si>
  <si>
    <t>Onenet rounding to 4 instead of 3 digits on the addl increment</t>
  </si>
  <si>
    <t>removed auto load of ATTUID in the search form as requested by RSMEs.</t>
  </si>
  <si>
    <t>Reset in cdterrors module - the name of the checkcdterrors sub name changed to public to allow calls in other places.  Updated the ICBOnline module, submittonss sub by adding general call of the checkcdterrors sub to ensure that the content check is performed before submit to NSS occurs.  Updated storedprocs module, execSPwArray sub timeout level from 100 to 300 to match the timeout call for the general server in the checkGlobalConnection sub in the IMSServer module.</t>
  </si>
  <si>
    <t>Hanson, David</t>
  </si>
  <si>
    <t>put error handling around IT's clipboard code that has a propensity to crash the CDT</t>
  </si>
  <si>
    <t>Allow Custom Contracts $ pricing to populate (in addition to discounts)</t>
  </si>
  <si>
    <t>Group</t>
  </si>
  <si>
    <t>Enhancements</t>
  </si>
  <si>
    <t>Adjustments</t>
  </si>
  <si>
    <t>Lorenz</t>
  </si>
  <si>
    <t>Ajusted Log tab to autocalc the efforts for a year to report out to Anne</t>
  </si>
  <si>
    <t>Fixed handling of blanks with multiple dropdowns</t>
  </si>
  <si>
    <t>Added invalid character subs in the cleancdt module.  This scrubs Step 0, Step 1, and product tabs.</t>
  </si>
  <si>
    <t>Added telco AIS check formulas for scenarios 2 &amp; 3</t>
  </si>
  <si>
    <t>Allow 4-digit precision for rates on E-rate RL</t>
  </si>
  <si>
    <t>Comment out chDir in IT openfile function, which errors out on some computers</t>
  </si>
  <si>
    <t>Expanded check for errors to include up to 20 columns when checking for missing values</t>
  </si>
  <si>
    <t>Adjusted Ais required formulas to check scenarios 2 and 3</t>
  </si>
  <si>
    <t>Extended error check to uncover InR deficiencies in mapping - highlight rows that do not resolve to a lineitem ID</t>
  </si>
  <si>
    <t>Biase, Michael</t>
  </si>
  <si>
    <t>Brummett,Rebecca</t>
  </si>
  <si>
    <t>Colavencenzo, Jodi A</t>
  </si>
  <si>
    <t>Davenport, Nathan A</t>
  </si>
  <si>
    <t>Elsea, Kim</t>
  </si>
  <si>
    <t>Fabschutz,Tyler</t>
  </si>
  <si>
    <t>Haverlack, Michael T</t>
  </si>
  <si>
    <t>Hirt, David P</t>
  </si>
  <si>
    <t>Hughes, Michael B</t>
  </si>
  <si>
    <t>Iwaniw, Blake A</t>
  </si>
  <si>
    <t>James,Eric E</t>
  </si>
  <si>
    <t>Karidis,Dimitric</t>
  </si>
  <si>
    <t>Keegan, Pat</t>
  </si>
  <si>
    <t xml:space="preserve">Kerr, Christine </t>
  </si>
  <si>
    <t>Lipke,David M</t>
  </si>
  <si>
    <t>Margheim , Susan</t>
  </si>
  <si>
    <t>Mcmenamin, Peter A</t>
  </si>
  <si>
    <t>Modica, Jacqueline</t>
  </si>
  <si>
    <t>Murphy, Jeremiah K</t>
  </si>
  <si>
    <t>Nishikawa,Lauren</t>
  </si>
  <si>
    <t>Oberlin, Jessica M</t>
  </si>
  <si>
    <t>Piccoli, John</t>
  </si>
  <si>
    <t>Reynolds, Meg</t>
  </si>
  <si>
    <t>Rossiter,Colleen D</t>
  </si>
  <si>
    <t>Schaaf, Steven C</t>
  </si>
  <si>
    <t>Shanahan,Susanne M</t>
  </si>
  <si>
    <t>Simpson, Jeffrey C</t>
  </si>
  <si>
    <t>Tucker,Mark L</t>
  </si>
  <si>
    <t>OHWSCA II OH</t>
  </si>
  <si>
    <t>PAWSCA II PA</t>
  </si>
  <si>
    <t>reset product tabs to return to A1 after leaving the tab.</t>
  </si>
  <si>
    <t>Richardson, David</t>
  </si>
  <si>
    <t>Sinojia, Asha</t>
  </si>
  <si>
    <t>Solomon, Stephen</t>
  </si>
  <si>
    <t>Umapathy, Shashi</t>
  </si>
  <si>
    <t>Customer Contract Pricing adjustment for non-numeric dollar prices to show blank</t>
  </si>
  <si>
    <t>Creating Quanty5 for summing BVOIP Free / Existing minutes.  Search on INRBVOIP2, 02/29/2012,  231285n</t>
  </si>
  <si>
    <t>Adragna, Carrie L</t>
  </si>
  <si>
    <t>Other</t>
  </si>
  <si>
    <t>Welham, Jeff</t>
  </si>
  <si>
    <t>Select Competitor</t>
  </si>
  <si>
    <t>Hiersoux, Michael</t>
  </si>
  <si>
    <t>OConnor, Thomas D</t>
  </si>
  <si>
    <t>Wagner, Victoria L</t>
  </si>
  <si>
    <t>Linton, Jamison</t>
  </si>
  <si>
    <t>OneTime Subtotals</t>
  </si>
  <si>
    <t>Opportunity Information</t>
  </si>
  <si>
    <t>Current Wireline Provider:</t>
  </si>
  <si>
    <t>ROME Opportunity ID:</t>
  </si>
  <si>
    <t>Segment:</t>
  </si>
  <si>
    <t>Industry:</t>
  </si>
  <si>
    <t>Acquisition/Retention:</t>
  </si>
  <si>
    <t>Contract Type:</t>
  </si>
  <si>
    <t>If ACDA, MAC$:</t>
  </si>
  <si>
    <t>Current Primary Carrier:</t>
  </si>
  <si>
    <t>Current Secondary Carrier:</t>
  </si>
  <si>
    <t>AT&amp;T Agreement #:</t>
  </si>
  <si>
    <t>ONETIME CHARGES and/or COMPETITOR's ETF</t>
  </si>
  <si>
    <t>Total Subs in Deal</t>
  </si>
  <si>
    <t># of Plans</t>
  </si>
  <si>
    <t>Deal Effective Discount (excl. Features)</t>
  </si>
  <si>
    <t>Select Carrier</t>
  </si>
  <si>
    <t>changed dropdowns.pasteCellsToProduct to ensure calcs are not accidentally turned off</t>
  </si>
  <si>
    <t xml:space="preserve">Changed Inventory/LoadProductLineitems to put correct effective currency rate in </t>
  </si>
  <si>
    <t>Added new variable DisableAutoDrop to help new utrans code</t>
  </si>
  <si>
    <t>Removed overflow event on the product summary tab.  This also fixed the summary line on product tabs when adjusting values for currency conversion.</t>
  </si>
  <si>
    <t>added new code to the universal translator code to allow collapsing of single top product :modeNoRepeat</t>
  </si>
  <si>
    <t>Hansen,Christopher</t>
  </si>
  <si>
    <t>Adjusted hiding mechanics on cust oppty tab to make coterminous checkbox work</t>
  </si>
  <si>
    <t>ONETIME CHARGES and/or AT&amp;T's ETF</t>
  </si>
  <si>
    <t>Adjusted CDT for Mobility process steps.</t>
  </si>
  <si>
    <t xml:space="preserve">Fixed error introduced in Mobility adjustment </t>
  </si>
  <si>
    <t>Updated cdt date for release</t>
  </si>
  <si>
    <t>update error check code to ensure step 1 check looks at all products</t>
  </si>
  <si>
    <t>One</t>
  </si>
  <si>
    <t>updated NSS ASE code to try to prevent an un-reproduceable bug.</t>
  </si>
  <si>
    <t>Goldsmith, Andrew J</t>
  </si>
  <si>
    <t>updated sumformulas to ignore blank currency conversion rates when lineitem not complete</t>
  </si>
  <si>
    <t>Record load and save times</t>
  </si>
  <si>
    <t>Purohit, Nanda</t>
  </si>
  <si>
    <t>Simmons, Rebecca</t>
  </si>
  <si>
    <t>Wong, Sheryl</t>
  </si>
  <si>
    <t>updated sumformulas to ignore G</t>
  </si>
  <si>
    <t>rj111f</t>
  </si>
  <si>
    <t>Added code to unprotect destWb sheet in PopulateImsOutputTables. Search on RJ_unprotect, 4-26-2012</t>
  </si>
  <si>
    <t>updated sumformulas to ignore Manual Inputs and '</t>
  </si>
  <si>
    <t>Solve protection issue when placing inventory for hidden fields</t>
  </si>
  <si>
    <t>Disallow inactive lineitems from filling out expand all…</t>
  </si>
  <si>
    <t>Show customer Specific button for all</t>
  </si>
  <si>
    <t>sNetDepLoc</t>
  </si>
  <si>
    <t>sNTEMountingOp</t>
  </si>
  <si>
    <t>sNTEPowerOp</t>
  </si>
  <si>
    <t>sNSSReviewReq</t>
  </si>
  <si>
    <t>sContractReq</t>
  </si>
  <si>
    <t>sMultiUni</t>
  </si>
  <si>
    <t>sMultiUniNNIDesQual</t>
  </si>
  <si>
    <t>NTE Mounting Option</t>
  </si>
  <si>
    <t>Network Deployment Location</t>
  </si>
  <si>
    <t>NTE Power Options</t>
  </si>
  <si>
    <t>Is NSS Review Required?</t>
  </si>
  <si>
    <t>Is Contracting Event Required?</t>
  </si>
  <si>
    <t>Multi-Uni Indicator</t>
  </si>
  <si>
    <t xml:space="preserve">add new fields for R9 OEMAC </t>
  </si>
  <si>
    <t>md9532</t>
  </si>
  <si>
    <t>enhance MFN to work better with architecture</t>
  </si>
  <si>
    <t>comment out code that closes a translator open by the unversal translator</t>
  </si>
  <si>
    <t>Fixed copy/paste method on the CDT.</t>
  </si>
  <si>
    <t>Allow Discount Off Existing?</t>
  </si>
  <si>
    <t>Next Gen Online - ability to request discount off of existing</t>
  </si>
  <si>
    <t>Excluded skipped products from error check</t>
  </si>
  <si>
    <t>Exclude pricing fields from error check checking if the line is blank (marking blank onenet discount lines as incomplete)</t>
  </si>
  <si>
    <t>Make 0% NRC discount at top level flow down and apply to the individual NRCs</t>
  </si>
  <si>
    <t>Updated copy/paste method in the CDT, and updated a named range.</t>
  </si>
  <si>
    <t>made OEMAC imports open files as read only to adjust for new pc globes format issues</t>
  </si>
  <si>
    <t>LookupTables_AbnMarcs</t>
  </si>
  <si>
    <t>AbnMarcs</t>
  </si>
  <si>
    <t>LookupTables_Competitors</t>
  </si>
  <si>
    <t>LookupTables_ContractPlatforms</t>
  </si>
  <si>
    <t>ContractPlatform</t>
  </si>
  <si>
    <t>Ruiz, Gilda</t>
  </si>
  <si>
    <t>3COM</t>
  </si>
  <si>
    <t>Charter</t>
  </si>
  <si>
    <t>Comcast</t>
  </si>
  <si>
    <t>Cox Communications</t>
  </si>
  <si>
    <t>Global Crossing</t>
  </si>
  <si>
    <t>Level 3</t>
  </si>
  <si>
    <t>No Competitor</t>
  </si>
  <si>
    <t>Other…</t>
  </si>
  <si>
    <t>Paetec</t>
  </si>
  <si>
    <t>Qwest</t>
  </si>
  <si>
    <t>Sprint</t>
  </si>
  <si>
    <t>Sunesys</t>
  </si>
  <si>
    <t>Time Warner</t>
  </si>
  <si>
    <t>Unknown</t>
  </si>
  <si>
    <t>US SIGNAL</t>
  </si>
  <si>
    <t>Verizon</t>
  </si>
  <si>
    <t>Verizon Wireless</t>
  </si>
  <si>
    <t>Windstream</t>
  </si>
  <si>
    <t>XO</t>
  </si>
  <si>
    <t>Integrated ABN Psuedo Bundle (With Mobility)</t>
  </si>
  <si>
    <t>OneNet (Without Mobility)</t>
  </si>
  <si>
    <t>Standalone Agreement</t>
  </si>
  <si>
    <t>Total Annual Customer Spend With AT&amp;T Today?</t>
  </si>
  <si>
    <t>What Contract Platform Is Being Utilized For This Opportunity?</t>
  </si>
  <si>
    <t>Mobility Sub-Commitment For Integrated Agreements?</t>
  </si>
  <si>
    <t>Wireline Regulated Telco Sub-Commitment For Integrated Agreements?</t>
  </si>
  <si>
    <t>Cooney, Michael L</t>
  </si>
  <si>
    <t>Create a Proposal:</t>
  </si>
  <si>
    <t>click here</t>
  </si>
  <si>
    <t>Total Annual Contractual Commitment</t>
  </si>
  <si>
    <t>Revamp Step 1 MARC entries</t>
  </si>
  <si>
    <t>Add eRate proposal link to the RL output</t>
  </si>
  <si>
    <t>LookupTables_MobilityMACs</t>
  </si>
  <si>
    <t>MobilityMAC</t>
  </si>
  <si>
    <t>MobilityAttainment</t>
  </si>
  <si>
    <t>LookupTables_MobilityAttainment</t>
  </si>
  <si>
    <t>ABN (Without Mobility)</t>
  </si>
  <si>
    <t>Integrated OneNet (With Mobility)</t>
  </si>
  <si>
    <t>What Type of Contract will be Utilized?</t>
  </si>
  <si>
    <t>Pearsons, Scott</t>
  </si>
  <si>
    <t>Recreated fix for error check when there is no iPricingStart</t>
  </si>
  <si>
    <t>Fix Lead Product calculation</t>
  </si>
  <si>
    <t>Hopson, Phynise</t>
  </si>
  <si>
    <t>Ringkamp, Michael</t>
  </si>
  <si>
    <t>West, Genevieve</t>
  </si>
  <si>
    <t>Onenet changed Fill Requested to Fill Requested PPM</t>
  </si>
  <si>
    <t>Thomas, Sherry</t>
  </si>
  <si>
    <t>Clearing of onenet discount when overwriting with another product on step1</t>
  </si>
  <si>
    <t>Wright, Sarah</t>
  </si>
  <si>
    <t>LookupTables_MobilityMACAttainment</t>
  </si>
  <si>
    <t>LookupTables_MobilityAssociation</t>
  </si>
  <si>
    <t>MobilityAssociation</t>
  </si>
  <si>
    <t>Mobility Attainment (monthly):</t>
  </si>
  <si>
    <t>Mobility MAC (annual):</t>
  </si>
  <si>
    <t>N/A</t>
  </si>
  <si>
    <t>Round 2 of Step 1 changes</t>
  </si>
  <si>
    <t>Adjusted step1 error check toturn off duringInR</t>
  </si>
  <si>
    <t>Adjusted product delete to renumber credits</t>
  </si>
  <si>
    <t>Added the E-Rate Market Rate CDT button and the CDT reset button on Step 0.  Added validation message content to the competitor field of Step 0 with text requested by Terri Ayares.</t>
  </si>
  <si>
    <t>Updated vlImsContract_Type table on the server, and updated the remaining term label (B8) to match the new opportunity types.</t>
  </si>
  <si>
    <t>Coffer, Matt</t>
  </si>
  <si>
    <t>BVoIPRAResults</t>
  </si>
  <si>
    <t>FMODbTable41</t>
  </si>
  <si>
    <t>Explicitly specify range in checkDiscOffExisting for FMO compatibility</t>
  </si>
  <si>
    <t>HealthCare (Generic)</t>
  </si>
  <si>
    <t>Legal</t>
  </si>
  <si>
    <t>Manufacturing</t>
  </si>
  <si>
    <t>Oil &amp; Gas</t>
  </si>
  <si>
    <t>Transportation</t>
  </si>
  <si>
    <t>Integrated VTNS (With Mobility)</t>
  </si>
  <si>
    <t>VTNS (Without Mobility)</t>
  </si>
  <si>
    <t>MAC Agreement (ACDA) [Mobility Only]</t>
  </si>
  <si>
    <t>MAC Agreement (CCDA) [Mobility Only]</t>
  </si>
  <si>
    <t>Attainment Agreement (ACDA) [Mobility Only]</t>
  </si>
  <si>
    <t>Attainment Agreement (CCDA) [Mobility Only]</t>
  </si>
  <si>
    <t>AMB Agreement</t>
  </si>
  <si>
    <t>Circuit Term Plan</t>
  </si>
  <si>
    <t>IDS</t>
  </si>
  <si>
    <t>Platform</t>
  </si>
  <si>
    <t>Contract</t>
  </si>
  <si>
    <t>Commitment</t>
  </si>
  <si>
    <t>ABN</t>
  </si>
  <si>
    <t>OneNet</t>
  </si>
  <si>
    <t>Enter Value</t>
  </si>
  <si>
    <t>VTNS</t>
  </si>
  <si>
    <t>CCDA</t>
  </si>
  <si>
    <t>Standalone</t>
  </si>
  <si>
    <t>Contracts</t>
  </si>
  <si>
    <t>Select ABN MARC</t>
  </si>
  <si>
    <t>Select MAC</t>
  </si>
  <si>
    <t>Select Attainment</t>
  </si>
  <si>
    <t>Step1 revisions</t>
  </si>
  <si>
    <t>Allow negative values for requested price</t>
  </si>
  <si>
    <t>E-Rate make hyperlink to proposal on RL sheets beyond the first one</t>
  </si>
  <si>
    <t>Credit S1</t>
  </si>
  <si>
    <t>Credit Years S1</t>
  </si>
  <si>
    <t>Credit S2</t>
  </si>
  <si>
    <t>Credit Years S2</t>
  </si>
  <si>
    <t>Credit S3</t>
  </si>
  <si>
    <t>Credit Years S3</t>
  </si>
  <si>
    <t>Add search for my deals + inv detail pull</t>
  </si>
  <si>
    <t>merge code for ASE R9 release</t>
  </si>
  <si>
    <t>Port~Is NSS Review Required?</t>
  </si>
  <si>
    <t>Port~Is Contracting Event Required?</t>
  </si>
  <si>
    <t>Port~Alternate Switch Requested?</t>
  </si>
  <si>
    <t>Port~Location CLLI</t>
  </si>
  <si>
    <t>Port~NTE Deployment Location</t>
  </si>
  <si>
    <t>Port~NTE Mounting Option</t>
  </si>
  <si>
    <t>Port~NTE Power Options</t>
  </si>
  <si>
    <t>Port~Notes</t>
  </si>
  <si>
    <t>NTE CLLI</t>
  </si>
  <si>
    <t>add code for strategic pricers to get and view a deals ACE costs</t>
  </si>
  <si>
    <t>IT</t>
  </si>
  <si>
    <t>Added code to the CondenseXMLLineItems and TranslateCondensedLineItemsToIms to correctly land the line items and quantities for MIS product. (code changes can be traced using rj_filterSpeed tag.</t>
  </si>
  <si>
    <t>Strategic Pricer</t>
  </si>
  <si>
    <t>Populate all green fields with customer data.</t>
  </si>
  <si>
    <t>Port~Multi-UNI Indicator</t>
  </si>
  <si>
    <t>Affiliate(LD)  Gross  MARC</t>
  </si>
  <si>
    <t>Affiliate Net Deal MARC</t>
  </si>
  <si>
    <t>Affiliate Commitment %</t>
  </si>
  <si>
    <t>Telco Gross Deal MARC</t>
  </si>
  <si>
    <t>Telco Net Deal MARC</t>
  </si>
  <si>
    <t>Telco Commitment %</t>
  </si>
  <si>
    <t>Mobility Gross Deal MARC</t>
  </si>
  <si>
    <t>Mobility Net Deal MARC</t>
  </si>
  <si>
    <t>Mobility Commitment %</t>
  </si>
  <si>
    <t>For information only.  Use table to the left to fill out or modify MARCs data</t>
  </si>
  <si>
    <t>Added old marcs table to Step1</t>
  </si>
  <si>
    <t>Adjusted ASE code to allow selection of "not found" column headers</t>
  </si>
  <si>
    <t>Further refine SPCAT code</t>
  </si>
  <si>
    <t>Change order a nd filter more than 500 results for "Load my pending deals"</t>
  </si>
  <si>
    <t>Adjusted formating on inv detail tab</t>
  </si>
  <si>
    <t>Prevented inventory saving of blank lines (ghost lines)</t>
  </si>
  <si>
    <t>Lensing, Maria</t>
  </si>
  <si>
    <t>Verified that code changed made on 8-10-2012 were still in CDT.
Code changes made by James Fang for Overflow issue.
Code changes made by Asha Sinojia for Qty issue with MISPNT.</t>
  </si>
  <si>
    <t>Updated Mobility functions</t>
  </si>
  <si>
    <t>Added training icon to inv_detail tab, and posted a hyperlink to the training deck.</t>
  </si>
  <si>
    <t>Hacker, Caroline D</t>
  </si>
  <si>
    <t>Heinrich, Glen A</t>
  </si>
  <si>
    <t>Barraza, Roman R.</t>
  </si>
  <si>
    <t>Boylan, Keith</t>
  </si>
  <si>
    <t>DiPiaza, Robert</t>
  </si>
  <si>
    <t>Harris, Stanton O.</t>
  </si>
  <si>
    <t>Haynes, Justin L.</t>
  </si>
  <si>
    <t>Wilkins, Aaron J. Jr.</t>
  </si>
  <si>
    <t>New or Existing?</t>
  </si>
  <si>
    <t>CIR Speed</t>
  </si>
  <si>
    <t>CIR COS Type</t>
  </si>
  <si>
    <t>Customer Loc/Loop CLLI (8 character)</t>
  </si>
  <si>
    <t>Access Loop Mileage</t>
  </si>
  <si>
    <t>7609/CO CLLI</t>
  </si>
  <si>
    <t>New/Existing</t>
  </si>
  <si>
    <t>Port~New/Existing</t>
  </si>
  <si>
    <t>sNewExisting</t>
  </si>
  <si>
    <t>BNS ID Compliance</t>
  </si>
  <si>
    <t>Marcis, Timothy</t>
  </si>
  <si>
    <t>Pastore, Sharon</t>
  </si>
  <si>
    <t>Pitocco, Nelly</t>
  </si>
  <si>
    <t>Speidell, George</t>
  </si>
  <si>
    <t>Suraci, Armand</t>
  </si>
  <si>
    <t>Vagelos, Ted</t>
  </si>
  <si>
    <t>Werly, James</t>
  </si>
  <si>
    <t>Becerra, Robert</t>
  </si>
  <si>
    <t>Bowers, Terry</t>
  </si>
  <si>
    <t>Costello, Albert Jr</t>
  </si>
  <si>
    <t>Added dialog box to save as new deal number asking if user wants to remove costs</t>
  </si>
  <si>
    <t>*skip*</t>
  </si>
  <si>
    <t>Fixed not saving of user permissions when table blank</t>
  </si>
  <si>
    <t>Removed check for new Q on discount off existing button</t>
  </si>
  <si>
    <t>Construction</t>
  </si>
  <si>
    <t>AKWSCA III</t>
  </si>
  <si>
    <t>COWSCA III</t>
  </si>
  <si>
    <t>CTWSCA III</t>
  </si>
  <si>
    <t>DEWSCA III</t>
  </si>
  <si>
    <t>GAWSCA III</t>
  </si>
  <si>
    <t>HIWSCA III</t>
  </si>
  <si>
    <t>IDWSCA III</t>
  </si>
  <si>
    <t>ILIL</t>
  </si>
  <si>
    <t>ININ</t>
  </si>
  <si>
    <t>KYWSCA III</t>
  </si>
  <si>
    <t>MEWSCA III</t>
  </si>
  <si>
    <t>MIWSCA III</t>
  </si>
  <si>
    <t>MNMN</t>
  </si>
  <si>
    <t>MOWSCA III</t>
  </si>
  <si>
    <t>MTWSCA III</t>
  </si>
  <si>
    <t>NCWSCA III</t>
  </si>
  <si>
    <t>NEWSCA III</t>
  </si>
  <si>
    <t>NHWSCA III</t>
  </si>
  <si>
    <t>NJWSCA III</t>
  </si>
  <si>
    <t>NVNV</t>
  </si>
  <si>
    <t>TNWSCA III</t>
  </si>
  <si>
    <t>UTUT</t>
  </si>
  <si>
    <t>VAVA</t>
  </si>
  <si>
    <t>VTWSCA III</t>
  </si>
  <si>
    <t>WIWSCA III</t>
  </si>
  <si>
    <t>IsASE?</t>
  </si>
  <si>
    <t>FLFL</t>
  </si>
  <si>
    <t>bad</t>
  </si>
  <si>
    <t>CDT EZ</t>
  </si>
  <si>
    <t>csmsales</t>
  </si>
  <si>
    <t>csmusr</t>
  </si>
  <si>
    <t>eBuilder</t>
  </si>
  <si>
    <t>Engineer</t>
  </si>
  <si>
    <t>NSS</t>
  </si>
  <si>
    <t>NSSAIS</t>
  </si>
  <si>
    <t>nssUser</t>
  </si>
  <si>
    <t>oconn</t>
  </si>
  <si>
    <t>reportingConn</t>
  </si>
  <si>
    <t>Strategic Pricer User</t>
  </si>
  <si>
    <t>testCSM</t>
  </si>
  <si>
    <t>iProdInvID</t>
  </si>
  <si>
    <t>*skipCompare*</t>
  </si>
  <si>
    <t>Tantum, Christine H</t>
  </si>
  <si>
    <t>NSS submit - allow submit for designonly for ASE</t>
  </si>
  <si>
    <t>On change of jurisdition or State on Step 1:  change to add/replace and make Load Product btn background red</t>
  </si>
  <si>
    <t>Banye, Marcel A</t>
  </si>
  <si>
    <t>Chubner, Brittny T</t>
  </si>
  <si>
    <t>Cuddy, Nathan</t>
  </si>
  <si>
    <t>Datan, Raaine T</t>
  </si>
  <si>
    <t>Desousa, Drew</t>
  </si>
  <si>
    <t>Dulau-Lookretis, Angela</t>
  </si>
  <si>
    <t>Hatcher, Cindy</t>
  </si>
  <si>
    <t>Jones, Joel</t>
  </si>
  <si>
    <t>King, Andrew</t>
  </si>
  <si>
    <t>Mccown, Suzanne</t>
  </si>
  <si>
    <t>Muegge, Christopher B</t>
  </si>
  <si>
    <t>Norton, David R</t>
  </si>
  <si>
    <t>Rekow, John</t>
  </si>
  <si>
    <t>Roberts, Schuyler</t>
  </si>
  <si>
    <t>Sadoski, Joseph</t>
  </si>
  <si>
    <t>Sallis, Kristen</t>
  </si>
  <si>
    <t>Seagle, Sandra</t>
  </si>
  <si>
    <t>Sheppard, William</t>
  </si>
  <si>
    <t>Van Deren, Michelle</t>
  </si>
  <si>
    <t>Walsh, Colin</t>
  </si>
  <si>
    <t>Walton, Bryan D</t>
  </si>
  <si>
    <t>Wewerka, Ryan</t>
  </si>
  <si>
    <t>Adjust product delete to renumber ancillary sheets (AIS and NSS ASE)</t>
  </si>
  <si>
    <t>Analyzed Cust Loc Address</t>
  </si>
  <si>
    <t>Added PcG address column to NSS ASE tab</t>
  </si>
  <si>
    <t>*skipCompare*CALC*</t>
  </si>
  <si>
    <t>Adjust comment box to fit header comments</t>
  </si>
  <si>
    <t>Sales Dev Test</t>
  </si>
  <si>
    <t>Sales Dev Test Wholesale</t>
  </si>
  <si>
    <t>Eschbacher, Michael W</t>
  </si>
  <si>
    <t>Grieger, Eric</t>
  </si>
  <si>
    <t>Blanchard, Le Anh</t>
  </si>
  <si>
    <t>Chattaway, John Scott</t>
  </si>
  <si>
    <t>Edwards, Judith</t>
  </si>
  <si>
    <t>Grana, Kim</t>
  </si>
  <si>
    <t>Jenkins, Cynthia</t>
  </si>
  <si>
    <t>Morrison, Carol</t>
  </si>
  <si>
    <t>Oconnor, Patrick</t>
  </si>
  <si>
    <t>Stinchcomb, Steven</t>
  </si>
  <si>
    <t>Sort?</t>
  </si>
  <si>
    <t>Sort Order</t>
  </si>
  <si>
    <t>Secondary</t>
  </si>
  <si>
    <t>Use NOTFOUND for NSS ASE cust cllis</t>
  </si>
  <si>
    <t>Fix VB error on NSS ASE versioning of deal -- needs to select step 1</t>
  </si>
  <si>
    <t>NSS ASE copy to product -- end cursor on Certified column, row 1</t>
  </si>
  <si>
    <t>Vanbuskirk , Debra M.</t>
  </si>
  <si>
    <t>Use NOTFOUND for NSS ASE IPAG CLLI</t>
  </si>
  <si>
    <t>Unprotect most fields from the NSS ASE tab</t>
  </si>
  <si>
    <t>Disable sorting for FMO</t>
  </si>
  <si>
    <t>Updated getAceCosts with latest,  put in stub for generating cost book</t>
  </si>
  <si>
    <t>Tracy, Kent</t>
  </si>
  <si>
    <t>McClung, Stacey (Albano)</t>
  </si>
  <si>
    <t>McClung, Stacey (Reardon)</t>
  </si>
  <si>
    <t>PS</t>
  </si>
  <si>
    <t>PSPRIVATE SCHOOL</t>
  </si>
  <si>
    <t>Enable NRC processing for E-Rate</t>
  </si>
  <si>
    <t>Friend, David</t>
  </si>
  <si>
    <t>ASE: Extend Ecrm support ID check to cover submit to NSS launched from NSS tab comparison</t>
  </si>
  <si>
    <t>activate CDT error check for submit to Online</t>
  </si>
  <si>
    <t>Beaugh, John V</t>
  </si>
  <si>
    <t>Becerra, Robert R</t>
  </si>
  <si>
    <t>Bowers, Terry R</t>
  </si>
  <si>
    <t>Update getAceCosts, add in Cost book generation code</t>
  </si>
  <si>
    <t>Clark, Brian</t>
  </si>
  <si>
    <t>Enhanced cost book code - to check dates and autogenerate new cost if necessary</t>
  </si>
  <si>
    <t>MAX</t>
  </si>
  <si>
    <t>MIN</t>
  </si>
  <si>
    <t>Min/Max $</t>
  </si>
  <si>
    <t>Brumund, Tiffany</t>
  </si>
  <si>
    <t>Enhance strat pri code - added status dialogues and hid unneeded tabs</t>
  </si>
  <si>
    <t>Tay, Seo</t>
  </si>
  <si>
    <t>AK1699595</t>
  </si>
  <si>
    <t>AR1660375</t>
  </si>
  <si>
    <t>CA1732316</t>
  </si>
  <si>
    <t>DC1726056</t>
  </si>
  <si>
    <t>HI1803048</t>
  </si>
  <si>
    <t>IA1803666</t>
  </si>
  <si>
    <t>ID1707336</t>
  </si>
  <si>
    <t>IN1600012</t>
  </si>
  <si>
    <t>KS1749352</t>
  </si>
  <si>
    <t>KY1788723</t>
  </si>
  <si>
    <t>LA1732423</t>
  </si>
  <si>
    <t>ME1745783</t>
  </si>
  <si>
    <t>MN1687843</t>
  </si>
  <si>
    <t>MO1700119</t>
  </si>
  <si>
    <t>MS1803109</t>
  </si>
  <si>
    <t>MT1719430</t>
  </si>
  <si>
    <t>ND1765807</t>
  </si>
  <si>
    <t>NM1666312</t>
  </si>
  <si>
    <t>NV1738035</t>
  </si>
  <si>
    <t>OK1757492</t>
  </si>
  <si>
    <t>OR1719226</t>
  </si>
  <si>
    <t>SD1678182</t>
  </si>
  <si>
    <t>TX1631800</t>
  </si>
  <si>
    <t>UT1624817</t>
  </si>
  <si>
    <t>VA903110</t>
  </si>
  <si>
    <t>WA1791107</t>
  </si>
  <si>
    <t>WY1700028</t>
  </si>
  <si>
    <t>SoC</t>
  </si>
  <si>
    <t>Change RL expiration date for E-Rate</t>
  </si>
  <si>
    <t>Nakkalakshmi, Srinivas R</t>
  </si>
  <si>
    <t>Napolitano, Anthony</t>
  </si>
  <si>
    <t>Girardi, Paul</t>
  </si>
  <si>
    <t>Add duplicate error checking</t>
  </si>
  <si>
    <t>Change product load line to edit after INR/FMO load (restore from 1125version)</t>
  </si>
  <si>
    <t>Error</t>
  </si>
  <si>
    <t>Min/Max</t>
  </si>
  <si>
    <t>Warning</t>
  </si>
  <si>
    <t>Change min/max errors to warnings if not online, errors if on-line not allowing submittal, improve routine</t>
  </si>
  <si>
    <t>Seguin-Lopez, Sharon</t>
  </si>
  <si>
    <t>Spiotta, Ralph</t>
  </si>
  <si>
    <t>RIRI</t>
  </si>
  <si>
    <t>Add database tracking of PCG import comparison outcome for ASE</t>
  </si>
  <si>
    <t>Add step1 error check for Mobility attainment</t>
  </si>
  <si>
    <t>Pricer Dev Test</t>
  </si>
  <si>
    <t>Unhide ebuilder on load - fix issue with expand all and secondary keys</t>
  </si>
  <si>
    <t>Ignore Dups</t>
  </si>
  <si>
    <t>Make dup error check optional based on extended properties of little product</t>
  </si>
  <si>
    <t>Allow multiple SoC lists in price lookups</t>
  </si>
  <si>
    <t>DCDC</t>
  </si>
  <si>
    <t>Updated MobilityPremCalc macros, to fix "TCO Misc" database validation mismatch error.</t>
  </si>
  <si>
    <t>Pavon, Albert</t>
  </si>
  <si>
    <t>Sharley, Deborah</t>
  </si>
  <si>
    <t>This template creates a proposal request between IMS2 and eBuilder.</t>
  </si>
  <si>
    <t>Complete the eBuilder Template below for Proposal Support.</t>
  </si>
  <si>
    <t>Created proposal tab, moved proposal entry fields from Step 0 to its own tab.  New buttons added to provide functionality.</t>
  </si>
  <si>
    <t>Updated content for the unit testing module to include updated BU, channel, etc. info for setting up test case.  This eliminates the load errors in the model when generating a rate letter.</t>
  </si>
  <si>
    <t>Tulapurkar, Sarang</t>
  </si>
  <si>
    <t>Fix issue when using a table as an mfn applies value list</t>
  </si>
  <si>
    <t>add datestamp to get cost routines, fix issue with deleting get cost table tab</t>
  </si>
  <si>
    <t>Amend, Lesley</t>
  </si>
  <si>
    <t>Clayton, Rodney W</t>
  </si>
  <si>
    <t>Fanget, Nicole E</t>
  </si>
  <si>
    <t>Fischer, Janet</t>
  </si>
  <si>
    <t>Gates, Joshua</t>
  </si>
  <si>
    <t>Gomez, Heather</t>
  </si>
  <si>
    <t>Graham, Zac</t>
  </si>
  <si>
    <t>Holden, Laura</t>
  </si>
  <si>
    <t>Keller, Izabela</t>
  </si>
  <si>
    <t>Langberg, Lawrence J</t>
  </si>
  <si>
    <t>Merz, Shane M</t>
  </si>
  <si>
    <t>Modica, Jacqueline E</t>
  </si>
  <si>
    <t>Muegge, Christopher</t>
  </si>
  <si>
    <t>Sadler, B. Christopher</t>
  </si>
  <si>
    <t>Spangler, Sandra D</t>
  </si>
  <si>
    <t>Vanhole, Ellen E</t>
  </si>
  <si>
    <t>Warner, Robert C</t>
  </si>
  <si>
    <t>ARAR</t>
  </si>
  <si>
    <t>SCSC</t>
  </si>
  <si>
    <t>AZ1821337</t>
  </si>
  <si>
    <t>CO1814108</t>
  </si>
  <si>
    <t>PA1821663</t>
  </si>
  <si>
    <t>McDonald, Terrance</t>
  </si>
  <si>
    <t>Modify E-Rate RL formula to allow Gs</t>
  </si>
  <si>
    <t>Toroyan, Art</t>
  </si>
  <si>
    <t>Primary ATTUID</t>
  </si>
  <si>
    <t>Added "Start New Deal" process to the CDT reset process and in the set to E-Rate CDT process.  This will clear out any cross contaminated deal content from migrating between the two CDT types.</t>
  </si>
  <si>
    <t>Barrett, Corey</t>
  </si>
  <si>
    <t>On Step 1 tab:  Reset the green field underneath the main buttons, removed the white box and the VB code that called it.  On templateproduct tab, increased the size of the check express/certified button to allow all of the text to appear.</t>
  </si>
  <si>
    <t>Updated the CDTErrors module to change text "to low" to "too low" throughout the module.</t>
  </si>
  <si>
    <t>IAIA</t>
  </si>
  <si>
    <t>T-Mobile</t>
  </si>
  <si>
    <t>Added CenturyTel and T-Mobile as competitors in the pulldown tab for Webb.</t>
  </si>
  <si>
    <t>Eckert, Robert</t>
  </si>
  <si>
    <t>MSMS</t>
  </si>
  <si>
    <t>Updated wsStep1.LoadJurisdictionsList and clTranslator.CopyDataFromSource macros to trigger SOC prompt when importing translator data.  Added line in same macro to set condense to "Yes".</t>
  </si>
  <si>
    <t>Kaiser, Bridget M</t>
  </si>
  <si>
    <t>Added the code that was merged on 9/26/2012 for Oct 2012 release for UC prject and did not get carried over in Nov 2012 CDT posting -- Added checks for the NRCDiscountCols to be sure that they are not empty when trying to write the NRC into the CDT. Can find using this code: rj_UCNRC</t>
  </si>
  <si>
    <t>Added the code that was merged on 10/10/2012 for Oct 2012 release for UC prject and did not get carried over in Nov 2012 CDT posting--Added code to set the Quantity as 'G' when it comes in as such from the LP. Find using code: rj_UCQtyG</t>
  </si>
  <si>
    <t>added code to cause calc generated dropdowns to auto move forward if approproate</t>
  </si>
  <si>
    <t>Currency</t>
  </si>
  <si>
    <t>COS Port/VLAN Level Scheduling</t>
  </si>
  <si>
    <t>changed NSS_OEMAC (ASE) header to match R10 PC globes release</t>
  </si>
  <si>
    <t>WVWV</t>
  </si>
  <si>
    <t>IL1815465</t>
  </si>
  <si>
    <t>changed NSS_OEMAC (ASE) header back from R10 pc gloves to R9</t>
  </si>
  <si>
    <t>Min/max fix to allow dollar floors</t>
  </si>
  <si>
    <t>Aldridge, Jeff</t>
  </si>
  <si>
    <t>Alexander, Charles</t>
  </si>
  <si>
    <t>Amos, Ethan</t>
  </si>
  <si>
    <t>Baldwin, Justin</t>
  </si>
  <si>
    <t>Coker, Anna</t>
  </si>
  <si>
    <t>Cole, Jeremy</t>
  </si>
  <si>
    <t>Cox, Stephen</t>
  </si>
  <si>
    <t>Crews, Phillip</t>
  </si>
  <si>
    <t>Cross, Paul</t>
  </si>
  <si>
    <t>Drees, Elizabeth</t>
  </si>
  <si>
    <t>Dulek, Amber</t>
  </si>
  <si>
    <t>Dunn, Carmen</t>
  </si>
  <si>
    <t>Forthman, Tim</t>
  </si>
  <si>
    <t>Frederick, David</t>
  </si>
  <si>
    <t>Gardner, Katie</t>
  </si>
  <si>
    <t>Haegele, Joshua</t>
  </si>
  <si>
    <t>Hagen, Linda</t>
  </si>
  <si>
    <t>Hannegan, Cecilia</t>
  </si>
  <si>
    <t>Jobe, Amanda</t>
  </si>
  <si>
    <t>Jones, Kathleen</t>
  </si>
  <si>
    <t>Koke, Kevin</t>
  </si>
  <si>
    <t>Lefler, Chad</t>
  </si>
  <si>
    <t>Lopez, Gerardo</t>
  </si>
  <si>
    <t>Lowery, Wyatt</t>
  </si>
  <si>
    <t>Luegger, Geoff</t>
  </si>
  <si>
    <t>Martin, Mark</t>
  </si>
  <si>
    <t>Mccormick, Matthew</t>
  </si>
  <si>
    <t>Mckinney, Sarah</t>
  </si>
  <si>
    <t>Owen, Jacklynn</t>
  </si>
  <si>
    <t>Pollitt, Chris</t>
  </si>
  <si>
    <t>Posey, Micah</t>
  </si>
  <si>
    <t>Proffitt, Josh</t>
  </si>
  <si>
    <t>Ridenhour, Mark</t>
  </si>
  <si>
    <t>Ries, Gregory</t>
  </si>
  <si>
    <t>Spencer, Alan</t>
  </si>
  <si>
    <t>Spencer, Michael</t>
  </si>
  <si>
    <t>Storms, Nicholas</t>
  </si>
  <si>
    <t>Welsh, Sean</t>
  </si>
  <si>
    <t>Austin, Lionel C</t>
  </si>
  <si>
    <t>Baker, Audrey C</t>
  </si>
  <si>
    <t>Bargas, Jon G</t>
  </si>
  <si>
    <t>Birger, Carolyn</t>
  </si>
  <si>
    <t>Brewer, Samuel P</t>
  </si>
  <si>
    <t>Childress, Bryon K</t>
  </si>
  <si>
    <t>Dannheim, Nick J</t>
  </si>
  <si>
    <t>Dorazio, Carey</t>
  </si>
  <si>
    <t>Fleury, Sallyann</t>
  </si>
  <si>
    <t>Gates, Robert L</t>
  </si>
  <si>
    <t>Goldman, Brittany</t>
  </si>
  <si>
    <t>Hathiramani, Vinny</t>
  </si>
  <si>
    <t>Hill, Carol L</t>
  </si>
  <si>
    <t>Hill, Marcie A</t>
  </si>
  <si>
    <t>Irish, Krizia B</t>
  </si>
  <si>
    <t>Jarvis, Jonathan E</t>
  </si>
  <si>
    <t>Jones, Kelsey L</t>
  </si>
  <si>
    <t>Keith Thomas</t>
  </si>
  <si>
    <t>Mandi Mcgee</t>
  </si>
  <si>
    <t>Mcgee, Ashley A</t>
  </si>
  <si>
    <t>Myrick, Neith J</t>
  </si>
  <si>
    <t>Owens, Brandon C</t>
  </si>
  <si>
    <t>Rae, Denise</t>
  </si>
  <si>
    <t>Redmon, Darryl L</t>
  </si>
  <si>
    <t>Reid, Grant</t>
  </si>
  <si>
    <t>Ridgway, Jessica</t>
  </si>
  <si>
    <t>Sallis, Kristen E</t>
  </si>
  <si>
    <t>Sperzel, Matthew</t>
  </si>
  <si>
    <t>Thomas, Leslie D</t>
  </si>
  <si>
    <t>Tomac, Deana M</t>
  </si>
  <si>
    <t>Vander Putten, Michael J</t>
  </si>
  <si>
    <t>Whitaker, Shannon</t>
  </si>
  <si>
    <t>Whiteside, Lisa</t>
  </si>
  <si>
    <t>Wise, Barrielynn</t>
  </si>
  <si>
    <t>Set credit table to include validation to be a whole number greater than $0.</t>
  </si>
  <si>
    <t>as642a</t>
  </si>
  <si>
    <t>Added the code in 'plugInInitialDiscountInfoForProdNo ' routine to address the issue that came dureing Feb UCT test. Code can found by Asha_UCT_2_15_13</t>
  </si>
  <si>
    <t>Farley, Kenneth S</t>
  </si>
  <si>
    <t>Set for launch</t>
  </si>
  <si>
    <t>Reset process internally that tracks and stores condition states within the tool (calc status, event status, etc.).  Corrected VB error associated with AIS form in Excel 2003 first, and CDT second.</t>
  </si>
  <si>
    <t>Hardcoded calc move forward to only work for products with AVPN in name - long term needs to be defined (dropdowns.286)</t>
  </si>
  <si>
    <t>Gross, Arnie G</t>
  </si>
  <si>
    <t>Bean, Jeffrey</t>
  </si>
  <si>
    <t>Chou, Christina</t>
  </si>
  <si>
    <t>Hester, Lael</t>
  </si>
  <si>
    <t>Wisenburn, Kara</t>
  </si>
  <si>
    <t>FL1797349</t>
  </si>
  <si>
    <t>MD1871752</t>
  </si>
  <si>
    <t>NE1890281</t>
  </si>
  <si>
    <t>Reset date for release.</t>
  </si>
  <si>
    <t>merged in code for NSS ASE that uses ASR Item ID on the routes tab to allow it to skip blank rows on that tab</t>
  </si>
  <si>
    <t>Port~COS Port/VLAN Level Scheduling</t>
  </si>
  <si>
    <t>set formatting of the scenario names to text fields.  This should eliminate the error in the model where the scenario name is entered as a number.</t>
  </si>
  <si>
    <t>UCFeatures</t>
  </si>
  <si>
    <t>FMODbTable42</t>
  </si>
  <si>
    <t>UCResults</t>
  </si>
  <si>
    <t>FMODbTable43</t>
  </si>
  <si>
    <t>Century Link</t>
  </si>
  <si>
    <t>su904s</t>
  </si>
  <si>
    <t>Added process for landing pad import that supports the pause in Step 1 entries for AVPN and OneNet voice.</t>
  </si>
  <si>
    <t>Petrini, Vanessa</t>
  </si>
  <si>
    <t>Bypass excel bug where .34 &lt;&gt; .34</t>
  </si>
  <si>
    <t>AIS required message expanded to cover all affiliates containing the word "telco"</t>
  </si>
  <si>
    <t>Reset date to 3/18, compiled VB code, updated current credit column (step 1) to set data validation to be =&lt; 0 to allow for $0 current credit.</t>
  </si>
  <si>
    <t>Translate_AVPN_Country_Defaults</t>
  </si>
  <si>
    <t>Translate_IMS2_5251</t>
  </si>
  <si>
    <t>countryIsoCode</t>
  </si>
  <si>
    <t>country_IMS2</t>
  </si>
  <si>
    <t>Region</t>
  </si>
  <si>
    <t>Default_LSP</t>
  </si>
  <si>
    <t>Default_LSP_Contract</t>
  </si>
  <si>
    <t>Default_LSP_Profile</t>
  </si>
  <si>
    <t>NNI_Speed</t>
  </si>
  <si>
    <t>Default_POP</t>
  </si>
  <si>
    <t>Specific Port Protocol</t>
  </si>
  <si>
    <t>UBB Physical Port Speed</t>
  </si>
  <si>
    <t>KR</t>
  </si>
  <si>
    <t>sb134f</t>
  </si>
  <si>
    <t xml:space="preserve">Added code to default condensed column on 'Step1' tab to 'yes' for AVPN CSM Definition on subroutine 'LoadProducts' and 'PopulateImsOutputTables' for lock/unlock issue of csm definitoin code can be found by comment 'Senthil B   -   03/18/13 </t>
  </si>
  <si>
    <t>Mayer, Stephan M</t>
  </si>
  <si>
    <t>Commented the code in 'PopulateImsOutputTables' routine. Code can be found by 'Asha 3/19/2013 AVPN CR 75550</t>
  </si>
  <si>
    <t>Enhanced NSS Code for routes column to handle more cases</t>
  </si>
  <si>
    <t>Split function to restore action tags - inr separate from inventory load - to allow inr to set action to edit in all cases</t>
  </si>
  <si>
    <t>Further enhance NSS code to a) handle unlimited number of blanks in ASR ID col, handle files with a last row having and error</t>
  </si>
  <si>
    <t>Added code line to hide generate proposal button on Step 0 when in E-Rate mode.  Added code line to show generate proposal button on Step 0 when reset to standard CDT mode.  This is Button 59.</t>
  </si>
  <si>
    <t>updated variable pr to redim to fix InR ticket '167241626'. Code can be found by 'Asha added 3/25/2013</t>
  </si>
  <si>
    <t>Added code to the cleaning macro, Startnewdeal sub to engage the simplify CDT step if the CDT is already in the E-Rate market rates mode.  This elminates the credit table showing on Step 1 when restarting for a new case when already in E-rate market rates mode.</t>
  </si>
  <si>
    <t>ASE: NOTFOUND cllis to use PCG address; add move address button</t>
  </si>
  <si>
    <t>White out top requested price for one-net products</t>
  </si>
  <si>
    <t>Hunt, Karen</t>
  </si>
  <si>
    <t>Alvarez, Maria</t>
  </si>
  <si>
    <t>Conarroe, Mark R</t>
  </si>
  <si>
    <t>Pastrana-Colon, Gladys</t>
  </si>
  <si>
    <t>Rodriguez-Paoli, Julio</t>
  </si>
  <si>
    <t>Added code to 'LoadProductsIntoInputForm' code can be found 'ImportLandingPad' module. Code commented by                         'Asha 04/08/2013 to address CSM products for pause and not hang up on access product</t>
  </si>
  <si>
    <t>Nelson, Eric</t>
  </si>
  <si>
    <t>Updated the validation content in Step 1 to match Scen 2 &amp; 3 to Scen 1 per patel.</t>
  </si>
  <si>
    <t>Mills, Robert M</t>
  </si>
  <si>
    <t>Adjusted cancel code in NSS code - added customer contract name</t>
  </si>
  <si>
    <t>Yoo, Ed</t>
  </si>
  <si>
    <t>Allow submittal of ASE with no data if set to skip</t>
  </si>
  <si>
    <t>Disallow import of AISs with same case numbers</t>
  </si>
  <si>
    <t>Agresti, Adam</t>
  </si>
  <si>
    <t>Anz, Bryan</t>
  </si>
  <si>
    <t>Bailes, Michael</t>
  </si>
  <si>
    <t>Barrett, Marcus</t>
  </si>
  <si>
    <t>Bee, Michael</t>
  </si>
  <si>
    <t>Bircan, Arda</t>
  </si>
  <si>
    <t>Botello, Sergio</t>
  </si>
  <si>
    <t>Burhite, James</t>
  </si>
  <si>
    <t>Byron, Tim</t>
  </si>
  <si>
    <t>Cassettari, Paul</t>
  </si>
  <si>
    <t>Cooper, Troy</t>
  </si>
  <si>
    <t>Darden, Jalanda</t>
  </si>
  <si>
    <t>Dimmick, Adam</t>
  </si>
  <si>
    <t>Duvall, Marcel</t>
  </si>
  <si>
    <t>Edwards, Lisa</t>
  </si>
  <si>
    <t>Elsen, Ray</t>
  </si>
  <si>
    <t>Flower, Jason</t>
  </si>
  <si>
    <t>Fornalski, Christina</t>
  </si>
  <si>
    <t>Garcia, Jorge</t>
  </si>
  <si>
    <t>Gharapetian, Arin</t>
  </si>
  <si>
    <t>Gilchrist, Victor</t>
  </si>
  <si>
    <t>Godbee, Jason</t>
  </si>
  <si>
    <t>Hedges, Craig</t>
  </si>
  <si>
    <t>Henken, Daniel</t>
  </si>
  <si>
    <t>Humphries, Leslie</t>
  </si>
  <si>
    <t>Jones, Matthew</t>
  </si>
  <si>
    <t>Kilberg, Thomas</t>
  </si>
  <si>
    <t>King, Elam</t>
  </si>
  <si>
    <t>Kobe, Brian</t>
  </si>
  <si>
    <t>Lamberti, Nick</t>
  </si>
  <si>
    <t>Land, Jackson(Niles)</t>
  </si>
  <si>
    <t>Lough, Sean</t>
  </si>
  <si>
    <t>Luchs, Jeffrey</t>
  </si>
  <si>
    <t>Meyers, David</t>
  </si>
  <si>
    <t>Mills, Charles</t>
  </si>
  <si>
    <t>Nadeau, Mike</t>
  </si>
  <si>
    <t>Omar, Amir</t>
  </si>
  <si>
    <t>Orona, Jerome</t>
  </si>
  <si>
    <t>Patel, Kaushal</t>
  </si>
  <si>
    <t>Pearlman, Daniel</t>
  </si>
  <si>
    <t>Pencak, Victoria</t>
  </si>
  <si>
    <t>Pesce, Gaetano</t>
  </si>
  <si>
    <t>Polston, Brandon</t>
  </si>
  <si>
    <t>Powers, Wesley</t>
  </si>
  <si>
    <t>Ramirez Jr, Tony</t>
  </si>
  <si>
    <t>Reyes, Jose</t>
  </si>
  <si>
    <t>Ritchie, Richard</t>
  </si>
  <si>
    <t>Rosenbaum, Jennifer</t>
  </si>
  <si>
    <t>Schrieber, Drew</t>
  </si>
  <si>
    <t>Sidoti, Dina</t>
  </si>
  <si>
    <t>Singh, Shyam(Sam)</t>
  </si>
  <si>
    <t>Smith, Zachary</t>
  </si>
  <si>
    <t>Statham, Tracey</t>
  </si>
  <si>
    <t>Tapper, Adam</t>
  </si>
  <si>
    <t>Vardayou, Liisa</t>
  </si>
  <si>
    <t>Vassell, Kelvin</t>
  </si>
  <si>
    <t>Williamson, David</t>
  </si>
  <si>
    <t>Wittek, Warren</t>
  </si>
  <si>
    <t>Zehren, David</t>
  </si>
  <si>
    <t>McCorcle, Brooks</t>
  </si>
  <si>
    <t>Invoice Currency</t>
  </si>
  <si>
    <t>Breeze, William</t>
  </si>
  <si>
    <t>Radford, Jodie</t>
  </si>
  <si>
    <t>Lee, Lauren</t>
  </si>
  <si>
    <t>Wukovits, John</t>
  </si>
  <si>
    <t>Disallow saving when products are marked "delete"</t>
  </si>
  <si>
    <t>merge in translator enhancements for federal translation</t>
  </si>
  <si>
    <t>6/21//2013</t>
  </si>
  <si>
    <t>update strategic pricing code with changes from David Regen</t>
  </si>
  <si>
    <t>Stebbins, Roland A</t>
  </si>
  <si>
    <t>Salus, Cynthia A</t>
  </si>
  <si>
    <t>Sorapuru, Christopher J</t>
  </si>
  <si>
    <t>Marx, Stacey</t>
  </si>
  <si>
    <t>Nunis, Annette</t>
  </si>
  <si>
    <t>Fixed ADOPT_ORT issue where for AVPN product tabs were not being locked and greyed out for FMO Flow. Needed to make code update and comment the code in 'Plugin' sub routine. Code can be found by comment -- 'Asha 6/19/2013 commented below lines to address ADOPT_ORT issue to lock product tabs for FMO flow'</t>
  </si>
  <si>
    <t>Copied entire "Import Other" module from Donahue updated CDT into this CDT.  This supports Utrans Translator for federal access.</t>
  </si>
  <si>
    <t>Added code to turn the Load Products button to red if the delete action is made</t>
  </si>
  <si>
    <t xml:space="preserve">     Removed function from SDTools module (lines 50-56)</t>
  </si>
  <si>
    <t xml:space="preserve">     Added function to wsStep1, lines 395 to 407</t>
  </si>
  <si>
    <t xml:space="preserve">     Deleted the blnStep1Error check in the Inventory module in the SaveDeal sub - this generates the error code for delete action in load products where it should not be.</t>
  </si>
  <si>
    <t>Casteleyn, Kimberly</t>
  </si>
  <si>
    <t>Grana, Domenick</t>
  </si>
  <si>
    <t>Hopeck, Tony</t>
  </si>
  <si>
    <t>Trippler, Danial T</t>
  </si>
  <si>
    <t>McWilliams, Lorenzo</t>
  </si>
  <si>
    <t>Payne, Nicole</t>
  </si>
  <si>
    <t>Orange</t>
  </si>
  <si>
    <t>SingTel</t>
  </si>
  <si>
    <t>British Telcom</t>
  </si>
  <si>
    <t>Cincinnati Bell</t>
  </si>
  <si>
    <t>Intercall</t>
  </si>
  <si>
    <t>Bell Canada</t>
  </si>
  <si>
    <t>Stively, Aaron</t>
  </si>
  <si>
    <t>List Rate Managed Rounding</t>
  </si>
  <si>
    <t>McGaw, Stephen A</t>
  </si>
  <si>
    <t>MoW Sales</t>
  </si>
  <si>
    <t>Brindle, Allen Z</t>
  </si>
  <si>
    <t>Doherty, Laura K</t>
  </si>
  <si>
    <t>Fellin, Katherine E</t>
  </si>
  <si>
    <t>Mizzer, David J</t>
  </si>
  <si>
    <t>Othen, Lindsay B</t>
  </si>
  <si>
    <t>Vitrano, Robert C</t>
  </si>
  <si>
    <t>Asher, Mary Beth</t>
  </si>
  <si>
    <t>Averill, Jon</t>
  </si>
  <si>
    <t>Barnhard, Bill</t>
  </si>
  <si>
    <t>Bishop, Kevin</t>
  </si>
  <si>
    <t>Chin, Corinne</t>
  </si>
  <si>
    <t>Del Soldato, Fabiano</t>
  </si>
  <si>
    <t>Di Blasio, Maria</t>
  </si>
  <si>
    <t>Fallon, Arthur</t>
  </si>
  <si>
    <t>Fijn, Selinde</t>
  </si>
  <si>
    <t>Hardy, Betty-Boyd</t>
  </si>
  <si>
    <t>Hoogweg, Mario</t>
  </si>
  <si>
    <t>Kelley, Richard</t>
  </si>
  <si>
    <t>Kimmeth, Tom</t>
  </si>
  <si>
    <t>Koh, Linda</t>
  </si>
  <si>
    <t>Kowalsky, Walter</t>
  </si>
  <si>
    <t>Lam, Bessie</t>
  </si>
  <si>
    <t>Liao, Otis</t>
  </si>
  <si>
    <t>Lynch-Habib, Stephanie</t>
  </si>
  <si>
    <t>Nedwood, Diana</t>
  </si>
  <si>
    <t>Ng, Johnny</t>
  </si>
  <si>
    <t>Ramani, Arvind</t>
  </si>
  <si>
    <t>Searles, Micheline</t>
  </si>
  <si>
    <t>Slaman Jr., Ray</t>
  </si>
  <si>
    <t>Tan, Yee-Swian</t>
  </si>
  <si>
    <t>Tanner, Richard</t>
  </si>
  <si>
    <t>Thomson, Peter</t>
  </si>
  <si>
    <t>Wellington, Leanne</t>
  </si>
  <si>
    <t>Yee, Bernhard</t>
  </si>
  <si>
    <t>Acquisition</t>
  </si>
  <si>
    <t>Growth</t>
  </si>
  <si>
    <t>Product Migration</t>
  </si>
  <si>
    <t>Retention/Renewal</t>
  </si>
  <si>
    <t>OneNet rounding definable</t>
  </si>
  <si>
    <t>Updated the E-Rate Market Rates label to read "2013-2014 E-Rate season" per Ayares.</t>
  </si>
  <si>
    <t>On E-Rate Market Rates RL template tab, reset the columns of modifiers (used for mobility) to be hidden.</t>
  </si>
  <si>
    <t>Updated B8 Step 0 label to read new oppty types, and populates only when valid.  Updated VB code for the test loading step of Step 0 (CNTL T) to include growth as the Oppty type, rather than "new".</t>
  </si>
  <si>
    <t>Updated imsbuttonOps module, setuserview sub - added MSALES to list for MoW sales.</t>
  </si>
  <si>
    <t>Enhanced code when clipboard has data and user does not want to paste it</t>
  </si>
  <si>
    <t>Port~NTE Qualification</t>
  </si>
  <si>
    <t>Port~NTE Share?</t>
  </si>
  <si>
    <t>Port~MTEI</t>
  </si>
  <si>
    <t>sNTEShare</t>
  </si>
  <si>
    <t>sMTEI</t>
  </si>
  <si>
    <t>NTE Share</t>
  </si>
  <si>
    <t>MTEI</t>
  </si>
  <si>
    <t>NTE Qualification</t>
  </si>
  <si>
    <t xml:space="preserve">Standard/Unified Flow </t>
  </si>
  <si>
    <t>future functionality</t>
  </si>
  <si>
    <t>AIS Requirement</t>
  </si>
  <si>
    <t>n/a</t>
  </si>
  <si>
    <t>Added enhancements for ASE release 12 (PC Globes / PricerD) - new fields and field changes. Except for 2 single fields requiring code enhancements (Put in placeholder on NSS ASE sheet)</t>
  </si>
  <si>
    <t>Reset code for wsStep1 to impact only delete selections (line 395).</t>
  </si>
  <si>
    <t>Added unprotect/proctet line of code to fix PD-0184 ticket. User was getting worksheet proctected message when trying to enter prices for 'Manual Input' cells for access product. Code commented by 'PD-0184</t>
  </si>
  <si>
    <t>got error on formatting the cell by hand entry. Needed to add ws.unprotect code. Code commented by 'Asha 10/07/2013</t>
  </si>
  <si>
    <t>uncommented the error trap label on 'Checkrequested' and 'CheckCalcs' subroutine. Commented previous protect/unprotect code for PD-0184. Code commented by  'Asha PD-0184 fix 10/08/13</t>
  </si>
  <si>
    <t>Allen, Jeffery</t>
  </si>
  <si>
    <t>Isa, Amal T</t>
  </si>
  <si>
    <t>Massel, James</t>
  </si>
  <si>
    <t>Adjusted Erate mobility state question</t>
  </si>
  <si>
    <t>Fixed min-max check for 120 month terms</t>
  </si>
  <si>
    <t>Carias, John A</t>
  </si>
  <si>
    <t>Fixed issue where filtered dropdown not always filtering correctly</t>
  </si>
  <si>
    <t>Allow for text in list rate field to come through verbatim</t>
  </si>
  <si>
    <t>Allow Expand All when key fields are hidden</t>
  </si>
  <si>
    <t>McNemar, David</t>
  </si>
  <si>
    <t>Santoyo, Debbie</t>
  </si>
  <si>
    <t>Vazquez, Susan</t>
  </si>
  <si>
    <t>Whitaker, David</t>
  </si>
  <si>
    <t>Skip error check on requested price when list rate is non-numeric</t>
  </si>
  <si>
    <t>Adjust summation formulas on requested price to ignore non-numeric</t>
  </si>
  <si>
    <t>adjust large dropdown to return enableEvents to prior state rather than turn on</t>
  </si>
  <si>
    <t>Scherping, Thelma L</t>
  </si>
  <si>
    <t>Obrien, Renee</t>
  </si>
  <si>
    <t>Schmidt, Carry</t>
  </si>
  <si>
    <t>Translate_IMS2_5678</t>
  </si>
  <si>
    <t>Translate_IMS2_5679</t>
  </si>
  <si>
    <t>Translate_IMS2_5680</t>
  </si>
  <si>
    <t>Nelson, Rosella</t>
  </si>
  <si>
    <t>NMNM</t>
  </si>
  <si>
    <t>VT2130638</t>
  </si>
  <si>
    <t>WV1972536</t>
  </si>
  <si>
    <t>Schroeder, Brent</t>
  </si>
  <si>
    <t>Perkins, Jodi</t>
  </si>
  <si>
    <t>Adjust LRM discount variable to double from integer to prevent rounding</t>
  </si>
  <si>
    <t>Adjust inventory load to take into account LRM discount</t>
  </si>
  <si>
    <t>Thresher, Jeremy</t>
  </si>
  <si>
    <t>Harth, Kenneth A</t>
  </si>
  <si>
    <t>MI8622261</t>
  </si>
  <si>
    <t>fixed issue with large dropdown filter if filter causes list to have no entries</t>
  </si>
  <si>
    <t>Hasanov, Deborah R</t>
  </si>
  <si>
    <t>Wong, Doris K</t>
  </si>
  <si>
    <t>sErateQuestion</t>
  </si>
  <si>
    <t>Erate Question?</t>
  </si>
  <si>
    <t>Result</t>
  </si>
  <si>
    <t>E-Rate school question enhancement</t>
  </si>
  <si>
    <t>LALA</t>
  </si>
  <si>
    <t>E-Rate school question enhancement - launch ROME verification</t>
  </si>
  <si>
    <t>Hardison, Demetree</t>
  </si>
  <si>
    <t>Russo, Lisa M</t>
  </si>
  <si>
    <t>SDWSCA II SD</t>
  </si>
  <si>
    <t>WYWY</t>
  </si>
  <si>
    <t>Change load prod sp to ims2_CDT_r_GetLittleProductFields7 (from 6) - uses new part of key flag</t>
  </si>
  <si>
    <t>Fix dropdown filter when only one choice left</t>
  </si>
  <si>
    <t>reset for launch</t>
  </si>
  <si>
    <t>Hospitality</t>
  </si>
  <si>
    <t>TMO Port Promo</t>
  </si>
  <si>
    <t>AMB - Hospitality</t>
  </si>
  <si>
    <t>Varela, Adriana</t>
  </si>
  <si>
    <t>Translate_AVPN_Provider_Default</t>
  </si>
  <si>
    <t>CoAbbr</t>
  </si>
  <si>
    <t>Provider</t>
  </si>
  <si>
    <t>OROR</t>
  </si>
  <si>
    <t>router</t>
  </si>
  <si>
    <t>Translate_IMS2_5253</t>
  </si>
  <si>
    <t>addition</t>
  </si>
  <si>
    <t>Translate_IMS2_5683_v3</t>
  </si>
  <si>
    <t>Reset AVPN code for InR and ASAP for AVPN Default values.</t>
  </si>
  <si>
    <t>Removed ROME notice message and E-Rate question when in E-Rate Market Mode CDT.</t>
  </si>
  <si>
    <t>Solis, Francisco M</t>
  </si>
  <si>
    <t>Created Vdate range name on A1 of the log.  This automatically resets the version date on Step 1 tab, which removes the requirement to unprotect and make that one change when launching new versions.</t>
  </si>
  <si>
    <t>Reset for launch.</t>
  </si>
  <si>
    <t>Fariello, Fred</t>
  </si>
  <si>
    <t>Klaus, William</t>
  </si>
  <si>
    <t>Lawrence, Timothy</t>
  </si>
  <si>
    <t>Lazzarini, Robert</t>
  </si>
  <si>
    <t>Yarbrough, Jerry</t>
  </si>
  <si>
    <t>Updated code in 'LoadTables' subroutine of Mobility tab code. Removed distinct from select statement as it was erroring due to order by clause.  Code commented and can be found by searching 'Asha 02/03/2014'</t>
  </si>
  <si>
    <t>Dougherty, Jared</t>
  </si>
  <si>
    <t>Carter, Angelina M</t>
  </si>
  <si>
    <t>Lopez III, Edmundo</t>
  </si>
  <si>
    <t>Pomeroy, Chris</t>
  </si>
  <si>
    <t>Reset formatting of Zip code field in the NSS tab to accommodate zips with leading zeros.</t>
  </si>
  <si>
    <t>Added code to fix ABN/Onet Pricing issue. Code commented by '''Asha 02/11/2014 added to fix the ABN / Onet Voice Pricing issue for 2014 definitons</t>
  </si>
  <si>
    <t>Fales, Marinda J</t>
  </si>
  <si>
    <t>Count</t>
  </si>
  <si>
    <t>Percentage</t>
  </si>
  <si>
    <t>In Footprint</t>
  </si>
  <si>
    <t>SWCCLLI</t>
  </si>
  <si>
    <t>SWCCLLI_Lookup</t>
  </si>
  <si>
    <t>order by 1</t>
  </si>
  <si>
    <t>Accelerator_Constants</t>
  </si>
  <si>
    <t>sName</t>
  </si>
  <si>
    <t>sValue</t>
  </si>
  <si>
    <t>sService</t>
  </si>
  <si>
    <t>Accelerator_ScvpDiscounts</t>
  </si>
  <si>
    <t>sElement</t>
  </si>
  <si>
    <t>dDiscount</t>
  </si>
  <si>
    <t>IF_OOF_CL</t>
  </si>
  <si>
    <t>CenturyLink</t>
  </si>
  <si>
    <t>Other OOF</t>
  </si>
  <si>
    <t>Accelerator_RevenueTiers</t>
  </si>
  <si>
    <t>sTier</t>
  </si>
  <si>
    <t>iAnnualRevenue</t>
  </si>
  <si>
    <t>Accelerator_Baseline</t>
  </si>
  <si>
    <t>=R[0]C[1]&amp;R[0]C[2]&amp;R[0]C[3]</t>
  </si>
  <si>
    <t>iABNMARC</t>
  </si>
  <si>
    <t>Accelerator_DealSize</t>
  </si>
  <si>
    <t>iServiceCount</t>
  </si>
  <si>
    <t>order by 1 desc</t>
  </si>
  <si>
    <t>Accelerator_ServicesPackaged</t>
  </si>
  <si>
    <t>dFootprintPct</t>
  </si>
  <si>
    <t>Accelerator_Footprint</t>
  </si>
  <si>
    <t>iTerm</t>
  </si>
  <si>
    <t>Accelerator_Term</t>
  </si>
  <si>
    <t>Accelerator_CLRevenueTiers</t>
  </si>
  <si>
    <t>=R[0]C[1]&amp;R[0]C[2]</t>
  </si>
  <si>
    <t>Accelerator_CLBaseline</t>
  </si>
  <si>
    <t>dMobilityPct</t>
  </si>
  <si>
    <t>Accelerator_CLMobility</t>
  </si>
  <si>
    <t>ABN ACCELERATOR</t>
  </si>
  <si>
    <r>
      <rPr>
        <b/>
        <sz val="8.5"/>
        <color rgb="FFFF0000"/>
        <rFont val="Arial"/>
        <family val="2"/>
      </rPr>
      <t>REQUIREMENTS FOR USE:</t>
    </r>
    <r>
      <rPr>
        <sz val="10"/>
        <color rgb="FFFF0000"/>
        <rFont val="Arial"/>
        <family val="2"/>
      </rPr>
      <t xml:space="preserve"> SCVP e-mail approval, minimum (2) services with (1) service having minimum $20K/ yr revenue and minimum $30K ABN MARC.   </t>
    </r>
  </si>
  <si>
    <t>Service
(incl access with associated service)</t>
  </si>
  <si>
    <t>Current Annual Revenue if Existing</t>
  </si>
  <si>
    <t>Accelerator_Formulas</t>
  </si>
  <si>
    <t>Col1</t>
  </si>
  <si>
    <t>Col2</t>
  </si>
  <si>
    <t>Col3</t>
  </si>
  <si>
    <t>Col4</t>
  </si>
  <si>
    <t>Col5</t>
  </si>
  <si>
    <t>Col6</t>
  </si>
  <si>
    <t>Service Element
(if applicable)</t>
  </si>
  <si>
    <t>Customer Name</t>
  </si>
  <si>
    <t>Top Competitor</t>
  </si>
  <si>
    <t>Term (mo)</t>
  </si>
  <si>
    <t xml:space="preserve">Lead AE </t>
  </si>
  <si>
    <t xml:space="preserve">Tech Sales Lead </t>
  </si>
  <si>
    <t>Lead AE SCVP</t>
  </si>
  <si>
    <t>In Footprint %</t>
  </si>
  <si>
    <t>SCVP Discount</t>
  </si>
  <si>
    <t>Accelerator Discount</t>
  </si>
  <si>
    <t>Adjusted Revenue</t>
  </si>
  <si>
    <t>baseline</t>
  </si>
  <si>
    <t>deal size</t>
  </si>
  <si>
    <t># svs</t>
  </si>
  <si>
    <t>footprint (access svcs only)</t>
  </si>
  <si>
    <t xml:space="preserve">term </t>
  </si>
  <si>
    <t>CLink1- baseline</t>
  </si>
  <si>
    <t>CLink3- mobility % of network</t>
  </si>
  <si>
    <t>Total Credit %</t>
  </si>
  <si>
    <t>Any service receiving credit must be within baseline sales authority (excludes all promotions &amp; custom priced services).</t>
  </si>
  <si>
    <t>Existing contracts must be expiring within the next 12 months to receive new pricing, and may be extended to be coterminous with proposed ABN term.</t>
  </si>
  <si>
    <t>dScvpDiscount</t>
  </si>
  <si>
    <t>dAccDiscount</t>
  </si>
  <si>
    <t>Approved Service Element Discount
(if applicable)</t>
  </si>
  <si>
    <t>Approved Annual Credit for Contract</t>
  </si>
  <si>
    <t>Select an ABN MARC ==&gt;</t>
  </si>
  <si>
    <t>net proposed revenue AFTER additional discounts and approved credits ==&gt;</t>
  </si>
  <si>
    <t>Accelerator_FootprintServices</t>
  </si>
  <si>
    <t>CLink2- Network?</t>
  </si>
  <si>
    <t>Col7</t>
  </si>
  <si>
    <t>Col8</t>
  </si>
  <si>
    <t>Col9</t>
  </si>
  <si>
    <t>Col10</t>
  </si>
  <si>
    <t>Col11</t>
  </si>
  <si>
    <t>Col12</t>
  </si>
  <si>
    <t>Col13</t>
  </si>
  <si>
    <t>Col14</t>
  </si>
  <si>
    <t>Col15</t>
  </si>
  <si>
    <t>Col16</t>
  </si>
  <si>
    <t>Col17</t>
  </si>
  <si>
    <t>Col18</t>
  </si>
  <si>
    <t>Col19</t>
  </si>
  <si>
    <t>Col20</t>
  </si>
  <si>
    <t>Col21</t>
  </si>
  <si>
    <t>Credit Calculation (hidden in sales view):</t>
  </si>
  <si>
    <t xml:space="preserve">APPROVED OFFER- details and contract requirements section </t>
  </si>
  <si>
    <t>offer expiration date:</t>
  </si>
  <si>
    <t>term:</t>
  </si>
  <si>
    <t>minimum ABN MARC:</t>
  </si>
  <si>
    <t xml:space="preserve">Any service receiving an annual credit must be sold within baseline sales authority (AE to SCVP). </t>
  </si>
  <si>
    <t xml:space="preserve">Requires SCVP review and approval of revenue mix, MARC at min 70%, disounts and incremental credits prior to offering to customer. </t>
  </si>
  <si>
    <t>Must secure apprpriate sales leader approval for any net annual write-downs per cell I43 (up to $100K SCVP, $100 - 400K RVP, &gt; $400K SVP)</t>
  </si>
  <si>
    <t>Any service listed in the promo section must follow all promo requirements BAU including selling all components at promo</t>
  </si>
  <si>
    <t xml:space="preserve"> pricing (i.e., port and access, etc.). Services using promo need to contracted using promo specific contract BAU. Services listed in the promo section</t>
  </si>
  <si>
    <t xml:space="preserve"> cannot also be inluded in the "baseline sales authority" section. </t>
  </si>
  <si>
    <t xml:space="preserve">Sales is responsbile for ensuring that all revenue for services manually input into the "other" section is ABN contributory. </t>
  </si>
  <si>
    <t>CREDITS:</t>
  </si>
  <si>
    <t xml:space="preserve">Contract credits are conditional and to be applied against the specified service as noted in the contract table below. Services sold under the ABN platform </t>
  </si>
  <si>
    <t xml:space="preserve">will be included in the ABN contract table. Pseudo bundled services will have a table a service specific table in the associated contract. </t>
  </si>
  <si>
    <t xml:space="preserve">**Note, credit table should be adjusted to match the approved term above. </t>
  </si>
  <si>
    <t xml:space="preserve">No other credits are approved to be used with this offer. </t>
  </si>
  <si>
    <t>Credit to be applied to Customer’s charges:</t>
  </si>
  <si>
    <t>Measurement Periods during Pricing Schedule Term</t>
  </si>
  <si>
    <t>Minimum total billed service charges (excluding taxes, fees and surcharges) Customer must incur during a Measurement Period to be eligible for Credit</t>
  </si>
  <si>
    <t>Credit Amount</t>
  </si>
  <si>
    <t>Month of Pricing Schedule Term in which Credit is Applied</t>
  </si>
  <si>
    <t>Months 1 – 10</t>
  </si>
  <si>
    <t>Months 13 – 22</t>
  </si>
  <si>
    <t>Months 25 – 34</t>
  </si>
  <si>
    <t>Months 37 – 46</t>
  </si>
  <si>
    <t>Months 49 – 58</t>
  </si>
  <si>
    <t xml:space="preserve">ABN PSEUDO BUNDLED Svcs : </t>
  </si>
  <si>
    <t xml:space="preserve">Pseudo bundled contracts must include the ABN pseudo bundle MARC reference to ABN MARC of: </t>
  </si>
  <si>
    <t>ABN CONTRACT:</t>
  </si>
  <si>
    <t xml:space="preserve">Helpful Links &amp; Training: </t>
  </si>
  <si>
    <t>Accelerator Tool Job Aid</t>
  </si>
  <si>
    <t>Contract Submission Instructions</t>
  </si>
  <si>
    <t>Post-Sale Revenue Tracking for BICI</t>
  </si>
  <si>
    <t>Accelerator Tool</t>
  </si>
  <si>
    <t>Receives Credit?</t>
  </si>
  <si>
    <t>If Yes, select # of months for ramp ==&gt;</t>
  </si>
  <si>
    <t>Is a year 1 ramp required? ==&gt;</t>
  </si>
  <si>
    <t>Year 1 MARC ==&gt;</t>
  </si>
  <si>
    <t>Below clause will be included in the ABN "Other Requirements" section.</t>
  </si>
  <si>
    <t>**Note, any service being contracted for in the ABN will be eliminated from the list of services shown.</t>
  </si>
  <si>
    <t xml:space="preserve">Customer must contemporaneously execute additional agreement(s), with term length(s) equal to </t>
  </si>
  <si>
    <t xml:space="preserve">or exceeding the length of the Term of this Pricing Schedule for all Services shown below:  </t>
  </si>
  <si>
    <t>Sales Requested Credit for Contract</t>
  </si>
  <si>
    <t>GCS Contracts</t>
  </si>
  <si>
    <t xml:space="preserve">ROME WorkRequest ID </t>
  </si>
  <si>
    <t xml:space="preserve">ROME SupportRequest ID </t>
  </si>
  <si>
    <t xml:space="preserve">ROME Opportunity ID </t>
  </si>
  <si>
    <t>RL</t>
  </si>
  <si>
    <t>Added latest AVPN top products to importLandingPad module - this allows pause for SoC entry when InR is used</t>
  </si>
  <si>
    <t>Tsai, Andrew</t>
  </si>
  <si>
    <t>Fernandez, Avelino</t>
  </si>
  <si>
    <t>Griffin, Roberto</t>
  </si>
  <si>
    <t>Hankerson, Beverly</t>
  </si>
  <si>
    <t>Hanson, Daniel</t>
  </si>
  <si>
    <t>Jones, Pamela</t>
  </si>
  <si>
    <t>Pauley, Jeffrey</t>
  </si>
  <si>
    <t>Sims, Tammy</t>
  </si>
  <si>
    <t>Walczak, Jamie</t>
  </si>
  <si>
    <t xml:space="preserve">Roese, Mark </t>
  </si>
  <si>
    <t>Smith, Gregory M</t>
  </si>
  <si>
    <t xml:space="preserve">Scherer, Mary </t>
  </si>
  <si>
    <t>Enhance utrans to add rows if more products are needed</t>
  </si>
  <si>
    <t>Enhance utrans to bring over map source if supplied</t>
  </si>
  <si>
    <t>Shift AVPN translator lookup of mapping source one column to the right</t>
  </si>
  <si>
    <t>Burke, Matthew T</t>
  </si>
  <si>
    <t>DAlbora, James B</t>
  </si>
  <si>
    <t>Hicks, Bradley L</t>
  </si>
  <si>
    <t>Joshi, Kavita</t>
  </si>
  <si>
    <t>Mungekar, Rashmi</t>
  </si>
  <si>
    <t>Paterson, Stacey C</t>
  </si>
  <si>
    <t>Shah, Chetan</t>
  </si>
  <si>
    <t>Warsame, Abdi</t>
  </si>
  <si>
    <t>Vincent, Matt</t>
  </si>
  <si>
    <t>Patel, Samar</t>
  </si>
  <si>
    <t>Reinitz, Andy</t>
  </si>
  <si>
    <t>Wesloski, John</t>
  </si>
  <si>
    <t>Cefalu, Joey</t>
  </si>
  <si>
    <t>Whitworth, Kim</t>
  </si>
  <si>
    <t>Changed initialize Express message</t>
  </si>
  <si>
    <t>Fisher, Kristin</t>
  </si>
  <si>
    <t>Fix AVPN error on errorcheck for columns &lt;4</t>
  </si>
  <si>
    <t>Voltage Promo CDT?</t>
  </si>
  <si>
    <t>RL Type</t>
  </si>
  <si>
    <t>IMS2 Number:</t>
  </si>
  <si>
    <t>Voltage</t>
  </si>
  <si>
    <t>DPPC</t>
  </si>
  <si>
    <t>AT&amp;T Network Suite Pricing Authorization</t>
  </si>
  <si>
    <t>Promo Rates</t>
  </si>
  <si>
    <t>Added AT&amp;T Network Suites entry and RL functions to CDT.</t>
  </si>
  <si>
    <t>Updated Network Suites RL template to accommdate "G" quantities.  Also removed ANS label.</t>
  </si>
  <si>
    <t>Expand mask variables</t>
  </si>
  <si>
    <t>resized ANS button on Step 0 to show all text.  Set up version for testing/release.</t>
  </si>
  <si>
    <t>Assigned ICB PMgr</t>
  </si>
  <si>
    <t>ASE:  Renamed Step0 Submited to BAM</t>
  </si>
  <si>
    <t>ASE: Added submitted by and Status to search screen</t>
  </si>
  <si>
    <t>ASE: Disallow import of certain nss files</t>
  </si>
  <si>
    <t>Error check - clear errors color green CALC~Multi fields</t>
  </si>
  <si>
    <t>ASE: Submit to ICB button to allow versioning</t>
  </si>
  <si>
    <t>Fix Prod Summary totals</t>
  </si>
  <si>
    <t>Chaves, Paulo</t>
  </si>
  <si>
    <t>Reset table forms longer and wider.  Start new deal button returns to Oppty.dealname on Step 0.  Added "AVPNLoad" range name on defaulttable tab - won't reload AVPN defaults in the same CDT session if AVPN is reloaded.  Edited the Express validation form - capital E for Express, and changed Online to Express.</t>
  </si>
  <si>
    <t>Optimize AIS download</t>
  </si>
  <si>
    <t>Differentiate NSS locked msg if AIS uploaded</t>
  </si>
  <si>
    <t>Remove AIS sheets on import of PCGlobes</t>
  </si>
  <si>
    <t>widen dropdown/product selection box</t>
  </si>
  <si>
    <t>Add customer name to deal cancellation email</t>
  </si>
  <si>
    <t>Help/ Alerts</t>
  </si>
  <si>
    <t>MSales</t>
  </si>
  <si>
    <t>FedPriceLD</t>
  </si>
  <si>
    <t>FedTelco</t>
  </si>
  <si>
    <t>FedPriceTelco</t>
  </si>
  <si>
    <t>Application Services</t>
  </si>
  <si>
    <t>Price Contracts</t>
  </si>
  <si>
    <t>Cost</t>
  </si>
  <si>
    <t>CSMSales</t>
  </si>
  <si>
    <t>CDTEZ</t>
  </si>
  <si>
    <t>DevSales</t>
  </si>
  <si>
    <t>Promo</t>
  </si>
  <si>
    <t>port in CDT pop up code</t>
  </si>
  <si>
    <t>Network Suite</t>
  </si>
  <si>
    <t>DPPC for ANS</t>
  </si>
  <si>
    <t>Go</t>
  </si>
  <si>
    <t>Fix ANS bug for SoC price lookup returning ANS min/max in regular CDT</t>
  </si>
  <si>
    <t>Make compatible with 64-bit Office</t>
  </si>
  <si>
    <t>Make BB sites always facilities qualified</t>
  </si>
  <si>
    <t>revert to old inventory load sp for non-voltage</t>
  </si>
  <si>
    <t>Fix version pending msg on save as new deal</t>
  </si>
  <si>
    <t>Hardcoded AVPN site error checks:  dup site ID and entries beginnning with "Select"</t>
  </si>
  <si>
    <t>Include count in the search box</t>
  </si>
  <si>
    <t>Include RL flag in the search box</t>
  </si>
  <si>
    <t>Add tse/bdm to Step0 testing auto-fill</t>
  </si>
  <si>
    <t>Added check to prevent NSS tab submission without ecrm case #</t>
  </si>
  <si>
    <t>Fix InR import issue - pointing to wrong cell to get product number</t>
  </si>
  <si>
    <t>Enable popup's to have seperate links by product</t>
  </si>
  <si>
    <t>Add pop up data while loading exisitng deals</t>
  </si>
  <si>
    <t>Set for CSS/FMM launch</t>
  </si>
  <si>
    <t>Updated the expiration date for E-Rate RL template to match request from Terri Ayares.</t>
  </si>
  <si>
    <t>Added call in the ANS rate letter macro to include the "Submit to ICB" process.  This guarantees the posting of most info to IMS2 repository.</t>
  </si>
  <si>
    <t>Reset table forms longer and wider.</t>
  </si>
  <si>
    <t>Added "AVPNLoad" range name on defaulttable tab - won't reload AVPN defaults in the same CDT session if AVPN is reloaded.</t>
  </si>
  <si>
    <t>Edited the Express validation form - capital E for Express, and changed Online to Express.</t>
  </si>
  <si>
    <t>Start new deal button returns to Oppty.dealname on Step 0. Update is in the Cleaning macro.</t>
  </si>
  <si>
    <t>Updated eratemktrates module to allow the save button to show on Step 0.</t>
  </si>
  <si>
    <t>Don't show "Go/Alert" if no product specific content exists</t>
  </si>
  <si>
    <t>Reset RL formatting</t>
  </si>
  <si>
    <t>Remove call to submit to ICB from ANS RL step</t>
  </si>
  <si>
    <t>Add option to suppress Erate RL when logged in as test</t>
  </si>
  <si>
    <t>Change GETCOSTS password to standard</t>
  </si>
  <si>
    <t>Fix RL formatting issue</t>
  </si>
  <si>
    <t>Compiled the code, and reset the file date to 7/31.</t>
  </si>
  <si>
    <t>1--updated subroutine FindECRM to make namespace update from m1 to ns3, code can  be found 'Asha added to update on 7/22/2014 to update the namespace from m1 to ns3. ( 2-- ) updated GetFMOProductNum and PlugInCommitmentTermsForProdNo subroutine to adjust the columns offset cause due to new column added on step1 tab, Code can be found -- 'Asha added to update on 7/22/2014 as with new column 'B' added on step1 tab creates offset -- was 'C21' 'O21' changed to 'D21' 'P21' -- 'Asha added to update on 7/22/2014 as with new column 'B' added on step1 tab creates offset -- was 'E21' 'E22' changed to 'F21' 'F22'</t>
  </si>
  <si>
    <t>Group Discounts</t>
  </si>
  <si>
    <t>Adjusted NSS ASE calc step after facilities column transfer</t>
  </si>
  <si>
    <t>Adjust lprod enumeration on delete product</t>
  </si>
  <si>
    <t>Browne, Ken</t>
  </si>
  <si>
    <t>st944f</t>
  </si>
  <si>
    <t xml:space="preserve">Added code changes done by Asha to fix an issue in blended rate.
Added code changes in ImportLandingPad PopulateImsOutputTables to fix Currency conversion issue and a rounding issue in quantity.
Added small change in ImportLandingPad RePopulateAbridgedProducts subroutine to preserve the contents of the Array to fix AOTS # 187561553 / 187561392 </t>
  </si>
  <si>
    <t>Added the reference -- Microsoft office 14.0 access database engine object for 64 bit compatibility
Modified the code in clsErrHandler class module and added the code for 64 bit compatibility</t>
  </si>
  <si>
    <t>Reset Voltage Form to include new Phase III offers for Network Suite.</t>
  </si>
  <si>
    <t>V2</t>
  </si>
  <si>
    <t>Table_ABN_MARCs</t>
  </si>
  <si>
    <t>ABN MARC</t>
  </si>
  <si>
    <t>Added ABN MARC list on the pulldown tab, added range name on the total annual revenue on product summary tab (TotalAnnualRevenue) on AQ46 for Scenario 1, and added ABN MARC selection &amp; validation on the RLTemplateVoltage tab, V14:W14.  This works for Scenario 1 only.</t>
  </si>
  <si>
    <t>V3</t>
  </si>
  <si>
    <t>V4</t>
  </si>
  <si>
    <t>V5</t>
  </si>
  <si>
    <t>Fixed popup issue where clicking on a no alert or no detail link would cause error</t>
  </si>
  <si>
    <t>Updated getTopProductPopUps sub in the popuppopulate module (line 21).  Modified code so that delete and add on Step 1 did not create VB error.</t>
  </si>
  <si>
    <t>Updated LoadProductsIntoInputForm sub in the ImportLandingPad module (line 501).  This update allows the landing pad to import properly, taking into account the new pop up column on Step 1.</t>
  </si>
  <si>
    <t>V6</t>
  </si>
  <si>
    <t>Thanekar, Prasad</t>
  </si>
  <si>
    <t>Basillio,Afonso</t>
  </si>
  <si>
    <t>Lucas,Chris</t>
  </si>
  <si>
    <t>Merge in new INR code - affects INR Translation, Import Landing Pad, lpSubProduct, XmlField, condensedIMSLineItem, condensedXmlLineItem, adds: Xml2ImsMapping, xmlMapMessageStore</t>
  </si>
  <si>
    <t>Add code to allow users to delete INR-No match tabs and version/save</t>
  </si>
  <si>
    <t>make voltage / network suite selections definable in romDropdown definer tab (now generic table)</t>
  </si>
  <si>
    <t>Barboza, Rolando</t>
  </si>
  <si>
    <t>Coles , Clark</t>
  </si>
  <si>
    <t>Coles, Clark</t>
  </si>
  <si>
    <t>Drake, Leslie</t>
  </si>
  <si>
    <t>Flowe, Anna</t>
  </si>
  <si>
    <t>Garrett-Noe, Lacie</t>
  </si>
  <si>
    <t>Hall, Dylan</t>
  </si>
  <si>
    <t>Hayes, Dymond</t>
  </si>
  <si>
    <t>Keiley, Peter</t>
  </si>
  <si>
    <t>Krause, Paula</t>
  </si>
  <si>
    <t>Lora, Mandi</t>
  </si>
  <si>
    <t>Maples, Theresa</t>
  </si>
  <si>
    <t>McDonald, Thomas</t>
  </si>
  <si>
    <t>Powell , Lance</t>
  </si>
  <si>
    <t>Powell, Lance</t>
  </si>
  <si>
    <t>Rothman, Mary</t>
  </si>
  <si>
    <t>Thomas, Brian K</t>
  </si>
  <si>
    <t>Turner, Allen</t>
  </si>
  <si>
    <t>Weldon, Catherine</t>
  </si>
  <si>
    <t>Wittholt, Nita</t>
  </si>
  <si>
    <t>add associated product section to voltage</t>
  </si>
  <si>
    <t>fix issue with permissions due to hidden row</t>
  </si>
  <si>
    <t>allow entry on user permission cells when step 0 is locked</t>
  </si>
  <si>
    <t>Grouped Discounting</t>
  </si>
  <si>
    <t>Annual Field</t>
  </si>
  <si>
    <t>Foreign Currency on Voltage Rate Letter</t>
  </si>
  <si>
    <t>sdc</t>
  </si>
  <si>
    <t>Solutions Center Architect</t>
  </si>
  <si>
    <t>Fix dup error checking for products with one key field only</t>
  </si>
  <si>
    <t>~251~</t>
  </si>
  <si>
    <t>(NE1)Not eligible for sub product: BVoIP - International Usage(5104) has value check failed as /UsageDetails/InvoiceProductFamilyDesc does not contain: BVOIP;_x000D_
(NE1)Not eligible for sub product: BVoIP - International Usage Federal(5555) has value check failed as /UsageDetails/InvoiceProductFamilyDesc does not contain: BVOIP;_x000D_
(NE1)Not eligible for sub product: BVoIP - International Usage(5595) has value check failed as /UsageDetails/InvoiceProductFamilyDesc does not contain: BVOIP</t>
  </si>
  <si>
    <t>#5502</t>
  </si>
  <si>
    <t>5261#5308#5499#5502</t>
  </si>
  <si>
    <t>997FCC</t>
  </si>
  <si>
    <t>~251~311</t>
  </si>
  <si>
    <t>(NE2)Not eligible for sub product: BVoIP - Domestic Usage(5261) has value check failed as /UsageDetails/PBICode does not contain: 00074024,</t>
  </si>
  <si>
    <t>Fixed issue in reporting of eligible line items for inr</t>
  </si>
  <si>
    <t>INR no match - reloading deal has correct formatting for no-match, if header was translated highlight correct error cell</t>
  </si>
  <si>
    <t>for ans/voltage create deal detail on RL generate, also assign ANS as bam (still need to create deal detail)</t>
  </si>
  <si>
    <t>fixed issue where if a product was deleted an error would occur when deal loaded</t>
  </si>
  <si>
    <t>INR -changed delete no match message and made form size dynamic.  Change load product button font/color</t>
  </si>
  <si>
    <t>INR - various formatting improvements, fix issue when clearing a value on step0</t>
  </si>
  <si>
    <t>ANS - create scenario detail record when an ANS rate letter is issued</t>
  </si>
  <si>
    <t>INR no match - remove tildes from save data (causing errors in reload)</t>
  </si>
  <si>
    <t>unlock step0 deal and version fields</t>
  </si>
  <si>
    <t>64 bit changes re-worked
Removed the reference -- Microsoft office 14.0 access database engine object and added late binding code for Database Engine object and updated all Database object references (like DAO.Recordset, DAO.Database, DAO.TableDef etc.) 
Added GetDBEngine routine to fetch the Database engine reference based on the availability on the system.
Added Private Const fields for db types (like dbText, dbMemo and dbLangGeneral etc.)
Modified the code in clsErrHandler class module and added the code for 64 bit compatibility.</t>
  </si>
  <si>
    <t>Osberg, Craig W</t>
  </si>
  <si>
    <t xml:space="preserve">ReAdded the OneNet fix in the INRTranslation CondensedXMLLineItems to fix IMS2 IE TT 189337193 mapping issue in OneNet. Added specific comparison for Current MRC and Current PPM.
ReAdded code changes in ImportLandingPad PopulateImsOutputTables to fix Currency conversion issue and a rounding issue in quantity.
ReAdded small change in ImportLandingPad RePopulateAbridgedProducts subroutine to preserve the contents of the Array to fix AOTS # 187561553 / 187561392 </t>
  </si>
  <si>
    <t>Merged the ABN MARC field into the NS Rate Letter tab from Production.</t>
  </si>
  <si>
    <t>integrate further INR improvements/bug fix</t>
  </si>
  <si>
    <t>add fix for multiple wildcards with INR</t>
  </si>
  <si>
    <t>Curtis, Sean A</t>
  </si>
  <si>
    <t>updated clTranslator module to accommodate new intl access translator.</t>
  </si>
  <si>
    <t>Removed HB check box on Step 1 per Patel.</t>
  </si>
  <si>
    <t>Re-Added the changes done for AOTS # 190111839 for GMIS Product Id 5369. Changes made in CondenseXmlLineItems() to pick the Qty before calculating the Current Price.</t>
  </si>
  <si>
    <t>Added G support for ANS</t>
  </si>
  <si>
    <t>Silence error on calc field lookup when field not present -- use "" instead</t>
  </si>
  <si>
    <t>Improved INR no map message by adding top product/product that line was eligible for but no mapping found</t>
  </si>
  <si>
    <t>ALAL</t>
  </si>
  <si>
    <t>AL8805502</t>
  </si>
  <si>
    <t>CT8651479</t>
  </si>
  <si>
    <t>NY8657883</t>
  </si>
  <si>
    <t>Fixed possible issue where no map message could highlight incorrect field/getNoMatchField() routine</t>
  </si>
  <si>
    <t>Silence error on calc field lookup when field not present -- use "" instead -- refix error</t>
  </si>
  <si>
    <t>(2) Fixed possible issue where no map message could highlight incorrect field/getNoMatchField() routine</t>
  </si>
  <si>
    <t>added minor code change to subroutine PopulateImsOutputTables. Code can be found 'Asha added / 100 to fix the negative pricing defect for bvoip DE85304 for 271811 project</t>
  </si>
  <si>
    <t xml:space="preserve">Rmove references to PCG - project 261565j </t>
  </si>
  <si>
    <t>Castillo, Fred</t>
  </si>
  <si>
    <t>Chen, Andrew</t>
  </si>
  <si>
    <t>Epperson, Russell</t>
  </si>
  <si>
    <t>Hayes, Kris</t>
  </si>
  <si>
    <t>Hazard, Andrea</t>
  </si>
  <si>
    <t>McDade, Kesha</t>
  </si>
  <si>
    <t>Nathanelsz, Cliff</t>
  </si>
  <si>
    <t>Poulsen, Andrew</t>
  </si>
  <si>
    <t>Reardon, Jill</t>
  </si>
  <si>
    <t>Fix sumproduct formula on ANS RL</t>
  </si>
  <si>
    <t>change inv_lineitemLoad sp to v8 - fixes load of min/max floors into wrong section</t>
  </si>
  <si>
    <t>On Step 0 tab, removed the locking format of the bottom text entry box, and reset the fill to light green.  Several have reported this cell disallowing text entry.</t>
  </si>
  <si>
    <t>add check to no match save procedure that truncates messages &gt; 1000 and batches saving if necessary</t>
  </si>
  <si>
    <t>clear protection on comment section step 0</t>
  </si>
  <si>
    <t>disallow running addAis macro if user is sales or wsales</t>
  </si>
  <si>
    <t>allow text wrap for last line of ANS rate letter</t>
  </si>
  <si>
    <t>no</t>
  </si>
  <si>
    <t>recontituted deal notes field</t>
  </si>
  <si>
    <t>fix error check bug: error check not included if cell address same as previous error</t>
  </si>
  <si>
    <t>remove protection from Step0</t>
  </si>
  <si>
    <t>Unmerged deal comments cell</t>
  </si>
  <si>
    <t>MDMD</t>
  </si>
  <si>
    <t>WAWA</t>
  </si>
  <si>
    <t>Sales Solution Summary Cust Loc Address</t>
  </si>
  <si>
    <t>Updated NSS tab Address label to remove reference to PC Globes</t>
  </si>
  <si>
    <t>Hourihan,Michael</t>
  </si>
  <si>
    <t>Terry,Anne</t>
  </si>
  <si>
    <t>Ray, Ken</t>
  </si>
  <si>
    <t>Fix grouped discount error check comparison - explicitly set compared discounts to strings</t>
  </si>
  <si>
    <t>Traylor,William</t>
  </si>
  <si>
    <t>White,Christopher M</t>
  </si>
  <si>
    <t>DTABLE field</t>
  </si>
  <si>
    <t>Jurisdiction list to exclude inactive lineitems</t>
  </si>
  <si>
    <t>Hork,Marc</t>
  </si>
  <si>
    <t>Add ADE flag</t>
  </si>
  <si>
    <t>Hall, Curtis</t>
  </si>
  <si>
    <t>Kutchinski, Julie A</t>
  </si>
  <si>
    <t>PAVE-enabled saving of AIS notes</t>
  </si>
  <si>
    <r>
      <t xml:space="preserve">Mobility Association Offer? </t>
    </r>
    <r>
      <rPr>
        <b/>
        <i/>
        <sz val="9"/>
        <color rgb="FFFF0000"/>
        <rFont val="Arial"/>
        <family val="2"/>
      </rPr>
      <t>(Valid only for PCG)</t>
    </r>
  </si>
  <si>
    <t>Autopopulate AMB parameters on Step1</t>
  </si>
  <si>
    <t>Badali, Kenneth L</t>
  </si>
  <si>
    <t>Changed date in the log tab to 3/3</t>
  </si>
  <si>
    <t>Removed ACE Cost Book functionality (obsolete)</t>
  </si>
  <si>
    <t>Adjust iReach for CALC calculations</t>
  </si>
  <si>
    <t>Adjust PAVE overall certification message</t>
  </si>
  <si>
    <t>Allow blank Circuit ID for PAVE</t>
  </si>
  <si>
    <t>Remove IOF mileage field for PAVE from PCG transfer; move overall certification message</t>
  </si>
  <si>
    <t>Fix double certification msg for PAVE</t>
  </si>
  <si>
    <t>Fix OOR transfer for PAVE from PcG</t>
  </si>
  <si>
    <t>Adjust clear NSS tab to delete IOF column for PAVE</t>
  </si>
  <si>
    <t>Add condense of location section</t>
  </si>
  <si>
    <t>Reverse clearing of NSS tab to delete IOF column for PAVE (not needed because of Circuit ID switch)</t>
  </si>
  <si>
    <t>Switch order of Circuit ID vs Loop Mileage for PAVE copy/paste</t>
  </si>
  <si>
    <t>Updated ROME opty url as it changed from 'ecrm-ws.cif.att.com:8002/eCRM/opty' to 'ws-rome.it.att.com:8100/DSL95Web/OpportunityService' and also updated the namespace on SOAP tab column 'B' row1 to row 27 --from 'm1:' to 'ns3:' as new url sends that namespace</t>
  </si>
  <si>
    <t>Confirmed that the TXHB box is gone from Step 1 tab, and that the GetCosts tab has been removed from this version (that tab had several ActiveX buttons causing problems).</t>
  </si>
  <si>
    <t>ROME Headers: Does not have to be contiguous. Format "(ecrmID|address|zip|data~Header text".  Match attempted with fields identified as address and zip</t>
  </si>
  <si>
    <t>Solutions Summary Headers: Does not have to be contiguous.  Format: Sheet Name~Header Text</t>
  </si>
  <si>
    <t>Reset labels on the NSS_OEMAC tab.  Changed eCRM to ROME, and PcG to Sales Solution.</t>
  </si>
  <si>
    <t>Reset file date and compiled.</t>
  </si>
  <si>
    <t>Allow submit to ICB for PAVE when sites Certified or Qualified</t>
  </si>
  <si>
    <t>Mora, Andrew F</t>
  </si>
  <si>
    <t>Change PAVE overall qualification msg - same for Certified and Qualified</t>
  </si>
  <si>
    <t>Submit to NSS for design only flag - revise for PAVE, all certified, submit to design only</t>
  </si>
  <si>
    <t>Soshte, Pooja</t>
  </si>
  <si>
    <t>hasAIS?</t>
  </si>
  <si>
    <t>hasSSS?</t>
  </si>
  <si>
    <t>Update overall certification message for PAVE</t>
  </si>
  <si>
    <t>Existing Circuit ID message</t>
  </si>
  <si>
    <t>Adjusted flag for design only</t>
  </si>
  <si>
    <t>Adjusted PAVE flag in programming to work off of 201504</t>
  </si>
  <si>
    <t>Caniano, Steve</t>
  </si>
  <si>
    <t>Coleman, Casey</t>
  </si>
  <si>
    <t>Diaz-Saavedra, Joseph</t>
  </si>
  <si>
    <t>Fiaschetti, Craig</t>
  </si>
  <si>
    <t>Gonzalez, Alf</t>
  </si>
  <si>
    <t>Hannel, Stephen</t>
  </si>
  <si>
    <t>Haydon, Blake</t>
  </si>
  <si>
    <t>Heath, Michael (AP)</t>
  </si>
  <si>
    <t>Jacobs, Everett</t>
  </si>
  <si>
    <t>Mundschau, Warren</t>
  </si>
  <si>
    <t>Olson, Gregory</t>
  </si>
  <si>
    <t>Olson, Knute A</t>
  </si>
  <si>
    <t>Pickering, Randall</t>
  </si>
  <si>
    <t>Reardon, Allison</t>
  </si>
  <si>
    <t>Scarangella, Hank</t>
  </si>
  <si>
    <t>Stanfield, Conn</t>
  </si>
  <si>
    <t>Stein, Sara</t>
  </si>
  <si>
    <t>Tegen, Carl</t>
  </si>
  <si>
    <t>CDT 2.0</t>
  </si>
  <si>
    <t>Miscellaneous Calculations</t>
  </si>
  <si>
    <t>Conversions</t>
  </si>
  <si>
    <t>Miles</t>
  </si>
  <si>
    <t>Add Misc Calcs tab</t>
  </si>
  <si>
    <t>Updated formulas in Misc Calcs tab to require a numeric entry to perform the calc.</t>
  </si>
  <si>
    <t>Updated Misc Calcs tab to rround to 2 decimals</t>
  </si>
  <si>
    <t>Updated AIS required formula - turn it off for PAVE</t>
  </si>
  <si>
    <t>Changed the counter fields in the pulldown tab.  The SCVP name list was missing half of the wholesale names because of the counter limit that was set to 500.  The all counters now look at 1000 rows, which has eliminated the problem.</t>
  </si>
  <si>
    <t>Adjusted Ais required formulas for PAVE</t>
  </si>
  <si>
    <t>Error catcher for inventory report</t>
  </si>
  <si>
    <t>Bundled Offer (PCG / Acquisition)</t>
  </si>
  <si>
    <t>Bundled Offer (SCG / Global)</t>
  </si>
  <si>
    <t>Re-enable AVPN auto-forward cludge</t>
  </si>
  <si>
    <t>ns3:AbsAccount/ns3:State</t>
  </si>
  <si>
    <t>ns3:ListOfOpportunityPosition/ns3:OpportunityPosition/ns3:SalesRepFullName</t>
  </si>
  <si>
    <t>ns3:AbsAccount/ns3:Name</t>
  </si>
  <si>
    <t>ns3:ResponseParams/ns3:Name</t>
  </si>
  <si>
    <t>ns3:ListOfOpportunityCompetitor/ns3:OpportunityCompetitor/ns3:Competitor</t>
  </si>
  <si>
    <t>ns3:ListOfOpportunityPosition/ns3:OpportunityPosition/ns3:SCVPName</t>
  </si>
  <si>
    <t>ns3:ListOfOpportunityPosition/ns3:OpportunityPosition/ns3:FirstName</t>
  </si>
  <si>
    <t>ns3:ListOfOpportunityPosition/ns3:OpportunityPosition/ns3:LastName</t>
  </si>
  <si>
    <t>ns3:ListOfOpportunityPosition/ns3:OpportunityPosition/ns3:SalesRepOrganization</t>
  </si>
  <si>
    <t>ns3:ListOfOpportunityPosition/ns3:OpportunityPosition/ns3:SalesRepDivision</t>
  </si>
  <si>
    <t>ns3:AbsAccount/ns3:Organization</t>
  </si>
  <si>
    <t>ns3:ResponseParams/ns3:PrimaryRevenueCloseDate</t>
  </si>
  <si>
    <t>ns3:ResponseParams/ns3:ABSOpportunity</t>
  </si>
  <si>
    <t>ns3:ListOfOpportunityPosition/ns3:OpportunityPosition/ns3:IsPrimaryMVG</t>
  </si>
  <si>
    <t>ns3:ListOfOpportunityCompetitor/ns3:OpportunityCompetitor/ns3:IsPrimaryMVG</t>
  </si>
  <si>
    <t>Reset the SOAP interface tab values to use new ROME server properly.</t>
  </si>
  <si>
    <t>Parazo, Elsie A</t>
  </si>
  <si>
    <t>Woolums, Diane O</t>
  </si>
  <si>
    <t>Reset dates, and launched.</t>
  </si>
  <si>
    <t>KiloFeet</t>
  </si>
  <si>
    <t>Changed feet to kilofeet on misc calcs tab</t>
  </si>
  <si>
    <t>Create error check for ASE loop mileage when "Enter Manually"</t>
  </si>
  <si>
    <t>Frontera, Donald</t>
  </si>
  <si>
    <t>Pricer-D Solution ID</t>
  </si>
  <si>
    <t>Add PricerD Solution ID to Step0 pulldowns</t>
  </si>
  <si>
    <t>Barreto, Barney L</t>
  </si>
  <si>
    <t>Cinelli, Peter</t>
  </si>
  <si>
    <t>Off-Load Sales</t>
  </si>
  <si>
    <t>Tsang, Serena W</t>
  </si>
  <si>
    <t>Swope, J. Todd</t>
  </si>
  <si>
    <t>Increased search screen column widths for Customer and Desc</t>
  </si>
  <si>
    <t>Agsten, Ronald</t>
  </si>
  <si>
    <t>Arquilevich, Eli</t>
  </si>
  <si>
    <t>Averill, Kyle</t>
  </si>
  <si>
    <t>Bolinger, Patrick</t>
  </si>
  <si>
    <t>Bordeaux, Thomas</t>
  </si>
  <si>
    <t>Borg, Alison</t>
  </si>
  <si>
    <t>Brunson, Paula</t>
  </si>
  <si>
    <t>Carpenter, Jonathan</t>
  </si>
  <si>
    <t>Casey, Kevin</t>
  </si>
  <si>
    <t>Cassaigne, Damien</t>
  </si>
  <si>
    <t>Chamberlain, Sandra</t>
  </si>
  <si>
    <t>Chandratere, Saurabh</t>
  </si>
  <si>
    <t>Chapes, Rick</t>
  </si>
  <si>
    <t>Chen, Jin-Shi</t>
  </si>
  <si>
    <t>Chen, Yiqun</t>
  </si>
  <si>
    <t>Chirigos, Michael</t>
  </si>
  <si>
    <t>Choo, Hock Lye</t>
  </si>
  <si>
    <t>Clark, R.</t>
  </si>
  <si>
    <t>Connelly, Patrick</t>
  </si>
  <si>
    <t xml:space="preserve">Correa, Alexandre </t>
  </si>
  <si>
    <t>Crim, W.</t>
  </si>
  <si>
    <t>Cross, David (SCG)</t>
  </si>
  <si>
    <t>Dorai, Gregory</t>
  </si>
  <si>
    <t>Earner, John</t>
  </si>
  <si>
    <t>Eichelberger, Gregory</t>
  </si>
  <si>
    <t>Esposito, Jeffrey</t>
  </si>
  <si>
    <t>Fells, Timothy</t>
  </si>
  <si>
    <t>Friedman, Joseph</t>
  </si>
  <si>
    <t>Gerami, Gerald (SCG)</t>
  </si>
  <si>
    <t>Goldstein, Jeffrey</t>
  </si>
  <si>
    <t>Griffin, John (SCG)</t>
  </si>
  <si>
    <t>Gross, Robert</t>
  </si>
  <si>
    <t>Handal, Robert</t>
  </si>
  <si>
    <t>Handly, Adena</t>
  </si>
  <si>
    <t>Harrison, Debra</t>
  </si>
  <si>
    <t>Hartley, Robert</t>
  </si>
  <si>
    <t>Harvey, Todd</t>
  </si>
  <si>
    <t>Hebert, Andrew</t>
  </si>
  <si>
    <t>Hollmer, Christopher</t>
  </si>
  <si>
    <t>Incarnato, Keron</t>
  </si>
  <si>
    <t>Joudi, Maha</t>
  </si>
  <si>
    <t>Kim, Seock Chan</t>
  </si>
  <si>
    <t>Knutson, Gregory</t>
  </si>
  <si>
    <t>Lopez, Eugenio</t>
  </si>
  <si>
    <t>Macdonald, Timothy</t>
  </si>
  <si>
    <t>Maggi, Jeffrey</t>
  </si>
  <si>
    <t>Marcucci, Robert</t>
  </si>
  <si>
    <t>Marrufo, Cesar</t>
  </si>
  <si>
    <t>Matherne, Stephen</t>
  </si>
  <si>
    <t>Mcgirr, Owen</t>
  </si>
  <si>
    <t>Medeiros, Alvaro</t>
  </si>
  <si>
    <t>Nathanielsz, Cliff</t>
  </si>
  <si>
    <t>Ng, Ying Choy</t>
  </si>
  <si>
    <t>Nymberg, Judith</t>
  </si>
  <si>
    <t>Parente, Donald</t>
  </si>
  <si>
    <t>Parker, Stephanie</t>
  </si>
  <si>
    <t>Poulton, Graeme</t>
  </si>
  <si>
    <t>Rodgers, Johnie</t>
  </si>
  <si>
    <t>Rogers, Linda (Scg)</t>
  </si>
  <si>
    <t>Scarangella, Henry</t>
  </si>
  <si>
    <t>Sisson, Warren</t>
  </si>
  <si>
    <t>Smith, Antonio</t>
  </si>
  <si>
    <t>Speed, Andrew</t>
  </si>
  <si>
    <t>Strahl-Hargens, Stephanie</t>
  </si>
  <si>
    <t>Swift, Thomas</t>
  </si>
  <si>
    <t>Taylor, Lawrence</t>
  </si>
  <si>
    <t>Terry, Alan</t>
  </si>
  <si>
    <t>Thetford, Thomas</t>
  </si>
  <si>
    <t>Traylor, William</t>
  </si>
  <si>
    <t>Vergine, Stephen</t>
  </si>
  <si>
    <t>Walsh, Timothy</t>
  </si>
  <si>
    <t>Wiebenga, John</t>
  </si>
  <si>
    <t>Number of Copper Repeaters</t>
  </si>
  <si>
    <t>Sinner, Scott</t>
  </si>
  <si>
    <t>WPriceTelco - Whlsle</t>
  </si>
  <si>
    <t>Granite</t>
  </si>
  <si>
    <t>Copper?</t>
  </si>
  <si>
    <t>iCopperRepeaters</t>
  </si>
  <si>
    <t>EoCu import of SSSF</t>
  </si>
  <si>
    <t>Show Button "Disc off existing"</t>
  </si>
  <si>
    <t>Reset the file date field to the formula result on Step 1 to look at the vdate field on the log tab.  This returns the file date reset to current production method.</t>
  </si>
  <si>
    <t>Added word "next" to filing period text in the E-Rate Market RL tab per Ayares.</t>
  </si>
  <si>
    <t>Created "Credit" range name to include column C on Step 1.  Created the HideCredit function in wsStep1 on the clear contents step to include a range name to account for large lists of products on Step 1 tab.</t>
  </si>
  <si>
    <t>Later of 90 days or next filing window closes</t>
  </si>
  <si>
    <t>Colaneri, Michael</t>
  </si>
  <si>
    <t>Added three user forms (ufCDTLoad, ufCDTManage, ufCDTFinalize) to be used on Step 1 tab to simplify buttons and communicate better to Sales on the intent of each step.  Have not posted these to Step 1 yet.</t>
  </si>
  <si>
    <t>rs3695</t>
  </si>
  <si>
    <t>Mobility_Writedown Sheet</t>
  </si>
  <si>
    <t>Removed merged cells, set view to 85%, made areas contiguous, added in the following range names</t>
  </si>
  <si>
    <t>save.mobility_WritedownDiscount, H7</t>
  </si>
  <si>
    <t>save.mobility_WritedownVoice, G11:K20</t>
  </si>
  <si>
    <t>save.mobility_WritedownData, G25:K34</t>
  </si>
  <si>
    <t>Modified code Sub splitScreen(intProductNum As Integer)</t>
  </si>
  <si>
    <t>set Activewindow.zoom = 85 from 75</t>
  </si>
  <si>
    <t>Sub insertRowsInRange(ByVal rngTarget As Range)</t>
  </si>
  <si>
    <t>If ActiveSheet.name = "Mobility_Prem_Calc" Then</t>
  </si>
  <si>
    <t>rngTarget.EntireRow.Insert</t>
  </si>
  <si>
    <t>rngTarget.Cells(1, 1).EntireRow.Copy Range(Cells(rngTarget.row, 1), Cells(rngTarget.row - rngTarget.rows.count, 1))</t>
  </si>
  <si>
    <t>Else</t>
  </si>
  <si>
    <t>End If</t>
  </si>
  <si>
    <t>'rs3695 modified 2015_07_21 as follows</t>
  </si>
  <si>
    <t>rngTarget.Cells(1, 1).EntireRow.Copy</t>
  </si>
  <si>
    <t>Application.CutCopyMode = False</t>
  </si>
  <si>
    <t>End Sub</t>
  </si>
  <si>
    <t>ZZ Old</t>
  </si>
  <si>
    <t>Adjust SSSF copy/compare step to exclude fiber loop mileage</t>
  </si>
  <si>
    <t>Adjust ASE EoCu certification message</t>
  </si>
  <si>
    <t>Adjust ASE/PAVE triggers to include EoCu (201508)</t>
  </si>
  <si>
    <t>Adjust PAVE overall certification message - BBUNI qualitied to certified</t>
  </si>
  <si>
    <t>Testing, ASE</t>
  </si>
  <si>
    <t>Dim intRows As Integer</t>
  </si>
  <si>
    <t>Dim intRow As Integer</t>
  </si>
  <si>
    <t>With rngTarget</t>
  </si>
  <si>
    <t>intRows = .rows.count - 1</t>
  </si>
  <si>
    <t>For intRow = intRows To 2 Step -1</t>
  </si>
  <si>
    <t xml:space="preserve">    If .Cells(intRow, 1).value = vbNullString Then</t>
  </si>
  <si>
    <t xml:space="preserve">        If rngConstraint Is Nothing Then</t>
  </si>
  <si>
    <t xml:space="preserve">          'Parent.rows(.Cells(intRow, 1).row).delete</t>
  </si>
  <si>
    <t xml:space="preserve">            'rs3695 modified on 2015_07_23</t>
  </si>
  <si>
    <t xml:space="preserve">            If ActiveSheet.name = "Mobility_Prem_Calc" Then</t>
  </si>
  <si>
    <t xml:space="preserve">                rngTarget.Cells(intRow, 1).EntireRow.delete</t>
  </si>
  <si>
    <t xml:space="preserve">            Else</t>
  </si>
  <si>
    <t xml:space="preserve">                .rows(.Cells(intRow, 1).row).delete</t>
  </si>
  <si>
    <t xml:space="preserve">            End If</t>
  </si>
  <si>
    <t xml:space="preserve">             </t>
  </si>
  <si>
    <t xml:space="preserve">        ElseIf .Cells(intRow, 1).offset(0, rngConstraint.Column - .Cells(intRow, 1).Column).Formula = vbNullString Then</t>
  </si>
  <si>
    <t>'            Parent.rows(.Cells(intRow, 1).row).delete</t>
  </si>
  <si>
    <t xml:space="preserve">                If rngTarget.Cells(intRow, 1).Formula = vbNullString And rngConstraint.Cells(intRow, 1).Formula = vbNullString Then</t>
  </si>
  <si>
    <t xml:space="preserve">                    rngTarget.Cells(intRow, 1).EntireRow.delete</t>
  </si>
  <si>
    <t xml:space="preserve">                Else</t>
  </si>
  <si>
    <t xml:space="preserve">                End If</t>
  </si>
  <si>
    <t xml:space="preserve">            </t>
  </si>
  <si>
    <t xml:space="preserve">        End If</t>
  </si>
  <si>
    <t xml:space="preserve">    End If</t>
  </si>
  <si>
    <t>Next intRow</t>
  </si>
  <si>
    <t>End With</t>
  </si>
  <si>
    <t>modified code per note below :Sub compressRowsInRange(rngTarget As Range, Optional rngConstraint As Range)</t>
  </si>
  <si>
    <t>Reset for launch</t>
  </si>
  <si>
    <t>Kahn, Mohammad I</t>
  </si>
  <si>
    <t>PriceApplicationServices</t>
  </si>
  <si>
    <t>PriceContracts</t>
  </si>
  <si>
    <t>SNAP</t>
  </si>
  <si>
    <t>updated code in subroutine 'plugInInitialDiscountInfoForProdNo'-- code commented and can be found by string 'Asha 8/11/15 project 274953a</t>
  </si>
  <si>
    <t>Fix hiding of "Move Address" button for single little products Products</t>
  </si>
  <si>
    <t>Vaughan, Cara E</t>
  </si>
  <si>
    <t>Engaged four new user forms on Step 1 to manage realestate better:  ufCDTLoad, ufCDTManage, ufCDTFinalize, and ufCDTOnline.</t>
  </si>
  <si>
    <t>Label row - increase height</t>
  </si>
  <si>
    <t>Fix ASE saving for Product 10</t>
  </si>
  <si>
    <t>Fix formula for detecting EoCu variant of ASE.  References little product versions "2015-08" and "2015-09"</t>
  </si>
  <si>
    <t>Adjust product delete to adjust NSS tab product number</t>
  </si>
  <si>
    <t>sStatus</t>
  </si>
  <si>
    <t>active</t>
  </si>
  <si>
    <t>Allow 9 OR 15 digit form470 number</t>
  </si>
  <si>
    <t>Extend PAVE flag to 201509 and 201510 top product versions (in addition to 201504 and 201508)</t>
  </si>
  <si>
    <t>finish code for new dev,active,retired kvl list</t>
  </si>
  <si>
    <t>ABN LD Voice Features</t>
  </si>
  <si>
    <t>ANIRA Domestic 20120924</t>
  </si>
  <si>
    <t>ATTConnect &amp; Global Conference Service</t>
  </si>
  <si>
    <t>AVPN Domestic Hand Entry CSM Multi</t>
  </si>
  <si>
    <t>AVPN International CSM Multi</t>
  </si>
  <si>
    <t>AVTS Domestic 20120924</t>
  </si>
  <si>
    <t xml:space="preserve">Business In A Box </t>
  </si>
  <si>
    <t>BVoIP Services 201411</t>
  </si>
  <si>
    <t>Domestic Private Line no CLLI</t>
  </si>
  <si>
    <t>Domestic Private Line w CLLI</t>
  </si>
  <si>
    <t>Enterprise Hosting - CoLo (2014)</t>
  </si>
  <si>
    <t>Enterprise Hosting CoLo – MOW (2015)</t>
  </si>
  <si>
    <t>International Access 201410</t>
  </si>
  <si>
    <t>LD Access DS0/DS1</t>
  </si>
  <si>
    <t>LD Access MIS DS1 Promo</t>
  </si>
  <si>
    <t>LD Dedicated Access DS3 OCX</t>
  </si>
  <si>
    <t>LD Dedicated On Net Access DS0 OCX</t>
  </si>
  <si>
    <t>LD MIS InR Schedule 2 201307</t>
  </si>
  <si>
    <t>LD MIS InR Schedule 3</t>
  </si>
  <si>
    <t>LD Voice ABN CSM International 201210</t>
  </si>
  <si>
    <t>LD Voice ABN CSM Loyalty Interstate 201210</t>
  </si>
  <si>
    <t>LD Voice ABN CSM Loyalty Intrastate InterLATA 201210</t>
  </si>
  <si>
    <t>LD Voice ABN CSM Loyalty Intrastate IntraLATA 201210</t>
  </si>
  <si>
    <t xml:space="preserve">LD Voice OneNet / SDN Features (Non-INR) </t>
  </si>
  <si>
    <t>LD Voice OneNet CSM Interstate 201303</t>
  </si>
  <si>
    <t>LD Voice OneNet CSM Intl Inbound 201303</t>
  </si>
  <si>
    <t>LD Voice OneNet CSM Intl Outbound 201303</t>
  </si>
  <si>
    <t>LD Voice OneNet CSM IntraState/InterLATA 201303</t>
  </si>
  <si>
    <t>LD Voice OneNet CSM IntraState/IntraLATA 201303</t>
  </si>
  <si>
    <t>LNS (New Case Builds) Access to WAN Services</t>
  </si>
  <si>
    <t>LNS (New Case Builds) Local Private Line Services</t>
  </si>
  <si>
    <t>MIS (Site Specific BVoIP Promo - ICB Online Only)</t>
  </si>
  <si>
    <t>Netbond</t>
  </si>
  <si>
    <t>OPTEWAN (Domestic) Retail</t>
  </si>
  <si>
    <t>Packaging Product (Contributory)</t>
  </si>
  <si>
    <t>Prime (Standalone) Local Services</t>
  </si>
  <si>
    <t>Secure Network Gateway</t>
  </si>
  <si>
    <t>Synaptic Hosting (2013)</t>
  </si>
  <si>
    <t>Synaptic Hosting International (2014)</t>
  </si>
  <si>
    <t>Mobility CRU Integrated</t>
  </si>
  <si>
    <t>Mobility CRU Stand Alone Data</t>
  </si>
  <si>
    <t>Mobility CRU Voice Only</t>
  </si>
  <si>
    <t>Mobility CRU-Mobile Share Value</t>
  </si>
  <si>
    <t>Mobility CRU-Voice, Messaging and Data Bundle</t>
  </si>
  <si>
    <t>Mobility IRU Voice Only</t>
  </si>
  <si>
    <t>Mobility IRU-Mobile Share Value</t>
  </si>
  <si>
    <t>ATT Switched Ethernet Service - 201508</t>
  </si>
  <si>
    <t>Business Local Calling</t>
  </si>
  <si>
    <t>CSME</t>
  </si>
  <si>
    <t>Ethernet Private Line Service - State of Ohio only</t>
  </si>
  <si>
    <t>GigaMAN</t>
  </si>
  <si>
    <t>Metro E 08012011 Retail</t>
  </si>
  <si>
    <t>Metro E Retail - EVPL2 Offer</t>
  </si>
  <si>
    <t>Online - DecaMAN</t>
  </si>
  <si>
    <t>Online - DS1</t>
  </si>
  <si>
    <t>Online - FiberMAN</t>
  </si>
  <si>
    <t>Online - OCN</t>
  </si>
  <si>
    <t>Online - PRI</t>
  </si>
  <si>
    <t>Online - SmartTrunk</t>
  </si>
  <si>
    <t>Online - WaveMAN</t>
  </si>
  <si>
    <t>Opt-E-Man</t>
  </si>
  <si>
    <t>Opt-E-Man - EVPL Offer</t>
  </si>
  <si>
    <t>SONET/DSRS</t>
  </si>
  <si>
    <t>Wavelength PTP - 9 State</t>
  </si>
  <si>
    <t>Ethernet Local Access - 201411 Wholesale (includes CH &amp; BLEC)</t>
  </si>
  <si>
    <t>LD MIS Schedule 2 Wholesale</t>
  </si>
  <si>
    <t>OPTEWAN (Domestic)</t>
  </si>
  <si>
    <t>ATT Switched Ethernet Service (Affiliate ONLY) - 201508</t>
  </si>
  <si>
    <t>ATT Switched Ethernet Service (Growth Contracts ONLY) - 201508</t>
  </si>
  <si>
    <t>ATT Switched Ethernet Service (Wholesale) - 201508</t>
  </si>
  <si>
    <t>fix bug in new dev/active/retired to show retired correctly</t>
  </si>
  <si>
    <t>Updated buttons for FMR Step 1 tab.</t>
  </si>
  <si>
    <t>enable calc check for ASE</t>
  </si>
  <si>
    <t>Round NSS tab loop mileage</t>
  </si>
  <si>
    <t>add segment vl List with KVL like functionalilty</t>
  </si>
  <si>
    <t>dev</t>
  </si>
  <si>
    <t>Michel, Evens</t>
  </si>
  <si>
    <t>eRate LP Fields</t>
  </si>
  <si>
    <t>eRate flag from LP</t>
  </si>
  <si>
    <t>FMR flag from LP</t>
  </si>
  <si>
    <t>Updated InR landing Pad loading VB code to allow Ethernet access processing.</t>
  </si>
  <si>
    <t>Created oppty.LPeRate field and oppty.LPFMR field in the pulldowns tab.  This supports the eRate process from ASAP project.</t>
  </si>
  <si>
    <t>Added code for e-rate/FMR project 284478-- Code can be found as commented by -- 'Asha erate/fmr project 284478</t>
  </si>
  <si>
    <t>Added a line of code in the wsStep1 module in the hide credit function.  The selection of Step 1 in that process causes an error when using the CDT for Mobility deals.</t>
  </si>
  <si>
    <t>Updated bDebugMsg in the Online module, line 452, to give a better general error message than the current version.</t>
  </si>
  <si>
    <t>Added bDebugMsg message for GEM deals in the Online module, line 119, to respond specifically - no credits for GEM.</t>
  </si>
  <si>
    <t>Unlocked the scenarios grid on Step 1 so that the CDT error check code could run (matches current production CDT).</t>
  </si>
  <si>
    <t>Export AIS function</t>
  </si>
  <si>
    <t>Ahalt, John D</t>
  </si>
  <si>
    <t>Lyons, Robert</t>
  </si>
  <si>
    <t>Talierco, John</t>
  </si>
  <si>
    <t>Transferred the import other for Intl access to Step 1 tab.</t>
  </si>
  <si>
    <t>Added text to the Finalize CDT process as requested by FMMs</t>
  </si>
  <si>
    <t>Mastropolo, Michael J</t>
  </si>
  <si>
    <t>Managed Security Services</t>
  </si>
  <si>
    <t>Added lines for new InR code, dropdown module, checkcalcs sub for Ethernet access to process only with Ethernet product numbers.</t>
  </si>
  <si>
    <t>Reset the competitor field in Step 0 as a validation list from the pull downs tab.</t>
  </si>
  <si>
    <t>Extend AVPN exception for req prices error check to products with only MRC or only NRC or only ARC</t>
  </si>
  <si>
    <t>Sutula, David G</t>
  </si>
  <si>
    <t>Reset comment box text on competitor field per Ayares - Step 0 tab.</t>
  </si>
  <si>
    <t>Hutnik, William</t>
  </si>
  <si>
    <t>Ofsonka, Marianne C</t>
  </si>
  <si>
    <t>Swartz, Susan I</t>
  </si>
  <si>
    <t>Chepenik, Randy</t>
  </si>
  <si>
    <t>Added lines to support new AVPN definition for InR project.</t>
  </si>
  <si>
    <t>Add CALC reference to product-specific rangenames</t>
  </si>
  <si>
    <t>Reset the interim InR steps programmed to 5692 to 6061 AVPN Locations little product.  This techniclly comments out a number of steps that were blocking UAT testing.</t>
  </si>
  <si>
    <t>Added ais1 tab to AIS export button</t>
  </si>
  <si>
    <t>Set HB to false on save new deal number</t>
  </si>
  <si>
    <t>Goodell, Kathryn</t>
  </si>
  <si>
    <t>Added code to fix  for 274953a ORT   IE TT# 000000210308990 HCV NS03 ICB Pricing IMS2. Code can be found by 'UC fix for 274953a 20151212 "Growth Qty - G"; pt883p Merged</t>
  </si>
  <si>
    <t>NYNY</t>
  </si>
  <si>
    <t>Added If statement code that was missed during CDT code merge on 1/5/15 for NSO3-- code can be found by -- 'UC fix for 274953a 201614 as642a "Growth Qty</t>
  </si>
  <si>
    <t>Hide_Credit</t>
  </si>
  <si>
    <t>Credits are not available for GEM Opportunities.</t>
  </si>
  <si>
    <t>DO  NOT USE THIS SECTION OR INPUT DATA FOR MOBILITY DEALS.</t>
  </si>
  <si>
    <t>Added message on Step 1 tab, cell D39.  This messages Mobility users that credits are not to be used.</t>
  </si>
  <si>
    <t>Mobility_Deal</t>
  </si>
  <si>
    <t>GEM_Deal</t>
  </si>
  <si>
    <t>Sys_Request</t>
  </si>
  <si>
    <t>Sys_Case</t>
  </si>
  <si>
    <t>Mobility Agreement ID #</t>
  </si>
  <si>
    <t>Mobility Agreement Case #</t>
  </si>
  <si>
    <t>FRN (470) Request #</t>
  </si>
  <si>
    <t>FRN (470) Case #</t>
  </si>
  <si>
    <t>Ganapathy, Chockalingam</t>
  </si>
  <si>
    <t>Jerrin, James</t>
  </si>
  <si>
    <t>Naresh, Chintala</t>
  </si>
  <si>
    <t>Shwetha, Singh</t>
  </si>
  <si>
    <t>Reset hidecredit public function (wsStep1) to run on VB basis instead of Excel formulas.  This removes the impacts of tab refresh required on the Excel formula side.</t>
  </si>
  <si>
    <t>Added code to lock the HCV/UC product tab columns in 'plugInInitialDiscountInfoForProdNo' routine -- 'Asha Added 1/27/16 locking entrie HCV/UC column on product tab  'if statement to lock the HCV/UC columns for FMO as they were not locked</t>
  </si>
  <si>
    <t>moved to ims2_cdt_w_InventoryProducts2 with old Product Inventory ID</t>
  </si>
  <si>
    <t>ADE enhancement for tracking circuit design:</t>
  </si>
  <si>
    <t>AIS notes tab save range expanded</t>
  </si>
  <si>
    <t>moved to ims2_cdt_w_InventoryAisCaseAndData2, add circuit, asr, and checksum fields to save</t>
  </si>
  <si>
    <t>GBS</t>
  </si>
  <si>
    <t>MAWSCA III</t>
  </si>
  <si>
    <t>Added date filter to Inventory search</t>
  </si>
  <si>
    <t>Added error-catch for non-numeric requested rates and the min/max check</t>
  </si>
  <si>
    <t>Made express check button larger</t>
  </si>
  <si>
    <t>Added 90 day interval to date filter</t>
  </si>
  <si>
    <t>Timm, Gregory</t>
  </si>
  <si>
    <t>Make OOR Indicator Yes when "O" on SSSF</t>
  </si>
  <si>
    <t>Make OOR Indicator Yes when "O" on SSSF for secondary OOR field</t>
  </si>
  <si>
    <t>Brown, Earl</t>
  </si>
  <si>
    <t>More, Neha</t>
  </si>
  <si>
    <t>Zick, Cathy L</t>
  </si>
  <si>
    <t>AIS case# read from ais2 instead of ais1 during import of new AIS</t>
  </si>
  <si>
    <t>Add placeholder text to ais1 tab</t>
  </si>
  <si>
    <t>Shevitz, Vicki</t>
  </si>
  <si>
    <t>Last Date</t>
  </si>
  <si>
    <t>Merged credit table hide &amp; text treatment for GEM and Mobility deals from Production version of CDT.</t>
  </si>
  <si>
    <t>Asha 2/12/16 Commented the if statement -- as we got the master CDT late</t>
  </si>
  <si>
    <t>retired</t>
  </si>
  <si>
    <t>cdt_r_InventorySearchDeals to v6 for ROME search off of step0 fields</t>
  </si>
  <si>
    <t>NationalBusiness</t>
  </si>
  <si>
    <t>Reset count of history files to 5 from 100 in class module clsFMO.</t>
  </si>
  <si>
    <t>ACCBusiness</t>
  </si>
  <si>
    <t>ACC-Business</t>
  </si>
  <si>
    <t>SBS-Central</t>
  </si>
  <si>
    <t>SBS-West</t>
  </si>
  <si>
    <t>Butler-Buchanan, Sandra</t>
  </si>
  <si>
    <t>Costello, Albert</t>
  </si>
  <si>
    <t>Crim, Mark</t>
  </si>
  <si>
    <t>Muniz Rutherford, Angela</t>
  </si>
  <si>
    <t>testSegment</t>
  </si>
  <si>
    <t>SBAC</t>
  </si>
  <si>
    <t>Urban, Charlene</t>
  </si>
  <si>
    <t>SCVP status check to include Sales Channel</t>
  </si>
  <si>
    <t>Add search date filter option of 2 years and default to it.  Replace 10 years with "All years"</t>
  </si>
  <si>
    <t>Beattie, Matt</t>
  </si>
  <si>
    <t>Ho, Ben</t>
  </si>
  <si>
    <t>MacDonald, Timothy</t>
  </si>
  <si>
    <t>McDonald, Terrence</t>
  </si>
  <si>
    <t>Expand to 30 fields</t>
  </si>
  <si>
    <t>Ellis, Natallia</t>
  </si>
  <si>
    <t>GlobalBusSolutions</t>
  </si>
  <si>
    <t>Grimley, Mark</t>
  </si>
  <si>
    <t>Jenkins, Michael P</t>
  </si>
  <si>
    <t>Moved Buttons on product tab not to obstruct top product name</t>
  </si>
  <si>
    <t>AIS Cases</t>
  </si>
  <si>
    <t>Update Ctrl-T setup</t>
  </si>
  <si>
    <t>ACE Interface</t>
  </si>
  <si>
    <t>ASE NoD enhancement</t>
  </si>
  <si>
    <t>Erate checkbox to trigger CALC fields recalculate that depend on the Erate field (like Certification for ASE)</t>
  </si>
  <si>
    <t>Healey, Barb L</t>
  </si>
  <si>
    <t>Save as new deal excludes inactive lineitems</t>
  </si>
  <si>
    <t>Disallow saving as new deal when user does not have view rights for a top product in inventory</t>
  </si>
  <si>
    <t>ADE future enhancements -- exemption for ADE existing circuit ID for key completeness check; msg pop-up</t>
  </si>
  <si>
    <t>Added existing circuit exception for blanks in Loc Z existing circuit ID field</t>
  </si>
  <si>
    <t>Added existing circuit warning message for Loc Z existing circuit ID field</t>
  </si>
  <si>
    <t>Added visibility by top product ID</t>
  </si>
  <si>
    <t>Locked?</t>
  </si>
  <si>
    <t>Lock ADE and ADWRS inventory from PricerD</t>
  </si>
  <si>
    <t>Save NSS fields for ADE and ADWRS for versioning of costs</t>
  </si>
  <si>
    <t>Cruz, Edward L</t>
  </si>
  <si>
    <t>Step1 mobility pulldowns - neutralize protection error introduced in 2015</t>
  </si>
  <si>
    <t>Routes~Connectivity Type</t>
  </si>
  <si>
    <t>sConnectivityType</t>
  </si>
  <si>
    <t>Connectivity Type</t>
  </si>
  <si>
    <t>ASE Unified Product?</t>
  </si>
  <si>
    <t>Skip Copper Pairs and Repeaters?</t>
  </si>
  <si>
    <t>Skip Copper?</t>
  </si>
  <si>
    <t>ASE 100Gb Enhancements</t>
  </si>
  <si>
    <t>ASE Cu Removal enhancements</t>
  </si>
  <si>
    <t>Add ADE Certification Message</t>
  </si>
  <si>
    <t>CustomerSpecificContracts</t>
  </si>
  <si>
    <t>CC filtering of products and lineitems</t>
  </si>
  <si>
    <t>Fix reclac after CC selection</t>
  </si>
  <si>
    <t>Dhutia, Sanjay</t>
  </si>
  <si>
    <t>Helene Berge ASEoD testing redults:  Change date on Step1</t>
  </si>
  <si>
    <t>Helene Berge ASEoD testing redults:  AIS Calc matching function:  Trim and make case agnostic</t>
  </si>
  <si>
    <t>Helene Berge ASEoD testing redults:  change the message from “Databased Design” to “NSS AIS Design”</t>
  </si>
  <si>
    <t>Data validation for permission list to only allow 6 digits</t>
  </si>
  <si>
    <t>Helene Berge ASEoD testing redults:  refresh previously-loaded costs</t>
  </si>
  <si>
    <t>Kocol, Craig</t>
  </si>
  <si>
    <t>Radivoj, Cathy</t>
  </si>
  <si>
    <t>Schuber, Gary</t>
  </si>
  <si>
    <t>Yunker, Jason A</t>
  </si>
  <si>
    <t>Helene Berge ASEoD testing redults:  check for orphaned costs</t>
  </si>
  <si>
    <t>Class of Service</t>
  </si>
  <si>
    <t>Quantity New</t>
  </si>
  <si>
    <t>Quantity Existing</t>
  </si>
  <si>
    <t>Scenario 1 Standard MRC</t>
  </si>
  <si>
    <t>Scenario 1 Standard NRC</t>
  </si>
  <si>
    <t>Scenario 1 Requested MRC Discount</t>
  </si>
  <si>
    <t>Scenario 1 Requested NRC Discount</t>
  </si>
  <si>
    <t>Scenario 1 Requested MRC</t>
  </si>
  <si>
    <t>Scenario 1 Requested NRC</t>
  </si>
  <si>
    <t>Scenario 2 Standard MRC</t>
  </si>
  <si>
    <t>Scenario 2 Standard NRC</t>
  </si>
  <si>
    <t>Scenario 2 Requested MRC Discount</t>
  </si>
  <si>
    <t>Scenario 2 Requested NRC Discount</t>
  </si>
  <si>
    <t>Scenario 2 Requested MRC</t>
  </si>
  <si>
    <t>Scenario 2 Requested NRC</t>
  </si>
  <si>
    <t>Scenario 3 Standard MRC</t>
  </si>
  <si>
    <t>Scenario 3 Standard NRC</t>
  </si>
  <si>
    <t>Scenario 3 Requested MRC Discount</t>
  </si>
  <si>
    <t>Scenario 3 Requested NRC Discount</t>
  </si>
  <si>
    <t>Scenario 3 Requested MRC</t>
  </si>
  <si>
    <t>Scenario 3 Requested NRC</t>
  </si>
  <si>
    <t>ASEoD Site-Based Entry</t>
  </si>
  <si>
    <t>Port Connection</t>
  </si>
  <si>
    <t>CIR</t>
  </si>
  <si>
    <t>CIR FMR</t>
  </si>
  <si>
    <t>PORT ANCHOR</t>
  </si>
  <si>
    <t>PORT LIST</t>
  </si>
  <si>
    <t>CIR LIST</t>
  </si>
  <si>
    <t>CIR Requested</t>
  </si>
  <si>
    <t>Davis, Brenda</t>
  </si>
  <si>
    <t>Current Port MRC</t>
  </si>
  <si>
    <t>Current CIR MRC</t>
  </si>
  <si>
    <t>Current Combined MRC</t>
  </si>
  <si>
    <t>Port Anchor + CIR List</t>
  </si>
  <si>
    <t>ASEoD Retail expansion</t>
  </si>
  <si>
    <t>Revise ASEoD error messaging to include explicit max and min floors</t>
  </si>
  <si>
    <t>Made changes to VB were channel name GEM programmed - updated to include GEHS as the new name to support both.</t>
  </si>
  <si>
    <t xml:space="preserve">          NSS_OEMAC_CODE, line 236</t>
  </si>
  <si>
    <t xml:space="preserve">          wsStep1, Function HideCredit, line 1023 &amp; 1027</t>
  </si>
  <si>
    <t>Added code to 'LoadProductsIntoInputForm' sub routine to pause for AVPN SOC selection for new top product 1189FCC -- Code commented -- 'AVPN Domestic CSM as642a 10/4/16 as avpn bundle light speed</t>
  </si>
  <si>
    <t>Get ProdInvID only once per top prod on inventory save</t>
  </si>
  <si>
    <t>Comment out debug.print for all sp arguments being printed in the immediate window</t>
  </si>
  <si>
    <t>Reset the Hide Credit Sub in the wsStep1 Exel Object.  Added two lines to reset hide credit range in the Cleaning Macro, Clear Step 1 sub.</t>
  </si>
  <si>
    <t>Recalculate NSS tab for the correct Copper indicator</t>
  </si>
  <si>
    <t>Increate button size for "get NSS Costs" and "Error check this Tab"</t>
  </si>
  <si>
    <t>ASE/ADE/ADWRS design comparison</t>
  </si>
  <si>
    <t>ASE ASR First -- recalc AIS indicator after saving with new deal num and clearing AIS costs</t>
  </si>
  <si>
    <t>Added checking of Cost by ASR Item for NSS-Template-generated AISs</t>
  </si>
  <si>
    <t>Refresh NSS Needed flag for ASE products on loading of inventory</t>
  </si>
  <si>
    <t>CV, Gowtham</t>
  </si>
  <si>
    <t>Added NA for ASR Item ID for ADE CDT Direct</t>
  </si>
  <si>
    <t>Applied Mobility Step 1 fixes for the Hide Credit Sub in the wsStep1 module.</t>
  </si>
  <si>
    <t>Removed the hide credit step from the worksheet_activate sub in the wsStep1 Excel Object</t>
  </si>
  <si>
    <t>Enhanced Design Comparison -- ASR Item ID a dropdown, color highlight of design differences</t>
  </si>
  <si>
    <t>Disallow condense for ASE or ADE</t>
  </si>
  <si>
    <t>Thomas, Anthony D</t>
  </si>
  <si>
    <t>Add option to not lock product on load</t>
  </si>
  <si>
    <t>Fix ASE Broadband issue where last selection is unique value -- trigger check for price</t>
  </si>
  <si>
    <t>Compiled VB code, and reset the file date.</t>
  </si>
  <si>
    <t>Optimized Step 1 Jurisdiction load with Top Prod Visibility filter</t>
  </si>
  <si>
    <t>Add BB UNI certification to NSS Complete Calc</t>
  </si>
  <si>
    <t>Remove AIS Required for Regulatory for ADE</t>
  </si>
  <si>
    <t>Removed Design Comparison tab</t>
  </si>
  <si>
    <t>AVPNCondenseNo</t>
  </si>
  <si>
    <t>Add Avpn Allow Condense=no checkbox on step 1</t>
  </si>
  <si>
    <t>ASE NoD Contract?</t>
  </si>
  <si>
    <t>Dean, James V</t>
  </si>
  <si>
    <t>10G</t>
  </si>
  <si>
    <t>EXISTING</t>
  </si>
  <si>
    <t>NEW</t>
  </si>
  <si>
    <t>100M/1G</t>
  </si>
  <si>
    <t>100G</t>
  </si>
  <si>
    <t>Exist</t>
  </si>
  <si>
    <t>Ports in</t>
  </si>
  <si>
    <t>Design</t>
  </si>
  <si>
    <t>Step 2:  Select Ports &amp; CIRs</t>
  </si>
  <si>
    <t>LATA</t>
  </si>
  <si>
    <t>Remove rounding from CSC requested rates</t>
  </si>
  <si>
    <t>Added non-numeric Current Rates to error check</t>
  </si>
  <si>
    <t xml:space="preserve">    Total Capital</t>
  </si>
  <si>
    <t>Unprotected</t>
  </si>
  <si>
    <t>Added totals row to ais2</t>
  </si>
  <si>
    <t>Cleaned up formatting of notes tab</t>
  </si>
  <si>
    <t>Added status box on term change</t>
  </si>
  <si>
    <t>Curr MRC Req?</t>
  </si>
  <si>
    <t>&lt;?xml version='1.0' encoding='utf-8'?&gt;&lt;SOAP-ENV:Envelope xmlns:SOAP-ENV='http://schemas.xmlsoap.org/soap/envelope/' xmlns:SOAP-ENC='http://schemas.xmlsoap.org/soap/encoding/' xmlns:xsi='http://www.w3.org/2001/XMLSchema-instance' xmlns:xsd='http://www.w3.org/2001/XMLSchema' xmlns:m0='http://cio.att.com/commonheader/v3'&gt; &lt;SOAP-ENV:Header&gt; &lt;m2:Security xmlns:m2='http://docs.oasis-open.org/wss/2004/01/oasis-200401-wss-wssecurity-secext-1.0.xsd'&gt; &lt;m2:UsernameToken xsi:type='m2:UsernameTokenType'&gt; &lt;m2:Username Id='myUsernameTokenId'&gt;ims2&lt;/m2:Username&gt; &lt;m2:Password xsi:type='m2:PasswordString' Id='irrelevant_to_ATT'&gt;im2pwd&lt;/m2:Password&gt; &lt;/m2:UsernameToken&gt; &lt;/m2:Security&gt; &lt;/SOAP-ENV:Header&gt; &lt;SOAP-ENV:Body&gt; &lt;m:OptyInfoRequest xmlns:m='http://ecrm.abs.att.com/opty/v2'&gt; &lt;m0:WSHeader&gt; &lt;m0:WSContext&gt; &lt;m0:WSNameValue&gt; &lt;m0:Name&gt;version&lt;/m0:Name&gt; &lt;m0:Value&gt;1&lt;/m0:Value&gt; &lt;/m0:WSNameValue&gt; &lt;/m0:WSContext&gt; &lt;m0:WSConversationId&gt;TestOptyInfo&lt;/m0:WSConversationId&gt; &lt;/m0:WSHeader&gt; &lt;m:RequestParams&gt; &lt;Id&gt;10/18/1933&lt;/Id&gt;&lt;Hrid&gt;kr1794&lt;/Hrid&gt; &lt;/m:RequestParams&gt; &lt;/m:OptyInfoRequest&gt; &lt;/SOAP-ENV:Body&gt; &lt;/SOAP-ENV:Envelope&gt;</t>
  </si>
  <si>
    <t>Step 1: Select one of the three options:</t>
  </si>
  <si>
    <t>Step 3:  Copy &amp; Expand</t>
  </si>
  <si>
    <t>MidMarket Envelope (26-75 Lines)</t>
  </si>
  <si>
    <t>Ports to be</t>
  </si>
  <si>
    <t>Repriced</t>
  </si>
  <si>
    <t>Final ASEoD mods</t>
  </si>
  <si>
    <t>Hide/protect NSS tab result</t>
  </si>
  <si>
    <t>Need CurrRate?</t>
  </si>
  <si>
    <t>Make ASEoD Curr Rate required for new+existingnoreprice</t>
  </si>
  <si>
    <t>EoCu adjustments:  calc cert, overall cert msg</t>
  </si>
  <si>
    <t>Download NSS costs button adjustment for missing EoCu columns</t>
  </si>
  <si>
    <t>Fix Certification Formula for Eo-Cu removed ASE 6090 product</t>
  </si>
  <si>
    <t>MidMarket Envelope (1-25 Lines)</t>
  </si>
  <si>
    <t>MidMarket Envelope (76+ Lines)</t>
  </si>
  <si>
    <t>Shift NSS complete formula two columns to the left to account for removed EoCu columns in 6090</t>
  </si>
  <si>
    <t>Revise submit to ICB error check for 6090</t>
  </si>
  <si>
    <t>Add ASR First cost processing for wholesale products</t>
  </si>
  <si>
    <t>Fix Submit NSS for ASEoD wholesale vs. classic - check for SSSF from Sales Express</t>
  </si>
  <si>
    <t>Fix NSS Costs Needed CDT error check popping up for submit to NSS</t>
  </si>
  <si>
    <t>Auto-recognize ASR First AIS, apply linkage to location for any ASE product without SSSF</t>
  </si>
  <si>
    <t>Top Product</t>
  </si>
  <si>
    <t>Term</t>
  </si>
  <si>
    <t>Curr MRC</t>
  </si>
  <si>
    <t>Std MRC</t>
  </si>
  <si>
    <t>Req MRC</t>
  </si>
  <si>
    <t>App MRC</t>
  </si>
  <si>
    <t>MRC Savings</t>
  </si>
  <si>
    <t>Annual Savings</t>
  </si>
  <si>
    <t>%</t>
  </si>
  <si>
    <t>Eff MRC</t>
  </si>
  <si>
    <t>Annual Credit</t>
  </si>
  <si>
    <t>Years of Credit</t>
  </si>
  <si>
    <t>Ethernet Local Access - 201411</t>
  </si>
  <si>
    <t>International Access 201601</t>
  </si>
  <si>
    <t>GMIS 201605</t>
  </si>
  <si>
    <t>LD Access DS0/DS1/LD/LD Access DS0/DS1 Summit Regional OFF NET (36 month term)</t>
  </si>
  <si>
    <t>Top Prod
Num</t>
  </si>
  <si>
    <t>Prod
Num</t>
  </si>
  <si>
    <t>Line
Num</t>
  </si>
  <si>
    <t>Juris-
diction</t>
  </si>
  <si>
    <t>Product Comp</t>
  </si>
  <si>
    <t>LC from WC CLLI</t>
  </si>
  <si>
    <t>Inter vs. Intra State</t>
  </si>
  <si>
    <t>SBC or Non-SBC</t>
  </si>
  <si>
    <t>NPANXX</t>
  </si>
  <si>
    <t>Related Access Speed</t>
  </si>
  <si>
    <t>Access Region</t>
  </si>
  <si>
    <t>Mile Range</t>
  </si>
  <si>
    <t>Unit</t>
  </si>
  <si>
    <t>Related Product</t>
  </si>
  <si>
    <t>Q Ex</t>
  </si>
  <si>
    <t>Std NRC</t>
  </si>
  <si>
    <t>Req NRC</t>
  </si>
  <si>
    <t>App NRC</t>
  </si>
  <si>
    <t>Rate</t>
  </si>
  <si>
    <t>Prod ID</t>
  </si>
  <si>
    <t>No inventory for this product.</t>
  </si>
  <si>
    <t>LD Access DS0/DS1 Summit Regional OFF NET</t>
  </si>
  <si>
    <t>1.544 mb</t>
  </si>
  <si>
    <t>SPRFSDCO</t>
  </si>
  <si>
    <t>Inter</t>
  </si>
  <si>
    <t>NON-SBC</t>
  </si>
  <si>
    <t>DS1</t>
  </si>
  <si>
    <t>Region 6</t>
  </si>
  <si>
    <t>21-50 Miles</t>
  </si>
  <si>
    <t>Per Circuit</t>
  </si>
  <si>
    <t>AVPN</t>
  </si>
  <si>
    <t>Per Mile</t>
  </si>
  <si>
    <t>LD Access DS0/DS1/LD/LD Access DS0/DS1 Schedule B (36 month term)</t>
  </si>
  <si>
    <t>Mile Range Schd B</t>
  </si>
  <si>
    <t>blankcalc</t>
  </si>
  <si>
    <t>LD Access DS0/DS1/LD/SBC Access AIS (36 month term)</t>
  </si>
  <si>
    <t>Subproduct</t>
  </si>
  <si>
    <t>LD Dedicated Access DS3 OCX/LD/LD Access DS3 to OCX OFF NET (36 month term)</t>
  </si>
  <si>
    <t>Type</t>
  </si>
  <si>
    <t xml:space="preserve">Protection </t>
  </si>
  <si>
    <t>LC from CLLI State</t>
  </si>
  <si>
    <t>Location Street Address, Floor</t>
  </si>
  <si>
    <t>Location City</t>
  </si>
  <si>
    <t>Location State</t>
  </si>
  <si>
    <t>Access Region Calc Hi Cap</t>
  </si>
  <si>
    <t>LD Access DS3 to OCX OFF NET</t>
  </si>
  <si>
    <t>DS3 Schedule B/Regional</t>
  </si>
  <si>
    <t>DS3</t>
  </si>
  <si>
    <t>WLMGOHXB</t>
  </si>
  <si>
    <t>.DNEC.831275    ..ATI        .</t>
  </si>
  <si>
    <t>Region 1</t>
  </si>
  <si>
    <t>OSCLWIXA</t>
  </si>
  <si>
    <t>.DNEC.927193    ..ATI        .</t>
  </si>
  <si>
    <t>SPLKIACO</t>
  </si>
  <si>
    <t>.DNEC.877575    ..ATI        .</t>
  </si>
  <si>
    <t>VRMLSDCO</t>
  </si>
  <si>
    <t>.DNEC.970176    ..ATI        .</t>
  </si>
  <si>
    <t>LD Dedicated Access DS3 OCX/LD/SBC Access AIS (36 month term)</t>
  </si>
  <si>
    <t>Ethernet Local Access - 201411/LD/Local Access; Ethernet; Switched (36 month term)</t>
  </si>
  <si>
    <t>Ethernet POP CLLI</t>
  </si>
  <si>
    <t>Default Provider</t>
  </si>
  <si>
    <t>Alternate Provider</t>
  </si>
  <si>
    <t>Special Routing</t>
  </si>
  <si>
    <t>Premises Code</t>
  </si>
  <si>
    <t>Pricing Zone</t>
  </si>
  <si>
    <t>PriceCostKey</t>
  </si>
  <si>
    <t>Associated Service</t>
  </si>
  <si>
    <t>Billable Miles</t>
  </si>
  <si>
    <t>Interface Type</t>
  </si>
  <si>
    <t>ILEC SWC CLLI</t>
  </si>
  <si>
    <t>Speed in Mbps</t>
  </si>
  <si>
    <t>Site Name</t>
  </si>
  <si>
    <t>Site Address</t>
  </si>
  <si>
    <t>Local Access; Ethernet; Switched</t>
  </si>
  <si>
    <t>MPLSMNDT</t>
  </si>
  <si>
    <t>Unknown POP CLLI</t>
  </si>
  <si>
    <t>TW TELECOM/LEVEL 3</t>
  </si>
  <si>
    <t>CLEC / Alternate Provider</t>
  </si>
  <si>
    <t>Prem Not Specified</t>
  </si>
  <si>
    <t>Zone 12</t>
  </si>
  <si>
    <t>Zone 12IP1000BaseSX/LX1000</t>
  </si>
  <si>
    <t>1000BaseLX Optical SMF</t>
  </si>
  <si>
    <t>CHSKMNXC</t>
  </si>
  <si>
    <t xml:space="preserve">  IZEC569982   ATI </t>
  </si>
  <si>
    <t>3500  LYMAN BLVD, CHASKA, MN, 55318</t>
  </si>
  <si>
    <t>Zayo</t>
  </si>
  <si>
    <t>Zone 13</t>
  </si>
  <si>
    <t>Zone 13IP1000BaseSX/LX1000</t>
  </si>
  <si>
    <t>1000BaseSX Optical MMF</t>
  </si>
  <si>
    <t>HAMLMNHB</t>
  </si>
  <si>
    <t xml:space="preserve">  IZEC582779   ATI </t>
  </si>
  <si>
    <t>2100  HIGHWAY 55, MEDINA, MN, 55340</t>
  </si>
  <si>
    <t>PLMOMNFE</t>
  </si>
  <si>
    <t xml:space="preserve">  IZEC574105   ATI </t>
  </si>
  <si>
    <t>9955  59TH AVE N, PLYMOUTH, MN, 55443</t>
  </si>
  <si>
    <t>HNVIAL96</t>
  </si>
  <si>
    <t>BellSouth</t>
  </si>
  <si>
    <t>ATT/BELL SOUTH (AL)</t>
  </si>
  <si>
    <t>Zone 2</t>
  </si>
  <si>
    <t>Zone 2IP1000BaseSX/LX500</t>
  </si>
  <si>
    <t>DCTRALMT</t>
  </si>
  <si>
    <t xml:space="preserve">  BMEC991702   ATI </t>
  </si>
  <si>
    <t>7049  GREENBRIER PKWY NW, MADISON, AL, 35756</t>
  </si>
  <si>
    <t>None Requested</t>
  </si>
  <si>
    <t>Zone 2IP1000BaseSX/LX1000</t>
  </si>
  <si>
    <t>AVPN-ETH</t>
  </si>
  <si>
    <t>MDSNALNM</t>
  </si>
  <si>
    <t>New-Huntsville</t>
  </si>
  <si>
    <t>285 Dunlop Blvd   Huntsville AL 35824</t>
  </si>
  <si>
    <t>Best Effort</t>
  </si>
  <si>
    <t>Zone 4</t>
  </si>
  <si>
    <t>Zone 4IP100BaseTX50</t>
  </si>
  <si>
    <t>100BaseTX Electrical</t>
  </si>
  <si>
    <t xml:space="preserve">  BBEC542696   ATI </t>
  </si>
  <si>
    <t>SXCYIAAT</t>
  </si>
  <si>
    <t>QWEST</t>
  </si>
  <si>
    <t>Zone 4IP100BaseTX100</t>
  </si>
  <si>
    <t>MLFRIACO</t>
  </si>
  <si>
    <t xml:space="preserve">  IUEC996025   ATI </t>
  </si>
  <si>
    <t>909  4TH ST, MILFORD, IA, 51351</t>
  </si>
  <si>
    <t>FARGNDBC</t>
  </si>
  <si>
    <t>Zone 4IP1000BaseSX/LX1000</t>
  </si>
  <si>
    <t>IZEC575206 ATI</t>
  </si>
  <si>
    <t>409 1st Ave N.   Fargo ND 58102</t>
  </si>
  <si>
    <t>IZEC542341 ATI</t>
  </si>
  <si>
    <t>200 S 5th St.   Minneapolis MN 55402</t>
  </si>
  <si>
    <t>IZEC526954 ATI</t>
  </si>
  <si>
    <t>2100 Highway 55   Medina MN 55340</t>
  </si>
  <si>
    <t>SXFLSD10</t>
  </si>
  <si>
    <t>Midcontinent</t>
  </si>
  <si>
    <t>Zone 48</t>
  </si>
  <si>
    <t>Zone 48IP100BaseTX50</t>
  </si>
  <si>
    <t>No SWC CLLI (CLEC)</t>
  </si>
  <si>
    <t>Upgrade-Vermillion</t>
  </si>
  <si>
    <t>1997 POLARIS PKWY   Vermillion SD 57069</t>
  </si>
  <si>
    <t>Zone 48IP100BaseTX100</t>
  </si>
  <si>
    <t>Upgrade-Vermillion-G</t>
  </si>
  <si>
    <t>Ethernet Local Access - 201411/LD/Local Access; Ethernet; Dedicated (36 month term)</t>
  </si>
  <si>
    <t>AVPN Domestic Hand Entry CSM Multi/LD/AVPN Domestic Hand Entry Ports 201311 (36 month term)</t>
  </si>
  <si>
    <t>Discount Group</t>
  </si>
  <si>
    <t>Country Abbrev</t>
  </si>
  <si>
    <t>Country</t>
  </si>
  <si>
    <t>Available Port Type</t>
  </si>
  <si>
    <t>BEID MRC</t>
  </si>
  <si>
    <t>BEID NRC</t>
  </si>
  <si>
    <t>Locations Domestic</t>
  </si>
  <si>
    <t>MPLS Port</t>
  </si>
  <si>
    <t>Flat Rate</t>
  </si>
  <si>
    <t>VPN Transport Connection</t>
  </si>
  <si>
    <t>6.176M</t>
  </si>
  <si>
    <t>per port</t>
  </si>
  <si>
    <t>IP</t>
  </si>
  <si>
    <t>NxT1</t>
  </si>
  <si>
    <t>USA</t>
  </si>
  <si>
    <t>US</t>
  </si>
  <si>
    <t>United States</t>
  </si>
  <si>
    <t>ATM, IP</t>
  </si>
  <si>
    <t>1 Lower 48</t>
  </si>
  <si>
    <t>10M</t>
  </si>
  <si>
    <t>Enet, T3, E3</t>
  </si>
  <si>
    <t>Enet, FR, ATM, IP</t>
  </si>
  <si>
    <t>Flex</t>
  </si>
  <si>
    <t>VPN Transport HiCapFlex</t>
  </si>
  <si>
    <t>T3/E3</t>
  </si>
  <si>
    <t>45M</t>
  </si>
  <si>
    <t>40M</t>
  </si>
  <si>
    <t>Enet</t>
  </si>
  <si>
    <t>100M</t>
  </si>
  <si>
    <t>Enet, OC3</t>
  </si>
  <si>
    <t>Enet, ATM, IP</t>
  </si>
  <si>
    <t>300M</t>
  </si>
  <si>
    <t>Enet, OC12</t>
  </si>
  <si>
    <t>Enet, IP</t>
  </si>
  <si>
    <t>400M</t>
  </si>
  <si>
    <t>Ethernet Flex</t>
  </si>
  <si>
    <t>50M</t>
  </si>
  <si>
    <t>10M-60M</t>
  </si>
  <si>
    <t>1G</t>
  </si>
  <si>
    <t>AVPN Domestic Hand Entry CSM Multi/LD/AVPN Domestic Hand Entry DSL Ports 201311 (36 month term)</t>
  </si>
  <si>
    <t>Locations Domestic DSL</t>
  </si>
  <si>
    <t>Plug1</t>
  </si>
  <si>
    <t>AVPN Domestic Hand Entry CSM Multi/LD/AVPN Domestic MPLS Broadband Port &amp; Access Hand Entry (36 month term)</t>
  </si>
  <si>
    <t>AVPN Domestic Hand Entry CSM Multi/LD/AVPN Domestic Hand Entry Managed Services 201311 (36 month term)</t>
  </si>
  <si>
    <t>Port Protocol</t>
  </si>
  <si>
    <t>Specific Router - Standard Dom</t>
  </si>
  <si>
    <t>Router Addition - Standard Dom</t>
  </si>
  <si>
    <t>Plug2</t>
  </si>
  <si>
    <t>International Access 201601/LD/International Access (36 month term)</t>
  </si>
  <si>
    <t>Site ID/Name</t>
  </si>
  <si>
    <t>LSP</t>
  </si>
  <si>
    <t>Customer Reference</t>
  </si>
  <si>
    <t>Existing Telco Circuit ID</t>
  </si>
  <si>
    <t>Existing Price Currency</t>
  </si>
  <si>
    <t xml:space="preserve">IGLOO ID # </t>
  </si>
  <si>
    <t>Transport Service</t>
  </si>
  <si>
    <t>Intl Access Bandwidth</t>
  </si>
  <si>
    <t>Intl POP Name</t>
  </si>
  <si>
    <t>Intl Access Primary or Backup</t>
  </si>
  <si>
    <t>Budgetary Price</t>
  </si>
  <si>
    <t>Postal code</t>
  </si>
  <si>
    <t>Address 1</t>
  </si>
  <si>
    <t>Access Technology</t>
  </si>
  <si>
    <t>Existing Telco Provider</t>
  </si>
  <si>
    <t>Intl</t>
  </si>
  <si>
    <t>International Access</t>
  </si>
  <si>
    <t>AU</t>
  </si>
  <si>
    <t xml:space="preserve">DERRIMUT </t>
  </si>
  <si>
    <t>.MGYF.101408    ..ATI        .</t>
  </si>
  <si>
    <t>existing - no change to access</t>
  </si>
  <si>
    <t>Australia</t>
  </si>
  <si>
    <t>MLBRAUAZ</t>
  </si>
  <si>
    <t xml:space="preserve">36 GRIMES CT                                      </t>
  </si>
  <si>
    <t>Ethernet (Gateway Interconnect/ESP ETH Shared)</t>
  </si>
  <si>
    <t>AU-AUETH1</t>
  </si>
  <si>
    <t>MELBOURNE</t>
  </si>
  <si>
    <t>.MCYF.102354    ..ATI        .</t>
  </si>
  <si>
    <t xml:space="preserve">544-548 ELIZABETH ST                              </t>
  </si>
  <si>
    <t>AU-AAPT</t>
  </si>
  <si>
    <t>ASHFIELD</t>
  </si>
  <si>
    <t>.MCYF.102355    ..ATI        .</t>
  </si>
  <si>
    <t>SYDNAUBV</t>
  </si>
  <si>
    <t xml:space="preserve">554 PARRAMATTA RD, ASHFIELD, SYDNEY               </t>
  </si>
  <si>
    <t>FORTITUDE VALLEY</t>
  </si>
  <si>
    <t>.MCYF.102356    ..ATI        .</t>
  </si>
  <si>
    <t>BSBNAU73</t>
  </si>
  <si>
    <t xml:space="preserve">632 WICKHAM ST                                    </t>
  </si>
  <si>
    <t xml:space="preserve">FERNDALE </t>
  </si>
  <si>
    <t>.MCYF.103432    ..ATI        .</t>
  </si>
  <si>
    <t>PRTHAUAI</t>
  </si>
  <si>
    <t xml:space="preserve">1429 ALBANY HWY                                   </t>
  </si>
  <si>
    <t>Polaris Industries Inc</t>
  </si>
  <si>
    <t>08/LOXX/000308/UCN/001</t>
  </si>
  <si>
    <t>Canada</t>
  </si>
  <si>
    <t>Winnipeg</t>
  </si>
  <si>
    <t>10000 Kbps</t>
  </si>
  <si>
    <t>CLGRABAY</t>
  </si>
  <si>
    <t>R2J 3J8</t>
  </si>
  <si>
    <t>50 Prairie Way</t>
  </si>
  <si>
    <t>CA-ATTCA</t>
  </si>
  <si>
    <t>CN</t>
  </si>
  <si>
    <t>SST</t>
  </si>
  <si>
    <t>Subcontract</t>
  </si>
  <si>
    <t xml:space="preserve">SHANGHAI  </t>
  </si>
  <si>
    <t>.MCYF.102146    ..ATI        .</t>
  </si>
  <si>
    <t>China</t>
  </si>
  <si>
    <t>SHNGCIUE</t>
  </si>
  <si>
    <t xml:space="preserve">NO 1515 OF W NANJING ROAD                         </t>
  </si>
  <si>
    <t>CN-UNISIT</t>
  </si>
  <si>
    <t>FR</t>
  </si>
  <si>
    <t>PLRSBOUFR01</t>
  </si>
  <si>
    <t>LYS/AGF/E1P138346</t>
  </si>
  <si>
    <t>France</t>
  </si>
  <si>
    <t>BOURRAN</t>
  </si>
  <si>
    <t>2048 Kbps</t>
  </si>
  <si>
    <t>LYONFRAJ</t>
  </si>
  <si>
    <t>ROUTE DE VILLENEUVE</t>
  </si>
  <si>
    <t>Leased Line (Direct Connect/Leased Line)</t>
  </si>
  <si>
    <t>FR-COLT</t>
  </si>
  <si>
    <t>PLRSPASFR01</t>
  </si>
  <si>
    <t>R9998981</t>
  </si>
  <si>
    <t>PASSY</t>
  </si>
  <si>
    <t>MRSLFR01</t>
  </si>
  <si>
    <t>2770 AVENUE DE SAINT-MARTIN</t>
  </si>
  <si>
    <t>FR-LDCOM</t>
  </si>
  <si>
    <t>PLRSGRIDE01</t>
  </si>
  <si>
    <t>MLYF.104145..ATI</t>
  </si>
  <si>
    <t>Germany</t>
  </si>
  <si>
    <t>GRIESHEIM</t>
  </si>
  <si>
    <t>FRNKGEFF</t>
  </si>
  <si>
    <t>SCHOENEWEIBERGASSE 102</t>
  </si>
  <si>
    <t>DE-DTMPLS</t>
  </si>
  <si>
    <t xml:space="preserve">VADODARA       </t>
  </si>
  <si>
    <t>.MLEC.712123    ..ATI        .</t>
  </si>
  <si>
    <t>India</t>
  </si>
  <si>
    <t>MMBIIIAM</t>
  </si>
  <si>
    <t xml:space="preserve">WEST BLOCK-2 L&amp;T KNOWLEDGE                        </t>
  </si>
  <si>
    <t>IN-RELNCE</t>
  </si>
  <si>
    <t xml:space="preserve">JAIPUR  </t>
  </si>
  <si>
    <t>.MLYF.104572    ..ATI        .</t>
  </si>
  <si>
    <t>PLOT SP2,OPP LE MERIDIAN HOTEL,KUKAS,RICCO INDUSTR</t>
  </si>
  <si>
    <t>IN-BHARTI</t>
  </si>
  <si>
    <t xml:space="preserve">BENGALURU   </t>
  </si>
  <si>
    <t>.MLYF.109026    ..ATI        .</t>
  </si>
  <si>
    <t>BNGRIIBB</t>
  </si>
  <si>
    <t xml:space="preserve">A-WING ELECTRA BLOCK, EXORA BUSINESS PARK         </t>
  </si>
  <si>
    <t>IN-VSNL</t>
  </si>
  <si>
    <t>MX</t>
  </si>
  <si>
    <t>POLARIS INDUSTRIES INC.</t>
  </si>
  <si>
    <t>BBYF.100723..ATI</t>
  </si>
  <si>
    <t>Mexico</t>
  </si>
  <si>
    <t>APODACA</t>
  </si>
  <si>
    <t>50 Mbps</t>
  </si>
  <si>
    <t>MNTRXLAQ</t>
  </si>
  <si>
    <t>INDUSTRIAS 200</t>
  </si>
  <si>
    <t>MX-ALESTA</t>
  </si>
  <si>
    <t>MNYF.100587..ATI</t>
  </si>
  <si>
    <t>SAN PEDRO GARZA GARCIA</t>
  </si>
  <si>
    <t>30000 Kbps</t>
  </si>
  <si>
    <t>AV. LAZARO CARDENAS 2225 COL. VALLE ORIENTE Offices N6-1D</t>
  </si>
  <si>
    <t>PL</t>
  </si>
  <si>
    <t>PLRSSKAPL01</t>
  </si>
  <si>
    <t>56188_2013</t>
  </si>
  <si>
    <t>Poland</t>
  </si>
  <si>
    <t>SKAWINA</t>
  </si>
  <si>
    <t>100 Mbps</t>
  </si>
  <si>
    <t>WRSWPDAR</t>
  </si>
  <si>
    <t>32-050</t>
  </si>
  <si>
    <t>KRAKOWSKA 43</t>
  </si>
  <si>
    <t>PL-BPT</t>
  </si>
  <si>
    <t>CH</t>
  </si>
  <si>
    <t>PLRSBURCH04</t>
  </si>
  <si>
    <t>MLYF.104559..ATI</t>
  </si>
  <si>
    <t>Switzerland</t>
  </si>
  <si>
    <t>BURGDORF</t>
  </si>
  <si>
    <t>ZRCHSZAX</t>
  </si>
  <si>
    <t>BUCHMATTSTRASSE 48</t>
  </si>
  <si>
    <t>CH-CHEPTT</t>
  </si>
  <si>
    <t>POLARISSARL</t>
  </si>
  <si>
    <t>GVA/SUI/LE-117427</t>
  </si>
  <si>
    <t>ROLLE</t>
  </si>
  <si>
    <t>8000 Kbps</t>
  </si>
  <si>
    <t>GENVSZ07</t>
  </si>
  <si>
    <t>CH-1180</t>
  </si>
  <si>
    <t>Z.A. LA PIECE 1, ROUTE DE L'ETRAZ</t>
  </si>
  <si>
    <t>CH-COLT</t>
  </si>
  <si>
    <t>GB</t>
  </si>
  <si>
    <t>PLRSCOLGB01</t>
  </si>
  <si>
    <t>ETHC00115792</t>
  </si>
  <si>
    <t>United Kingdom</t>
  </si>
  <si>
    <t>COLESHILL</t>
  </si>
  <si>
    <t>LONEENBO</t>
  </si>
  <si>
    <t>B46 1JH</t>
  </si>
  <si>
    <t>UNIT 1 FORGE MILLS PARK STATION ROAD</t>
  </si>
  <si>
    <t>GB-BTPLC</t>
  </si>
  <si>
    <t>AVPN International CSM Multi/LD/AVPN International Locations 201311 (36 month term)</t>
  </si>
  <si>
    <t>LSP Profile</t>
  </si>
  <si>
    <t>Intl Region</t>
  </si>
  <si>
    <t>Intl POP City/Connection</t>
  </si>
  <si>
    <t>Intl NNI Port Speed (MB)</t>
  </si>
  <si>
    <t>Intl Provider</t>
  </si>
  <si>
    <t>AVPN International Locations 201311</t>
  </si>
  <si>
    <t>AP</t>
  </si>
  <si>
    <t>DERRIMUT</t>
  </si>
  <si>
    <t>Melbourne</t>
  </si>
  <si>
    <t>AGN</t>
  </si>
  <si>
    <t>MELBOURNE, VIC</t>
  </si>
  <si>
    <t>ASHFIELD, SYDNEY</t>
  </si>
  <si>
    <t>Sydney 2</t>
  </si>
  <si>
    <t>Brisbane 2</t>
  </si>
  <si>
    <t>FERNDALE</t>
  </si>
  <si>
    <t>Perth 2</t>
  </si>
  <si>
    <t>WINNIPEG</t>
  </si>
  <si>
    <t>Calgary 1</t>
  </si>
  <si>
    <t xml:space="preserve">SST </t>
  </si>
  <si>
    <t>Multimedia Standard</t>
  </si>
  <si>
    <t>Shanghai 1</t>
  </si>
  <si>
    <t>SST (Direct)</t>
  </si>
  <si>
    <t>EMEA</t>
  </si>
  <si>
    <t>Lyon</t>
  </si>
  <si>
    <t>Marseille</t>
  </si>
  <si>
    <t>Frankfurt 1</t>
  </si>
  <si>
    <t>Mumbai 2</t>
  </si>
  <si>
    <t>Bangalore</t>
  </si>
  <si>
    <t>CALA</t>
  </si>
  <si>
    <t>Monterrey</t>
  </si>
  <si>
    <t>Warsaw</t>
  </si>
  <si>
    <t>Geneva</t>
  </si>
  <si>
    <t>Zurich</t>
  </si>
  <si>
    <t>London 1</t>
  </si>
  <si>
    <t>AVPN International CSM Multi/LD/AVPN International Flat Rate Ports 201311 (36 month term)</t>
  </si>
  <si>
    <t>Intl Royalty Flag</t>
  </si>
  <si>
    <t>6M</t>
  </si>
  <si>
    <t>N</t>
  </si>
  <si>
    <t>2M</t>
  </si>
  <si>
    <t>Select LSP</t>
  </si>
  <si>
    <t>Select Contract</t>
  </si>
  <si>
    <t>LSPs</t>
  </si>
  <si>
    <t>2.048M</t>
  </si>
  <si>
    <t>E1</t>
  </si>
  <si>
    <t>FR, ATM, IP</t>
  </si>
  <si>
    <t>30M</t>
  </si>
  <si>
    <t>Enet, T3</t>
  </si>
  <si>
    <t>8M</t>
  </si>
  <si>
    <t>AVPN International CSM Multi/LD/AVPN International Flex Ports 201311 (36 month term)</t>
  </si>
  <si>
    <t>10M-30M</t>
  </si>
  <si>
    <t>60M</t>
  </si>
  <si>
    <t>60M-300M</t>
  </si>
  <si>
    <t>AVPN International CSM Multi/LD/AVPN International Burst Ports 201311 (36 month term)</t>
  </si>
  <si>
    <t>AVPN International CSM Multi/LD/AVPN International DSL Ports 201311 (36 month term)</t>
  </si>
  <si>
    <t>AVPN International CSM Multi/LD/AVPN International Port Options 201311 (36 month term)</t>
  </si>
  <si>
    <t>AVPN International CSM Multi/LD/AVPN International Features 201311 (36 month term)</t>
  </si>
  <si>
    <t>Plug3</t>
  </si>
  <si>
    <t>CoS Package</t>
  </si>
  <si>
    <t>Multimedia Standard Svc</t>
  </si>
  <si>
    <t>VPN Transport COS Package</t>
  </si>
  <si>
    <t>Multimedia High Svc</t>
  </si>
  <si>
    <t>AVPN International CSM Multi/LD/AVPN International Managed Services 201311 (36 month term)</t>
  </si>
  <si>
    <t>Specific Router - Standard</t>
  </si>
  <si>
    <t>Router Addition - Standard</t>
  </si>
  <si>
    <t>Service Provider</t>
  </si>
  <si>
    <t>BVoIP Services 201411/LD/BVoIP - Product Services (36 month term)</t>
  </si>
  <si>
    <t>Product Description</t>
  </si>
  <si>
    <t>BVoIP - Product Services</t>
  </si>
  <si>
    <t>Standard numbers</t>
  </si>
  <si>
    <t>Telephone Numbers (Domestic)</t>
  </si>
  <si>
    <t>IP Flex Reach - AVPN</t>
  </si>
  <si>
    <t>per number</t>
  </si>
  <si>
    <t>Plan C</t>
  </si>
  <si>
    <t>Calling Plan (Domestic)</t>
  </si>
  <si>
    <t>per concurrent call</t>
  </si>
  <si>
    <t>Setup fee</t>
  </si>
  <si>
    <t>Calling Plan Setup (Domestic)</t>
  </si>
  <si>
    <t>per site</t>
  </si>
  <si>
    <t>Feature Package</t>
  </si>
  <si>
    <t>Enhanced Features</t>
  </si>
  <si>
    <t>IP Flex Reach</t>
  </si>
  <si>
    <t>BVoIP Services 201411/LD/BVoIP - Module Cards (36 month term)</t>
  </si>
  <si>
    <t>BVoIP Services 201411/LD/BVoIP - Domestic Usage (36 month term)</t>
  </si>
  <si>
    <t>Rate Type</t>
  </si>
  <si>
    <t>ALOC</t>
  </si>
  <si>
    <t>Call Type</t>
  </si>
  <si>
    <t>Call Type Description</t>
  </si>
  <si>
    <t>Voice Timing Initial Period (Optional InR Only)</t>
  </si>
  <si>
    <t>Voice Timing Additional Period (Optional InR Only)</t>
  </si>
  <si>
    <t>Voice Traffic Type</t>
  </si>
  <si>
    <t>BVoIP - Domestic Usage</t>
  </si>
  <si>
    <t>OffNet LD</t>
  </si>
  <si>
    <t>IP Flex Reach AVPN</t>
  </si>
  <si>
    <t>Interstate</t>
  </si>
  <si>
    <t>US Nationwide</t>
  </si>
  <si>
    <t>Billed Minutes</t>
  </si>
  <si>
    <t>Outbound</t>
  </si>
  <si>
    <t>Free Minutes</t>
  </si>
  <si>
    <t>Intrastate</t>
  </si>
  <si>
    <t>Alabama</t>
  </si>
  <si>
    <t>Minnesota</t>
  </si>
  <si>
    <t>BVoIP Services 201411/LD/BVoIP - International Usage (36 month term)</t>
  </si>
  <si>
    <t>Rate Group</t>
  </si>
  <si>
    <t>Voice Timing</t>
  </si>
  <si>
    <t>Qty of Initial Incr. (Optional InR Only)</t>
  </si>
  <si>
    <t>Qty of Addl Incr. (Optional InR Only)</t>
  </si>
  <si>
    <t>Mobile or Non-Mobile</t>
  </si>
  <si>
    <t>BVoIP - International Usage</t>
  </si>
  <si>
    <t>Ded-Sw/Sw-Ded</t>
  </si>
  <si>
    <t>Std</t>
  </si>
  <si>
    <t>BVOIP - Outbound (Standard)</t>
  </si>
  <si>
    <t>CANADA</t>
  </si>
  <si>
    <t>30/1</t>
  </si>
  <si>
    <t>Non-Mobile</t>
  </si>
  <si>
    <t>WPM</t>
  </si>
  <si>
    <t>PAKISTAN</t>
  </si>
  <si>
    <t>Mobile</t>
  </si>
  <si>
    <t>CIM</t>
  </si>
  <si>
    <t>CHINA</t>
  </si>
  <si>
    <t>MEXICO</t>
  </si>
  <si>
    <t>MXM</t>
  </si>
  <si>
    <t>AUSTRALIA</t>
  </si>
  <si>
    <t>BVoIP Services 201411/LD/BVoIP - T Managed AVPN Routers (36 month term)</t>
  </si>
  <si>
    <t>PBI MRC</t>
  </si>
  <si>
    <t>PBI NRC</t>
  </si>
  <si>
    <t>WYNGMNXA</t>
  </si>
  <si>
    <t>MIS</t>
  </si>
  <si>
    <t>11-20 Miles</t>
  </si>
  <si>
    <t>LHCYAZXC</t>
  </si>
  <si>
    <t>1691 INDUSTRIAL BLVD</t>
  </si>
  <si>
    <t>LAKE HAVASU CITY</t>
  </si>
  <si>
    <t>125 INDUSTRIAL DR</t>
  </si>
  <si>
    <t>SPEARFISH</t>
  </si>
  <si>
    <t>ROSEMNXA</t>
  </si>
  <si>
    <t>1050 3RD ST SE</t>
  </si>
  <si>
    <t>ROSEAU</t>
  </si>
  <si>
    <t>108 INDUSTRIAL DR</t>
  </si>
  <si>
    <t>OSCEOLA</t>
  </si>
  <si>
    <t>OC3 Local Channel Service</t>
  </si>
  <si>
    <t>OC3</t>
  </si>
  <si>
    <t>WAUSWIXB</t>
  </si>
  <si>
    <t>10303 CALUMET AVE</t>
  </si>
  <si>
    <t>ROTHSCHILD</t>
  </si>
  <si>
    <t>AKRNOH25</t>
  </si>
  <si>
    <t>SBC</t>
  </si>
  <si>
    <t>Zone 1</t>
  </si>
  <si>
    <t>Zone 1IP100BaseTX20</t>
  </si>
  <si>
    <t>CYFLOH92</t>
  </si>
  <si>
    <t>CUYAHOGA FALLS</t>
  </si>
  <si>
    <t>3479 State Rd   Cuyahoga Falls OH 44223</t>
  </si>
  <si>
    <t>Multiple LECs Available</t>
  </si>
  <si>
    <t>MEDINA</t>
  </si>
  <si>
    <t>2100 Hwy 55   Medina MN 55340</t>
  </si>
  <si>
    <t>PLYMOUTH</t>
  </si>
  <si>
    <t>9955 59th Av N   Plymouth MN 55443</t>
  </si>
  <si>
    <t>Zone 2IP100BaseTX100</t>
  </si>
  <si>
    <t>HUNTSVILLE</t>
  </si>
  <si>
    <t>285 Dunlop Blvd   Huntsville AL 35801</t>
  </si>
  <si>
    <t>HUNTSVILLE-G</t>
  </si>
  <si>
    <t>CRALIDAG</t>
  </si>
  <si>
    <t>Frontier</t>
  </si>
  <si>
    <t>Zone 3A</t>
  </si>
  <si>
    <t>Zone 3AIP100BaseTX50</t>
  </si>
  <si>
    <t>SNPNIDXX</t>
  </si>
  <si>
    <t>SANDPOINT</t>
  </si>
  <si>
    <t>130 Mcghee rd   Sandpoint ID 83864</t>
  </si>
  <si>
    <t>Zone 4IP100BaseTX5</t>
  </si>
  <si>
    <t>SPIRIT LAKE</t>
  </si>
  <si>
    <t>1508 219th av   Spirit Lake IA 51360</t>
  </si>
  <si>
    <t>Zone 4IP100BaseTX30</t>
  </si>
  <si>
    <t>1900 Hwy 71   Spirit Lake IA 51360</t>
  </si>
  <si>
    <t>SHKPMNSH</t>
  </si>
  <si>
    <t>SHAKOPEE</t>
  </si>
  <si>
    <t>901 Canterbury rd S   Shakopee MN 55379</t>
  </si>
  <si>
    <t>3550 Annapolis Ln N   Plymouth MN 55447</t>
  </si>
  <si>
    <t>Zone 4IP100BaseTX20</t>
  </si>
  <si>
    <t>MILFORD</t>
  </si>
  <si>
    <t>909 4th St   Milford IA 51351</t>
  </si>
  <si>
    <t>Zone 48IP100BaseTX6</t>
  </si>
  <si>
    <t>VERMILLION</t>
  </si>
  <si>
    <t>1997 Polaris Pkwy   Vermillion SD 57069</t>
  </si>
  <si>
    <t>LD MIS InR Schedule 3/LD/LD MIS Schedule 3 (36 month term)</t>
  </si>
  <si>
    <t>Port Option</t>
  </si>
  <si>
    <t>Minimum Port Speed</t>
  </si>
  <si>
    <t>Install Type</t>
  </si>
  <si>
    <t>Router Type</t>
  </si>
  <si>
    <t>Router Config</t>
  </si>
  <si>
    <t>In or out of Region</t>
  </si>
  <si>
    <t>Vendor</t>
  </si>
  <si>
    <t>1.5 Mbps</t>
  </si>
  <si>
    <t>T1</t>
  </si>
  <si>
    <t>Tele-Install</t>
  </si>
  <si>
    <t>Customer Provided</t>
  </si>
  <si>
    <t>None</t>
  </si>
  <si>
    <t>45 Mbps</t>
  </si>
  <si>
    <t>T3</t>
  </si>
  <si>
    <t>155 Mbps</t>
  </si>
  <si>
    <t>Ethernet</t>
  </si>
  <si>
    <t>5 Mbps</t>
  </si>
  <si>
    <t>20 Mbps</t>
  </si>
  <si>
    <t>30 Mbps</t>
  </si>
  <si>
    <t>1 Gbps</t>
  </si>
  <si>
    <t>1000 Mbps</t>
  </si>
  <si>
    <t>LD MIS InR Schedule 3/LD/LD MIS Schedule 3 10Gig to 40Gig (36 month term)</t>
  </si>
  <si>
    <t>LD MIS InR Schedule 3/LD/LD MIS PNT / Options - Sched 3 (36 month term)</t>
  </si>
  <si>
    <t>LD MIS InR Schedule 3/LD/LD MIS CoS Sched 3 (36 month term)</t>
  </si>
  <si>
    <t>Australia-1</t>
  </si>
  <si>
    <t>GMIS</t>
  </si>
  <si>
    <t>554 Parramatta Rd, Ashfield, New South Wales, 2131</t>
  </si>
  <si>
    <t>Australia-2</t>
  </si>
  <si>
    <t>632 Wickham St, Fortitude Valley, Queensland, 4006</t>
  </si>
  <si>
    <t>Australia-3</t>
  </si>
  <si>
    <t>36 Grimes Ct, Derrimut, Victoria, 3030</t>
  </si>
  <si>
    <t>Australia-4</t>
  </si>
  <si>
    <t>544-548 Elizabeth St, Melbourne, Victoria, 3000</t>
  </si>
  <si>
    <t>GMIS Sao Paulo</t>
  </si>
  <si>
    <t>BR</t>
  </si>
  <si>
    <t>Brazil</t>
  </si>
  <si>
    <t>Sao Paulo</t>
  </si>
  <si>
    <t>04547-003</t>
  </si>
  <si>
    <t>Rua Gomes de Carvalho 921</t>
  </si>
  <si>
    <t>GMIS Indaiatuba</t>
  </si>
  <si>
    <t>Indaiatuba</t>
  </si>
  <si>
    <t>Hortolandia</t>
  </si>
  <si>
    <t>13347-390</t>
  </si>
  <si>
    <t>France-1</t>
  </si>
  <si>
    <t>Paris 3</t>
  </si>
  <si>
    <t>France-2</t>
  </si>
  <si>
    <t>Passy</t>
  </si>
  <si>
    <t>Paris 1</t>
  </si>
  <si>
    <t>2770 Avenue de Saint-Martin</t>
  </si>
  <si>
    <t>Griesheim</t>
  </si>
  <si>
    <t>794165_DE_GMIS-ETH_2528197_4957154</t>
  </si>
  <si>
    <t>10mbps</t>
  </si>
  <si>
    <t>Stuttgart 2</t>
  </si>
  <si>
    <t>Schoeneweibergasse 102</t>
  </si>
  <si>
    <t>Bengaluru</t>
  </si>
  <si>
    <t>Bangalore 2</t>
  </si>
  <si>
    <t>Bangalore, Karn¿taka, India</t>
  </si>
  <si>
    <t>GMIS Apodaca</t>
  </si>
  <si>
    <t>Apodaca</t>
  </si>
  <si>
    <t>Mexico City</t>
  </si>
  <si>
    <t>GMIS SanPedro</t>
  </si>
  <si>
    <t>SanPedro</t>
  </si>
  <si>
    <t>Switzerland-1</t>
  </si>
  <si>
    <t>Switzerland-2</t>
  </si>
  <si>
    <t>Rolle</t>
  </si>
  <si>
    <t>Place de l'Industrie 2</t>
  </si>
  <si>
    <t>London 2</t>
  </si>
  <si>
    <t>GMIS 201605/LD/GMIS International Locations (36 month term)</t>
  </si>
  <si>
    <t>GMIS Intl Provider</t>
  </si>
  <si>
    <t>GMIS Intl POP</t>
  </si>
  <si>
    <t>GMIS International Locations</t>
  </si>
  <si>
    <t>GMIS 201605/LD/GMIS Flat Ports (36 month term)</t>
  </si>
  <si>
    <t>Flat Port</t>
  </si>
  <si>
    <t>50 MBPS</t>
  </si>
  <si>
    <t>20 MBPS</t>
  </si>
  <si>
    <t>10 MBPS</t>
  </si>
  <si>
    <t>2 MBPS</t>
  </si>
  <si>
    <t>100 MBPS</t>
  </si>
  <si>
    <t>8 MBPS</t>
  </si>
  <si>
    <t>Select Provider</t>
  </si>
  <si>
    <t>GMIS 201605/LD/GMIS Ethernet Flex Ports (36 month term)</t>
  </si>
  <si>
    <t>Physical Port Speed</t>
  </si>
  <si>
    <t>GMIS 201605/LD/GMIS Flex Burst Ports (36 month term)</t>
  </si>
  <si>
    <t>GMIS 201605/LD/GMIS Features (36 month term)</t>
  </si>
  <si>
    <t>GMIS 201605/LD/GMIS Managed Router (36 month term)</t>
  </si>
  <si>
    <t>Report reflects data in the IMS2 as of:</t>
  </si>
  <si>
    <t>Deals saved in IMS2 before 8/15/2012 may be missing summary data.</t>
  </si>
  <si>
    <t>Effective MRC includes credits (spread over life of deal)</t>
  </si>
  <si>
    <t>Section shows revenue - all revenue values in $ USD</t>
  </si>
  <si>
    <t>INTERNAL USE ONLY - Document Not to be Shared with Customers</t>
  </si>
  <si>
    <t>Exit sub before error catcher for inventory report</t>
  </si>
  <si>
    <t>Sundaresan, Kumar</t>
  </si>
  <si>
    <t>Adjust AIS Calc function recalc for multiple products in deal</t>
  </si>
  <si>
    <t>AIS Calc:  Qualified sites marked as "NSS Costs Received" if NSS evaluated product (AISs for Non-Qual sites, or "No AIS Costs" AIS received)</t>
  </si>
  <si>
    <t>ASEoD populate prices bug fixed</t>
  </si>
  <si>
    <t>Gunderson, Lisa A</t>
  </si>
  <si>
    <t>Sun, Daniel T</t>
  </si>
  <si>
    <t>Harth, Kenneth</t>
  </si>
  <si>
    <t>Normalized for launch</t>
  </si>
  <si>
    <t>Pathangi, Praveen</t>
  </si>
  <si>
    <t>ss717x</t>
  </si>
  <si>
    <t>Added code for Project 284478-Erate on ASAP, code can be found within comment : "04/04/2017_erate_284478_code"</t>
  </si>
  <si>
    <t>ws-rome.it.att.com:8100/DSL95Web/OpportunityService</t>
  </si>
  <si>
    <t>Vitanza, Michael C</t>
  </si>
  <si>
    <t>Keltner, Jane</t>
  </si>
  <si>
    <t>LECHOCKI, JOAN-MARIE</t>
  </si>
  <si>
    <t>Williams, Vernon</t>
  </si>
  <si>
    <t xml:space="preserve">Fixed erate code for "checkfor errors" funtionality </t>
  </si>
  <si>
    <t>Unprotected strength of relationship field on customer oppty tab</t>
  </si>
  <si>
    <t>Joplin, Sean T</t>
  </si>
  <si>
    <t>Lowe, Ryan D</t>
  </si>
  <si>
    <t>PNT</t>
  </si>
  <si>
    <t>Added code for fixing erate defect 217031</t>
  </si>
  <si>
    <t>Updated file date for launch</t>
  </si>
  <si>
    <t>Dempster, Micheal L</t>
  </si>
  <si>
    <t>Slott,Kyle</t>
  </si>
  <si>
    <t>Fix discount off of existing rates for products without rates</t>
  </si>
  <si>
    <t>Norman, Terri</t>
  </si>
  <si>
    <t>Keller (McMahon), Mary</t>
  </si>
  <si>
    <t>Schmidt, Kevin</t>
  </si>
  <si>
    <t>ECAP Wholesale BOT</t>
  </si>
  <si>
    <t>Pardeshi, Kapil</t>
  </si>
  <si>
    <t>Dobies, Judith</t>
  </si>
  <si>
    <t>http://salesone.web.att.com/site/?appl=aaas&amp;builder_cd=ERATE</t>
  </si>
  <si>
    <t>Proposal FMR</t>
  </si>
  <si>
    <t>Created a new range name in the pulldowns tab (ProposalFMR).  This represents the proposal link for FMR deal rate letters.  Added this range name to the code on line 371 in the eRatesMarketMode module, CreateRL sub per this date.</t>
  </si>
  <si>
    <t>Chao, Tom S</t>
  </si>
  <si>
    <t>Colquitt, Daniel B</t>
  </si>
  <si>
    <t>Ho, Thuy T</t>
  </si>
  <si>
    <t>Lewis, Patrick M</t>
  </si>
  <si>
    <t>Messina, Anthony</t>
  </si>
  <si>
    <t>Reddy, Sirisha P</t>
  </si>
  <si>
    <t>Kearney, Kevin</t>
  </si>
  <si>
    <t>Corrected the button size error created by the 12/5 CDT.  All buttons were updated with "Lock aspect ratio" option to keep button size changes from occurring.</t>
  </si>
  <si>
    <t>Chomontowski, Mark A</t>
  </si>
  <si>
    <t>Shkut, Michael L</t>
  </si>
  <si>
    <t>Expand ASE location match with AIS to 1000 rows</t>
  </si>
  <si>
    <t>SLED</t>
  </si>
  <si>
    <t>GlobalBusiness</t>
  </si>
  <si>
    <t>$1,000</t>
  </si>
  <si>
    <t>$2,000</t>
  </si>
  <si>
    <t>$3,000</t>
  </si>
  <si>
    <t>$5,000</t>
  </si>
  <si>
    <t>$6,000</t>
  </si>
  <si>
    <t>$7,000</t>
  </si>
  <si>
    <t>$8,000</t>
  </si>
  <si>
    <t>$9,000</t>
  </si>
  <si>
    <t>$10,000</t>
  </si>
  <si>
    <t>$12,000</t>
  </si>
  <si>
    <t>$15,000</t>
  </si>
  <si>
    <t>$17,500</t>
  </si>
  <si>
    <t>$20,000</t>
  </si>
  <si>
    <t>$25,700</t>
  </si>
  <si>
    <t>$30,000</t>
  </si>
  <si>
    <t>$35,000</t>
  </si>
  <si>
    <t>$40,000</t>
  </si>
  <si>
    <t>$45,000</t>
  </si>
  <si>
    <t>$50,000</t>
  </si>
  <si>
    <t>$55,000</t>
  </si>
  <si>
    <t>$60,000</t>
  </si>
  <si>
    <t>$65,000</t>
  </si>
  <si>
    <t>$70,000</t>
  </si>
  <si>
    <t>$75,000</t>
  </si>
  <si>
    <t>$80,000</t>
  </si>
  <si>
    <t>$84,000</t>
  </si>
  <si>
    <t>$90,000</t>
  </si>
  <si>
    <t>$95,000</t>
  </si>
  <si>
    <t>$100,000</t>
  </si>
  <si>
    <t>$110,000</t>
  </si>
  <si>
    <t>$120,000</t>
  </si>
  <si>
    <t>$130,000</t>
  </si>
  <si>
    <t>$140,000</t>
  </si>
  <si>
    <t>$150,000</t>
  </si>
  <si>
    <t>$160,000</t>
  </si>
  <si>
    <t>$166,000</t>
  </si>
  <si>
    <t>$170,000</t>
  </si>
  <si>
    <t>$180,000</t>
  </si>
  <si>
    <t>$190,000</t>
  </si>
  <si>
    <t>$200,000</t>
  </si>
  <si>
    <t>$225,000</t>
  </si>
  <si>
    <t>$240,000</t>
  </si>
  <si>
    <t>$275,000</t>
  </si>
  <si>
    <t>$300,000</t>
  </si>
  <si>
    <t>$325,000</t>
  </si>
  <si>
    <t>$360,000</t>
  </si>
  <si>
    <t>$375,000</t>
  </si>
  <si>
    <t>$400,000</t>
  </si>
  <si>
    <t>$420,000</t>
  </si>
  <si>
    <t>$450,000</t>
  </si>
  <si>
    <t>$480,000</t>
  </si>
  <si>
    <t>$500,000</t>
  </si>
  <si>
    <t>$564,000</t>
  </si>
  <si>
    <t>$576,000</t>
  </si>
  <si>
    <t>$600,000</t>
  </si>
  <si>
    <t>$650,000</t>
  </si>
  <si>
    <t>$720,000</t>
  </si>
  <si>
    <t>$800,000</t>
  </si>
  <si>
    <t>$840,000</t>
  </si>
  <si>
    <t>$850,000</t>
  </si>
  <si>
    <t>$900,000</t>
  </si>
  <si>
    <t>$960,000</t>
  </si>
  <si>
    <t>$1,000,000</t>
  </si>
  <si>
    <t>$1,020,000</t>
  </si>
  <si>
    <t>$1,080,000</t>
  </si>
  <si>
    <t>$1,200,000</t>
  </si>
  <si>
    <t>$1,240,000</t>
  </si>
  <si>
    <t>$1,260,000</t>
  </si>
  <si>
    <t>$1,320,000</t>
  </si>
  <si>
    <t>$1,400,000</t>
  </si>
  <si>
    <t>$1,440,000</t>
  </si>
  <si>
    <t>$1,500,000</t>
  </si>
  <si>
    <t>$1,588,999</t>
  </si>
  <si>
    <t>$1,600,000</t>
  </si>
  <si>
    <t>$1,620,000</t>
  </si>
  <si>
    <t>$1,680,000</t>
  </si>
  <si>
    <t>$1,700,000</t>
  </si>
  <si>
    <t>$1,728,000</t>
  </si>
  <si>
    <t>$1,730,000</t>
  </si>
  <si>
    <t>$1,800,000</t>
  </si>
  <si>
    <t>$1,860,000</t>
  </si>
  <si>
    <t>$1,920,000</t>
  </si>
  <si>
    <t>$2,000,000</t>
  </si>
  <si>
    <t>$2,100,000</t>
  </si>
  <si>
    <t>$2,250,000</t>
  </si>
  <si>
    <t>$2,300,000</t>
  </si>
  <si>
    <t>$2,400,000</t>
  </si>
  <si>
    <t>$2,500,000</t>
  </si>
  <si>
    <t>$2,600,000</t>
  </si>
  <si>
    <t>$2,632,000</t>
  </si>
  <si>
    <t>$2,940,000</t>
  </si>
  <si>
    <t>$3,000,000</t>
  </si>
  <si>
    <t>$3,500,000</t>
  </si>
  <si>
    <t>$3,600,000</t>
  </si>
  <si>
    <t>$3,700,000</t>
  </si>
  <si>
    <t>$4,140,000</t>
  </si>
  <si>
    <t>$4,200,000</t>
  </si>
  <si>
    <t>$4,800,000</t>
  </si>
  <si>
    <t>$5,000,000</t>
  </si>
  <si>
    <t>$5,600,000</t>
  </si>
  <si>
    <t>$6,000,000</t>
  </si>
  <si>
    <t>$6,120,000</t>
  </si>
  <si>
    <t>$6,600,000</t>
  </si>
  <si>
    <t>$7,200,000</t>
  </si>
  <si>
    <t>$8,196,000</t>
  </si>
  <si>
    <t>$8,400,000</t>
  </si>
  <si>
    <t>$8,500,000</t>
  </si>
  <si>
    <t>$9,000,000</t>
  </si>
  <si>
    <t>$9,600,000</t>
  </si>
  <si>
    <t>$10,080,000</t>
  </si>
  <si>
    <t>$12,000,000</t>
  </si>
  <si>
    <t>$13,000,000</t>
  </si>
  <si>
    <t>$13,200,000</t>
  </si>
  <si>
    <t>$14,000,000</t>
  </si>
  <si>
    <t>$15,000,000</t>
  </si>
  <si>
    <t>$15,552,000</t>
  </si>
  <si>
    <t>$16,200,000</t>
  </si>
  <si>
    <t>$18,000,000</t>
  </si>
  <si>
    <t>$18,900,000</t>
  </si>
  <si>
    <t>$19,800,000</t>
  </si>
  <si>
    <t>$20,000,000</t>
  </si>
  <si>
    <t>$21,000,000</t>
  </si>
  <si>
    <t>$21,024,000</t>
  </si>
  <si>
    <t>$22,320,000</t>
  </si>
  <si>
    <t>$22,500,000</t>
  </si>
  <si>
    <t>$22,800,000</t>
  </si>
  <si>
    <t>$27,600,000</t>
  </si>
  <si>
    <t>$43,620,000</t>
  </si>
  <si>
    <t>$50,544,000</t>
  </si>
  <si>
    <t>$54,000,000</t>
  </si>
  <si>
    <t>$60,000,000</t>
  </si>
  <si>
    <t>$700,000</t>
  </si>
  <si>
    <t>$1,100,000</t>
  </si>
  <si>
    <t>$2,200,000</t>
  </si>
  <si>
    <t>$2,900,000</t>
  </si>
  <si>
    <t>$4,700,000</t>
  </si>
  <si>
    <t>$8,000,000</t>
  </si>
  <si>
    <t>$11,000,000</t>
  </si>
  <si>
    <t>$250</t>
  </si>
  <si>
    <t>$3,750</t>
  </si>
  <si>
    <t xml:space="preserve">$8,000 </t>
  </si>
  <si>
    <t>$33,000</t>
  </si>
  <si>
    <t>$58,000</t>
  </si>
  <si>
    <t>$91,000</t>
  </si>
  <si>
    <t>$133,000</t>
  </si>
  <si>
    <t>$183,000</t>
  </si>
  <si>
    <t>$241,000</t>
  </si>
  <si>
    <t>$308,000</t>
  </si>
  <si>
    <t>$391,000</t>
  </si>
  <si>
    <t>$666,000</t>
  </si>
  <si>
    <t>$916,000</t>
  </si>
  <si>
    <t>FinancialSolutions</t>
  </si>
  <si>
    <t>HealthcareSolutions</t>
  </si>
  <si>
    <t>ManufacturingSolutions</t>
  </si>
  <si>
    <t>RetailSolutions</t>
  </si>
  <si>
    <t>SBSRegional</t>
  </si>
  <si>
    <t>Alliance</t>
  </si>
  <si>
    <t>Select-CentralNorth</t>
  </si>
  <si>
    <t>Select-CentralSouth</t>
  </si>
  <si>
    <t>Select-GulfHeartland</t>
  </si>
  <si>
    <t>Select-Northeast</t>
  </si>
  <si>
    <t>Select-Southeast</t>
  </si>
  <si>
    <t>Select-West</t>
  </si>
  <si>
    <t>Michaely, Nicholas J</t>
  </si>
  <si>
    <t>Soogoor, Uma</t>
  </si>
  <si>
    <t>EnergySolutions</t>
  </si>
  <si>
    <t>GlobalAccountSolutions</t>
  </si>
  <si>
    <t>SelectMidMarket</t>
  </si>
  <si>
    <t>Davis, LaKendra</t>
  </si>
  <si>
    <t>Updated Product Load macro, Load top product data sub, line 433.  This turns off the certified button.  HVD users see an error on the msoTRUE setting for some reason.  Added the line from above the turns off the button if in FMO mode.  Per CSA, this is no longer used.</t>
  </si>
  <si>
    <t>Added code to remove user view of Mobility tabs for new starts.  Reloading deals continues to work with these tabs.</t>
  </si>
  <si>
    <t>PublicSector-SLED</t>
  </si>
  <si>
    <t>IndustrySolutions-East</t>
  </si>
  <si>
    <t>IndustrySolutions-West</t>
  </si>
  <si>
    <t>SystemIntegrators</t>
  </si>
  <si>
    <t>InsideSales-Service</t>
  </si>
  <si>
    <t>Boneham, Dan</t>
  </si>
  <si>
    <t>Castro, Beth</t>
  </si>
  <si>
    <t>Cardenas, Gilbert C</t>
  </si>
  <si>
    <t>La,Quan Alexander P</t>
  </si>
  <si>
    <t>Typrowicz, Todd J</t>
  </si>
  <si>
    <t>Young, Catherine</t>
  </si>
  <si>
    <t>SBS-East</t>
  </si>
  <si>
    <t>SLED-Central</t>
  </si>
  <si>
    <t>SLED-East</t>
  </si>
  <si>
    <t>SLED-West</t>
  </si>
  <si>
    <t>Wholesale-Other</t>
  </si>
  <si>
    <t>Batiste, Stacey</t>
  </si>
  <si>
    <t>Watts, Jim</t>
  </si>
  <si>
    <t>Hefflinger, Jeff</t>
  </si>
  <si>
    <t>Chawla, Rajesh</t>
  </si>
  <si>
    <t>Gwiazda, James</t>
  </si>
  <si>
    <t>Kreager, Alison</t>
  </si>
  <si>
    <t>Lantzy, Bill</t>
  </si>
  <si>
    <t xml:space="preserve">Matherne, Stephen </t>
  </si>
  <si>
    <t>Menard, Steve</t>
  </si>
  <si>
    <t>O'Bryan, Joseph</t>
  </si>
  <si>
    <t>Olson, Greg</t>
  </si>
  <si>
    <t>Thurston, Rocky</t>
  </si>
  <si>
    <t>Oatts, April</t>
  </si>
  <si>
    <t>Defina, Dominic</t>
  </si>
  <si>
    <t>Duarte, Kelley</t>
  </si>
  <si>
    <t>Hartley, Rob</t>
  </si>
  <si>
    <t>Lauer, Ralf</t>
  </si>
  <si>
    <t>Banaitis, Don</t>
  </si>
  <si>
    <t>Goodwin, Allison</t>
  </si>
  <si>
    <t>Snyder, Keith</t>
  </si>
  <si>
    <t>Tashima, Steve</t>
  </si>
  <si>
    <t>Jenkins, Mike R</t>
  </si>
  <si>
    <t>Coccio, Chris</t>
  </si>
  <si>
    <t>Melone, Jay</t>
  </si>
  <si>
    <t>Stein, Daniel</t>
  </si>
  <si>
    <t>Bagley, Jennifer</t>
  </si>
  <si>
    <t>Bollinger, John</t>
  </si>
  <si>
    <t>Colon Santiago, Maria</t>
  </si>
  <si>
    <t>Mason, Ryan</t>
  </si>
  <si>
    <t>Eifert, Bill</t>
  </si>
  <si>
    <t>Nassou, Mounir</t>
  </si>
  <si>
    <t>Caram, Meredith</t>
  </si>
  <si>
    <t>DevLD</t>
  </si>
  <si>
    <t>DevTelco</t>
  </si>
  <si>
    <t>EZ</t>
  </si>
  <si>
    <t>FedPriceLD - Federal</t>
  </si>
  <si>
    <t>removed errant hidden AIS notes tab</t>
  </si>
  <si>
    <t>Added 201606 ASE products to PAVE processing for OOR locations</t>
  </si>
  <si>
    <t>PartnerSolutions</t>
  </si>
  <si>
    <t>EBM</t>
  </si>
  <si>
    <t>chengch</t>
  </si>
  <si>
    <t>Updated clipboard class macro to reduce impacts on non-ASAP deals.</t>
  </si>
  <si>
    <t>IMS2 IT</t>
  </si>
  <si>
    <t>Reset, debugged, and updated for release</t>
  </si>
  <si>
    <t>Mossing, Tony</t>
  </si>
  <si>
    <t>Fixed kvl comment showing retired with duplicate channel names</t>
  </si>
  <si>
    <t>Marusic, Kevin</t>
  </si>
  <si>
    <t>CDT_DupFieldVals</t>
  </si>
  <si>
    <t>iTopProductID</t>
  </si>
  <si>
    <t>iLittleProductID</t>
  </si>
  <si>
    <t>sFieldName</t>
  </si>
  <si>
    <t>Alzas, Virginie</t>
  </si>
  <si>
    <t>Alliance-Central</t>
  </si>
  <si>
    <t>Alliance-East</t>
  </si>
  <si>
    <t>Alliance-West</t>
  </si>
  <si>
    <t>ES-All</t>
  </si>
  <si>
    <t>Fed-All</t>
  </si>
  <si>
    <t>FS-Acquisition</t>
  </si>
  <si>
    <t>FS-RD</t>
  </si>
  <si>
    <t>FS-SU</t>
  </si>
  <si>
    <t>GAS-All</t>
  </si>
  <si>
    <t>HS-Acquisition</t>
  </si>
  <si>
    <t>HS-RD</t>
  </si>
  <si>
    <t>HS-SU</t>
  </si>
  <si>
    <t>ISE-East-Acquisition</t>
  </si>
  <si>
    <t>ISE-East-RD</t>
  </si>
  <si>
    <t>ISE-East-SU</t>
  </si>
  <si>
    <t>ISW-West-Acquisition</t>
  </si>
  <si>
    <t>ISW-West-RD</t>
  </si>
  <si>
    <t>ISW-West-SU</t>
  </si>
  <si>
    <t>ISS-Central</t>
  </si>
  <si>
    <t>ISS-East</t>
  </si>
  <si>
    <t>ISS-West</t>
  </si>
  <si>
    <t>MS-East-Acquisition</t>
  </si>
  <si>
    <t>MS-East-RD</t>
  </si>
  <si>
    <t>MS-East-SU</t>
  </si>
  <si>
    <t>MS-West-Acquisition</t>
  </si>
  <si>
    <t>MS-West-RD</t>
  </si>
  <si>
    <t>MS-West-SU</t>
  </si>
  <si>
    <t>RS-Acquisition</t>
  </si>
  <si>
    <t>RS-RD</t>
  </si>
  <si>
    <t>RS-SU</t>
  </si>
  <si>
    <t>SI-All</t>
  </si>
  <si>
    <t>Basson, Stefan</t>
  </si>
  <si>
    <t>Updated CDT date per Steve's instructions</t>
  </si>
  <si>
    <t>Hickey, Pracy M</t>
  </si>
  <si>
    <t>Price Zone</t>
  </si>
  <si>
    <t>List Rate</t>
  </si>
  <si>
    <t>Managed</t>
  </si>
  <si>
    <t>Access Architecture</t>
  </si>
  <si>
    <t>Price Group</t>
  </si>
  <si>
    <t>Ethernet Token Id</t>
  </si>
  <si>
    <t>Mileage Group</t>
  </si>
  <si>
    <t>Mileage Type</t>
  </si>
  <si>
    <t xml:space="preserve">Chargable Miles </t>
  </si>
  <si>
    <t>Port~Access Architecture</t>
  </si>
  <si>
    <t>Port~Vendor</t>
  </si>
  <si>
    <t>Port~Price Group</t>
  </si>
  <si>
    <t>Port~Ethernet Token Id</t>
  </si>
  <si>
    <t>Port~Mileage Group</t>
  </si>
  <si>
    <t>Port~Mileage Type</t>
  </si>
  <si>
    <t xml:space="preserve">Port~Chargable Miles </t>
  </si>
  <si>
    <t>Port~Price Zone</t>
  </si>
  <si>
    <t>sAccessArchitecture</t>
  </si>
  <si>
    <t>sVendor</t>
  </si>
  <si>
    <t>sEthernetTokenId</t>
  </si>
  <si>
    <t>sPriceGroup</t>
  </si>
  <si>
    <t>sMileageGroup</t>
  </si>
  <si>
    <t>sMileageType</t>
  </si>
  <si>
    <t xml:space="preserve">sChargableMiles </t>
  </si>
  <si>
    <t>sPriceZone</t>
  </si>
  <si>
    <t>Add check of lines sent vs lines written to dabase for each product, broke up product save into batch</t>
  </si>
  <si>
    <t>Marshall, Rasheed B</t>
  </si>
  <si>
    <t>Annual</t>
  </si>
  <si>
    <t>Added all ASE products to PAVE processing for OOR locations</t>
  </si>
  <si>
    <t>3PA expansion fields</t>
  </si>
  <si>
    <t>Replaced array formulas with sumproducts</t>
  </si>
  <si>
    <t>Error check -- valid customer name</t>
  </si>
  <si>
    <t>ASEoD IR --change scenario term flows changes to ASEoD tab</t>
  </si>
  <si>
    <t>1810 3PA enhancements</t>
  </si>
  <si>
    <t>3PA:  inremented 3pa sp to v2 to adjust for sssf inputs; added wholesale 3pa prod ID; fixed single line expansion</t>
  </si>
  <si>
    <t>filter out retired CSCs</t>
  </si>
  <si>
    <t>check for retired segment/channel/Bus</t>
  </si>
  <si>
    <t>Danielson, Jush</t>
  </si>
  <si>
    <t>Roy, Racquel</t>
  </si>
  <si>
    <t>Carrera, Rich</t>
  </si>
  <si>
    <t>FCC - MW</t>
  </si>
  <si>
    <t>FCC - SW</t>
  </si>
  <si>
    <t>FCC - W</t>
  </si>
  <si>
    <t>fix recalculation of the segment/channel/BU pulldown</t>
  </si>
  <si>
    <t>GEM</t>
  </si>
  <si>
    <t>testSC</t>
  </si>
  <si>
    <t>Global</t>
  </si>
  <si>
    <t>Signature</t>
  </si>
  <si>
    <t>Hosting</t>
  </si>
  <si>
    <t>IntegratorSolutions</t>
  </si>
  <si>
    <t>ManagedServices</t>
  </si>
  <si>
    <t>Energy Solutions</t>
  </si>
  <si>
    <t>EnterpriseSolutions</t>
  </si>
  <si>
    <t>GEHS</t>
  </si>
  <si>
    <t>AltChan</t>
  </si>
  <si>
    <t>CorporateSolutions</t>
  </si>
  <si>
    <t>FTTB</t>
  </si>
  <si>
    <t>SmallBusiness</t>
  </si>
  <si>
    <t>Civilian</t>
  </si>
  <si>
    <t>Defense</t>
  </si>
  <si>
    <t>NationalSecurity</t>
  </si>
  <si>
    <t>PubSafety</t>
  </si>
  <si>
    <t>SharedServices</t>
  </si>
  <si>
    <t>SSLED</t>
  </si>
  <si>
    <t>BIS</t>
  </si>
  <si>
    <t>CBS</t>
  </si>
  <si>
    <t>LBM</t>
  </si>
  <si>
    <t>NBM</t>
  </si>
  <si>
    <t>testSalesChannel</t>
  </si>
  <si>
    <t>SysInt</t>
  </si>
  <si>
    <t>Central</t>
  </si>
  <si>
    <t>East</t>
  </si>
  <si>
    <t>West</t>
  </si>
  <si>
    <t>ACC</t>
  </si>
  <si>
    <t>AllEast</t>
  </si>
  <si>
    <t>Alliance - PCG</t>
  </si>
  <si>
    <t>Alliance - SCG</t>
  </si>
  <si>
    <t>AllWest</t>
  </si>
  <si>
    <t>AltEast</t>
  </si>
  <si>
    <t>AltWest</t>
  </si>
  <si>
    <t>Dealers</t>
  </si>
  <si>
    <t>NBM Indirect</t>
  </si>
  <si>
    <t>Outbound Telemarketing</t>
  </si>
  <si>
    <t>Vendor Solutions</t>
  </si>
  <si>
    <t>All</t>
  </si>
  <si>
    <t>Civ-All</t>
  </si>
  <si>
    <t>CS-Central</t>
  </si>
  <si>
    <t>CS-Northeast</t>
  </si>
  <si>
    <t>CS-Southeast</t>
  </si>
  <si>
    <t>CS-West</t>
  </si>
  <si>
    <t>Def-All</t>
  </si>
  <si>
    <t>ES-Central</t>
  </si>
  <si>
    <t>ES-Northeast</t>
  </si>
  <si>
    <t>ES-Southeast</t>
  </si>
  <si>
    <t>ES-West</t>
  </si>
  <si>
    <t>Is this a K-12 school or library?</t>
  </si>
  <si>
    <t>RD</t>
  </si>
  <si>
    <t>SU</t>
  </si>
  <si>
    <t>FTTB-BIS/RLBM</t>
  </si>
  <si>
    <t>FTTB-Central</t>
  </si>
  <si>
    <t>FTTB-GEM</t>
  </si>
  <si>
    <t>FTTB-NBM</t>
  </si>
  <si>
    <t>FTTB-NE</t>
  </si>
  <si>
    <t>FTTB-PCG Acquisition</t>
  </si>
  <si>
    <t>FTTB-PCG Enterprise &amp; Mid</t>
  </si>
  <si>
    <t>FTTB-SCG</t>
  </si>
  <si>
    <t>FTTB-SE</t>
  </si>
  <si>
    <t>FTTB-West</t>
  </si>
  <si>
    <t>Education</t>
  </si>
  <si>
    <t>Govt-East</t>
  </si>
  <si>
    <t>Govt-West</t>
  </si>
  <si>
    <t>Healthcare</t>
  </si>
  <si>
    <t>GEd East</t>
  </si>
  <si>
    <t>GEd West</t>
  </si>
  <si>
    <t>NGEM</t>
  </si>
  <si>
    <t>East-Acquisition</t>
  </si>
  <si>
    <t>East-RD</t>
  </si>
  <si>
    <t>East-SU</t>
  </si>
  <si>
    <t>West-Acquisition</t>
  </si>
  <si>
    <t>West-RD</t>
  </si>
  <si>
    <t>West-SU</t>
  </si>
  <si>
    <t>LGEM</t>
  </si>
  <si>
    <t>LGEM-Central</t>
  </si>
  <si>
    <t>LGEM-NE</t>
  </si>
  <si>
    <t>LGEM-SE</t>
  </si>
  <si>
    <t>LGEM-West</t>
  </si>
  <si>
    <t>NS-All</t>
  </si>
  <si>
    <t>NBM Acquisition East</t>
  </si>
  <si>
    <t>NBM Acquisition West</t>
  </si>
  <si>
    <t>NBM MW</t>
  </si>
  <si>
    <t>NBM SE</t>
  </si>
  <si>
    <t>NBM SW</t>
  </si>
  <si>
    <t>NBM West</t>
  </si>
  <si>
    <t>Indirect-Alt Channel</t>
  </si>
  <si>
    <t>Mid-Atlantic-Gross,Forst</t>
  </si>
  <si>
    <t>Mid-Atlantic-Marusic,Forst</t>
  </si>
  <si>
    <t>Mid-Atlantic-McGirr,Forst</t>
  </si>
  <si>
    <t>Mid-Atlantic-Roche,Forst</t>
  </si>
  <si>
    <t>Mid-Atlantic-Vannett,Forst</t>
  </si>
  <si>
    <t>Mid-Atlantic-Wilson,Alvarado</t>
  </si>
  <si>
    <t>MW-Cleek,Alvarado</t>
  </si>
  <si>
    <t>MW-Menning,Alvarado</t>
  </si>
  <si>
    <t>MW-Mulherrin,Alvarado</t>
  </si>
  <si>
    <t>MW-Schwarz,Alvarado</t>
  </si>
  <si>
    <t xml:space="preserve">NE-Hollmer,McClung </t>
  </si>
  <si>
    <t>NE-Murphy,Mcclung</t>
  </si>
  <si>
    <t>NE-Ryan,Mcclung</t>
  </si>
  <si>
    <t>NE-Sheehan,Mcclung</t>
  </si>
  <si>
    <t>NE-Towle,Mcclung</t>
  </si>
  <si>
    <t>SE-Boza,McClung</t>
  </si>
  <si>
    <t>SE-Fike,McClung</t>
  </si>
  <si>
    <t>SE-Swift,McClung</t>
  </si>
  <si>
    <t>SW-Eckert,Forst</t>
  </si>
  <si>
    <t>SW-Galyon,Forst</t>
  </si>
  <si>
    <t>SW-Hayes,Forst</t>
  </si>
  <si>
    <t>SW-Hazard,Forst</t>
  </si>
  <si>
    <t>SW-Merritt,Forst</t>
  </si>
  <si>
    <t>West-Atkinson,Henry</t>
  </si>
  <si>
    <t>West-Decker-Adams,Henry</t>
  </si>
  <si>
    <t>West-Hussain,Henry</t>
  </si>
  <si>
    <t>West-MacDonald,Henry</t>
  </si>
  <si>
    <t>West-MacDonald,Stovall</t>
  </si>
  <si>
    <t>PS-All</t>
  </si>
  <si>
    <t>SS-All</t>
  </si>
  <si>
    <t>SCG</t>
  </si>
  <si>
    <t>SBS-NE</t>
  </si>
  <si>
    <t>SBS-SE</t>
  </si>
  <si>
    <t>SSLED-East</t>
  </si>
  <si>
    <t>SSLED-West</t>
  </si>
  <si>
    <t>SYSInte</t>
  </si>
  <si>
    <t>testBU3</t>
  </si>
  <si>
    <t>testBU</t>
  </si>
  <si>
    <t>Cable</t>
  </si>
  <si>
    <t>Content</t>
  </si>
  <si>
    <t>ISP</t>
  </si>
  <si>
    <t>Saab, Maher</t>
  </si>
  <si>
    <t>Scott, Kimberly</t>
  </si>
  <si>
    <t>Benton, Marianne</t>
  </si>
  <si>
    <t>Boza, Rosa Marie</t>
  </si>
  <si>
    <t>Desimone, Savid</t>
  </si>
  <si>
    <t>Richardson, Russ</t>
  </si>
  <si>
    <t>Hombre, Test</t>
  </si>
  <si>
    <t>Walsh, Daniel T</t>
  </si>
  <si>
    <t>Frederiksen, John</t>
  </si>
  <si>
    <t>Pelayo, Hector</t>
  </si>
  <si>
    <t>Test, VP</t>
  </si>
  <si>
    <t>Plutt, Phillip</t>
  </si>
  <si>
    <t>Concepcion, Ana</t>
  </si>
  <si>
    <t>Fisher, Ken</t>
  </si>
  <si>
    <t>Passmore, Kathy</t>
  </si>
  <si>
    <t>testSalesVP</t>
  </si>
  <si>
    <t>test, mr</t>
  </si>
  <si>
    <t>Matar, Jorge</t>
  </si>
  <si>
    <t>McCrary, Michael T</t>
  </si>
  <si>
    <t>Wen, Peter</t>
  </si>
  <si>
    <t>Updated Voltage module, createvoltagerl sub, line 403 to point to the right site per John Shin.  The previous URL is stored below and commented out.</t>
  </si>
  <si>
    <t>Gray, Chris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</si>
</sst>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6">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_(&quot;$&quot;* #,##0_);_(&quot;$&quot;* \(#,##0\);_(&quot;$&quot;* &quot;-&quot;??_);_(@_)"/>
    <numFmt numFmtId="165" formatCode="0;;"/>
    <numFmt numFmtId="166" formatCode="mm/dd/yy;@"/>
    <numFmt numFmtId="167" formatCode="0.0%"/>
    <numFmt numFmtId="168" formatCode="#,##0.0"/>
    <numFmt numFmtId="169" formatCode="&quot;$&quot;\ #,##0"/>
    <numFmt numFmtId="170" formatCode="&quot;$&quot;#,##0"/>
    <numFmt numFmtId="171" formatCode="#0_);\(#0\)"/>
    <numFmt numFmtId="172" formatCode="_(* #,##0_);_(* \(#,##0\);_(* &quot;-&quot;??_);_(@_)"/>
    <numFmt numFmtId="173" formatCode="&quot;$&quot;#,##0.00"/>
    <numFmt numFmtId="174" formatCode="&quot;$&quot;\ #,##0.00_);[Red]\(&quot;$&quot;\ #,##0.00\);\-_)"/>
    <numFmt numFmtId="175" formatCode="#,##0;\-#,##0;\-"/>
    <numFmt numFmtId="176" formatCode="&quot;$&quot;\ #,##0_);[Red]\(&quot;$&quot;\ #,##0\);\-_)"/>
    <numFmt numFmtId="177" formatCode="[=0]\-;[=0.0000001]&quot;Growth&quot;;#,##0"/>
    <numFmt numFmtId="178" formatCode="m/d/yy;@"/>
    <numFmt numFmtId="179" formatCode="#,##0.000_);\(#,##0.000\)"/>
    <numFmt numFmtId="180" formatCode="[$-409]h:mm\ AM/PM;@"/>
    <numFmt numFmtId="181" formatCode="[$$-409]\ #,##0.00"/>
    <numFmt numFmtId="182" formatCode="#0%_);\(#0%\)"/>
    <numFmt numFmtId="183" formatCode="#,##0.00%"/>
  </numFmts>
  <fonts count="147">
    <font>
      <sz val="10"/>
      <name val="Arial"/>
    </font>
    <font>
      <sz val="11"/>
      <color theme="1"/>
      <name val="Calibri"/>
      <family val="2"/>
      <scheme val="minor"/>
    </font>
    <font>
      <sz val="10"/>
      <name val="Arial"/>
      <family val="2"/>
    </font>
    <font>
      <sz val="8"/>
      <name val="Arial"/>
      <family val="2"/>
    </font>
    <font>
      <b/>
      <sz val="10"/>
      <name val="Arial"/>
      <family val="2"/>
    </font>
    <font>
      <b/>
      <sz val="8"/>
      <name val="Arial"/>
      <family val="2"/>
    </font>
    <font>
      <b/>
      <sz val="12"/>
      <color indexed="12"/>
      <name val="Arial"/>
      <family val="2"/>
    </font>
    <font>
      <b/>
      <sz val="10"/>
      <color indexed="10"/>
      <name val="Arial"/>
      <family val="2"/>
    </font>
    <font>
      <b/>
      <sz val="12"/>
      <color indexed="10"/>
      <name val="Arial"/>
      <family val="2"/>
    </font>
    <font>
      <sz val="10"/>
      <color indexed="12"/>
      <name val="Arial"/>
      <family val="2"/>
    </font>
    <font>
      <sz val="9"/>
      <name val="Arial"/>
      <family val="2"/>
    </font>
    <font>
      <sz val="10"/>
      <color indexed="42"/>
      <name val="Arial"/>
      <family val="2"/>
    </font>
    <font>
      <i/>
      <sz val="8"/>
      <name val="Arial"/>
      <family val="2"/>
    </font>
    <font>
      <sz val="8"/>
      <name val="Arial"/>
      <family val="2"/>
    </font>
    <font>
      <b/>
      <sz val="11"/>
      <color indexed="12"/>
      <name val="Arial"/>
      <family val="2"/>
    </font>
    <font>
      <b/>
      <sz val="8"/>
      <name val="Arial"/>
      <family val="2"/>
    </font>
    <font>
      <b/>
      <sz val="9"/>
      <name val="Arial"/>
      <family val="2"/>
    </font>
    <font>
      <b/>
      <sz val="9"/>
      <name val="Arial"/>
      <family val="2"/>
    </font>
    <font>
      <b/>
      <sz val="10"/>
      <color indexed="12"/>
      <name val="Arial"/>
      <family val="2"/>
    </font>
    <font>
      <sz val="9"/>
      <name val="Arial"/>
      <family val="2"/>
    </font>
    <font>
      <sz val="8"/>
      <color indexed="42"/>
      <name val="Arial"/>
      <family val="2"/>
    </font>
    <font>
      <sz val="10"/>
      <color indexed="55"/>
      <name val="Arial"/>
      <family val="2"/>
    </font>
    <font>
      <b/>
      <sz val="10"/>
      <color indexed="55"/>
      <name val="Arial"/>
      <family val="2"/>
    </font>
    <font>
      <sz val="10"/>
      <color indexed="12"/>
      <name val="Arial"/>
      <family val="2"/>
    </font>
    <font>
      <b/>
      <sz val="8"/>
      <color indexed="81"/>
      <name val="Tahoma"/>
      <family val="2"/>
    </font>
    <font>
      <sz val="8"/>
      <color indexed="81"/>
      <name val="Tahoma"/>
      <family val="2"/>
    </font>
    <font>
      <sz val="8"/>
      <color indexed="22"/>
      <name val="Arial"/>
      <family val="2"/>
    </font>
    <font>
      <sz val="10"/>
      <color indexed="9"/>
      <name val="Arial"/>
      <family val="2"/>
    </font>
    <font>
      <b/>
      <sz val="10"/>
      <color indexed="10"/>
      <name val="Arial"/>
      <family val="2"/>
    </font>
    <font>
      <sz val="10"/>
      <name val="Arial"/>
      <family val="2"/>
    </font>
    <font>
      <b/>
      <sz val="10"/>
      <color rgb="FFFF0000"/>
      <name val="Arial"/>
      <family val="2"/>
    </font>
    <font>
      <sz val="12"/>
      <name val="Arial"/>
      <family val="2"/>
    </font>
    <font>
      <b/>
      <sz val="12"/>
      <name val="Arial"/>
      <family val="2"/>
    </font>
    <font>
      <u/>
      <sz val="10"/>
      <color theme="10"/>
      <name val="Arial"/>
      <family val="2"/>
    </font>
    <font>
      <b/>
      <sz val="9"/>
      <color indexed="12"/>
      <name val="Arial"/>
      <family val="2"/>
    </font>
    <font>
      <b/>
      <sz val="16"/>
      <name val="Arial"/>
      <family val="2"/>
    </font>
    <font>
      <b/>
      <sz val="11"/>
      <name val="Arial"/>
      <family val="2"/>
    </font>
    <font>
      <b/>
      <sz val="16"/>
      <color rgb="FFFF0000"/>
      <name val="Arial"/>
      <family val="2"/>
    </font>
    <font>
      <sz val="9"/>
      <color indexed="12"/>
      <name val="Arial"/>
      <family val="2"/>
    </font>
    <font>
      <b/>
      <sz val="16"/>
      <color indexed="12"/>
      <name val="Arial"/>
      <family val="2"/>
    </font>
    <font>
      <b/>
      <sz val="12"/>
      <color rgb="FFFF0000"/>
      <name val="Arial"/>
      <family val="2"/>
    </font>
    <font>
      <i/>
      <sz val="10"/>
      <name val="Arial"/>
      <family val="2"/>
    </font>
    <font>
      <sz val="10"/>
      <color rgb="FFFF0000"/>
      <name val="Arial"/>
      <family val="2"/>
    </font>
    <font>
      <i/>
      <sz val="10"/>
      <color rgb="FFFF0000"/>
      <name val="Arial"/>
      <family val="2"/>
    </font>
    <font>
      <sz val="9"/>
      <color rgb="FFFF0000"/>
      <name val="Arial"/>
      <family val="2"/>
    </font>
    <font>
      <b/>
      <u/>
      <sz val="10"/>
      <name val="Arial"/>
      <family val="2"/>
    </font>
    <font>
      <b/>
      <sz val="8"/>
      <color indexed="53"/>
      <name val="Tahoma"/>
      <family val="2"/>
    </font>
    <font>
      <sz val="9"/>
      <color indexed="81"/>
      <name val="Tahoma"/>
      <family val="2"/>
    </font>
    <font>
      <b/>
      <sz val="12"/>
      <color rgb="FF0066FF"/>
      <name val="Arial"/>
      <family val="2"/>
    </font>
    <font>
      <sz val="11"/>
      <name val="Arial"/>
      <family val="2"/>
    </font>
    <font>
      <b/>
      <sz val="11"/>
      <name val="Arial Narrow"/>
      <family val="2"/>
    </font>
    <font>
      <b/>
      <sz val="10"/>
      <name val="Arial Narrow"/>
      <family val="2"/>
    </font>
    <font>
      <sz val="11"/>
      <color indexed="22"/>
      <name val="Arial"/>
      <family val="2"/>
    </font>
    <font>
      <b/>
      <sz val="18"/>
      <name val="Arial"/>
      <family val="2"/>
    </font>
    <font>
      <sz val="18"/>
      <name val="Arial"/>
      <family val="2"/>
    </font>
    <font>
      <sz val="10"/>
      <color indexed="10"/>
      <name val="Arial"/>
      <family val="2"/>
    </font>
    <font>
      <sz val="9"/>
      <name val="Geneva"/>
      <family val="2"/>
    </font>
    <font>
      <b/>
      <sz val="8"/>
      <name val="Geneva"/>
      <family val="2"/>
    </font>
    <font>
      <b/>
      <sz val="11"/>
      <name val="Geneva"/>
      <family val="2"/>
    </font>
    <font>
      <sz val="11"/>
      <name val="Geneva"/>
      <family val="2"/>
    </font>
    <font>
      <b/>
      <sz val="9"/>
      <name val="Geneva"/>
      <family val="2"/>
    </font>
    <font>
      <sz val="10"/>
      <color theme="0"/>
      <name val="Arial"/>
      <family val="2"/>
    </font>
    <font>
      <b/>
      <i/>
      <sz val="10"/>
      <name val="Arial"/>
      <family val="2"/>
    </font>
    <font>
      <b/>
      <i/>
      <sz val="12"/>
      <name val="Arial"/>
      <family val="2"/>
    </font>
    <font>
      <b/>
      <sz val="10"/>
      <color theme="0" tint="-0.499984740745262"/>
      <name val="Arial"/>
      <family val="2"/>
    </font>
    <font>
      <b/>
      <sz val="9"/>
      <color theme="0" tint="-0.499984740745262"/>
      <name val="Arial"/>
      <family val="2"/>
    </font>
    <font>
      <sz val="11"/>
      <color rgb="FF9C6500"/>
      <name val="Calibri"/>
      <family val="2"/>
      <scheme val="minor"/>
    </font>
    <font>
      <sz val="11"/>
      <color theme="1"/>
      <name val="Arial"/>
      <family val="2"/>
    </font>
    <font>
      <sz val="20"/>
      <name val="Arial"/>
      <family val="2"/>
    </font>
    <font>
      <i/>
      <sz val="11"/>
      <color theme="1"/>
      <name val="Arial"/>
      <family val="2"/>
    </font>
    <font>
      <b/>
      <sz val="11"/>
      <color indexed="10"/>
      <name val="Calibri"/>
      <family val="2"/>
      <scheme val="minor"/>
    </font>
    <font>
      <b/>
      <sz val="11"/>
      <color indexed="12"/>
      <name val="Calibri"/>
      <family val="2"/>
      <scheme val="minor"/>
    </font>
    <font>
      <sz val="10"/>
      <color theme="1"/>
      <name val="Arial"/>
      <family val="2"/>
    </font>
    <font>
      <sz val="9"/>
      <color theme="1"/>
      <name val="Arial"/>
      <family val="2"/>
    </font>
    <font>
      <b/>
      <sz val="10"/>
      <color indexed="9"/>
      <name val="Arial"/>
      <family val="2"/>
    </font>
    <font>
      <sz val="11"/>
      <color rgb="FF9C0006"/>
      <name val="Calibri"/>
      <family val="2"/>
      <scheme val="minor"/>
    </font>
    <font>
      <sz val="10"/>
      <color rgb="FF000000"/>
      <name val="Arial"/>
      <family val="2"/>
    </font>
    <font>
      <b/>
      <sz val="11"/>
      <color rgb="FF008000"/>
      <name val="Arial"/>
      <family val="2"/>
    </font>
    <font>
      <sz val="10"/>
      <color rgb="FF008000"/>
      <name val="Arial"/>
      <family val="2"/>
    </font>
    <font>
      <b/>
      <sz val="10"/>
      <color rgb="FF000000"/>
      <name val="Arial"/>
      <family val="2"/>
    </font>
    <font>
      <sz val="8"/>
      <color rgb="FF000000"/>
      <name val="Tahoma"/>
      <family val="2"/>
    </font>
    <font>
      <b/>
      <sz val="12"/>
      <color rgb="FF008000"/>
      <name val="Arial"/>
      <family val="2"/>
    </font>
    <font>
      <b/>
      <sz val="10"/>
      <color rgb="FF993300"/>
      <name val="Arial"/>
      <family val="2"/>
    </font>
    <font>
      <b/>
      <sz val="9"/>
      <color indexed="81"/>
      <name val="Tahoma"/>
      <family val="2"/>
    </font>
    <font>
      <sz val="9"/>
      <color rgb="FF000000"/>
      <name val="Arial"/>
      <family val="2"/>
    </font>
    <font>
      <b/>
      <sz val="12"/>
      <color rgb="FF000000"/>
      <name val="Arial"/>
      <family val="2"/>
    </font>
    <font>
      <i/>
      <sz val="10"/>
      <color theme="0" tint="-0.499984740745262"/>
      <name val="Arial"/>
      <family val="2"/>
    </font>
    <font>
      <sz val="10"/>
      <color theme="0" tint="-0.499984740745262"/>
      <name val="Arial"/>
      <family val="2"/>
    </font>
    <font>
      <b/>
      <sz val="8"/>
      <color indexed="42"/>
      <name val="Arial"/>
      <family val="2"/>
    </font>
    <font>
      <b/>
      <sz val="14"/>
      <name val="Arial"/>
      <family val="2"/>
    </font>
    <font>
      <sz val="10"/>
      <color theme="1"/>
      <name val="Calibri"/>
      <family val="2"/>
      <scheme val="minor"/>
    </font>
    <font>
      <sz val="10"/>
      <name val="Calibri"/>
      <family val="2"/>
      <scheme val="minor"/>
    </font>
    <font>
      <b/>
      <sz val="10"/>
      <color theme="1"/>
      <name val="Calibri"/>
      <family val="2"/>
      <scheme val="minor"/>
    </font>
    <font>
      <b/>
      <sz val="10"/>
      <name val="Calibri"/>
      <family val="2"/>
      <scheme val="minor"/>
    </font>
    <font>
      <b/>
      <sz val="8.5"/>
      <color rgb="FFFF0000"/>
      <name val="Arial"/>
      <family val="2"/>
    </font>
    <font>
      <b/>
      <sz val="9"/>
      <color rgb="FFC00000"/>
      <name val="Arial"/>
      <family val="2"/>
    </font>
    <font>
      <b/>
      <sz val="10"/>
      <color rgb="FFC00000"/>
      <name val="Arial"/>
      <family val="2"/>
    </font>
    <font>
      <b/>
      <sz val="10"/>
      <color theme="5"/>
      <name val="Arial"/>
      <family val="2"/>
    </font>
    <font>
      <sz val="8"/>
      <color rgb="FFFF0000"/>
      <name val="Arial"/>
      <family val="2"/>
    </font>
    <font>
      <sz val="9"/>
      <color rgb="FF000000"/>
      <name val="Arial Narrow"/>
      <family val="2"/>
    </font>
    <font>
      <sz val="8"/>
      <name val="Arial Narrow"/>
      <family val="2"/>
    </font>
    <font>
      <sz val="10"/>
      <color theme="4" tint="-0.249977111117893"/>
      <name val="Arial Narrow"/>
      <family val="2"/>
    </font>
    <font>
      <sz val="10"/>
      <color theme="3"/>
      <name val="Arial Narrow"/>
      <family val="2"/>
    </font>
    <font>
      <sz val="10"/>
      <color rgb="FFFF0000"/>
      <name val="Arial Narrow"/>
      <family val="2"/>
    </font>
    <font>
      <sz val="10"/>
      <color rgb="FF000000"/>
      <name val="Arial Narrow"/>
      <family val="2"/>
    </font>
    <font>
      <b/>
      <i/>
      <sz val="14"/>
      <color rgb="FFC00000"/>
      <name val="Arial"/>
      <family val="2"/>
    </font>
    <font>
      <sz val="14"/>
      <name val="Arial"/>
      <family val="2"/>
    </font>
    <font>
      <b/>
      <sz val="11"/>
      <color rgb="FFFF0000"/>
      <name val="Arial"/>
      <family val="2"/>
    </font>
    <font>
      <b/>
      <u/>
      <sz val="11"/>
      <color rgb="FFFF0000"/>
      <name val="Arial"/>
      <family val="2"/>
    </font>
    <font>
      <b/>
      <sz val="10"/>
      <color rgb="FF008000"/>
      <name val="Arial"/>
      <family val="2"/>
    </font>
    <font>
      <b/>
      <sz val="12"/>
      <color rgb="FF00CC00"/>
      <name val="Arial"/>
      <family val="2"/>
    </font>
    <font>
      <b/>
      <sz val="11"/>
      <color rgb="FF00CC00"/>
      <name val="Arial"/>
      <family val="2"/>
    </font>
    <font>
      <b/>
      <sz val="10"/>
      <color rgb="FF00CC00"/>
      <name val="Arial"/>
      <family val="2"/>
    </font>
    <font>
      <sz val="10"/>
      <color rgb="FF0000FF"/>
      <name val="Arial"/>
      <family val="2"/>
    </font>
    <font>
      <sz val="10"/>
      <name val="Arial"/>
      <family val="2"/>
    </font>
    <font>
      <b/>
      <sz val="10"/>
      <color rgb="FF0000FF"/>
      <name val="Arial"/>
      <family val="2"/>
    </font>
    <font>
      <b/>
      <sz val="10"/>
      <color theme="0"/>
      <name val="Arial"/>
      <family val="2"/>
    </font>
    <font>
      <b/>
      <i/>
      <sz val="9"/>
      <color rgb="FFFF0000"/>
      <name val="Arial"/>
      <family val="2"/>
    </font>
    <font>
      <b/>
      <sz val="11"/>
      <color theme="1"/>
      <name val="Calibri"/>
      <family val="2"/>
      <scheme val="minor"/>
    </font>
    <font>
      <b/>
      <sz val="18"/>
      <color theme="1"/>
      <name val="Calibri"/>
      <family val="2"/>
      <scheme val="minor"/>
    </font>
    <font>
      <b/>
      <sz val="11"/>
      <color theme="0"/>
      <name val="Calibri"/>
      <family val="2"/>
      <scheme val="minor"/>
    </font>
    <font>
      <sz val="11"/>
      <name val="Calibri"/>
      <family val="2"/>
    </font>
    <font>
      <u/>
      <sz val="10"/>
      <name val="Arial"/>
      <family val="2"/>
    </font>
    <font>
      <sz val="8"/>
      <color rgb="FF008000"/>
      <name val="Arial"/>
      <family val="2"/>
    </font>
    <font>
      <b/>
      <sz val="11"/>
      <color rgb="FFFA7D00"/>
      <name val="Calibri"/>
      <family val="2"/>
      <scheme val="minor"/>
    </font>
    <font>
      <b/>
      <sz val="9"/>
      <color rgb="FF000000"/>
      <name val="Arial"/>
      <family val="2"/>
    </font>
    <font>
      <sz val="10"/>
      <color rgb="FFCCFFCC"/>
      <name val="Arial"/>
      <family val="2"/>
    </font>
    <font>
      <sz val="8"/>
      <color rgb="FFCCFFCC"/>
      <name val="Arial"/>
      <family val="2"/>
    </font>
    <font>
      <b/>
      <sz val="10"/>
      <color theme="4"/>
      <name val="Arial"/>
      <family val="2"/>
    </font>
    <font>
      <b/>
      <sz val="9"/>
      <name val="Arial Narrow"/>
      <family val="2"/>
    </font>
    <font>
      <sz val="9"/>
      <color indexed="10"/>
      <name val="Arial"/>
      <family val="2"/>
    </font>
    <font>
      <sz val="9"/>
      <color theme="0" tint="-0.249977111117893"/>
      <name val="Arial"/>
      <family val="2"/>
    </font>
    <font>
      <sz val="9"/>
      <name val="Arial Narrow"/>
      <family val="2"/>
    </font>
    <font>
      <b/>
      <sz val="8"/>
      <color theme="0"/>
      <name val="Arial"/>
      <family val="2"/>
    </font>
    <font>
      <sz val="8"/>
      <color theme="0"/>
      <name val="Arial"/>
      <family val="2"/>
    </font>
    <font>
      <sz val="10"/>
      <name val="Arial"/>
      <family val="2"/>
    </font>
    <font>
      <b/>
      <sz val="9"/>
      <name val="Arial"/>
      <family val="2"/>
    </font>
    <font>
      <sz val="8"/>
      <name val="Arial"/>
      <family val="2"/>
    </font>
    <font>
      <b/>
      <sz val="9"/>
      <color rgb="FFFF0000"/>
      <name val="Arial"/>
      <family val="2"/>
    </font>
    <font>
      <b/>
      <sz val="10"/>
      <color indexed="10"/>
      <name val="Arial"/>
      <family val="2"/>
    </font>
    <font>
      <sz val="9"/>
      <name val="Arial"/>
      <family val="2"/>
    </font>
    <font>
      <b/>
      <sz val="8"/>
      <name val="Arial Narrow"/>
      <family val="2"/>
    </font>
    <font>
      <b/>
      <sz val="8"/>
      <name val="Arial"/>
      <family val="2"/>
    </font>
    <font>
      <b/>
      <sz val="10"/>
      <color theme="0"/>
      <name val="Arial"/>
      <family val="2"/>
    </font>
    <font>
      <b/>
      <sz val="10"/>
      <color rgb="FFFF0000"/>
      <name val="Arial"/>
      <family val="2"/>
    </font>
    <font>
      <i/>
      <sz val="10"/>
      <color theme="0" tint="-0.249977111117893"/>
      <name val="Arial"/>
      <family val="2"/>
    </font>
    <font>
      <b/>
      <sz val="12"/>
      <color rgb="FF993366"/>
      <name val="Arial"/>
      <family val="2"/>
    </font>
  </fonts>
  <fills count="49">
    <fill>
      <patternFill patternType="none"/>
    </fill>
    <fill>
      <patternFill patternType="gray125"/>
    </fill>
    <fill>
      <patternFill patternType="solid">
        <fgColor indexed="43"/>
        <bgColor indexed="64"/>
      </patternFill>
    </fill>
    <fill>
      <patternFill patternType="solid">
        <fgColor indexed="42"/>
        <bgColor indexed="64"/>
      </patternFill>
    </fill>
    <fill>
      <patternFill patternType="solid">
        <fgColor indexed="9"/>
        <bgColor indexed="64"/>
      </patternFill>
    </fill>
    <fill>
      <patternFill patternType="solid">
        <fgColor indexed="22"/>
        <bgColor indexed="64"/>
      </patternFill>
    </fill>
    <fill>
      <patternFill patternType="solid">
        <fgColor indexed="13"/>
        <bgColor indexed="64"/>
      </patternFill>
    </fill>
    <fill>
      <patternFill patternType="solid">
        <fgColor indexed="41"/>
        <bgColor indexed="64"/>
      </patternFill>
    </fill>
    <fill>
      <patternFill patternType="solid">
        <fgColor indexed="47"/>
        <bgColor indexed="64"/>
      </patternFill>
    </fill>
    <fill>
      <patternFill patternType="solid">
        <fgColor indexed="46"/>
        <bgColor indexed="64"/>
      </patternFill>
    </fill>
    <fill>
      <patternFill patternType="solid">
        <fgColor indexed="24"/>
        <bgColor indexed="64"/>
      </patternFill>
    </fill>
    <fill>
      <patternFill patternType="solid">
        <fgColor indexed="31"/>
        <bgColor indexed="64"/>
      </patternFill>
    </fill>
    <fill>
      <patternFill patternType="solid">
        <fgColor indexed="26"/>
        <bgColor indexed="64"/>
      </patternFill>
    </fill>
    <fill>
      <patternFill patternType="solid">
        <fgColor indexed="44"/>
        <bgColor indexed="64"/>
      </patternFill>
    </fill>
    <fill>
      <patternFill patternType="solid">
        <fgColor indexed="65"/>
        <bgColor indexed="64"/>
      </patternFill>
    </fill>
    <fill>
      <patternFill patternType="solid">
        <fgColor indexed="8"/>
        <bgColor indexed="64"/>
      </patternFill>
    </fill>
    <fill>
      <patternFill patternType="solid">
        <fgColor rgb="FFFFFF00"/>
        <bgColor indexed="64"/>
      </patternFill>
    </fill>
    <fill>
      <patternFill patternType="solid">
        <fgColor rgb="FFFFFF99"/>
        <bgColor indexed="64"/>
      </patternFill>
    </fill>
    <fill>
      <patternFill patternType="solid">
        <fgColor theme="0"/>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rgb="FFFFFFCC"/>
        <bgColor indexed="64"/>
      </patternFill>
    </fill>
    <fill>
      <patternFill patternType="solid">
        <fgColor rgb="FFCCFFCC"/>
        <bgColor indexed="64"/>
      </patternFill>
    </fill>
    <fill>
      <patternFill patternType="solid">
        <fgColor theme="3" tint="0.59999389629810485"/>
        <bgColor indexed="64"/>
      </patternFill>
    </fill>
    <fill>
      <patternFill patternType="solid">
        <fgColor rgb="FFFFC000"/>
        <bgColor indexed="64"/>
      </patternFill>
    </fill>
    <fill>
      <patternFill patternType="solid">
        <fgColor theme="0" tint="-0.24994659260841701"/>
        <bgColor indexed="64"/>
      </patternFill>
    </fill>
    <fill>
      <patternFill patternType="solid">
        <fgColor theme="0" tint="-0.249977111117893"/>
        <bgColor indexed="64"/>
      </patternFill>
    </fill>
    <fill>
      <patternFill patternType="solid">
        <fgColor theme="5" tint="0.39997558519241921"/>
        <bgColor indexed="64"/>
      </patternFill>
    </fill>
    <fill>
      <patternFill patternType="solid">
        <fgColor indexed="51"/>
        <bgColor indexed="64"/>
      </patternFill>
    </fill>
    <fill>
      <patternFill patternType="solid">
        <fgColor rgb="FFFFEB9C"/>
      </patternFill>
    </fill>
    <fill>
      <patternFill patternType="solid">
        <fgColor indexed="47"/>
      </patternFill>
    </fill>
    <fill>
      <patternFill patternType="solid">
        <fgColor indexed="43"/>
      </patternFill>
    </fill>
    <fill>
      <patternFill patternType="solid">
        <fgColor indexed="41"/>
      </patternFill>
    </fill>
    <fill>
      <patternFill patternType="solid">
        <fgColor rgb="FFC6EFCE"/>
      </patternFill>
    </fill>
    <fill>
      <patternFill patternType="solid">
        <fgColor rgb="FFD9D9D9"/>
        <bgColor indexed="64"/>
      </patternFill>
    </fill>
    <fill>
      <patternFill patternType="solid">
        <fgColor rgb="FFFFFFFF"/>
        <bgColor indexed="64"/>
      </patternFill>
    </fill>
    <fill>
      <patternFill patternType="solid">
        <fgColor rgb="FF99CCFF"/>
        <bgColor indexed="64"/>
      </patternFill>
    </fill>
    <fill>
      <patternFill patternType="solid">
        <fgColor rgb="FF92D050"/>
        <bgColor indexed="64"/>
      </patternFill>
    </fill>
    <fill>
      <patternFill patternType="solid">
        <fgColor theme="7" tint="0.39997558519241921"/>
        <bgColor indexed="64"/>
      </patternFill>
    </fill>
    <fill>
      <patternFill patternType="solid">
        <fgColor rgb="FFF3F3F3"/>
        <bgColor indexed="64"/>
      </patternFill>
    </fill>
    <fill>
      <patternFill patternType="solid">
        <fgColor theme="3" tint="0.39997558519241921"/>
        <bgColor indexed="64"/>
      </patternFill>
    </fill>
    <fill>
      <patternFill patternType="solid">
        <fgColor rgb="FFA5A5A5"/>
      </patternFill>
    </fill>
    <fill>
      <patternFill patternType="solid">
        <fgColor rgb="FFF2F2F2"/>
      </patternFill>
    </fill>
    <fill>
      <patternFill patternType="solid">
        <fgColor rgb="FFDDDDDD"/>
        <bgColor indexed="64"/>
      </patternFill>
    </fill>
    <fill>
      <patternFill patternType="solid">
        <fgColor theme="4" tint="0.79998168889431442"/>
        <bgColor indexed="64"/>
      </patternFill>
    </fill>
    <fill>
      <patternFill patternType="solid">
        <fgColor rgb="FFCCFF33"/>
        <bgColor indexed="64"/>
      </patternFill>
    </fill>
    <fill>
      <patternFill patternType="solid">
        <fgColor theme="8" tint="0.79998168889431442"/>
        <bgColor indexed="64"/>
      </patternFill>
    </fill>
    <fill>
      <patternFill patternType="solid">
        <fgColor theme="0" tint="-0.34998626667073579"/>
        <bgColor indexed="64"/>
      </patternFill>
    </fill>
  </fills>
  <borders count="228">
    <border>
      <left/>
      <right/>
      <top/>
      <bottom/>
      <diagonal/>
    </border>
    <border>
      <left/>
      <right/>
      <top/>
      <bottom style="thin">
        <color indexed="64"/>
      </bottom>
      <diagonal/>
    </border>
    <border>
      <left/>
      <right style="thin">
        <color indexed="64"/>
      </right>
      <top/>
      <bottom/>
      <diagonal/>
    </border>
    <border>
      <left/>
      <right/>
      <top style="thin">
        <color indexed="64"/>
      </top>
      <bottom/>
      <diagonal/>
    </border>
    <border>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medium">
        <color indexed="64"/>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hair">
        <color indexed="64"/>
      </left>
      <right/>
      <top/>
      <bottom/>
      <diagonal/>
    </border>
    <border>
      <left/>
      <right/>
      <top/>
      <bottom style="medium">
        <color indexed="64"/>
      </bottom>
      <diagonal/>
    </border>
    <border>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thin">
        <color indexed="64"/>
      </bottom>
      <diagonal/>
    </border>
    <border>
      <left/>
      <right/>
      <top style="thin">
        <color indexed="64"/>
      </top>
      <bottom style="medium">
        <color indexed="64"/>
      </bottom>
      <diagonal/>
    </border>
    <border>
      <left style="medium">
        <color indexed="64"/>
      </left>
      <right/>
      <top style="medium">
        <color indexed="64"/>
      </top>
      <bottom/>
      <diagonal/>
    </border>
    <border>
      <left style="medium">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hair">
        <color indexed="64"/>
      </left>
      <right style="hair">
        <color indexed="64"/>
      </right>
      <top style="hair">
        <color indexed="64"/>
      </top>
      <bottom/>
      <diagonal/>
    </border>
    <border>
      <left style="hair">
        <color indexed="64"/>
      </left>
      <right style="hair">
        <color indexed="64"/>
      </right>
      <top/>
      <bottom style="hair">
        <color indexed="64"/>
      </bottom>
      <diagonal/>
    </border>
    <border>
      <left style="hair">
        <color indexed="64"/>
      </left>
      <right style="hair">
        <color indexed="64"/>
      </right>
      <top/>
      <bottom/>
      <diagonal/>
    </border>
    <border>
      <left style="hair">
        <color indexed="64"/>
      </left>
      <right style="hair">
        <color indexed="64"/>
      </right>
      <top/>
      <bottom style="thin">
        <color indexed="55"/>
      </bottom>
      <diagonal/>
    </border>
    <border>
      <left style="thin">
        <color indexed="55"/>
      </left>
      <right style="hair">
        <color indexed="55"/>
      </right>
      <top style="thin">
        <color indexed="55"/>
      </top>
      <bottom style="thin">
        <color indexed="55"/>
      </bottom>
      <diagonal/>
    </border>
    <border>
      <left style="hair">
        <color indexed="55"/>
      </left>
      <right style="hair">
        <color indexed="55"/>
      </right>
      <top style="thin">
        <color indexed="55"/>
      </top>
      <bottom style="thin">
        <color indexed="55"/>
      </bottom>
      <diagonal/>
    </border>
    <border>
      <left style="thin">
        <color indexed="42"/>
      </left>
      <right style="thin">
        <color indexed="42"/>
      </right>
      <top style="thin">
        <color indexed="42"/>
      </top>
      <bottom style="thin">
        <color indexed="42"/>
      </bottom>
      <diagonal/>
    </border>
    <border>
      <left style="hair">
        <color indexed="64"/>
      </left>
      <right/>
      <top style="hair">
        <color indexed="64"/>
      </top>
      <bottom style="hair">
        <color indexed="64"/>
      </bottom>
      <diagonal/>
    </border>
    <border>
      <left style="hair">
        <color indexed="64"/>
      </left>
      <right/>
      <top style="hair">
        <color indexed="64"/>
      </top>
      <bottom/>
      <diagonal/>
    </border>
    <border>
      <left style="hair">
        <color indexed="55"/>
      </left>
      <right/>
      <top style="thin">
        <color indexed="55"/>
      </top>
      <bottom style="thin">
        <color indexed="55"/>
      </bottom>
      <diagonal/>
    </border>
    <border>
      <left style="hair">
        <color indexed="64"/>
      </left>
      <right/>
      <top/>
      <bottom style="hair">
        <color indexed="64"/>
      </bottom>
      <diagonal/>
    </border>
    <border>
      <left style="medium">
        <color indexed="63"/>
      </left>
      <right style="hair">
        <color indexed="64"/>
      </right>
      <top/>
      <bottom/>
      <diagonal/>
    </border>
    <border>
      <left style="medium">
        <color indexed="63"/>
      </left>
      <right style="hair">
        <color indexed="64"/>
      </right>
      <top/>
      <bottom style="hair">
        <color indexed="64"/>
      </bottom>
      <diagonal/>
    </border>
    <border>
      <left style="medium">
        <color indexed="63"/>
      </left>
      <right style="hair">
        <color indexed="64"/>
      </right>
      <top style="hair">
        <color indexed="64"/>
      </top>
      <bottom style="hair">
        <color indexed="64"/>
      </bottom>
      <diagonal/>
    </border>
    <border>
      <left style="medium">
        <color indexed="63"/>
      </left>
      <right style="hair">
        <color indexed="64"/>
      </right>
      <top style="hair">
        <color indexed="64"/>
      </top>
      <bottom/>
      <diagonal/>
    </border>
    <border>
      <left style="medium">
        <color indexed="63"/>
      </left>
      <right style="hair">
        <color indexed="55"/>
      </right>
      <top style="thin">
        <color indexed="55"/>
      </top>
      <bottom style="thin">
        <color indexed="55"/>
      </bottom>
      <diagonal/>
    </border>
    <border>
      <left style="medium">
        <color indexed="64"/>
      </left>
      <right style="hair">
        <color indexed="64"/>
      </right>
      <top/>
      <bottom/>
      <diagonal/>
    </border>
    <border>
      <left style="medium">
        <color indexed="64"/>
      </left>
      <right style="hair">
        <color indexed="64"/>
      </right>
      <top/>
      <bottom style="hair">
        <color indexed="64"/>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style="hair">
        <color indexed="64"/>
      </top>
      <bottom/>
      <diagonal/>
    </border>
    <border>
      <left style="medium">
        <color indexed="64"/>
      </left>
      <right style="hair">
        <color indexed="55"/>
      </right>
      <top style="thin">
        <color indexed="55"/>
      </top>
      <bottom style="thin">
        <color indexed="55"/>
      </bottom>
      <diagonal/>
    </border>
    <border>
      <left style="medium">
        <color indexed="64"/>
      </left>
      <right/>
      <top style="thin">
        <color indexed="22"/>
      </top>
      <bottom style="thin">
        <color indexed="22"/>
      </bottom>
      <diagonal/>
    </border>
    <border>
      <left/>
      <right/>
      <top style="thin">
        <color indexed="22"/>
      </top>
      <bottom style="thin">
        <color indexed="22"/>
      </bottom>
      <diagonal/>
    </border>
    <border>
      <left style="medium">
        <color indexed="63"/>
      </left>
      <right/>
      <top style="thin">
        <color indexed="22"/>
      </top>
      <bottom style="thin">
        <color indexed="22"/>
      </bottom>
      <diagonal/>
    </border>
    <border>
      <left/>
      <right style="thin">
        <color indexed="22"/>
      </right>
      <top style="thin">
        <color indexed="22"/>
      </top>
      <bottom style="thin">
        <color indexed="22"/>
      </bottom>
      <diagonal/>
    </border>
    <border>
      <left style="hair">
        <color indexed="64"/>
      </left>
      <right style="thin">
        <color indexed="22"/>
      </right>
      <top/>
      <bottom/>
      <diagonal/>
    </border>
    <border>
      <left style="hair">
        <color indexed="64"/>
      </left>
      <right style="thin">
        <color indexed="22"/>
      </right>
      <top/>
      <bottom style="thin">
        <color indexed="55"/>
      </bottom>
      <diagonal/>
    </border>
    <border>
      <left style="hair">
        <color indexed="64"/>
      </left>
      <right style="thin">
        <color indexed="22"/>
      </right>
      <top style="hair">
        <color indexed="64"/>
      </top>
      <bottom style="hair">
        <color indexed="64"/>
      </bottom>
      <diagonal/>
    </border>
    <border>
      <left style="hair">
        <color indexed="64"/>
      </left>
      <right style="thin">
        <color indexed="22"/>
      </right>
      <top style="hair">
        <color indexed="64"/>
      </top>
      <bottom/>
      <diagonal/>
    </border>
    <border>
      <left style="hair">
        <color indexed="55"/>
      </left>
      <right style="thin">
        <color indexed="22"/>
      </right>
      <top style="thin">
        <color indexed="55"/>
      </top>
      <bottom style="thin">
        <color indexed="55"/>
      </bottom>
      <diagonal/>
    </border>
    <border>
      <left style="thin">
        <color indexed="42"/>
      </left>
      <right/>
      <top style="thin">
        <color indexed="42"/>
      </top>
      <bottom style="thin">
        <color indexed="42"/>
      </bottom>
      <diagonal/>
    </border>
    <border>
      <left/>
      <right style="thin">
        <color indexed="42"/>
      </right>
      <top style="thin">
        <color indexed="42"/>
      </top>
      <bottom style="thin">
        <color indexed="42"/>
      </bottom>
      <diagonal/>
    </border>
    <border>
      <left/>
      <right/>
      <top style="medium">
        <color indexed="64"/>
      </top>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dotted">
        <color indexed="64"/>
      </bottom>
      <diagonal/>
    </border>
    <border>
      <left style="thin">
        <color indexed="64"/>
      </left>
      <right/>
      <top/>
      <bottom style="dotted">
        <color indexed="64"/>
      </bottom>
      <diagonal/>
    </border>
    <border>
      <left/>
      <right style="thin">
        <color indexed="64"/>
      </right>
      <top/>
      <bottom style="dotted">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style="thin">
        <color indexed="55"/>
      </top>
      <bottom style="dotted">
        <color indexed="55"/>
      </bottom>
      <diagonal/>
    </border>
    <border>
      <left style="medium">
        <color indexed="64"/>
      </left>
      <right style="thin">
        <color indexed="64"/>
      </right>
      <top/>
      <bottom/>
      <diagonal/>
    </border>
    <border>
      <left style="thin">
        <color indexed="55"/>
      </left>
      <right style="thin">
        <color indexed="55"/>
      </right>
      <top style="dotted">
        <color indexed="55"/>
      </top>
      <bottom style="dotted">
        <color indexed="55"/>
      </bottom>
      <diagonal/>
    </border>
    <border>
      <left style="thin">
        <color indexed="55"/>
      </left>
      <right style="thin">
        <color indexed="55"/>
      </right>
      <top style="dotted">
        <color indexed="55"/>
      </top>
      <bottom/>
      <diagonal/>
    </border>
    <border>
      <left/>
      <right/>
      <top style="thin">
        <color indexed="55"/>
      </top>
      <bottom/>
      <diagonal/>
    </border>
    <border>
      <left style="thin">
        <color indexed="64"/>
      </left>
      <right style="medium">
        <color indexed="64"/>
      </right>
      <top style="thin">
        <color indexed="64"/>
      </top>
      <bottom style="dotted">
        <color indexed="64"/>
      </bottom>
      <diagonal/>
    </border>
    <border>
      <left style="thin">
        <color indexed="64"/>
      </left>
      <right style="medium">
        <color indexed="64"/>
      </right>
      <top style="dotted">
        <color indexed="64"/>
      </top>
      <bottom style="dotted">
        <color indexed="64"/>
      </bottom>
      <diagonal/>
    </border>
    <border>
      <left style="thin">
        <color indexed="64"/>
      </left>
      <right style="medium">
        <color indexed="64"/>
      </right>
      <top style="dotted">
        <color indexed="64"/>
      </top>
      <bottom style="thin">
        <color indexed="64"/>
      </bottom>
      <diagonal/>
    </border>
    <border>
      <left style="hair">
        <color indexed="22"/>
      </left>
      <right/>
      <top style="hair">
        <color indexed="22"/>
      </top>
      <bottom/>
      <diagonal/>
    </border>
    <border>
      <left style="hair">
        <color indexed="22"/>
      </left>
      <right/>
      <top style="hair">
        <color indexed="22"/>
      </top>
      <bottom style="hair">
        <color indexed="22"/>
      </bottom>
      <diagonal/>
    </border>
    <border>
      <left style="hair">
        <color indexed="22"/>
      </left>
      <right/>
      <top/>
      <bottom/>
      <diagonal/>
    </border>
    <border>
      <left/>
      <right/>
      <top/>
      <bottom style="dotted">
        <color indexed="64"/>
      </bottom>
      <diagonal/>
    </border>
    <border>
      <left style="medium">
        <color indexed="64"/>
      </left>
      <right/>
      <top style="thin">
        <color indexed="64"/>
      </top>
      <bottom style="thin">
        <color indexed="64"/>
      </bottom>
      <diagonal/>
    </border>
    <border>
      <left style="medium">
        <color indexed="64"/>
      </left>
      <right style="hair">
        <color indexed="64"/>
      </right>
      <top style="thin">
        <color indexed="64"/>
      </top>
      <bottom style="thin">
        <color indexed="64"/>
      </bottom>
      <diagonal/>
    </border>
    <border>
      <left style="hair">
        <color indexed="64"/>
      </left>
      <right style="medium">
        <color indexed="64"/>
      </right>
      <top style="thin">
        <color indexed="64"/>
      </top>
      <bottom style="thin">
        <color indexed="64"/>
      </bottom>
      <diagonal/>
    </border>
    <border>
      <left style="medium">
        <color indexed="64"/>
      </left>
      <right style="hair">
        <color indexed="64"/>
      </right>
      <top style="thin">
        <color indexed="64"/>
      </top>
      <bottom style="dotted">
        <color indexed="64"/>
      </bottom>
      <diagonal/>
    </border>
    <border>
      <left style="hair">
        <color indexed="64"/>
      </left>
      <right style="medium">
        <color indexed="64"/>
      </right>
      <top style="thin">
        <color indexed="64"/>
      </top>
      <bottom style="dotted">
        <color indexed="64"/>
      </bottom>
      <diagonal/>
    </border>
    <border>
      <left style="medium">
        <color indexed="64"/>
      </left>
      <right style="hair">
        <color indexed="64"/>
      </right>
      <top style="dotted">
        <color indexed="64"/>
      </top>
      <bottom style="dotted">
        <color indexed="64"/>
      </bottom>
      <diagonal/>
    </border>
    <border>
      <left style="hair">
        <color indexed="64"/>
      </left>
      <right style="medium">
        <color indexed="64"/>
      </right>
      <top style="dotted">
        <color indexed="64"/>
      </top>
      <bottom style="dotted">
        <color indexed="64"/>
      </bottom>
      <diagonal/>
    </border>
    <border>
      <left style="medium">
        <color indexed="64"/>
      </left>
      <right style="hair">
        <color indexed="64"/>
      </right>
      <top style="dotted">
        <color indexed="64"/>
      </top>
      <bottom style="thin">
        <color indexed="64"/>
      </bottom>
      <diagonal/>
    </border>
    <border>
      <left style="hair">
        <color indexed="64"/>
      </left>
      <right style="medium">
        <color indexed="64"/>
      </right>
      <top style="dotted">
        <color indexed="64"/>
      </top>
      <bottom style="thin">
        <color indexed="64"/>
      </bottom>
      <diagonal/>
    </border>
    <border>
      <left/>
      <right style="hair">
        <color indexed="64"/>
      </right>
      <top style="hair">
        <color indexed="64"/>
      </top>
      <bottom style="hair">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dotted">
        <color indexed="64"/>
      </right>
      <top/>
      <bottom style="dotted">
        <color indexed="64"/>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dotted">
        <color indexed="64"/>
      </right>
      <top style="thin">
        <color indexed="64"/>
      </top>
      <bottom style="dotted">
        <color indexed="64"/>
      </bottom>
      <diagonal/>
    </border>
    <border>
      <left style="dotted">
        <color indexed="64"/>
      </left>
      <right style="dotted">
        <color indexed="64"/>
      </right>
      <top style="thin">
        <color indexed="64"/>
      </top>
      <bottom style="dotted">
        <color indexed="64"/>
      </bottom>
      <diagonal/>
    </border>
    <border>
      <left style="dotted">
        <color indexed="64"/>
      </left>
      <right style="thin">
        <color indexed="64"/>
      </right>
      <top style="thin">
        <color indexed="64"/>
      </top>
      <bottom style="dotted">
        <color indexed="64"/>
      </bottom>
      <diagonal/>
    </border>
    <border>
      <left style="dotted">
        <color indexed="64"/>
      </left>
      <right style="dotted">
        <color indexed="64"/>
      </right>
      <top/>
      <bottom style="dotted">
        <color indexed="64"/>
      </bottom>
      <diagonal/>
    </border>
    <border>
      <left style="dotted">
        <color indexed="64"/>
      </left>
      <right style="thin">
        <color indexed="64"/>
      </right>
      <top/>
      <bottom style="dotted">
        <color indexed="64"/>
      </bottom>
      <diagonal/>
    </border>
    <border>
      <left style="dotted">
        <color indexed="64"/>
      </left>
      <right style="thin">
        <color indexed="64"/>
      </right>
      <top style="dotted">
        <color indexed="64"/>
      </top>
      <bottom style="dotted">
        <color indexed="64"/>
      </bottom>
      <diagonal/>
    </border>
    <border>
      <left style="thin">
        <color indexed="64"/>
      </left>
      <right style="dotted">
        <color indexed="64"/>
      </right>
      <top style="dotted">
        <color indexed="64"/>
      </top>
      <bottom style="thin">
        <color indexed="64"/>
      </bottom>
      <diagonal/>
    </border>
    <border>
      <left style="dotted">
        <color indexed="64"/>
      </left>
      <right style="dotted">
        <color indexed="64"/>
      </right>
      <top style="dotted">
        <color indexed="64"/>
      </top>
      <bottom style="thin">
        <color indexed="64"/>
      </bottom>
      <diagonal/>
    </border>
    <border>
      <left style="dotted">
        <color indexed="64"/>
      </left>
      <right style="thin">
        <color indexed="64"/>
      </right>
      <top style="dotted">
        <color indexed="64"/>
      </top>
      <bottom style="thin">
        <color indexed="64"/>
      </bottom>
      <diagonal/>
    </border>
    <border>
      <left style="thin">
        <color indexed="64"/>
      </left>
      <right style="dotted">
        <color indexed="64"/>
      </right>
      <top style="thin">
        <color indexed="64"/>
      </top>
      <bottom style="thin">
        <color indexed="64"/>
      </bottom>
      <diagonal/>
    </border>
    <border>
      <left style="dotted">
        <color indexed="64"/>
      </left>
      <right style="dotted">
        <color indexed="64"/>
      </right>
      <top style="thin">
        <color indexed="64"/>
      </top>
      <bottom style="thin">
        <color indexed="64"/>
      </bottom>
      <diagonal/>
    </border>
    <border>
      <left style="dotted">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dotted">
        <color indexed="64"/>
      </bottom>
      <diagonal/>
    </border>
    <border>
      <left style="thin">
        <color indexed="64"/>
      </left>
      <right/>
      <top style="thin">
        <color indexed="64"/>
      </top>
      <bottom style="thin">
        <color indexed="64"/>
      </bottom>
      <diagonal/>
    </border>
    <border>
      <left style="medium">
        <color indexed="64"/>
      </left>
      <right style="dashed">
        <color indexed="64"/>
      </right>
      <top style="medium">
        <color indexed="64"/>
      </top>
      <bottom style="medium">
        <color indexed="64"/>
      </bottom>
      <diagonal/>
    </border>
    <border>
      <left style="dashed">
        <color indexed="64"/>
      </left>
      <right style="medium">
        <color indexed="64"/>
      </right>
      <top style="medium">
        <color indexed="64"/>
      </top>
      <bottom style="medium">
        <color indexed="64"/>
      </bottom>
      <diagonal/>
    </border>
    <border>
      <left style="medium">
        <color indexed="64"/>
      </left>
      <right style="dashed">
        <color indexed="64"/>
      </right>
      <top style="medium">
        <color indexed="64"/>
      </top>
      <bottom/>
      <diagonal/>
    </border>
    <border>
      <left style="dashed">
        <color indexed="64"/>
      </left>
      <right style="medium">
        <color indexed="64"/>
      </right>
      <top style="medium">
        <color indexed="64"/>
      </top>
      <bottom style="thin">
        <color indexed="64"/>
      </bottom>
      <diagonal/>
    </border>
    <border>
      <left style="medium">
        <color indexed="64"/>
      </left>
      <right style="dashed">
        <color indexed="64"/>
      </right>
      <top style="thin">
        <color indexed="64"/>
      </top>
      <bottom style="thin">
        <color indexed="64"/>
      </bottom>
      <diagonal/>
    </border>
    <border>
      <left style="dashed">
        <color indexed="64"/>
      </left>
      <right style="medium">
        <color indexed="64"/>
      </right>
      <top style="thin">
        <color indexed="64"/>
      </top>
      <bottom style="thin">
        <color indexed="64"/>
      </bottom>
      <diagonal/>
    </border>
    <border>
      <left style="medium">
        <color indexed="64"/>
      </left>
      <right style="dashed">
        <color indexed="64"/>
      </right>
      <top/>
      <bottom style="medium">
        <color indexed="64"/>
      </bottom>
      <diagonal/>
    </border>
    <border>
      <left style="dashed">
        <color indexed="64"/>
      </left>
      <right style="medium">
        <color indexed="64"/>
      </right>
      <top/>
      <bottom style="medium">
        <color indexed="64"/>
      </bottom>
      <diagonal/>
    </border>
    <border>
      <left style="dashed">
        <color indexed="64"/>
      </left>
      <right style="medium">
        <color indexed="64"/>
      </right>
      <top style="medium">
        <color indexed="64"/>
      </top>
      <bottom/>
      <diagonal/>
    </border>
    <border>
      <left style="medium">
        <color indexed="64"/>
      </left>
      <right style="dashed">
        <color indexed="64"/>
      </right>
      <top/>
      <bottom/>
      <diagonal/>
    </border>
    <border>
      <left style="dashed">
        <color indexed="64"/>
      </left>
      <right style="medium">
        <color indexed="64"/>
      </right>
      <top/>
      <bottom/>
      <diagonal/>
    </border>
    <border>
      <left style="medium">
        <color indexed="64"/>
      </left>
      <right style="dashed">
        <color indexed="64"/>
      </right>
      <top style="thin">
        <color indexed="64"/>
      </top>
      <bottom style="medium">
        <color indexed="64"/>
      </bottom>
      <diagonal/>
    </border>
    <border>
      <left style="dashed">
        <color indexed="64"/>
      </left>
      <right style="dashed">
        <color indexed="64"/>
      </right>
      <top style="thin">
        <color indexed="64"/>
      </top>
      <bottom style="medium">
        <color indexed="64"/>
      </bottom>
      <diagonal/>
    </border>
    <border>
      <left style="dashed">
        <color indexed="64"/>
      </left>
      <right style="medium">
        <color indexed="64"/>
      </right>
      <top style="thin">
        <color indexed="64"/>
      </top>
      <bottom style="medium">
        <color indexed="64"/>
      </bottom>
      <diagonal/>
    </border>
    <border>
      <left style="dashed">
        <color indexed="64"/>
      </left>
      <right style="dashed">
        <color indexed="64"/>
      </right>
      <top style="medium">
        <color indexed="64"/>
      </top>
      <bottom/>
      <diagonal/>
    </border>
    <border>
      <left style="dashed">
        <color indexed="64"/>
      </left>
      <right style="dashed">
        <color indexed="64"/>
      </right>
      <top/>
      <bottom/>
      <diagonal/>
    </border>
    <border>
      <left style="dashed">
        <color indexed="64"/>
      </left>
      <right style="dashed">
        <color indexed="64"/>
      </right>
      <top/>
      <bottom style="medium">
        <color indexed="64"/>
      </bottom>
      <diagonal/>
    </border>
    <border>
      <left style="medium">
        <color indexed="64"/>
      </left>
      <right style="dotted">
        <color indexed="64"/>
      </right>
      <top style="medium">
        <color indexed="64"/>
      </top>
      <bottom style="medium">
        <color indexed="64"/>
      </bottom>
      <diagonal/>
    </border>
    <border>
      <left style="dotted">
        <color indexed="64"/>
      </left>
      <right style="thin">
        <color indexed="64"/>
      </right>
      <top style="medium">
        <color indexed="64"/>
      </top>
      <bottom style="medium">
        <color indexed="64"/>
      </bottom>
      <diagonal/>
    </border>
    <border>
      <left style="dotted">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top style="dotted">
        <color indexed="64"/>
      </top>
      <bottom style="dotted">
        <color indexed="64"/>
      </bottom>
      <diagonal/>
    </border>
    <border>
      <left style="thin">
        <color indexed="64"/>
      </left>
      <right/>
      <top style="dotted">
        <color indexed="64"/>
      </top>
      <bottom style="thin">
        <color indexed="64"/>
      </bottom>
      <diagonal/>
    </border>
    <border>
      <left style="medium">
        <color indexed="64"/>
      </left>
      <right style="dotted">
        <color indexed="64"/>
      </right>
      <top style="thin">
        <color indexed="64"/>
      </top>
      <bottom style="dotted">
        <color indexed="64"/>
      </bottom>
      <diagonal/>
    </border>
    <border>
      <left style="dotted">
        <color indexed="64"/>
      </left>
      <right style="medium">
        <color indexed="64"/>
      </right>
      <top style="thin">
        <color indexed="64"/>
      </top>
      <bottom style="dotted">
        <color indexed="64"/>
      </bottom>
      <diagonal/>
    </border>
    <border>
      <left style="medium">
        <color indexed="64"/>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dotted">
        <color indexed="64"/>
      </left>
      <right style="medium">
        <color indexed="64"/>
      </right>
      <top style="dotted">
        <color indexed="64"/>
      </top>
      <bottom style="dotted">
        <color indexed="64"/>
      </bottom>
      <diagonal/>
    </border>
    <border>
      <left style="medium">
        <color indexed="64"/>
      </left>
      <right style="dotted">
        <color indexed="64"/>
      </right>
      <top style="dotted">
        <color indexed="64"/>
      </top>
      <bottom style="medium">
        <color indexed="64"/>
      </bottom>
      <diagonal/>
    </border>
    <border>
      <left style="dotted">
        <color indexed="64"/>
      </left>
      <right style="dotted">
        <color indexed="64"/>
      </right>
      <top style="dotted">
        <color indexed="64"/>
      </top>
      <bottom style="medium">
        <color indexed="64"/>
      </bottom>
      <diagonal/>
    </border>
    <border>
      <left style="dotted">
        <color indexed="64"/>
      </left>
      <right style="medium">
        <color indexed="64"/>
      </right>
      <top style="dotted">
        <color indexed="64"/>
      </top>
      <bottom style="medium">
        <color indexed="64"/>
      </bottom>
      <diagonal/>
    </border>
    <border>
      <left style="dotted">
        <color indexed="64"/>
      </left>
      <right style="dotted">
        <color indexed="64"/>
      </right>
      <top style="medium">
        <color indexed="64"/>
      </top>
      <bottom style="medium">
        <color indexed="64"/>
      </bottom>
      <diagonal/>
    </border>
    <border>
      <left/>
      <right style="dotted">
        <color indexed="64"/>
      </right>
      <top style="medium">
        <color indexed="64"/>
      </top>
      <bottom style="medium">
        <color indexed="64"/>
      </bottom>
      <diagonal/>
    </border>
    <border>
      <left style="dotted">
        <color indexed="64"/>
      </left>
      <right/>
      <top style="medium">
        <color indexed="64"/>
      </top>
      <bottom style="medium">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style="thin">
        <color indexed="64"/>
      </left>
      <right style="thin">
        <color indexed="64"/>
      </right>
      <top style="dotted">
        <color indexed="64"/>
      </top>
      <bottom/>
      <diagonal/>
    </border>
    <border>
      <left/>
      <right style="dotted">
        <color indexed="64"/>
      </right>
      <top/>
      <bottom style="dotted">
        <color indexed="64"/>
      </bottom>
      <diagonal/>
    </border>
    <border>
      <left/>
      <right style="dotted">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style="thin">
        <color indexed="64"/>
      </top>
      <bottom style="medium">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style="hair">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style="hair">
        <color indexed="64"/>
      </left>
      <right/>
      <top style="hair">
        <color indexed="64"/>
      </top>
      <bottom style="thin">
        <color indexed="64"/>
      </bottom>
      <diagonal/>
    </border>
    <border>
      <left/>
      <right style="thin">
        <color indexed="64"/>
      </right>
      <top style="hair">
        <color indexed="64"/>
      </top>
      <bottom style="thin">
        <color indexed="64"/>
      </bottom>
      <diagonal/>
    </border>
    <border>
      <left/>
      <right/>
      <top style="dotted">
        <color indexed="64"/>
      </top>
      <bottom style="thin">
        <color indexed="64"/>
      </bottom>
      <diagonal/>
    </border>
    <border>
      <left/>
      <right style="thin">
        <color indexed="64"/>
      </right>
      <top style="dotted">
        <color indexed="64"/>
      </top>
      <bottom style="thin">
        <color indexed="64"/>
      </bottom>
      <diagonal/>
    </border>
    <border>
      <left style="thin">
        <color indexed="9"/>
      </left>
      <right/>
      <top style="thin">
        <color indexed="64"/>
      </top>
      <bottom style="thin">
        <color indexed="9"/>
      </bottom>
      <diagonal/>
    </border>
    <border>
      <left/>
      <right/>
      <top style="thin">
        <color indexed="64"/>
      </top>
      <bottom style="thin">
        <color indexed="9"/>
      </bottom>
      <diagonal/>
    </border>
    <border>
      <left style="thin">
        <color indexed="9"/>
      </left>
      <right style="thin">
        <color indexed="9"/>
      </right>
      <top style="thin">
        <color indexed="64"/>
      </top>
      <bottom style="thin">
        <color indexed="9"/>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style="thin">
        <color indexed="64"/>
      </top>
      <bottom style="double">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double">
        <color rgb="FF3F3F3F"/>
      </left>
      <right style="double">
        <color rgb="FF3F3F3F"/>
      </right>
      <top style="double">
        <color rgb="FF3F3F3F"/>
      </top>
      <bottom style="double">
        <color rgb="FF3F3F3F"/>
      </bottom>
      <diagonal/>
    </border>
    <border>
      <left style="thin">
        <color rgb="FF7F7F7F"/>
      </left>
      <right style="thin">
        <color rgb="FF7F7F7F"/>
      </right>
      <top style="thin">
        <color rgb="FF7F7F7F"/>
      </top>
      <bottom style="thin">
        <color rgb="FF7F7F7F"/>
      </bottom>
      <diagonal/>
    </border>
    <border>
      <left style="thin">
        <color indexed="42"/>
      </left>
      <right style="thin">
        <color indexed="42"/>
      </right>
      <top style="thin">
        <color indexed="42"/>
      </top>
      <bottom style="thin">
        <color indexed="42"/>
      </bottom>
      <diagonal/>
    </border>
    <border>
      <left/>
      <right style="thin">
        <color indexed="64"/>
      </right>
      <top/>
      <bottom style="thin">
        <color indexed="42"/>
      </bottom>
      <diagonal/>
    </border>
    <border>
      <left/>
      <right style="medium">
        <color indexed="64"/>
      </right>
      <top style="medium">
        <color indexed="64"/>
      </top>
      <bottom style="thin">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style="thin">
        <color indexed="64"/>
      </bottom>
      <diagonal/>
    </border>
    <border>
      <left/>
      <right style="thin">
        <color indexed="64"/>
      </right>
      <top style="medium">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s>
  <cellStyleXfs count="22">
    <xf numFmtId="0" fontId="0" fillId="0" borderId="0"/>
    <xf numFmtId="0" fontId="0" fillId="0" borderId="0" xfId="0" applyNumberFormat="1" applyFont="1" applyFill="1" applyBorder="1" applyAlignment="1" applyProtection="1"/>
    <xf numFmtId="0" fontId="0" fillId="0" borderId="1" xfId="0" applyNumberFormat="1" applyFont="1" applyFill="1" applyBorder="1" applyAlignment="1" applyProtection="1"/>
    <xf numFmtId="0" fontId="0" fillId="0" borderId="2" xfId="0" applyNumberFormat="1" applyFont="1" applyFill="1" applyBorder="1" applyAlignment="1" applyProtection="1"/>
    <xf numFmtId="0" fontId="0" fillId="0" borderId="3" xfId="0" applyNumberFormat="1" applyFont="1" applyFill="1" applyBorder="1" applyAlignment="1" applyProtection="1"/>
    <xf numFmtId="0" fontId="33" fillId="0" borderId="0" applyNumberFormat="0" applyFill="0" applyBorder="0" applyAlignment="0" applyProtection="0">
      <alignment vertical="top"/>
      <protection locked="0"/>
    </xf>
    <xf numFmtId="0" fontId="0" fillId="0" borderId="5" xfId="0" applyNumberFormat="1" applyFont="1" applyFill="1" applyBorder="1" applyAlignment="1" applyProtection="1"/>
    <xf numFmtId="0" fontId="0" fillId="0" borderId="4" xfId="0" applyNumberFormat="1" applyFont="1" applyFill="1" applyBorder="1" applyAlignment="1" applyProtection="1"/>
    <xf numFmtId="0" fontId="0" fillId="0" borderId="7" xfId="0" applyNumberFormat="1" applyFont="1" applyFill="1" applyBorder="1" applyAlignment="1" applyProtection="1"/>
    <xf numFmtId="0" fontId="0" fillId="0" borderId="8" xfId="0" applyNumberFormat="1" applyFont="1" applyFill="1" applyBorder="1" applyAlignment="1" applyProtection="1"/>
    <xf numFmtId="0" fontId="0" fillId="0" borderId="9" xfId="0" applyNumberFormat="1" applyFont="1" applyFill="1" applyBorder="1" applyAlignment="1" applyProtection="1"/>
    <xf numFmtId="0" fontId="0" fillId="0" borderId="10" xfId="0" applyNumberFormat="1" applyFont="1" applyFill="1" applyBorder="1" applyAlignment="1" applyProtection="1"/>
    <xf numFmtId="43" fontId="114" fillId="0" borderId="0" applyFont="0" applyFill="0" applyBorder="0" applyAlignment="0" applyProtection="0"/>
    <xf numFmtId="44" fontId="114" fillId="0" borderId="0" applyFont="0" applyFill="0" applyBorder="0" applyAlignment="0" applyProtection="0"/>
    <xf numFmtId="9" fontId="114" fillId="0" borderId="0" applyFont="0" applyFill="0" applyBorder="0" applyAlignment="0" applyProtection="0"/>
    <xf numFmtId="0" fontId="66" fillId="30" borderId="0" applyNumberFormat="0" applyBorder="0" applyAlignment="0" applyProtection="0"/>
    <xf numFmtId="0" fontId="2" fillId="0" borderId="0"/>
    <xf numFmtId="43" fontId="2" fillId="0" borderId="0" applyFont="0" applyFill="0" applyBorder="0" applyAlignment="0" applyProtection="0"/>
    <xf numFmtId="0" fontId="1" fillId="0" borderId="0"/>
    <xf numFmtId="43" fontId="1" fillId="0" borderId="0" applyFont="0" applyFill="0" applyBorder="0" applyAlignment="0" applyProtection="0"/>
    <xf numFmtId="0" fontId="120" fillId="42" borderId="215" applyNumberFormat="0" applyAlignment="0" applyProtection="0"/>
    <xf numFmtId="0" fontId="124" fillId="43" borderId="216" applyNumberFormat="0" applyAlignment="0" applyProtection="0"/>
  </cellStyleXfs>
  <cellXfs count="1836">
    <xf numFmtId="0" fontId="0" fillId="0" borderId="0" xfId="0"/>
    <xf numFmtId="0" fontId="0" fillId="0" borderId="0" xfId="1" applyNumberFormat="1" applyFont="1" applyFill="1" applyBorder="1" applyAlignment="1" applyProtection="1"/>
    <xf numFmtId="0" fontId="0" fillId="0" borderId="1" xfId="1" applyNumberFormat="1" applyFont="1" applyFill="1" applyBorder="1" applyAlignment="1" applyProtection="1"/>
    <xf numFmtId="0" fontId="0" fillId="0" borderId="2" xfId="1" applyNumberFormat="1" applyFont="1" applyFill="1" applyBorder="1" applyAlignment="1" applyProtection="1"/>
    <xf numFmtId="0" fontId="0" fillId="0" borderId="3" xfId="1" applyNumberFormat="1" applyFont="1" applyFill="1" applyBorder="1" applyAlignment="1" applyProtection="1"/>
    <xf numFmtId="0" fontId="0" fillId="0" borderId="0" xfId="1" applyNumberFormat="1" applyFont="1" applyFill="1" applyBorder="1" applyAlignment="1" applyProtection="1">
      <alignment horizontal="center"/>
    </xf>
    <xf numFmtId="0" fontId="0" fillId="0" borderId="5" xfId="1" applyNumberFormat="1" applyFont="1" applyFill="1" applyBorder="1" applyAlignment="1" applyProtection="1"/>
    <xf numFmtId="0" fontId="0" fillId="0" borderId="4" xfId="1" applyNumberFormat="1" applyFont="1" applyFill="1" applyBorder="1" applyAlignment="1" applyProtection="1"/>
    <xf numFmtId="0" fontId="0" fillId="0" borderId="7" xfId="1" applyNumberFormat="1" applyFont="1" applyFill="1" applyBorder="1" applyAlignment="1" applyProtection="1"/>
    <xf numFmtId="0" fontId="0" fillId="0" borderId="8" xfId="1" applyNumberFormat="1" applyFont="1" applyFill="1" applyBorder="1" applyAlignment="1" applyProtection="1"/>
    <xf numFmtId="0" fontId="0" fillId="0" borderId="9" xfId="1" applyNumberFormat="1" applyFont="1" applyFill="1" applyBorder="1" applyAlignment="1" applyProtection="1"/>
    <xf numFmtId="0" fontId="0" fillId="0" borderId="10" xfId="1" applyNumberFormat="1" applyFont="1" applyFill="1" applyBorder="1" applyAlignment="1" applyProtection="1"/>
    <xf numFmtId="0" fontId="0" fillId="0" borderId="12" xfId="1" applyNumberFormat="1" applyFont="1" applyFill="1" applyBorder="1" applyAlignment="1" applyProtection="1"/>
    <xf numFmtId="0" fontId="0" fillId="0" borderId="6" xfId="1" applyNumberFormat="1" applyFont="1" applyFill="1" applyBorder="1" applyAlignment="1" applyProtection="1"/>
    <xf numFmtId="0" fontId="0" fillId="0" borderId="0" xfId="1" applyNumberFormat="1" applyFont="1" applyFill="1" applyBorder="1" applyAlignment="1" applyProtection="1"/>
    <xf numFmtId="0" fontId="0" fillId="0" borderId="7" xfId="1" applyNumberFormat="1" applyFont="1" applyFill="1" applyBorder="1" applyAlignment="1" applyProtection="1"/>
    <xf numFmtId="0" fontId="0" fillId="0" borderId="2" xfId="1" applyNumberFormat="1" applyFont="1" applyFill="1" applyBorder="1" applyAlignment="1" applyProtection="1"/>
    <xf numFmtId="0" fontId="0" fillId="0" borderId="3" xfId="1" applyNumberFormat="1" applyFont="1" applyFill="1" applyBorder="1" applyAlignment="1" applyProtection="1"/>
    <xf numFmtId="0" fontId="0" fillId="0" borderId="11" xfId="1" applyNumberFormat="1" applyFont="1" applyFill="1" applyBorder="1" applyAlignment="1" applyProtection="1"/>
    <xf numFmtId="0" fontId="0" fillId="0" borderId="5" xfId="1" applyNumberFormat="1" applyFont="1" applyFill="1" applyBorder="1" applyAlignment="1" applyProtection="1"/>
    <xf numFmtId="0" fontId="0" fillId="0" borderId="13" xfId="1" applyNumberFormat="1" applyFont="1" applyFill="1" applyBorder="1" applyAlignment="1" applyProtection="1"/>
    <xf numFmtId="14" fontId="0" fillId="0" borderId="0" xfId="1" applyNumberFormat="1" applyFont="1" applyFill="1" applyBorder="1" applyAlignment="1" applyProtection="1"/>
    <xf numFmtId="0" fontId="0" fillId="2" borderId="15" xfId="1" applyNumberFormat="1" applyFont="1" applyFill="1" applyBorder="1" applyAlignment="1" applyProtection="1"/>
    <xf numFmtId="0" fontId="0" fillId="2" borderId="6" xfId="1" applyNumberFormat="1" applyFont="1" applyFill="1" applyBorder="1" applyAlignment="1" applyProtection="1"/>
    <xf numFmtId="0" fontId="0" fillId="0" borderId="10" xfId="1" applyNumberFormat="1" applyFont="1" applyFill="1" applyBorder="1" applyAlignment="1" applyProtection="1"/>
    <xf numFmtId="0" fontId="0" fillId="0" borderId="8" xfId="1" applyNumberFormat="1" applyFont="1" applyFill="1" applyBorder="1" applyAlignment="1" applyProtection="1"/>
    <xf numFmtId="0" fontId="0" fillId="0" borderId="9" xfId="1" applyNumberFormat="1" applyFont="1" applyFill="1" applyBorder="1" applyAlignment="1" applyProtection="1"/>
    <xf numFmtId="0" fontId="0" fillId="3" borderId="0" xfId="1" applyNumberFormat="1" applyFont="1" applyFill="1" applyBorder="1" applyAlignment="1" applyProtection="1"/>
    <xf numFmtId="0" fontId="0" fillId="6" borderId="0" xfId="1" applyNumberFormat="1" applyFont="1" applyFill="1" applyBorder="1" applyAlignment="1" applyProtection="1"/>
    <xf numFmtId="0" fontId="0" fillId="6" borderId="6" xfId="1" applyNumberFormat="1" applyFont="1" applyFill="1" applyBorder="1" applyAlignment="1" applyProtection="1"/>
    <xf numFmtId="0" fontId="0" fillId="5" borderId="6" xfId="1" applyNumberFormat="1" applyFont="1" applyFill="1" applyBorder="1" applyAlignment="1" applyProtection="1">
      <alignment horizontal="center"/>
    </xf>
    <xf numFmtId="0" fontId="0" fillId="8" borderId="6" xfId="1" applyNumberFormat="1" applyFont="1" applyFill="1" applyBorder="1" applyAlignment="1" applyProtection="1"/>
    <xf numFmtId="0" fontId="0" fillId="2" borderId="4" xfId="1" applyNumberFormat="1" applyFont="1" applyFill="1" applyBorder="1" applyAlignment="1" applyProtection="1"/>
    <xf numFmtId="0" fontId="0" fillId="2" borderId="21" xfId="1" applyNumberFormat="1" applyFont="1" applyFill="1" applyBorder="1" applyAlignment="1" applyProtection="1"/>
    <xf numFmtId="0" fontId="0" fillId="8" borderId="11" xfId="1" applyNumberFormat="1" applyFont="1" applyFill="1" applyBorder="1" applyAlignment="1" applyProtection="1"/>
    <xf numFmtId="0" fontId="0" fillId="6" borderId="0" xfId="1" applyNumberFormat="1" applyFont="1" applyFill="1" applyBorder="1" applyAlignment="1" applyProtection="1">
      <alignment horizontal="center"/>
    </xf>
    <xf numFmtId="0" fontId="4" fillId="0" borderId="0" xfId="1" applyNumberFormat="1" applyFont="1" applyFill="1" applyBorder="1" applyAlignment="1" applyProtection="1"/>
    <xf numFmtId="0" fontId="4" fillId="2" borderId="6" xfId="1" applyNumberFormat="1" applyFont="1" applyFill="1" applyBorder="1" applyAlignment="1" applyProtection="1">
      <alignment horizontal="left"/>
    </xf>
    <xf numFmtId="0" fontId="4" fillId="2" borderId="15" xfId="1" applyNumberFormat="1" applyFont="1" applyFill="1" applyBorder="1" applyAlignment="1" applyProtection="1">
      <alignment horizontal="left"/>
    </xf>
    <xf numFmtId="0" fontId="4" fillId="2" borderId="21" xfId="1" applyNumberFormat="1" applyFont="1" applyFill="1" applyBorder="1" applyAlignment="1" applyProtection="1">
      <alignment horizontal="left"/>
    </xf>
    <xf numFmtId="0" fontId="7" fillId="2" borderId="6" xfId="1" applyNumberFormat="1" applyFont="1" applyFill="1" applyBorder="1" applyAlignment="1" applyProtection="1">
      <alignment wrapText="1"/>
    </xf>
    <xf numFmtId="0" fontId="4" fillId="0" borderId="0" xfId="1" applyNumberFormat="1" applyFont="1" applyFill="1" applyBorder="1" applyAlignment="1" applyProtection="1"/>
    <xf numFmtId="0" fontId="4" fillId="0" borderId="0" xfId="1" applyNumberFormat="1" applyFont="1" applyFill="1" applyBorder="1" applyAlignment="1" applyProtection="1"/>
    <xf numFmtId="0" fontId="12" fillId="0" borderId="0" xfId="1" applyNumberFormat="1" applyFont="1" applyFill="1" applyBorder="1" applyAlignment="1" applyProtection="1"/>
    <xf numFmtId="0" fontId="13" fillId="7" borderId="6" xfId="1" applyNumberFormat="1" applyFont="1" applyFill="1" applyBorder="1" applyAlignment="1" applyProtection="1"/>
    <xf numFmtId="0" fontId="13" fillId="0" borderId="0" xfId="1" applyNumberFormat="1" applyFont="1" applyFill="1" applyBorder="1" applyAlignment="1" applyProtection="1"/>
    <xf numFmtId="0" fontId="14" fillId="0" borderId="0" xfId="1" applyNumberFormat="1" applyFont="1" applyFill="1" applyBorder="1" applyAlignment="1" applyProtection="1"/>
    <xf numFmtId="0" fontId="8" fillId="0" borderId="0" xfId="1" applyNumberFormat="1" applyFont="1" applyFill="1" applyBorder="1" applyAlignment="1" applyProtection="1"/>
    <xf numFmtId="0" fontId="16" fillId="0" borderId="0" xfId="1" applyNumberFormat="1" applyFont="1" applyFill="1" applyBorder="1" applyAlignment="1" applyProtection="1"/>
    <xf numFmtId="0" fontId="15" fillId="2" borderId="30" xfId="1" applyNumberFormat="1" applyFont="1" applyFill="1" applyBorder="1" applyAlignment="1" applyProtection="1">
      <alignment horizontal="left" wrapText="1"/>
    </xf>
    <xf numFmtId="0" fontId="16" fillId="2" borderId="31" xfId="1" applyNumberFormat="1" applyFont="1" applyFill="1" applyBorder="1" applyAlignment="1" applyProtection="1"/>
    <xf numFmtId="0" fontId="15" fillId="2" borderId="32" xfId="1" applyNumberFormat="1" applyFont="1" applyFill="1" applyBorder="1" applyAlignment="1" applyProtection="1">
      <alignment horizontal="left" wrapText="1"/>
    </xf>
    <xf numFmtId="0" fontId="3" fillId="0" borderId="0" xfId="1" applyNumberFormat="1" applyFont="1" applyFill="1" applyBorder="1" applyAlignment="1" applyProtection="1"/>
    <xf numFmtId="9" fontId="17" fillId="3" borderId="33" xfId="4" applyNumberFormat="1" applyFont="1" applyFill="1" applyBorder="1" applyAlignment="1" applyProtection="1">
      <alignment horizontal="right"/>
      <protection locked="0"/>
    </xf>
    <xf numFmtId="44" fontId="17" fillId="3" borderId="33" xfId="3" applyNumberFormat="1" applyFont="1" applyFill="1" applyBorder="1" applyAlignment="1" applyProtection="1">
      <alignment horizontal="right"/>
      <protection locked="0"/>
    </xf>
    <xf numFmtId="0" fontId="10" fillId="7" borderId="34" xfId="1" applyNumberFormat="1" applyFont="1" applyFill="1" applyBorder="1" applyAlignment="1" applyProtection="1">
      <alignment horizontal="right" wrapText="1"/>
    </xf>
    <xf numFmtId="0" fontId="10" fillId="7" borderId="35" xfId="1" applyNumberFormat="1" applyFont="1" applyFill="1" applyBorder="1" applyAlignment="1" applyProtection="1">
      <alignment horizontal="right" wrapText="1"/>
    </xf>
    <xf numFmtId="9" fontId="10" fillId="7" borderId="35" xfId="4" applyNumberFormat="1" applyFont="1" applyFill="1" applyBorder="1" applyAlignment="1" applyProtection="1">
      <alignment horizontal="right" wrapText="1"/>
    </xf>
    <xf numFmtId="164" fontId="10" fillId="7" borderId="35" xfId="3" applyNumberFormat="1" applyFont="1" applyFill="1" applyBorder="1" applyAlignment="1" applyProtection="1">
      <alignment horizontal="right" wrapText="1"/>
    </xf>
    <xf numFmtId="0" fontId="3" fillId="3" borderId="22" xfId="1" applyNumberFormat="1" applyFont="1" applyFill="1" applyBorder="1" applyAlignment="1" applyProtection="1">
      <alignment wrapText="1"/>
      <protection locked="0"/>
    </xf>
    <xf numFmtId="0" fontId="3" fillId="3" borderId="30" xfId="1" applyNumberFormat="1" applyFont="1" applyFill="1" applyBorder="1" applyAlignment="1" applyProtection="1">
      <alignment wrapText="1"/>
      <protection locked="0"/>
    </xf>
    <xf numFmtId="0" fontId="20" fillId="0" borderId="36" xfId="1" applyNumberFormat="1" applyFont="1" applyFill="1" applyBorder="1" applyAlignment="1" applyProtection="1"/>
    <xf numFmtId="0" fontId="20" fillId="0" borderId="36" xfId="1" applyNumberFormat="1" applyFont="1" applyFill="1" applyBorder="1" applyAlignment="1" applyProtection="1"/>
    <xf numFmtId="0" fontId="3" fillId="3" borderId="22" xfId="1" applyNumberFormat="1" applyFont="1" applyFill="1" applyBorder="1" applyAlignment="1" applyProtection="1">
      <alignment horizontal="right" wrapText="1"/>
      <protection locked="0"/>
    </xf>
    <xf numFmtId="0" fontId="3" fillId="3" borderId="30" xfId="1" applyNumberFormat="1" applyFont="1" applyFill="1" applyBorder="1" applyAlignment="1" applyProtection="1">
      <alignment horizontal="right" wrapText="1"/>
      <protection locked="0"/>
    </xf>
    <xf numFmtId="0" fontId="0" fillId="0" borderId="0" xfId="1" applyNumberFormat="1" applyFont="1" applyFill="1" applyBorder="1" applyAlignment="1" applyProtection="1">
      <alignment wrapText="1"/>
    </xf>
    <xf numFmtId="0" fontId="15" fillId="2" borderId="19" xfId="1" applyNumberFormat="1" applyFont="1" applyFill="1" applyBorder="1" applyAlignment="1" applyProtection="1">
      <alignment horizontal="left" wrapText="1"/>
    </xf>
    <xf numFmtId="0" fontId="3" fillId="3" borderId="37" xfId="1" applyNumberFormat="1" applyFont="1" applyFill="1" applyBorder="1" applyAlignment="1" applyProtection="1">
      <alignment wrapText="1"/>
      <protection locked="0"/>
    </xf>
    <xf numFmtId="0" fontId="3" fillId="3" borderId="38" xfId="1" applyNumberFormat="1" applyFont="1" applyFill="1" applyBorder="1" applyAlignment="1" applyProtection="1">
      <alignment wrapText="1"/>
      <protection locked="0"/>
    </xf>
    <xf numFmtId="164" fontId="10" fillId="7" borderId="39" xfId="3" applyNumberFormat="1" applyFont="1" applyFill="1" applyBorder="1" applyAlignment="1" applyProtection="1">
      <alignment horizontal="right" wrapText="1"/>
    </xf>
    <xf numFmtId="0" fontId="15" fillId="2" borderId="38" xfId="1" applyNumberFormat="1" applyFont="1" applyFill="1" applyBorder="1" applyAlignment="1" applyProtection="1">
      <alignment horizontal="left" wrapText="1"/>
    </xf>
    <xf numFmtId="0" fontId="16" fillId="2" borderId="40" xfId="1" applyNumberFormat="1" applyFont="1" applyFill="1" applyBorder="1" applyAlignment="1" applyProtection="1"/>
    <xf numFmtId="0" fontId="15" fillId="2" borderId="41" xfId="1" applyNumberFormat="1" applyFont="1" applyFill="1" applyBorder="1" applyAlignment="1" applyProtection="1">
      <alignment horizontal="left" wrapText="1"/>
    </xf>
    <xf numFmtId="0" fontId="16" fillId="2" borderId="42" xfId="1" applyNumberFormat="1" applyFont="1" applyFill="1" applyBorder="1" applyAlignment="1" applyProtection="1"/>
    <xf numFmtId="0" fontId="3" fillId="3" borderId="43" xfId="1" applyNumberFormat="1" applyFont="1" applyFill="1" applyBorder="1" applyAlignment="1" applyProtection="1">
      <alignment horizontal="right" wrapText="1"/>
      <protection locked="0"/>
    </xf>
    <xf numFmtId="0" fontId="3" fillId="3" borderId="44" xfId="1" applyNumberFormat="1" applyFont="1" applyFill="1" applyBorder="1" applyAlignment="1" applyProtection="1">
      <alignment horizontal="right" wrapText="1"/>
      <protection locked="0"/>
    </xf>
    <xf numFmtId="164" fontId="10" fillId="7" borderId="45" xfId="3" applyNumberFormat="1" applyFont="1" applyFill="1" applyBorder="1" applyAlignment="1" applyProtection="1">
      <alignment horizontal="right" wrapText="1"/>
    </xf>
    <xf numFmtId="0" fontId="15" fillId="2" borderId="46" xfId="1" applyNumberFormat="1" applyFont="1" applyFill="1" applyBorder="1" applyAlignment="1" applyProtection="1">
      <alignment horizontal="left" wrapText="1"/>
    </xf>
    <xf numFmtId="0" fontId="16" fillId="2" borderId="47" xfId="1" applyNumberFormat="1" applyFont="1" applyFill="1" applyBorder="1" applyAlignment="1" applyProtection="1"/>
    <xf numFmtId="0" fontId="3" fillId="3" borderId="48" xfId="1" applyNumberFormat="1" applyFont="1" applyFill="1" applyBorder="1" applyAlignment="1" applyProtection="1">
      <alignment horizontal="right" wrapText="1"/>
      <protection locked="0"/>
    </xf>
    <xf numFmtId="0" fontId="3" fillId="3" borderId="49" xfId="1" applyNumberFormat="1" applyFont="1" applyFill="1" applyBorder="1" applyAlignment="1" applyProtection="1">
      <alignment horizontal="right" wrapText="1"/>
      <protection locked="0"/>
    </xf>
    <xf numFmtId="164" fontId="10" fillId="7" borderId="50" xfId="3" applyNumberFormat="1" applyFont="1" applyFill="1" applyBorder="1" applyAlignment="1" applyProtection="1">
      <alignment horizontal="right" wrapText="1"/>
    </xf>
    <xf numFmtId="0" fontId="17" fillId="10" borderId="51" xfId="1" applyNumberFormat="1" applyFont="1" applyFill="1" applyBorder="1" applyAlignment="1" applyProtection="1"/>
    <xf numFmtId="165" fontId="17" fillId="10" borderId="52" xfId="1" applyNumberFormat="1" applyFont="1" applyFill="1" applyBorder="1" applyAlignment="1" applyProtection="1"/>
    <xf numFmtId="0" fontId="17" fillId="10" borderId="52" xfId="1" applyNumberFormat="1" applyFont="1" applyFill="1" applyBorder="1" applyAlignment="1" applyProtection="1"/>
    <xf numFmtId="0" fontId="19" fillId="10" borderId="52" xfId="1" applyNumberFormat="1" applyFont="1" applyFill="1" applyBorder="1" applyAlignment="1" applyProtection="1">
      <alignment horizontal="left"/>
    </xf>
    <xf numFmtId="165" fontId="17" fillId="11" borderId="52" xfId="1" applyNumberFormat="1" applyFont="1" applyFill="1" applyBorder="1" applyAlignment="1" applyProtection="1"/>
    <xf numFmtId="0" fontId="17" fillId="11" borderId="52" xfId="1" applyNumberFormat="1" applyFont="1" applyFill="1" applyBorder="1" applyAlignment="1" applyProtection="1"/>
    <xf numFmtId="0" fontId="19" fillId="11" borderId="52" xfId="1" applyNumberFormat="1" applyFont="1" applyFill="1" applyBorder="1" applyAlignment="1" applyProtection="1">
      <alignment horizontal="left"/>
    </xf>
    <xf numFmtId="165" fontId="19" fillId="10" borderId="52" xfId="1" applyNumberFormat="1" applyFont="1" applyFill="1" applyBorder="1" applyAlignment="1" applyProtection="1"/>
    <xf numFmtId="0" fontId="17" fillId="11" borderId="53" xfId="1" applyNumberFormat="1" applyFont="1" applyFill="1" applyBorder="1" applyAlignment="1" applyProtection="1"/>
    <xf numFmtId="165" fontId="19" fillId="11" borderId="52" xfId="1" applyNumberFormat="1" applyFont="1" applyFill="1" applyBorder="1" applyAlignment="1" applyProtection="1"/>
    <xf numFmtId="0" fontId="0" fillId="0" borderId="0" xfId="1" applyNumberFormat="1" applyFont="1" applyFill="1" applyBorder="1" applyAlignment="1" applyProtection="1">
      <protection locked="0"/>
    </xf>
    <xf numFmtId="0" fontId="0" fillId="0" borderId="0" xfId="1" applyNumberFormat="1" applyFont="1" applyFill="1" applyBorder="1" applyAlignment="1" applyProtection="1">
      <protection locked="0"/>
    </xf>
    <xf numFmtId="0" fontId="20" fillId="0" borderId="36" xfId="1" applyNumberFormat="1" applyFont="1" applyFill="1" applyBorder="1" applyAlignment="1" applyProtection="1">
      <protection locked="0"/>
    </xf>
    <xf numFmtId="0" fontId="20" fillId="0" borderId="36" xfId="1" applyNumberFormat="1" applyFont="1" applyFill="1" applyBorder="1" applyAlignment="1" applyProtection="1">
      <protection locked="0"/>
    </xf>
    <xf numFmtId="44" fontId="20" fillId="0" borderId="36" xfId="3" applyNumberFormat="1" applyFont="1" applyFill="1" applyBorder="1" applyAlignment="1" applyProtection="1">
      <protection locked="0"/>
    </xf>
    <xf numFmtId="0" fontId="0" fillId="0" borderId="0" xfId="1" applyNumberFormat="1" applyFont="1" applyFill="1" applyBorder="1" applyAlignment="1" applyProtection="1"/>
    <xf numFmtId="0" fontId="0" fillId="0" borderId="0" xfId="1" applyNumberFormat="1" applyFont="1" applyFill="1" applyBorder="1" applyAlignment="1" applyProtection="1">
      <protection locked="0"/>
    </xf>
    <xf numFmtId="0" fontId="19" fillId="11" borderId="54" xfId="1" applyNumberFormat="1" applyFont="1" applyFill="1" applyBorder="1" applyAlignment="1" applyProtection="1">
      <alignment horizontal="left"/>
    </xf>
    <xf numFmtId="0" fontId="15" fillId="2" borderId="55" xfId="1" applyNumberFormat="1" applyFont="1" applyFill="1" applyBorder="1" applyAlignment="1" applyProtection="1">
      <alignment horizontal="left" wrapText="1"/>
    </xf>
    <xf numFmtId="44" fontId="17" fillId="3" borderId="56" xfId="3" applyNumberFormat="1" applyFont="1" applyFill="1" applyBorder="1" applyAlignment="1" applyProtection="1">
      <alignment horizontal="right"/>
      <protection locked="0"/>
    </xf>
    <xf numFmtId="0" fontId="3" fillId="3" borderId="57" xfId="1" applyNumberFormat="1" applyFont="1" applyFill="1" applyBorder="1" applyAlignment="1" applyProtection="1">
      <alignment wrapText="1"/>
      <protection locked="0"/>
    </xf>
    <xf numFmtId="0" fontId="3" fillId="3" borderId="58" xfId="1" applyNumberFormat="1" applyFont="1" applyFill="1" applyBorder="1" applyAlignment="1" applyProtection="1">
      <alignment wrapText="1"/>
      <protection locked="0"/>
    </xf>
    <xf numFmtId="164" fontId="10" fillId="7" borderId="59" xfId="3" applyNumberFormat="1" applyFont="1" applyFill="1" applyBorder="1" applyAlignment="1" applyProtection="1">
      <alignment horizontal="right" wrapText="1"/>
    </xf>
    <xf numFmtId="0" fontId="0" fillId="0" borderId="0" xfId="1" applyNumberFormat="1" applyFont="1" applyFill="1" applyBorder="1" applyAlignment="1" applyProtection="1"/>
    <xf numFmtId="0" fontId="0" fillId="0" borderId="0" xfId="1" applyNumberFormat="1" applyFont="1" applyFill="1" applyBorder="1" applyAlignment="1" applyProtection="1"/>
    <xf numFmtId="0" fontId="0" fillId="0" borderId="7" xfId="1" applyNumberFormat="1" applyFont="1" applyFill="1" applyBorder="1" applyAlignment="1" applyProtection="1"/>
    <xf numFmtId="0" fontId="0" fillId="0" borderId="2" xfId="1" applyNumberFormat="1" applyFont="1" applyFill="1" applyBorder="1" applyAlignment="1" applyProtection="1"/>
    <xf numFmtId="14" fontId="0" fillId="0" borderId="0" xfId="1" applyNumberFormat="1" applyFont="1" applyFill="1" applyBorder="1" applyAlignment="1" applyProtection="1"/>
    <xf numFmtId="0" fontId="7" fillId="2" borderId="6" xfId="1" applyNumberFormat="1" applyFont="1" applyFill="1" applyBorder="1" applyAlignment="1" applyProtection="1">
      <alignment horizontal="center" wrapText="1"/>
    </xf>
    <xf numFmtId="0" fontId="0" fillId="0" borderId="0" xfId="1" applyNumberFormat="1" applyFont="1" applyFill="1" applyBorder="1" applyAlignment="1" applyProtection="1">
      <alignment horizontal="center"/>
    </xf>
    <xf numFmtId="0" fontId="0" fillId="8" borderId="7" xfId="1" applyNumberFormat="1" applyFont="1" applyFill="1" applyBorder="1" applyAlignment="1" applyProtection="1"/>
    <xf numFmtId="0" fontId="20" fillId="0" borderId="36" xfId="3" applyNumberFormat="1" applyFont="1" applyFill="1" applyBorder="1" applyAlignment="1" applyProtection="1">
      <protection locked="0"/>
    </xf>
    <xf numFmtId="0" fontId="20" fillId="0" borderId="60" xfId="1" applyNumberFormat="1" applyFont="1" applyFill="1" applyBorder="1" applyAlignment="1" applyProtection="1"/>
    <xf numFmtId="0" fontId="20" fillId="0" borderId="61" xfId="1" applyNumberFormat="1" applyFont="1" applyFill="1" applyBorder="1" applyAlignment="1" applyProtection="1"/>
    <xf numFmtId="0" fontId="0" fillId="0" borderId="0" xfId="1" applyNumberFormat="1" applyFont="1" applyFill="1" applyBorder="1" applyAlignment="1" applyProtection="1">
      <alignment wrapText="1"/>
    </xf>
    <xf numFmtId="0" fontId="0" fillId="0" borderId="62" xfId="0" applyBorder="1"/>
    <xf numFmtId="0" fontId="20" fillId="0" borderId="0" xfId="1" applyNumberFormat="1" applyFont="1" applyFill="1" applyBorder="1" applyAlignment="1" applyProtection="1"/>
    <xf numFmtId="0" fontId="20" fillId="0" borderId="0" xfId="3" applyNumberFormat="1" applyFont="1" applyFill="1" applyBorder="1" applyAlignment="1" applyProtection="1">
      <protection locked="0"/>
    </xf>
    <xf numFmtId="0" fontId="3" fillId="3" borderId="22" xfId="1" applyNumberFormat="1" applyFont="1" applyFill="1" applyBorder="1" applyAlignment="1" applyProtection="1">
      <alignment horizontal="left" wrapText="1"/>
      <protection locked="0"/>
    </xf>
    <xf numFmtId="0" fontId="4" fillId="2" borderId="4" xfId="1" applyNumberFormat="1" applyFont="1" applyFill="1" applyBorder="1" applyAlignment="1" applyProtection="1">
      <alignment horizontal="left"/>
    </xf>
    <xf numFmtId="14" fontId="0" fillId="0" borderId="0" xfId="1" applyNumberFormat="1" applyFont="1" applyFill="1" applyBorder="1" applyAlignment="1" applyProtection="1">
      <alignment horizontal="center"/>
    </xf>
    <xf numFmtId="0" fontId="2" fillId="0" borderId="0" xfId="1" applyNumberFormat="1" applyFont="1" applyFill="1" applyBorder="1" applyAlignment="1" applyProtection="1"/>
    <xf numFmtId="0" fontId="2" fillId="0" borderId="0" xfId="1" applyNumberFormat="1" applyFont="1" applyFill="1" applyBorder="1" applyAlignment="1" applyProtection="1">
      <alignment horizontal="center"/>
    </xf>
    <xf numFmtId="0" fontId="0" fillId="0" borderId="0" xfId="0" applyProtection="1">
      <protection locked="0"/>
    </xf>
    <xf numFmtId="0" fontId="22" fillId="12" borderId="70" xfId="1" applyNumberFormat="1" applyFont="1" applyFill="1" applyBorder="1" applyAlignment="1" applyProtection="1">
      <alignment horizontal="center"/>
      <protection locked="0"/>
    </xf>
    <xf numFmtId="0" fontId="21" fillId="0" borderId="71" xfId="1" applyNumberFormat="1" applyFont="1" applyFill="1" applyBorder="1" applyAlignment="1" applyProtection="1">
      <alignment horizontal="center"/>
      <protection locked="0"/>
    </xf>
    <xf numFmtId="0" fontId="21" fillId="0" borderId="73" xfId="1" applyNumberFormat="1" applyFont="1" applyFill="1" applyBorder="1" applyAlignment="1" applyProtection="1">
      <alignment horizontal="center"/>
      <protection locked="0"/>
    </xf>
    <xf numFmtId="0" fontId="21" fillId="0" borderId="74" xfId="1" applyNumberFormat="1" applyFont="1" applyFill="1" applyBorder="1" applyAlignment="1" applyProtection="1">
      <alignment horizontal="center"/>
      <protection locked="0"/>
    </xf>
    <xf numFmtId="0" fontId="0" fillId="0" borderId="75" xfId="1" applyNumberFormat="1" applyFont="1" applyFill="1" applyBorder="1" applyAlignment="1" applyProtection="1">
      <protection locked="0"/>
    </xf>
    <xf numFmtId="0" fontId="4" fillId="3" borderId="6" xfId="1" applyNumberFormat="1" applyFont="1" applyFill="1" applyBorder="1" applyAlignment="1" applyProtection="1">
      <alignment horizontal="center"/>
      <protection locked="0"/>
    </xf>
    <xf numFmtId="0" fontId="4" fillId="2" borderId="6" xfId="1" applyNumberFormat="1" applyFont="1" applyFill="1" applyBorder="1" applyAlignment="1" applyProtection="1">
      <alignment horizontal="center"/>
    </xf>
    <xf numFmtId="0" fontId="27" fillId="0" borderId="0" xfId="1" applyNumberFormat="1" applyFont="1" applyFill="1" applyBorder="1" applyAlignment="1" applyProtection="1"/>
    <xf numFmtId="0" fontId="0" fillId="0" borderId="0" xfId="1" applyNumberFormat="1" applyFont="1" applyFill="1" applyBorder="1" applyAlignment="1" applyProtection="1">
      <alignment horizontal="center" wrapText="1"/>
    </xf>
    <xf numFmtId="0" fontId="28" fillId="0" borderId="0" xfId="0" applyFont="1"/>
    <xf numFmtId="0" fontId="2" fillId="0" borderId="0" xfId="1" applyNumberFormat="1" applyFont="1" applyFill="1" applyBorder="1" applyAlignment="1" applyProtection="1">
      <alignment wrapText="1"/>
    </xf>
    <xf numFmtId="1" fontId="3" fillId="3" borderId="92" xfId="2" applyNumberFormat="1" applyFont="1" applyFill="1" applyBorder="1" applyAlignment="1" applyProtection="1">
      <alignment horizontal="right" wrapText="1"/>
      <protection locked="0"/>
    </xf>
    <xf numFmtId="4" fontId="3" fillId="3" borderId="22" xfId="2" applyNumberFormat="1" applyFont="1" applyFill="1" applyBorder="1" applyAlignment="1" applyProtection="1">
      <alignment horizontal="right" wrapText="1"/>
      <protection locked="0"/>
    </xf>
    <xf numFmtId="1" fontId="5" fillId="2" borderId="32" xfId="2" applyNumberFormat="1" applyFont="1" applyFill="1" applyBorder="1" applyAlignment="1" applyProtection="1">
      <alignment horizontal="left" wrapText="1"/>
    </xf>
    <xf numFmtId="0" fontId="5" fillId="2" borderId="32" xfId="2" applyNumberFormat="1" applyFont="1" applyFill="1" applyBorder="1" applyAlignment="1" applyProtection="1">
      <alignment horizontal="left" wrapText="1"/>
    </xf>
    <xf numFmtId="1" fontId="5" fillId="2" borderId="6" xfId="2" applyNumberFormat="1" applyFont="1" applyFill="1" applyBorder="1" applyAlignment="1" applyProtection="1">
      <alignment horizontal="left" wrapText="1"/>
    </xf>
    <xf numFmtId="0" fontId="0" fillId="0" borderId="0" xfId="0" applyFill="1"/>
    <xf numFmtId="1" fontId="3" fillId="13" borderId="92" xfId="2" applyNumberFormat="1" applyFont="1" applyFill="1" applyBorder="1" applyAlignment="1" applyProtection="1">
      <alignment horizontal="right" wrapText="1"/>
      <protection locked="0"/>
    </xf>
    <xf numFmtId="1" fontId="3" fillId="13" borderId="22" xfId="2" applyNumberFormat="1" applyFont="1" applyFill="1" applyBorder="1" applyAlignment="1" applyProtection="1">
      <alignment horizontal="right" wrapText="1"/>
      <protection locked="0"/>
    </xf>
    <xf numFmtId="4" fontId="3" fillId="13" borderId="22" xfId="2" applyNumberFormat="1" applyFont="1" applyFill="1" applyBorder="1" applyAlignment="1" applyProtection="1">
      <alignment horizontal="right" wrapText="1"/>
      <protection locked="0"/>
    </xf>
    <xf numFmtId="1" fontId="3" fillId="15" borderId="22" xfId="2" applyNumberFormat="1" applyFont="1" applyFill="1" applyBorder="1" applyAlignment="1" applyProtection="1">
      <alignment horizontal="right" wrapText="1"/>
      <protection locked="0"/>
    </xf>
    <xf numFmtId="0" fontId="30" fillId="0" borderId="0" xfId="0" applyFont="1"/>
    <xf numFmtId="0" fontId="6" fillId="0" borderId="0" xfId="1" applyNumberFormat="1" applyFont="1" applyFill="1" applyBorder="1" applyAlignment="1" applyProtection="1"/>
    <xf numFmtId="0" fontId="12" fillId="0" borderId="0" xfId="1" applyNumberFormat="1" applyFont="1" applyFill="1" applyBorder="1" applyAlignment="1" applyProtection="1">
      <alignment horizontal="right"/>
    </xf>
    <xf numFmtId="0" fontId="0" fillId="0" borderId="0" xfId="0" quotePrefix="1"/>
    <xf numFmtId="14" fontId="3" fillId="13" borderId="22" xfId="2" applyNumberFormat="1" applyFont="1" applyFill="1" applyBorder="1" applyAlignment="1" applyProtection="1">
      <alignment horizontal="right" wrapText="1"/>
      <protection locked="0"/>
    </xf>
    <xf numFmtId="0" fontId="0" fillId="17" borderId="0" xfId="0" applyFill="1"/>
    <xf numFmtId="0" fontId="33" fillId="17" borderId="0" xfId="5" applyFill="1" applyAlignment="1" applyProtection="1"/>
    <xf numFmtId="0" fontId="0" fillId="0" borderId="0" xfId="0"/>
    <xf numFmtId="0" fontId="0" fillId="18" borderId="0" xfId="0" applyFill="1"/>
    <xf numFmtId="0" fontId="4" fillId="19" borderId="96" xfId="0" applyFont="1" applyFill="1" applyBorder="1" applyAlignment="1">
      <alignment horizontal="center"/>
    </xf>
    <xf numFmtId="0" fontId="0" fillId="18" borderId="97" xfId="0" applyFill="1" applyBorder="1"/>
    <xf numFmtId="0" fontId="2" fillId="0" borderId="0" xfId="6" applyNumberFormat="1" applyFont="1" applyFill="1" applyBorder="1" applyAlignment="1" applyProtection="1">
      <alignment wrapText="1"/>
    </xf>
    <xf numFmtId="8" fontId="0" fillId="0" borderId="0" xfId="0" applyNumberFormat="1"/>
    <xf numFmtId="0" fontId="29" fillId="0" borderId="97" xfId="2" applyNumberFormat="1" applyFont="1" applyFill="1" applyBorder="1" applyAlignment="1" applyProtection="1">
      <alignment vertical="center" wrapText="1"/>
    </xf>
    <xf numFmtId="0" fontId="2" fillId="0" borderId="97" xfId="2" applyNumberFormat="1" applyFont="1" applyFill="1" applyBorder="1" applyAlignment="1" applyProtection="1">
      <alignment vertical="center" wrapText="1"/>
    </xf>
    <xf numFmtId="0" fontId="29" fillId="0" borderId="97" xfId="2" applyNumberFormat="1" applyFont="1" applyFill="1" applyBorder="1" applyAlignment="1" applyProtection="1">
      <alignment horizontal="centerContinuous" vertical="center" wrapText="1"/>
    </xf>
    <xf numFmtId="0" fontId="2" fillId="0" borderId="97" xfId="2" applyNumberFormat="1" applyFont="1" applyFill="1" applyBorder="1" applyAlignment="1" applyProtection="1">
      <alignment horizontal="centerContinuous" vertical="center" wrapText="1"/>
    </xf>
    <xf numFmtId="9" fontId="0" fillId="0" borderId="0" xfId="0" applyNumberFormat="1"/>
    <xf numFmtId="168" fontId="3" fillId="13" borderId="22" xfId="2" applyNumberFormat="1" applyFont="1" applyFill="1" applyBorder="1" applyAlignment="1" applyProtection="1">
      <alignment horizontal="right" wrapText="1"/>
      <protection locked="0"/>
    </xf>
    <xf numFmtId="0" fontId="35" fillId="0" borderId="0" xfId="0" applyFont="1"/>
    <xf numFmtId="0" fontId="0" fillId="0" borderId="0" xfId="0"/>
    <xf numFmtId="0" fontId="37" fillId="0" borderId="0" xfId="0" applyFont="1"/>
    <xf numFmtId="0" fontId="2" fillId="16" borderId="0" xfId="0" applyFont="1" applyFill="1"/>
    <xf numFmtId="0" fontId="2" fillId="0" borderId="0" xfId="0" applyFont="1"/>
    <xf numFmtId="0" fontId="34" fillId="3" borderId="97" xfId="6" applyNumberFormat="1" applyFont="1" applyFill="1" applyBorder="1" applyAlignment="1" applyProtection="1">
      <protection locked="0"/>
    </xf>
    <xf numFmtId="0" fontId="0" fillId="0" borderId="10" xfId="0" applyBorder="1"/>
    <xf numFmtId="0" fontId="0" fillId="0" borderId="9" xfId="0" applyBorder="1"/>
    <xf numFmtId="0" fontId="4" fillId="2" borderId="97" xfId="6" applyNumberFormat="1" applyFont="1" applyFill="1" applyBorder="1" applyAlignment="1" applyProtection="1"/>
    <xf numFmtId="0" fontId="38" fillId="3" borderId="67" xfId="6" applyNumberFormat="1" applyFont="1" applyFill="1" applyBorder="1" applyAlignment="1" applyProtection="1">
      <protection locked="0"/>
    </xf>
    <xf numFmtId="0" fontId="0" fillId="0" borderId="12" xfId="0" applyBorder="1"/>
    <xf numFmtId="0" fontId="4" fillId="20" borderId="15" xfId="0" applyNumberFormat="1" applyFont="1" applyFill="1" applyBorder="1"/>
    <xf numFmtId="6" fontId="4" fillId="20" borderId="4" xfId="0" applyNumberFormat="1" applyFont="1" applyFill="1" applyBorder="1" applyAlignment="1">
      <alignment horizontal="right"/>
    </xf>
    <xf numFmtId="9" fontId="4" fillId="20" borderId="21" xfId="0" applyNumberFormat="1" applyFont="1" applyFill="1" applyBorder="1" applyAlignment="1">
      <alignment horizontal="right"/>
    </xf>
    <xf numFmtId="0" fontId="4" fillId="5" borderId="101" xfId="0" applyFont="1" applyFill="1" applyBorder="1" applyAlignment="1" applyProtection="1">
      <alignment horizontal="left"/>
    </xf>
    <xf numFmtId="0" fontId="4" fillId="5" borderId="101" xfId="0" applyFont="1" applyFill="1" applyBorder="1" applyAlignment="1" applyProtection="1"/>
    <xf numFmtId="0" fontId="36" fillId="5" borderId="103" xfId="0" applyFont="1" applyFill="1" applyBorder="1" applyAlignment="1" applyProtection="1">
      <alignment horizontal="right"/>
    </xf>
    <xf numFmtId="164" fontId="31" fillId="5" borderId="99" xfId="3" applyNumberFormat="1" applyFont="1" applyFill="1" applyBorder="1" applyAlignment="1" applyProtection="1"/>
    <xf numFmtId="0" fontId="0" fillId="0" borderId="0" xfId="0" applyFill="1" applyBorder="1"/>
    <xf numFmtId="0" fontId="4" fillId="13" borderId="15" xfId="6" applyNumberFormat="1" applyFont="1" applyFill="1" applyBorder="1" applyAlignment="1" applyProtection="1"/>
    <xf numFmtId="0" fontId="4" fillId="13" borderId="4" xfId="6" applyNumberFormat="1" applyFont="1" applyFill="1" applyBorder="1" applyAlignment="1" applyProtection="1"/>
    <xf numFmtId="0" fontId="4" fillId="13" borderId="64" xfId="6" applyNumberFormat="1" applyFont="1" applyFill="1" applyBorder="1" applyAlignment="1" applyProtection="1"/>
    <xf numFmtId="0" fontId="4" fillId="2" borderId="12" xfId="6" applyNumberFormat="1" applyFont="1" applyFill="1" applyBorder="1" applyAlignment="1" applyProtection="1">
      <alignment horizontal="center"/>
    </xf>
    <xf numFmtId="0" fontId="18" fillId="3" borderId="116" xfId="6" applyNumberFormat="1" applyFont="1" applyFill="1" applyBorder="1" applyAlignment="1" applyProtection="1">
      <alignment horizontal="center"/>
      <protection locked="0"/>
    </xf>
    <xf numFmtId="0" fontId="18" fillId="3" borderId="117" xfId="6" applyNumberFormat="1" applyFont="1" applyFill="1" applyBorder="1" applyAlignment="1" applyProtection="1">
      <alignment horizontal="center"/>
      <protection locked="0"/>
    </xf>
    <xf numFmtId="0" fontId="18" fillId="3" borderId="118" xfId="6" applyNumberFormat="1" applyFont="1" applyFill="1" applyBorder="1" applyAlignment="1" applyProtection="1">
      <alignment horizontal="center"/>
      <protection locked="0"/>
    </xf>
    <xf numFmtId="0" fontId="4" fillId="13" borderId="0" xfId="6" applyNumberFormat="1" applyFont="1" applyFill="1" applyBorder="1" applyAlignment="1" applyProtection="1"/>
    <xf numFmtId="0" fontId="4" fillId="13" borderId="27" xfId="6" applyNumberFormat="1" applyFont="1" applyFill="1" applyBorder="1" applyAlignment="1" applyProtection="1"/>
    <xf numFmtId="0" fontId="4" fillId="13" borderId="62" xfId="6" applyNumberFormat="1" applyFont="1" applyFill="1" applyBorder="1" applyAlignment="1" applyProtection="1"/>
    <xf numFmtId="0" fontId="4" fillId="13" borderId="23" xfId="6" applyNumberFormat="1" applyFont="1" applyFill="1" applyBorder="1" applyAlignment="1" applyProtection="1"/>
    <xf numFmtId="0" fontId="4" fillId="13" borderId="14" xfId="6" applyNumberFormat="1" applyFont="1" applyFill="1" applyBorder="1" applyAlignment="1" applyProtection="1"/>
    <xf numFmtId="0" fontId="4" fillId="13" borderId="24" xfId="6" applyNumberFormat="1" applyFont="1" applyFill="1" applyBorder="1" applyAlignment="1" applyProtection="1"/>
    <xf numFmtId="0" fontId="4" fillId="13" borderId="106" xfId="6" applyNumberFormat="1" applyFont="1" applyFill="1" applyBorder="1" applyAlignment="1" applyProtection="1"/>
    <xf numFmtId="0" fontId="4" fillId="13" borderId="94" xfId="6" applyNumberFormat="1" applyFont="1" applyFill="1" applyBorder="1" applyAlignment="1" applyProtection="1"/>
    <xf numFmtId="0" fontId="4" fillId="13" borderId="98" xfId="6" applyNumberFormat="1" applyFont="1" applyFill="1" applyBorder="1" applyAlignment="1" applyProtection="1"/>
    <xf numFmtId="0" fontId="2" fillId="23" borderId="7" xfId="0" applyNumberFormat="1" applyFont="1" applyFill="1" applyBorder="1" applyProtection="1">
      <protection locked="0"/>
    </xf>
    <xf numFmtId="6" fontId="2" fillId="23" borderId="0" xfId="0" applyNumberFormat="1" applyFont="1" applyFill="1" applyBorder="1" applyAlignment="1" applyProtection="1">
      <alignment horizontal="right"/>
      <protection locked="0"/>
    </xf>
    <xf numFmtId="164" fontId="0" fillId="23" borderId="6" xfId="3" applyNumberFormat="1" applyFont="1" applyFill="1" applyBorder="1" applyAlignment="1" applyProtection="1"/>
    <xf numFmtId="0" fontId="2" fillId="23" borderId="7" xfId="0" applyNumberFormat="1" applyFont="1" applyFill="1" applyBorder="1" applyAlignment="1" applyProtection="1">
      <alignment vertical="top" wrapText="1"/>
      <protection locked="0"/>
    </xf>
    <xf numFmtId="0" fontId="2" fillId="23" borderId="0" xfId="0" applyNumberFormat="1" applyFont="1" applyFill="1" applyBorder="1" applyAlignment="1" applyProtection="1">
      <alignment horizontal="center" vertical="top" wrapText="1"/>
      <protection locked="0"/>
    </xf>
    <xf numFmtId="0" fontId="2" fillId="23" borderId="8" xfId="0" applyNumberFormat="1" applyFont="1" applyFill="1" applyBorder="1" applyAlignment="1" applyProtection="1">
      <alignment vertical="top" wrapText="1"/>
      <protection locked="0"/>
    </xf>
    <xf numFmtId="0" fontId="2" fillId="23" borderId="1" xfId="0" applyNumberFormat="1" applyFont="1" applyFill="1" applyBorder="1" applyAlignment="1" applyProtection="1">
      <alignment horizontal="center" vertical="top" wrapText="1"/>
      <protection locked="0"/>
    </xf>
    <xf numFmtId="0" fontId="2" fillId="23" borderId="0" xfId="0" applyNumberFormat="1" applyFont="1" applyFill="1" applyBorder="1" applyAlignment="1" applyProtection="1">
      <alignment horizontal="center"/>
      <protection locked="0"/>
    </xf>
    <xf numFmtId="166" fontId="2" fillId="23" borderId="2" xfId="0" applyNumberFormat="1" applyFont="1" applyFill="1" applyBorder="1" applyAlignment="1" applyProtection="1">
      <alignment horizontal="right" vertical="top" wrapText="1"/>
      <protection locked="0"/>
    </xf>
    <xf numFmtId="0" fontId="2" fillId="23" borderId="1" xfId="0" applyNumberFormat="1" applyFont="1" applyFill="1" applyBorder="1" applyAlignment="1" applyProtection="1">
      <alignment horizontal="center"/>
      <protection locked="0"/>
    </xf>
    <xf numFmtId="166" fontId="2" fillId="23" borderId="5" xfId="0" applyNumberFormat="1" applyFont="1" applyFill="1" applyBorder="1" applyAlignment="1" applyProtection="1">
      <alignment horizontal="right" vertical="top" wrapText="1"/>
      <protection locked="0"/>
    </xf>
    <xf numFmtId="0" fontId="2" fillId="23" borderId="23" xfId="0" applyFont="1" applyFill="1" applyBorder="1" applyAlignment="1" applyProtection="1">
      <alignment horizontal="center"/>
      <protection locked="0"/>
    </xf>
    <xf numFmtId="0" fontId="2" fillId="23" borderId="64" xfId="0" applyFont="1" applyFill="1" applyBorder="1" applyAlignment="1" applyProtection="1">
      <alignment horizontal="center"/>
      <protection locked="0"/>
    </xf>
    <xf numFmtId="0" fontId="2" fillId="23" borderId="97" xfId="0" applyFont="1" applyFill="1" applyBorder="1" applyAlignment="1" applyProtection="1">
      <alignment horizontal="center"/>
      <protection locked="0"/>
    </xf>
    <xf numFmtId="0" fontId="2" fillId="23" borderId="101" xfId="0" applyFont="1" applyFill="1" applyBorder="1" applyAlignment="1" applyProtection="1">
      <protection locked="0"/>
    </xf>
    <xf numFmtId="164" fontId="31" fillId="23" borderId="101" xfId="3" applyNumberFormat="1" applyFont="1" applyFill="1" applyBorder="1" applyAlignment="1" applyProtection="1">
      <protection locked="0"/>
    </xf>
    <xf numFmtId="164" fontId="3" fillId="23" borderId="101" xfId="3" applyNumberFormat="1" applyFont="1" applyFill="1" applyBorder="1" applyAlignment="1" applyProtection="1">
      <protection locked="0"/>
    </xf>
    <xf numFmtId="164" fontId="31" fillId="23" borderId="103" xfId="3" applyNumberFormat="1" applyFont="1" applyFill="1" applyBorder="1" applyAlignment="1" applyProtection="1">
      <protection locked="0"/>
    </xf>
    <xf numFmtId="9" fontId="31" fillId="23" borderId="97" xfId="4" applyNumberFormat="1" applyFont="1" applyFill="1" applyBorder="1" applyAlignment="1" applyProtection="1">
      <alignment horizontal="center"/>
      <protection locked="0"/>
    </xf>
    <xf numFmtId="6" fontId="2" fillId="0" borderId="0" xfId="0" applyNumberFormat="1" applyFont="1" applyFill="1" applyBorder="1" applyAlignment="1">
      <alignment horizontal="right"/>
    </xf>
    <xf numFmtId="6" fontId="2" fillId="0" borderId="1" xfId="0" applyNumberFormat="1" applyFont="1" applyFill="1" applyBorder="1" applyAlignment="1">
      <alignment horizontal="right"/>
    </xf>
    <xf numFmtId="0" fontId="0" fillId="0" borderId="7" xfId="0" applyFill="1" applyBorder="1"/>
    <xf numFmtId="0" fontId="4" fillId="0" borderId="0" xfId="0" applyFont="1" applyFill="1" applyBorder="1" applyProtection="1"/>
    <xf numFmtId="0" fontId="4" fillId="0" borderId="0" xfId="0" applyFont="1" applyFill="1" applyBorder="1" applyAlignment="1" applyProtection="1">
      <alignment horizontal="right"/>
    </xf>
    <xf numFmtId="0" fontId="41" fillId="0" borderId="0" xfId="0" applyFont="1" applyFill="1" applyBorder="1"/>
    <xf numFmtId="0" fontId="39" fillId="0" borderId="0" xfId="0" applyFont="1" applyFill="1" applyBorder="1" applyProtection="1">
      <protection locked="0"/>
    </xf>
    <xf numFmtId="0" fontId="40" fillId="0" borderId="0" xfId="0" applyFont="1" applyFill="1" applyBorder="1"/>
    <xf numFmtId="0" fontId="41" fillId="0" borderId="0" xfId="0" applyFont="1" applyFill="1" applyBorder="1" applyProtection="1">
      <protection locked="0"/>
    </xf>
    <xf numFmtId="0" fontId="42" fillId="0" borderId="0" xfId="0" applyFont="1" applyFill="1" applyBorder="1"/>
    <xf numFmtId="0" fontId="36" fillId="0" borderId="0" xfId="0" applyFont="1" applyFill="1" applyBorder="1" applyAlignment="1">
      <alignment horizontal="right"/>
    </xf>
    <xf numFmtId="0" fontId="2" fillId="0" borderId="97" xfId="0" applyFont="1" applyFill="1" applyBorder="1" applyProtection="1">
      <protection locked="0"/>
    </xf>
    <xf numFmtId="0" fontId="2" fillId="0" borderId="0" xfId="0" applyNumberFormat="1" applyFont="1" applyFill="1" applyBorder="1" applyAlignment="1">
      <alignment horizontal="right"/>
    </xf>
    <xf numFmtId="0" fontId="3" fillId="0" borderId="0" xfId="0" applyNumberFormat="1" applyFont="1" applyFill="1" applyBorder="1" applyAlignment="1">
      <alignment horizontal="right"/>
    </xf>
    <xf numFmtId="0" fontId="2" fillId="0" borderId="0" xfId="0" applyNumberFormat="1" applyFont="1" applyFill="1" applyBorder="1"/>
    <xf numFmtId="0" fontId="43" fillId="0" borderId="0" xfId="0" applyNumberFormat="1" applyFont="1" applyFill="1" applyBorder="1"/>
    <xf numFmtId="0" fontId="3" fillId="0" borderId="0" xfId="0" applyNumberFormat="1" applyFont="1" applyFill="1" applyBorder="1"/>
    <xf numFmtId="0" fontId="2" fillId="0" borderId="0" xfId="0" applyNumberFormat="1" applyFont="1" applyFill="1" applyBorder="1" applyAlignment="1">
      <alignment horizontal="center"/>
    </xf>
    <xf numFmtId="0" fontId="3" fillId="0" borderId="0" xfId="0" applyNumberFormat="1" applyFont="1" applyFill="1" applyBorder="1" applyAlignment="1">
      <alignment horizontal="center"/>
    </xf>
    <xf numFmtId="0" fontId="4" fillId="0" borderId="0" xfId="0" applyFont="1" applyFill="1" applyBorder="1" applyProtection="1">
      <protection locked="0"/>
    </xf>
    <xf numFmtId="0" fontId="44" fillId="0" borderId="0" xfId="0" applyFont="1" applyFill="1" applyBorder="1"/>
    <xf numFmtId="0" fontId="2" fillId="0" borderId="0" xfId="0" applyFont="1"/>
    <xf numFmtId="0" fontId="2" fillId="0" borderId="0" xfId="7" applyNumberFormat="1" applyFont="1" applyFill="1" applyBorder="1" applyAlignment="1" applyProtection="1">
      <alignment horizontal="center"/>
    </xf>
    <xf numFmtId="0" fontId="2" fillId="0" borderId="0" xfId="7" applyNumberFormat="1" applyFont="1" applyFill="1" applyBorder="1" applyAlignment="1" applyProtection="1">
      <alignment wrapText="1"/>
    </xf>
    <xf numFmtId="14" fontId="2" fillId="0" borderId="0" xfId="7" applyNumberFormat="1" applyFont="1" applyFill="1" applyBorder="1" applyAlignment="1" applyProtection="1">
      <alignment horizontal="center"/>
    </xf>
    <xf numFmtId="0" fontId="18" fillId="23" borderId="16" xfId="6" applyNumberFormat="1" applyFont="1" applyFill="1" applyBorder="1" applyAlignment="1" applyProtection="1">
      <protection locked="0"/>
    </xf>
    <xf numFmtId="0" fontId="18" fillId="23" borderId="16" xfId="6" applyNumberFormat="1" applyFont="1" applyFill="1" applyBorder="1" applyAlignment="1" applyProtection="1">
      <alignment horizontal="left"/>
      <protection locked="0"/>
    </xf>
    <xf numFmtId="0" fontId="18" fillId="23" borderId="16" xfId="6" applyNumberFormat="1" applyFont="1" applyFill="1" applyBorder="1" applyAlignment="1" applyProtection="1">
      <alignment horizontal="center"/>
      <protection locked="0"/>
    </xf>
    <xf numFmtId="0" fontId="18" fillId="23" borderId="107" xfId="6" applyNumberFormat="1" applyFont="1" applyFill="1" applyBorder="1" applyAlignment="1" applyProtection="1">
      <alignment horizontal="center"/>
      <protection locked="0"/>
    </xf>
    <xf numFmtId="0" fontId="18" fillId="23" borderId="108" xfId="6" applyNumberFormat="1" applyFont="1" applyFill="1" applyBorder="1" applyAlignment="1" applyProtection="1">
      <alignment horizontal="center"/>
      <protection locked="0"/>
    </xf>
    <xf numFmtId="0" fontId="18" fillId="23" borderId="109" xfId="6" applyNumberFormat="1" applyFont="1" applyFill="1" applyBorder="1" applyAlignment="1" applyProtection="1">
      <alignment horizontal="center"/>
      <protection locked="0"/>
    </xf>
    <xf numFmtId="169" fontId="34" fillId="23" borderId="107" xfId="6" applyNumberFormat="1" applyFont="1" applyFill="1" applyBorder="1" applyAlignment="1" applyProtection="1">
      <alignment horizontal="center"/>
      <protection locked="0"/>
    </xf>
    <xf numFmtId="169" fontId="34" fillId="23" borderId="108" xfId="6" applyNumberFormat="1" applyFont="1" applyFill="1" applyBorder="1" applyAlignment="1" applyProtection="1">
      <alignment horizontal="center"/>
      <protection locked="0"/>
    </xf>
    <xf numFmtId="169" fontId="34" fillId="23" borderId="109" xfId="6" applyNumberFormat="1" applyFont="1" applyFill="1" applyBorder="1" applyAlignment="1" applyProtection="1">
      <alignment horizontal="center"/>
      <protection locked="0"/>
    </xf>
    <xf numFmtId="0" fontId="18" fillId="23" borderId="67" xfId="6" applyNumberFormat="1" applyFont="1" applyFill="1" applyBorder="1" applyAlignment="1" applyProtection="1">
      <protection locked="0"/>
    </xf>
    <xf numFmtId="0" fontId="18" fillId="23" borderId="67" xfId="6" applyNumberFormat="1" applyFont="1" applyFill="1" applyBorder="1" applyAlignment="1" applyProtection="1">
      <alignment horizontal="left"/>
      <protection locked="0"/>
    </xf>
    <xf numFmtId="0" fontId="18" fillId="23" borderId="67" xfId="6" applyNumberFormat="1" applyFont="1" applyFill="1" applyBorder="1" applyAlignment="1" applyProtection="1">
      <alignment horizontal="center"/>
      <protection locked="0"/>
    </xf>
    <xf numFmtId="0" fontId="18" fillId="23" borderId="95" xfId="6" applyNumberFormat="1" applyFont="1" applyFill="1" applyBorder="1" applyAlignment="1" applyProtection="1">
      <alignment horizontal="center"/>
      <protection locked="0"/>
    </xf>
    <xf numFmtId="0" fontId="18" fillId="23" borderId="110" xfId="6" applyNumberFormat="1" applyFont="1" applyFill="1" applyBorder="1" applyAlignment="1" applyProtection="1">
      <alignment horizontal="center"/>
      <protection locked="0"/>
    </xf>
    <xf numFmtId="0" fontId="18" fillId="23" borderId="112" xfId="6" applyNumberFormat="1" applyFont="1" applyFill="1" applyBorder="1" applyAlignment="1" applyProtection="1">
      <alignment horizontal="center"/>
      <protection locked="0"/>
    </xf>
    <xf numFmtId="169" fontId="34" fillId="23" borderId="95" xfId="6" applyNumberFormat="1" applyFont="1" applyFill="1" applyBorder="1" applyAlignment="1" applyProtection="1">
      <alignment horizontal="center"/>
      <protection locked="0"/>
    </xf>
    <xf numFmtId="169" fontId="34" fillId="23" borderId="110" xfId="6" applyNumberFormat="1" applyFont="1" applyFill="1" applyBorder="1" applyAlignment="1" applyProtection="1">
      <alignment horizontal="center"/>
      <protection locked="0"/>
    </xf>
    <xf numFmtId="169" fontId="34" fillId="23" borderId="111" xfId="6" applyNumberFormat="1" applyFont="1" applyFill="1" applyBorder="1" applyAlignment="1" applyProtection="1">
      <alignment horizontal="center"/>
      <protection locked="0"/>
    </xf>
    <xf numFmtId="0" fontId="18" fillId="23" borderId="18" xfId="6" applyNumberFormat="1" applyFont="1" applyFill="1" applyBorder="1" applyAlignment="1" applyProtection="1">
      <protection locked="0"/>
    </xf>
    <xf numFmtId="0" fontId="18" fillId="23" borderId="18" xfId="6" applyNumberFormat="1" applyFont="1" applyFill="1" applyBorder="1" applyAlignment="1" applyProtection="1">
      <alignment horizontal="left"/>
      <protection locked="0"/>
    </xf>
    <xf numFmtId="0" fontId="18" fillId="23" borderId="18" xfId="6" applyNumberFormat="1" applyFont="1" applyFill="1" applyBorder="1" applyAlignment="1" applyProtection="1">
      <alignment horizontal="center"/>
      <protection locked="0"/>
    </xf>
    <xf numFmtId="0" fontId="18" fillId="23" borderId="113" xfId="6" applyNumberFormat="1" applyFont="1" applyFill="1" applyBorder="1" applyAlignment="1" applyProtection="1">
      <alignment horizontal="center"/>
      <protection locked="0"/>
    </xf>
    <xf numFmtId="0" fontId="18" fillId="23" borderId="114" xfId="6" applyNumberFormat="1" applyFont="1" applyFill="1" applyBorder="1" applyAlignment="1" applyProtection="1">
      <alignment horizontal="center"/>
      <protection locked="0"/>
    </xf>
    <xf numFmtId="0" fontId="18" fillId="23" borderId="115" xfId="6" applyNumberFormat="1" applyFont="1" applyFill="1" applyBorder="1" applyAlignment="1" applyProtection="1">
      <alignment horizontal="center"/>
      <protection locked="0"/>
    </xf>
    <xf numFmtId="169" fontId="34" fillId="23" borderId="113" xfId="6" applyNumberFormat="1" applyFont="1" applyFill="1" applyBorder="1" applyAlignment="1" applyProtection="1">
      <alignment horizontal="center"/>
      <protection locked="0"/>
    </xf>
    <xf numFmtId="169" fontId="34" fillId="23" borderId="114" xfId="6" applyNumberFormat="1" applyFont="1" applyFill="1" applyBorder="1" applyAlignment="1" applyProtection="1">
      <alignment horizontal="center"/>
      <protection locked="0"/>
    </xf>
    <xf numFmtId="169" fontId="34" fillId="23" borderId="115" xfId="6" applyNumberFormat="1" applyFont="1" applyFill="1" applyBorder="1" applyAlignment="1" applyProtection="1">
      <alignment horizontal="center"/>
      <protection locked="0"/>
    </xf>
    <xf numFmtId="169" fontId="34" fillId="3" borderId="116" xfId="6" applyNumberFormat="1" applyFont="1" applyFill="1" applyBorder="1" applyAlignment="1" applyProtection="1">
      <alignment horizontal="center"/>
      <protection locked="0"/>
    </xf>
    <xf numFmtId="169" fontId="34" fillId="3" borderId="117" xfId="6" applyNumberFormat="1" applyFont="1" applyFill="1" applyBorder="1" applyAlignment="1" applyProtection="1">
      <alignment horizontal="center"/>
      <protection locked="0"/>
    </xf>
    <xf numFmtId="169" fontId="34" fillId="3" borderId="118" xfId="6" applyNumberFormat="1" applyFont="1" applyFill="1" applyBorder="1" applyAlignment="1" applyProtection="1">
      <alignment horizontal="center"/>
      <protection locked="0"/>
    </xf>
    <xf numFmtId="0" fontId="0" fillId="0" borderId="0" xfId="6" applyNumberFormat="1" applyFont="1" applyFill="1" applyBorder="1" applyAlignment="1" applyProtection="1"/>
    <xf numFmtId="0" fontId="42" fillId="0" borderId="0" xfId="0" applyFont="1"/>
    <xf numFmtId="6" fontId="42" fillId="23" borderId="0" xfId="0" applyNumberFormat="1" applyFont="1" applyFill="1" applyBorder="1" applyAlignment="1" applyProtection="1">
      <alignment horizontal="right"/>
      <protection locked="0"/>
    </xf>
    <xf numFmtId="6" fontId="42" fillId="23" borderId="1" xfId="0" applyNumberFormat="1" applyFont="1" applyFill="1" applyBorder="1" applyAlignment="1" applyProtection="1">
      <alignment horizontal="right"/>
      <protection locked="0"/>
    </xf>
    <xf numFmtId="169" fontId="18" fillId="3" borderId="116" xfId="6" applyNumberFormat="1" applyFont="1" applyFill="1" applyBorder="1" applyAlignment="1" applyProtection="1">
      <alignment horizontal="center"/>
      <protection locked="0"/>
    </xf>
    <xf numFmtId="169" fontId="18" fillId="3" borderId="117" xfId="6" applyNumberFormat="1" applyFont="1" applyFill="1" applyBorder="1" applyAlignment="1" applyProtection="1">
      <alignment horizontal="center"/>
      <protection locked="0"/>
    </xf>
    <xf numFmtId="169" fontId="18" fillId="3" borderId="118" xfId="6" applyNumberFormat="1" applyFont="1" applyFill="1" applyBorder="1" applyAlignment="1" applyProtection="1">
      <alignment horizontal="center"/>
      <protection locked="0"/>
    </xf>
    <xf numFmtId="167" fontId="2" fillId="0" borderId="2" xfId="0" applyNumberFormat="1" applyFont="1" applyFill="1" applyBorder="1" applyAlignment="1">
      <alignment horizontal="right"/>
    </xf>
    <xf numFmtId="0" fontId="0" fillId="0" borderId="0" xfId="0" applyProtection="1"/>
    <xf numFmtId="0" fontId="2" fillId="0" borderId="0" xfId="0" applyFont="1" applyAlignment="1" applyProtection="1">
      <alignment horizontal="right"/>
    </xf>
    <xf numFmtId="0" fontId="4" fillId="21" borderId="106" xfId="0" applyFont="1" applyFill="1" applyBorder="1" applyAlignment="1" applyProtection="1"/>
    <xf numFmtId="0" fontId="4" fillId="21" borderId="94" xfId="0" applyFont="1" applyFill="1" applyBorder="1" applyAlignment="1" applyProtection="1"/>
    <xf numFmtId="0" fontId="4" fillId="21" borderId="98" xfId="0" applyFont="1" applyFill="1" applyBorder="1" applyAlignment="1" applyProtection="1"/>
    <xf numFmtId="0" fontId="4" fillId="0" borderId="0" xfId="0" applyFont="1" applyAlignment="1" applyProtection="1">
      <alignment horizontal="right"/>
    </xf>
    <xf numFmtId="169" fontId="18" fillId="0" borderId="116" xfId="6" applyNumberFormat="1" applyFont="1" applyFill="1" applyBorder="1" applyAlignment="1" applyProtection="1">
      <alignment horizontal="center"/>
    </xf>
    <xf numFmtId="169" fontId="18" fillId="0" borderId="117" xfId="6" applyNumberFormat="1" applyFont="1" applyFill="1" applyBorder="1" applyAlignment="1" applyProtection="1">
      <alignment horizontal="center"/>
    </xf>
    <xf numFmtId="169" fontId="18" fillId="0" borderId="118" xfId="6" applyNumberFormat="1" applyFont="1" applyFill="1" applyBorder="1" applyAlignment="1" applyProtection="1">
      <alignment horizontal="center"/>
    </xf>
    <xf numFmtId="167" fontId="18" fillId="0" borderId="116" xfId="4" applyNumberFormat="1" applyFont="1" applyFill="1" applyBorder="1" applyAlignment="1" applyProtection="1">
      <alignment horizontal="center"/>
    </xf>
    <xf numFmtId="167" fontId="18" fillId="0" borderId="117" xfId="4" applyNumberFormat="1" applyFont="1" applyFill="1" applyBorder="1" applyAlignment="1" applyProtection="1">
      <alignment horizontal="center"/>
    </xf>
    <xf numFmtId="167" fontId="18" fillId="0" borderId="118" xfId="4" applyNumberFormat="1" applyFont="1" applyFill="1" applyBorder="1" applyAlignment="1" applyProtection="1">
      <alignment horizontal="center"/>
    </xf>
    <xf numFmtId="0" fontId="2" fillId="0" borderId="0" xfId="0" applyFont="1" applyProtection="1"/>
    <xf numFmtId="0" fontId="0" fillId="0" borderId="0" xfId="0" applyFill="1" applyBorder="1" applyProtection="1"/>
    <xf numFmtId="0" fontId="0" fillId="0" borderId="0" xfId="0" quotePrefix="1" applyProtection="1"/>
    <xf numFmtId="0" fontId="16" fillId="21" borderId="100" xfId="0" applyFont="1" applyFill="1" applyBorder="1" applyAlignment="1" applyProtection="1">
      <alignment horizontal="center"/>
    </xf>
    <xf numFmtId="0" fontId="16" fillId="21" borderId="101" xfId="0" applyFont="1" applyFill="1" applyBorder="1" applyAlignment="1" applyProtection="1">
      <alignment horizontal="center"/>
    </xf>
    <xf numFmtId="0" fontId="16" fillId="21" borderId="103" xfId="0" applyFont="1" applyFill="1" applyBorder="1" applyAlignment="1" applyProtection="1">
      <alignment horizontal="center"/>
    </xf>
    <xf numFmtId="0" fontId="18" fillId="0" borderId="67" xfId="6" applyNumberFormat="1" applyFont="1" applyFill="1" applyBorder="1" applyAlignment="1" applyProtection="1"/>
    <xf numFmtId="0" fontId="18" fillId="0" borderId="67" xfId="6" quotePrefix="1" applyNumberFormat="1" applyFont="1" applyFill="1" applyBorder="1" applyAlignment="1" applyProtection="1"/>
    <xf numFmtId="0" fontId="18" fillId="0" borderId="67" xfId="6" applyNumberFormat="1" applyFont="1" applyFill="1" applyBorder="1" applyAlignment="1" applyProtection="1">
      <alignment horizontal="left"/>
    </xf>
    <xf numFmtId="169" fontId="34" fillId="0" borderId="107" xfId="6" applyNumberFormat="1" applyFont="1" applyFill="1" applyBorder="1" applyAlignment="1" applyProtection="1">
      <alignment horizontal="center"/>
    </xf>
    <xf numFmtId="169" fontId="34" fillId="0" borderId="108" xfId="6" applyNumberFormat="1" applyFont="1" applyFill="1" applyBorder="1" applyAlignment="1" applyProtection="1">
      <alignment horizontal="center"/>
    </xf>
    <xf numFmtId="169" fontId="34" fillId="0" borderId="109" xfId="6" applyNumberFormat="1" applyFont="1" applyFill="1" applyBorder="1" applyAlignment="1" applyProtection="1">
      <alignment horizontal="center"/>
    </xf>
    <xf numFmtId="0" fontId="18" fillId="0" borderId="95" xfId="6" applyNumberFormat="1" applyFont="1" applyFill="1" applyBorder="1" applyAlignment="1" applyProtection="1">
      <alignment horizontal="center"/>
    </xf>
    <xf numFmtId="0" fontId="18" fillId="0" borderId="110" xfId="6" applyNumberFormat="1" applyFont="1" applyFill="1" applyBorder="1" applyAlignment="1" applyProtection="1">
      <alignment horizontal="center"/>
    </xf>
    <xf numFmtId="0" fontId="18" fillId="0" borderId="111" xfId="6" applyNumberFormat="1" applyFont="1" applyFill="1" applyBorder="1" applyAlignment="1" applyProtection="1">
      <alignment horizontal="center"/>
    </xf>
    <xf numFmtId="169" fontId="34" fillId="0" borderId="95" xfId="6" applyNumberFormat="1" applyFont="1" applyFill="1" applyBorder="1" applyAlignment="1" applyProtection="1">
      <alignment horizontal="center"/>
    </xf>
    <xf numFmtId="169" fontId="34" fillId="0" borderId="110" xfId="6" applyNumberFormat="1" applyFont="1" applyFill="1" applyBorder="1" applyAlignment="1" applyProtection="1">
      <alignment horizontal="center"/>
    </xf>
    <xf numFmtId="169" fontId="34" fillId="0" borderId="111" xfId="6" applyNumberFormat="1" applyFont="1" applyFill="1" applyBorder="1" applyAlignment="1" applyProtection="1">
      <alignment horizontal="center"/>
    </xf>
    <xf numFmtId="169" fontId="34" fillId="0" borderId="113" xfId="6" applyNumberFormat="1" applyFont="1" applyFill="1" applyBorder="1" applyAlignment="1" applyProtection="1">
      <alignment horizontal="center"/>
    </xf>
    <xf numFmtId="169" fontId="34" fillId="0" borderId="114" xfId="6" applyNumberFormat="1" applyFont="1" applyFill="1" applyBorder="1" applyAlignment="1" applyProtection="1">
      <alignment horizontal="center"/>
    </xf>
    <xf numFmtId="169" fontId="34" fillId="0" borderId="115" xfId="6" applyNumberFormat="1" applyFont="1" applyFill="1" applyBorder="1" applyAlignment="1" applyProtection="1">
      <alignment horizontal="center"/>
    </xf>
    <xf numFmtId="0" fontId="18" fillId="0" borderId="0" xfId="6" applyNumberFormat="1" applyFont="1" applyFill="1" applyBorder="1" applyAlignment="1" applyProtection="1"/>
    <xf numFmtId="0" fontId="18" fillId="0" borderId="0" xfId="6" applyNumberFormat="1" applyFont="1" applyFill="1" applyBorder="1" applyAlignment="1" applyProtection="1">
      <alignment horizontal="left"/>
    </xf>
    <xf numFmtId="0" fontId="18" fillId="0" borderId="0" xfId="6" applyNumberFormat="1" applyFont="1" applyFill="1" applyBorder="1" applyAlignment="1" applyProtection="1">
      <alignment horizontal="center"/>
    </xf>
    <xf numFmtId="169" fontId="34" fillId="0" borderId="0" xfId="6" applyNumberFormat="1" applyFont="1" applyFill="1" applyBorder="1" applyAlignment="1" applyProtection="1">
      <alignment horizontal="center"/>
    </xf>
    <xf numFmtId="0" fontId="18" fillId="22" borderId="15" xfId="6" applyNumberFormat="1" applyFont="1" applyFill="1" applyBorder="1" applyAlignment="1" applyProtection="1"/>
    <xf numFmtId="0" fontId="18" fillId="22" borderId="4" xfId="6" applyNumberFormat="1" applyFont="1" applyFill="1" applyBorder="1" applyAlignment="1" applyProtection="1"/>
    <xf numFmtId="0" fontId="18" fillId="22" borderId="4" xfId="6" applyNumberFormat="1" applyFont="1" applyFill="1" applyBorder="1" applyAlignment="1" applyProtection="1">
      <alignment horizontal="left"/>
    </xf>
    <xf numFmtId="0" fontId="18" fillId="22" borderId="21" xfId="6" applyNumberFormat="1" applyFont="1" applyFill="1" applyBorder="1" applyAlignment="1" applyProtection="1">
      <alignment horizontal="center"/>
    </xf>
    <xf numFmtId="169" fontId="34" fillId="0" borderId="116" xfId="6" applyNumberFormat="1" applyFont="1" applyFill="1" applyBorder="1" applyAlignment="1" applyProtection="1">
      <alignment horizontal="center"/>
    </xf>
    <xf numFmtId="169" fontId="34" fillId="0" borderId="117" xfId="6" applyNumberFormat="1" applyFont="1" applyFill="1" applyBorder="1" applyAlignment="1" applyProtection="1">
      <alignment horizontal="center"/>
    </xf>
    <xf numFmtId="169" fontId="34" fillId="0" borderId="118" xfId="6" applyNumberFormat="1" applyFont="1" applyFill="1" applyBorder="1" applyAlignment="1" applyProtection="1">
      <alignment horizontal="center"/>
    </xf>
    <xf numFmtId="0" fontId="4" fillId="0" borderId="0" xfId="0" applyFont="1" applyProtection="1"/>
    <xf numFmtId="3" fontId="10" fillId="0" borderId="0" xfId="0" applyNumberFormat="1" applyFont="1" applyProtection="1"/>
    <xf numFmtId="169" fontId="34" fillId="0" borderId="97" xfId="6" applyNumberFormat="1" applyFont="1" applyFill="1" applyBorder="1" applyAlignment="1" applyProtection="1">
      <alignment horizontal="center"/>
    </xf>
    <xf numFmtId="0" fontId="14" fillId="0" borderId="0" xfId="1" applyNumberFormat="1" applyFont="1" applyFill="1" applyBorder="1" applyAlignment="1" applyProtection="1"/>
    <xf numFmtId="0" fontId="17" fillId="11" borderId="53" xfId="1" applyNumberFormat="1" applyFont="1" applyFill="1" applyBorder="1" applyAlignment="1" applyProtection="1"/>
    <xf numFmtId="0" fontId="17" fillId="11" borderId="52" xfId="1" applyNumberFormat="1" applyFont="1" applyFill="1" applyBorder="1" applyAlignment="1" applyProtection="1"/>
    <xf numFmtId="165" fontId="19" fillId="11" borderId="52" xfId="1" applyNumberFormat="1" applyFont="1" applyFill="1" applyBorder="1" applyAlignment="1" applyProtection="1"/>
    <xf numFmtId="0" fontId="17" fillId="10" borderId="51" xfId="1" applyNumberFormat="1" applyFont="1" applyFill="1" applyBorder="1" applyAlignment="1" applyProtection="1"/>
    <xf numFmtId="165" fontId="17" fillId="10" borderId="52" xfId="1" applyNumberFormat="1" applyFont="1" applyFill="1" applyBorder="1" applyAlignment="1" applyProtection="1"/>
    <xf numFmtId="165" fontId="19" fillId="10" borderId="52" xfId="1" applyNumberFormat="1" applyFont="1" applyFill="1" applyBorder="1" applyAlignment="1" applyProtection="1"/>
    <xf numFmtId="0" fontId="17" fillId="10" borderId="52" xfId="1" applyNumberFormat="1" applyFont="1" applyFill="1" applyBorder="1" applyAlignment="1" applyProtection="1"/>
    <xf numFmtId="165" fontId="17" fillId="11" borderId="52" xfId="1" applyNumberFormat="1" applyFont="1" applyFill="1" applyBorder="1" applyAlignment="1" applyProtection="1"/>
    <xf numFmtId="0" fontId="20" fillId="0" borderId="36" xfId="1" applyNumberFormat="1" applyFont="1" applyFill="1" applyBorder="1" applyAlignment="1" applyProtection="1"/>
    <xf numFmtId="0" fontId="20" fillId="0" borderId="60" xfId="1" applyNumberFormat="1" applyFont="1" applyFill="1" applyBorder="1" applyAlignment="1" applyProtection="1"/>
    <xf numFmtId="0" fontId="20" fillId="0" borderId="61" xfId="1" applyNumberFormat="1" applyFont="1" applyFill="1" applyBorder="1" applyAlignment="1" applyProtection="1"/>
    <xf numFmtId="0" fontId="20" fillId="0" borderId="0" xfId="1" applyNumberFormat="1" applyFont="1" applyFill="1" applyBorder="1" applyAlignment="1" applyProtection="1"/>
    <xf numFmtId="0" fontId="16" fillId="2" borderId="31" xfId="1" applyNumberFormat="1" applyFont="1" applyFill="1" applyBorder="1" applyAlignment="1" applyProtection="1"/>
    <xf numFmtId="0" fontId="16" fillId="2" borderId="40" xfId="1" applyNumberFormat="1" applyFont="1" applyFill="1" applyBorder="1" applyAlignment="1" applyProtection="1"/>
    <xf numFmtId="0" fontId="16" fillId="2" borderId="42" xfId="1" applyNumberFormat="1" applyFont="1" applyFill="1" applyBorder="1" applyAlignment="1" applyProtection="1"/>
    <xf numFmtId="0" fontId="16" fillId="2" borderId="47" xfId="1" applyNumberFormat="1" applyFont="1" applyFill="1" applyBorder="1" applyAlignment="1" applyProtection="1"/>
    <xf numFmtId="0" fontId="20" fillId="0" borderId="36" xfId="1" applyNumberFormat="1" applyFont="1" applyFill="1" applyBorder="1" applyAlignment="1" applyProtection="1">
      <protection locked="0"/>
    </xf>
    <xf numFmtId="0" fontId="16" fillId="0" borderId="0" xfId="1" applyNumberFormat="1" applyFont="1" applyFill="1" applyBorder="1" applyAlignment="1" applyProtection="1"/>
    <xf numFmtId="0" fontId="0" fillId="0" borderId="0" xfId="1" applyNumberFormat="1" applyFont="1" applyFill="1" applyBorder="1" applyAlignment="1" applyProtection="1">
      <alignment horizontal="right"/>
    </xf>
    <xf numFmtId="0" fontId="2" fillId="0" borderId="0" xfId="0" applyFont="1" applyFill="1" applyBorder="1" applyAlignment="1" applyProtection="1">
      <alignment wrapText="1"/>
    </xf>
    <xf numFmtId="0" fontId="2" fillId="23" borderId="124" xfId="0" applyFont="1" applyFill="1" applyBorder="1" applyAlignment="1" applyProtection="1">
      <alignment horizontal="center"/>
      <protection locked="0"/>
    </xf>
    <xf numFmtId="0" fontId="2" fillId="23" borderId="125" xfId="0" applyFont="1" applyFill="1" applyBorder="1" applyAlignment="1" applyProtection="1">
      <alignment horizontal="center"/>
      <protection locked="0"/>
    </xf>
    <xf numFmtId="0" fontId="2" fillId="23" borderId="126" xfId="0" applyFont="1" applyFill="1" applyBorder="1" applyAlignment="1" applyProtection="1">
      <alignment horizontal="center"/>
      <protection locked="0"/>
    </xf>
    <xf numFmtId="0" fontId="2" fillId="23" borderId="127" xfId="0" applyFont="1" applyFill="1" applyBorder="1" applyAlignment="1" applyProtection="1">
      <alignment horizontal="center"/>
      <protection locked="0"/>
    </xf>
    <xf numFmtId="164" fontId="4" fillId="5" borderId="124" xfId="3" applyNumberFormat="1" applyFont="1" applyFill="1" applyBorder="1" applyAlignment="1" applyProtection="1"/>
    <xf numFmtId="164" fontId="4" fillId="5" borderId="130" xfId="3" applyNumberFormat="1" applyFont="1" applyFill="1" applyBorder="1" applyAlignment="1" applyProtection="1"/>
    <xf numFmtId="164" fontId="31" fillId="23" borderId="131" xfId="3" applyNumberFormat="1" applyFont="1" applyFill="1" applyBorder="1" applyAlignment="1" applyProtection="1">
      <protection locked="0"/>
    </xf>
    <xf numFmtId="164" fontId="31" fillId="23" borderId="132" xfId="3" applyNumberFormat="1" applyFont="1" applyFill="1" applyBorder="1" applyAlignment="1" applyProtection="1">
      <protection locked="0"/>
    </xf>
    <xf numFmtId="164" fontId="0" fillId="5" borderId="131" xfId="3" applyNumberFormat="1" applyFont="1" applyFill="1" applyBorder="1" applyAlignment="1" applyProtection="1"/>
    <xf numFmtId="164" fontId="0" fillId="5" borderId="132" xfId="3" applyNumberFormat="1" applyFont="1" applyFill="1" applyBorder="1" applyAlignment="1" applyProtection="1"/>
    <xf numFmtId="164" fontId="31" fillId="23" borderId="128" xfId="3" applyNumberFormat="1" applyFont="1" applyFill="1" applyBorder="1" applyAlignment="1" applyProtection="1">
      <protection locked="0"/>
    </xf>
    <xf numFmtId="164" fontId="31" fillId="23" borderId="129" xfId="3" applyNumberFormat="1" applyFont="1" applyFill="1" applyBorder="1" applyAlignment="1" applyProtection="1">
      <protection locked="0"/>
    </xf>
    <xf numFmtId="164" fontId="45" fillId="5" borderId="124" xfId="3" applyNumberFormat="1" applyFont="1" applyFill="1" applyBorder="1" applyAlignment="1" applyProtection="1">
      <alignment horizontal="center"/>
    </xf>
    <xf numFmtId="164" fontId="45" fillId="5" borderId="136" xfId="3" applyNumberFormat="1" applyFont="1" applyFill="1" applyBorder="1" applyAlignment="1" applyProtection="1">
      <alignment horizontal="center"/>
    </xf>
    <xf numFmtId="164" fontId="31" fillId="23" borderId="137" xfId="3" applyNumberFormat="1" applyFont="1" applyFill="1" applyBorder="1" applyAlignment="1" applyProtection="1">
      <protection locked="0"/>
    </xf>
    <xf numFmtId="164" fontId="0" fillId="5" borderId="137" xfId="3" applyNumberFormat="1" applyFont="1" applyFill="1" applyBorder="1" applyAlignment="1" applyProtection="1"/>
    <xf numFmtId="164" fontId="31" fillId="23" borderId="138" xfId="3" applyNumberFormat="1" applyFont="1" applyFill="1" applyBorder="1" applyAlignment="1" applyProtection="1">
      <protection locked="0"/>
    </xf>
    <xf numFmtId="164" fontId="45" fillId="5" borderId="130" xfId="3" applyNumberFormat="1" applyFont="1" applyFill="1" applyBorder="1" applyAlignment="1" applyProtection="1">
      <alignment horizontal="center"/>
    </xf>
    <xf numFmtId="164" fontId="2" fillId="5" borderId="132" xfId="3" applyNumberFormat="1" applyFont="1" applyFill="1" applyBorder="1" applyAlignment="1" applyProtection="1"/>
    <xf numFmtId="164" fontId="2" fillId="5" borderId="132" xfId="3" applyNumberFormat="1" applyFont="1" applyFill="1" applyBorder="1" applyAlignment="1" applyProtection="1"/>
    <xf numFmtId="164" fontId="31" fillId="5" borderId="139" xfId="3" applyNumberFormat="1" applyFont="1" applyFill="1" applyBorder="1" applyAlignment="1" applyProtection="1"/>
    <xf numFmtId="164" fontId="31" fillId="5" borderId="140" xfId="3" applyNumberFormat="1" applyFont="1" applyFill="1" applyBorder="1" applyAlignment="1" applyProtection="1"/>
    <xf numFmtId="164" fontId="31" fillId="16" borderId="141" xfId="3" applyNumberFormat="1" applyFont="1" applyFill="1" applyBorder="1" applyAlignment="1" applyProtection="1"/>
    <xf numFmtId="0" fontId="4" fillId="24" borderId="28" xfId="0" applyFont="1" applyFill="1" applyBorder="1" applyAlignment="1" applyProtection="1">
      <alignment horizontal="right"/>
    </xf>
    <xf numFmtId="0" fontId="4" fillId="24" borderId="133" xfId="0" applyFont="1" applyFill="1" applyBorder="1" applyAlignment="1" applyProtection="1">
      <alignment horizontal="center" wrapText="1"/>
    </xf>
    <xf numFmtId="0" fontId="4" fillId="24" borderId="134" xfId="0" applyFont="1" applyFill="1" applyBorder="1" applyAlignment="1" applyProtection="1">
      <alignment horizontal="center" wrapText="1"/>
    </xf>
    <xf numFmtId="0" fontId="4" fillId="24" borderId="135" xfId="0" applyFont="1" applyFill="1" applyBorder="1" applyAlignment="1" applyProtection="1">
      <alignment horizontal="center" wrapText="1"/>
    </xf>
    <xf numFmtId="0" fontId="2" fillId="24" borderId="25" xfId="0" applyFont="1" applyFill="1" applyBorder="1" applyAlignment="1" applyProtection="1">
      <alignment horizontal="center"/>
    </xf>
    <xf numFmtId="0" fontId="4" fillId="25" borderId="128" xfId="0" applyFont="1" applyFill="1" applyBorder="1" applyAlignment="1" applyProtection="1">
      <alignment horizontal="center"/>
    </xf>
    <xf numFmtId="0" fontId="4" fillId="25" borderId="129" xfId="0" applyFont="1" applyFill="1" applyBorder="1" applyAlignment="1" applyProtection="1">
      <alignment horizontal="center"/>
    </xf>
    <xf numFmtId="0" fontId="4" fillId="25" borderId="122" xfId="0" applyFont="1" applyFill="1" applyBorder="1" applyAlignment="1" applyProtection="1">
      <alignment horizontal="center"/>
    </xf>
    <xf numFmtId="0" fontId="4" fillId="25" borderId="123" xfId="0" applyFont="1" applyFill="1" applyBorder="1" applyAlignment="1" applyProtection="1">
      <alignment horizontal="center"/>
    </xf>
    <xf numFmtId="0" fontId="4" fillId="17" borderId="100" xfId="0" applyFont="1" applyFill="1" applyBorder="1" applyAlignment="1" applyProtection="1">
      <alignment horizontal="right"/>
    </xf>
    <xf numFmtId="0" fontId="4" fillId="17" borderId="101" xfId="0" applyFont="1" applyFill="1" applyBorder="1" applyAlignment="1" applyProtection="1">
      <alignment horizontal="right"/>
    </xf>
    <xf numFmtId="0" fontId="4" fillId="17" borderId="93" xfId="0" applyFont="1" applyFill="1" applyBorder="1" applyAlignment="1" applyProtection="1">
      <alignment horizontal="center" wrapText="1"/>
    </xf>
    <xf numFmtId="0" fontId="4" fillId="17" borderId="97" xfId="0" applyNumberFormat="1" applyFont="1" applyFill="1" applyBorder="1" applyAlignment="1">
      <alignment wrapText="1"/>
    </xf>
    <xf numFmtId="0" fontId="4" fillId="17" borderId="97" xfId="0" applyNumberFormat="1" applyFont="1" applyFill="1" applyBorder="1" applyAlignment="1">
      <alignment horizontal="center" wrapText="1"/>
    </xf>
    <xf numFmtId="0" fontId="4" fillId="17" borderId="97" xfId="0" applyFont="1" applyFill="1" applyBorder="1" applyAlignment="1" applyProtection="1">
      <alignment horizontal="center" wrapText="1"/>
    </xf>
    <xf numFmtId="0" fontId="4" fillId="17" borderId="66" xfId="0" applyFont="1" applyFill="1" applyBorder="1" applyAlignment="1" applyProtection="1">
      <alignment horizontal="center"/>
    </xf>
    <xf numFmtId="0" fontId="48" fillId="0" borderId="0" xfId="0" applyNumberFormat="1" applyFont="1" applyFill="1" applyBorder="1"/>
    <xf numFmtId="0" fontId="48" fillId="0" borderId="0" xfId="0" applyFont="1" applyFill="1" applyBorder="1"/>
    <xf numFmtId="0" fontId="2" fillId="3" borderId="6" xfId="0" applyNumberFormat="1" applyFont="1" applyFill="1" applyBorder="1" applyAlignment="1" applyProtection="1">
      <protection locked="0"/>
    </xf>
    <xf numFmtId="14" fontId="0" fillId="3" borderId="6" xfId="0" applyNumberFormat="1" applyFont="1" applyFill="1" applyBorder="1" applyAlignment="1" applyProtection="1">
      <protection locked="0"/>
    </xf>
    <xf numFmtId="164" fontId="0" fillId="23" borderId="6" xfId="3" applyNumberFormat="1" applyFont="1" applyFill="1" applyBorder="1" applyAlignment="1" applyProtection="1">
      <alignment horizontal="center"/>
      <protection locked="0"/>
    </xf>
    <xf numFmtId="0" fontId="2" fillId="23" borderId="8" xfId="0" applyFont="1" applyFill="1" applyBorder="1" applyProtection="1">
      <protection locked="0"/>
    </xf>
    <xf numFmtId="0" fontId="0" fillId="0" borderId="7" xfId="0" applyFill="1" applyBorder="1" applyProtection="1">
      <protection locked="0"/>
    </xf>
    <xf numFmtId="0" fontId="2" fillId="0" borderId="0" xfId="0" applyFont="1" applyProtection="1">
      <protection locked="0"/>
    </xf>
    <xf numFmtId="0" fontId="27" fillId="0" borderId="0" xfId="1" applyNumberFormat="1" applyFont="1" applyFill="1" applyBorder="1" applyAlignment="1" applyProtection="1">
      <protection locked="0"/>
    </xf>
    <xf numFmtId="0" fontId="0" fillId="26" borderId="0" xfId="0" applyFill="1"/>
    <xf numFmtId="0" fontId="0" fillId="26" borderId="0" xfId="0" applyFill="1" applyBorder="1"/>
    <xf numFmtId="0" fontId="0" fillId="26" borderId="0" xfId="1" applyNumberFormat="1" applyFont="1" applyFill="1" applyBorder="1" applyAlignment="1" applyProtection="1"/>
    <xf numFmtId="0" fontId="48" fillId="27" borderId="0" xfId="0" applyNumberFormat="1" applyFont="1" applyFill="1" applyBorder="1"/>
    <xf numFmtId="0" fontId="0" fillId="27" borderId="0" xfId="1" applyNumberFormat="1" applyFont="1" applyFill="1" applyBorder="1" applyAlignment="1" applyProtection="1"/>
    <xf numFmtId="0" fontId="0" fillId="27" borderId="0" xfId="6" applyNumberFormat="1" applyFont="1" applyFill="1" applyBorder="1" applyAlignment="1" applyProtection="1"/>
    <xf numFmtId="0" fontId="2" fillId="0" borderId="0" xfId="6" applyNumberFormat="1" applyFont="1" applyFill="1" applyBorder="1" applyAlignment="1" applyProtection="1"/>
    <xf numFmtId="0" fontId="18" fillId="22" borderId="121" xfId="6" applyNumberFormat="1" applyFont="1" applyFill="1" applyBorder="1" applyAlignment="1" applyProtection="1"/>
    <xf numFmtId="0" fontId="18" fillId="22" borderId="119" xfId="6" applyNumberFormat="1" applyFont="1" applyFill="1" applyBorder="1" applyAlignment="1" applyProtection="1"/>
    <xf numFmtId="0" fontId="18" fillId="22" borderId="119" xfId="6" applyNumberFormat="1" applyFont="1" applyFill="1" applyBorder="1" applyAlignment="1" applyProtection="1">
      <alignment horizontal="left"/>
    </xf>
    <xf numFmtId="0" fontId="18" fillId="22" borderId="142" xfId="6" applyNumberFormat="1" applyFont="1" applyFill="1" applyBorder="1" applyAlignment="1" applyProtection="1">
      <alignment horizontal="center"/>
    </xf>
    <xf numFmtId="6" fontId="2" fillId="23" borderId="1" xfId="0" applyNumberFormat="1" applyFont="1" applyFill="1" applyBorder="1" applyAlignment="1" applyProtection="1">
      <alignment horizontal="right"/>
      <protection locked="0"/>
    </xf>
    <xf numFmtId="0" fontId="31" fillId="24" borderId="14" xfId="0" applyFont="1" applyFill="1" applyBorder="1"/>
    <xf numFmtId="0" fontId="31" fillId="24" borderId="0" xfId="0" applyFont="1" applyFill="1" applyBorder="1"/>
    <xf numFmtId="0" fontId="31" fillId="24" borderId="24" xfId="0" applyFont="1" applyFill="1" applyBorder="1"/>
    <xf numFmtId="0" fontId="36" fillId="0" borderId="102" xfId="0" applyFont="1" applyBorder="1" applyAlignment="1">
      <alignment horizontal="center"/>
    </xf>
    <xf numFmtId="0" fontId="35" fillId="4" borderId="0" xfId="0" applyFont="1" applyFill="1" applyAlignment="1">
      <alignment horizontal="left"/>
    </xf>
    <xf numFmtId="0" fontId="35" fillId="4" borderId="0" xfId="0" applyFont="1" applyFill="1" applyAlignment="1">
      <alignment horizontal="center"/>
    </xf>
    <xf numFmtId="0" fontId="35" fillId="4" borderId="0" xfId="0" applyFont="1" applyFill="1" applyAlignment="1">
      <alignment horizontal="centerContinuous"/>
    </xf>
    <xf numFmtId="49" fontId="0" fillId="4" borderId="162" xfId="0" applyNumberFormat="1" applyFill="1" applyBorder="1" applyAlignment="1">
      <alignment horizontal="center"/>
    </xf>
    <xf numFmtId="0" fontId="35" fillId="4" borderId="0" xfId="0" applyFont="1" applyFill="1" applyAlignment="1">
      <alignment horizontal="right"/>
    </xf>
    <xf numFmtId="19" fontId="2" fillId="4" borderId="163" xfId="0" applyNumberFormat="1" applyFont="1" applyFill="1" applyBorder="1" applyAlignment="1">
      <alignment horizontal="center"/>
    </xf>
    <xf numFmtId="0" fontId="5" fillId="5" borderId="121" xfId="0" applyFont="1" applyFill="1" applyBorder="1" applyAlignment="1">
      <alignment horizontal="left"/>
    </xf>
    <xf numFmtId="0" fontId="10" fillId="4" borderId="121" xfId="0" applyFont="1" applyFill="1" applyBorder="1" applyAlignment="1">
      <alignment horizontal="left"/>
    </xf>
    <xf numFmtId="0" fontId="0" fillId="0" borderId="142" xfId="0" applyBorder="1"/>
    <xf numFmtId="0" fontId="5" fillId="5" borderId="142" xfId="0" applyFont="1" applyFill="1" applyBorder="1"/>
    <xf numFmtId="0" fontId="0" fillId="4" borderId="119" xfId="0" applyFill="1" applyBorder="1" applyAlignment="1">
      <alignment horizontal="left"/>
    </xf>
    <xf numFmtId="0" fontId="0" fillId="4" borderId="119" xfId="0" applyFill="1" applyBorder="1"/>
    <xf numFmtId="0" fontId="35" fillId="4" borderId="142" xfId="0" applyFont="1" applyFill="1" applyBorder="1" applyAlignment="1">
      <alignment horizontal="centerContinuous"/>
    </xf>
    <xf numFmtId="0" fontId="36" fillId="5" borderId="97" xfId="0" applyFont="1" applyFill="1" applyBorder="1" applyAlignment="1">
      <alignment horizontal="center"/>
    </xf>
    <xf numFmtId="0" fontId="10" fillId="4" borderId="97" xfId="0" applyFont="1" applyFill="1" applyBorder="1" applyAlignment="1">
      <alignment horizontal="left"/>
    </xf>
    <xf numFmtId="0" fontId="36" fillId="4" borderId="12" xfId="0" applyFont="1" applyFill="1" applyBorder="1" applyAlignment="1">
      <alignment horizontal="center"/>
    </xf>
    <xf numFmtId="0" fontId="0" fillId="4" borderId="0" xfId="0" applyFill="1"/>
    <xf numFmtId="0" fontId="0" fillId="4" borderId="5" xfId="0" applyFill="1" applyBorder="1"/>
    <xf numFmtId="0" fontId="0" fillId="5" borderId="0" xfId="0" applyFill="1"/>
    <xf numFmtId="0" fontId="0" fillId="4" borderId="97" xfId="0" applyFill="1" applyBorder="1"/>
    <xf numFmtId="0" fontId="0" fillId="4" borderId="0" xfId="0" applyFill="1"/>
    <xf numFmtId="0" fontId="0" fillId="0" borderId="142" xfId="0" applyBorder="1"/>
    <xf numFmtId="0" fontId="0" fillId="4" borderId="142" xfId="0" applyFill="1" applyBorder="1"/>
    <xf numFmtId="0" fontId="36" fillId="4" borderId="14" xfId="0" applyFont="1" applyFill="1" applyBorder="1"/>
    <xf numFmtId="0" fontId="0" fillId="4" borderId="23" xfId="0" applyFill="1" applyBorder="1"/>
    <xf numFmtId="0" fontId="4" fillId="4" borderId="27" xfId="0" applyFont="1" applyFill="1" applyBorder="1"/>
    <xf numFmtId="0" fontId="0" fillId="4" borderId="24" xfId="0" applyFill="1" applyBorder="1"/>
    <xf numFmtId="0" fontId="10" fillId="4" borderId="121" xfId="0" applyFont="1" applyFill="1" applyBorder="1" applyAlignment="1">
      <alignment horizontal="left"/>
    </xf>
    <xf numFmtId="0" fontId="50" fillId="4" borderId="142" xfId="0" applyFont="1" applyFill="1" applyBorder="1"/>
    <xf numFmtId="0" fontId="0" fillId="5" borderId="0" xfId="0" applyFill="1" applyBorder="1"/>
    <xf numFmtId="0" fontId="0" fillId="5" borderId="0" xfId="0" applyFill="1" applyBorder="1"/>
    <xf numFmtId="0" fontId="50" fillId="5" borderId="0" xfId="0" applyFont="1" applyFill="1" applyBorder="1"/>
    <xf numFmtId="0" fontId="50" fillId="4" borderId="14" xfId="0" applyFont="1" applyFill="1" applyBorder="1"/>
    <xf numFmtId="0" fontId="50" fillId="4" borderId="24" xfId="0" applyFont="1" applyFill="1" applyBorder="1"/>
    <xf numFmtId="0" fontId="50" fillId="4" borderId="65" xfId="0" applyFont="1" applyFill="1" applyBorder="1" applyAlignment="1">
      <alignment horizontal="left"/>
    </xf>
    <xf numFmtId="0" fontId="50" fillId="4" borderId="66" xfId="0" applyFont="1" applyFill="1" applyBorder="1"/>
    <xf numFmtId="0" fontId="0" fillId="5" borderId="119" xfId="0" applyFill="1" applyBorder="1"/>
    <xf numFmtId="0" fontId="50" fillId="5" borderId="1" xfId="0" applyFont="1" applyFill="1" applyBorder="1"/>
    <xf numFmtId="0" fontId="0" fillId="5" borderId="1" xfId="0" applyFill="1" applyBorder="1"/>
    <xf numFmtId="0" fontId="0" fillId="4" borderId="65" xfId="0" applyFill="1" applyBorder="1"/>
    <xf numFmtId="0" fontId="0" fillId="4" borderId="66" xfId="0" applyFill="1" applyBorder="1"/>
    <xf numFmtId="0" fontId="36" fillId="0" borderId="14" xfId="0" applyFont="1" applyBorder="1"/>
    <xf numFmtId="0" fontId="50" fillId="4" borderId="20" xfId="0" applyFont="1" applyFill="1" applyBorder="1" applyAlignment="1">
      <alignment horizontal="left"/>
    </xf>
    <xf numFmtId="0" fontId="51" fillId="4" borderId="164" xfId="0" applyFont="1" applyFill="1" applyBorder="1" applyAlignment="1">
      <alignment horizontal="left"/>
    </xf>
    <xf numFmtId="0" fontId="50" fillId="4" borderId="165" xfId="0" applyFont="1" applyFill="1" applyBorder="1" applyAlignment="1">
      <alignment horizontal="centerContinuous"/>
    </xf>
    <xf numFmtId="0" fontId="51" fillId="4" borderId="65" xfId="0" applyFont="1" applyFill="1" applyBorder="1"/>
    <xf numFmtId="0" fontId="36" fillId="4" borderId="20" xfId="0" applyFont="1" applyFill="1" applyBorder="1"/>
    <xf numFmtId="0" fontId="0" fillId="4" borderId="20" xfId="0" applyFill="1" applyBorder="1"/>
    <xf numFmtId="0" fontId="16" fillId="4" borderId="24" xfId="0" applyFont="1" applyFill="1" applyBorder="1" applyAlignment="1">
      <alignment horizontal="center"/>
    </xf>
    <xf numFmtId="0" fontId="16" fillId="4" borderId="100" xfId="0" applyFont="1" applyFill="1" applyBorder="1" applyAlignment="1">
      <alignment horizontal="center"/>
    </xf>
    <xf numFmtId="0" fontId="36" fillId="4" borderId="166" xfId="0" applyFont="1" applyFill="1" applyBorder="1"/>
    <xf numFmtId="0" fontId="50" fillId="4" borderId="0" xfId="0" applyFont="1" applyFill="1" applyBorder="1" applyAlignment="1">
      <alignment horizontal="center"/>
    </xf>
    <xf numFmtId="0" fontId="50" fillId="4" borderId="159" xfId="0" applyFont="1" applyFill="1" applyBorder="1" applyAlignment="1">
      <alignment horizontal="left"/>
    </xf>
    <xf numFmtId="0" fontId="50" fillId="4" borderId="160" xfId="0" applyFont="1" applyFill="1" applyBorder="1" applyAlignment="1">
      <alignment horizontal="centerContinuous"/>
    </xf>
    <xf numFmtId="0" fontId="50" fillId="4" borderId="167" xfId="0" applyFont="1" applyFill="1" applyBorder="1"/>
    <xf numFmtId="0" fontId="36" fillId="0" borderId="167" xfId="0" applyFont="1" applyBorder="1"/>
    <xf numFmtId="0" fontId="0" fillId="0" borderId="160" xfId="0" applyBorder="1"/>
    <xf numFmtId="0" fontId="16" fillId="4" borderId="101" xfId="0" applyFont="1" applyFill="1" applyBorder="1" applyAlignment="1">
      <alignment horizontal="center"/>
    </xf>
    <xf numFmtId="0" fontId="36" fillId="4" borderId="12" xfId="0" applyFont="1" applyFill="1" applyBorder="1"/>
    <xf numFmtId="0" fontId="50" fillId="0" borderId="119" xfId="0" applyFont="1" applyBorder="1" applyAlignment="1">
      <alignment horizontal="center"/>
    </xf>
    <xf numFmtId="0" fontId="50" fillId="0" borderId="168" xfId="0" applyFont="1" applyBorder="1" applyAlignment="1">
      <alignment horizontal="center"/>
    </xf>
    <xf numFmtId="0" fontId="50" fillId="0" borderId="63" xfId="0" applyFont="1" applyBorder="1" applyAlignment="1">
      <alignment horizontal="center"/>
    </xf>
    <xf numFmtId="0" fontId="50" fillId="0" borderId="97" xfId="0" applyFont="1" applyBorder="1" applyAlignment="1">
      <alignment horizontal="center"/>
    </xf>
    <xf numFmtId="0" fontId="36" fillId="0" borderId="97" xfId="0" applyFont="1" applyBorder="1"/>
    <xf numFmtId="0" fontId="36" fillId="0" borderId="63" xfId="0" applyFont="1" applyBorder="1"/>
    <xf numFmtId="0" fontId="16" fillId="4" borderId="24" xfId="0" applyFont="1" applyFill="1" applyBorder="1"/>
    <xf numFmtId="0" fontId="16" fillId="4" borderId="101" xfId="0" applyFont="1" applyFill="1" applyBorder="1"/>
    <xf numFmtId="0" fontId="4" fillId="5" borderId="14" xfId="0" applyFont="1" applyFill="1" applyBorder="1"/>
    <xf numFmtId="0" fontId="0" fillId="5" borderId="1" xfId="0" applyFill="1" applyBorder="1"/>
    <xf numFmtId="0" fontId="0" fillId="5" borderId="168" xfId="0" applyFill="1" applyBorder="1" applyAlignment="1">
      <alignment horizontal="center"/>
    </xf>
    <xf numFmtId="0" fontId="0" fillId="5" borderId="63" xfId="0" applyFill="1" applyBorder="1" applyAlignment="1">
      <alignment horizontal="center"/>
    </xf>
    <xf numFmtId="0" fontId="0" fillId="5" borderId="97" xfId="0" applyFill="1" applyBorder="1" applyAlignment="1">
      <alignment horizontal="center"/>
    </xf>
    <xf numFmtId="0" fontId="0" fillId="5" borderId="97" xfId="0" applyFill="1" applyBorder="1"/>
    <xf numFmtId="0" fontId="0" fillId="5" borderId="63" xfId="0" applyFill="1" applyBorder="1"/>
    <xf numFmtId="0" fontId="0" fillId="5" borderId="142" xfId="0" applyFill="1" applyBorder="1"/>
    <xf numFmtId="0" fontId="4" fillId="4" borderId="169" xfId="0" applyFont="1" applyFill="1" applyBorder="1"/>
    <xf numFmtId="0" fontId="2" fillId="0" borderId="119" xfId="0" applyFont="1" applyBorder="1" applyAlignment="1">
      <alignment horizontal="center"/>
    </xf>
    <xf numFmtId="3" fontId="0" fillId="0" borderId="168" xfId="0" applyNumberFormat="1" applyBorder="1" applyAlignment="1">
      <alignment horizontal="right"/>
    </xf>
    <xf numFmtId="3" fontId="0" fillId="0" borderId="63" xfId="0" applyNumberFormat="1" applyBorder="1" applyAlignment="1">
      <alignment horizontal="right"/>
    </xf>
    <xf numFmtId="0" fontId="2" fillId="0" borderId="168" xfId="0" applyFont="1" applyBorder="1" applyAlignment="1">
      <alignment horizontal="center"/>
    </xf>
    <xf numFmtId="0" fontId="2" fillId="0" borderId="97" xfId="0" applyFont="1" applyBorder="1" applyAlignment="1">
      <alignment horizontal="center"/>
    </xf>
    <xf numFmtId="0" fontId="2" fillId="0" borderId="63" xfId="0" applyFont="1" applyBorder="1" applyAlignment="1">
      <alignment horizontal="center"/>
    </xf>
    <xf numFmtId="3" fontId="0" fillId="4" borderId="142" xfId="0" applyNumberFormat="1" applyFill="1" applyBorder="1"/>
    <xf numFmtId="3" fontId="0" fillId="0" borderId="63" xfId="0" applyNumberFormat="1" applyBorder="1"/>
    <xf numFmtId="0" fontId="4" fillId="4" borderId="72" xfId="0" applyFont="1" applyFill="1" applyBorder="1"/>
    <xf numFmtId="0" fontId="0" fillId="0" borderId="1" xfId="0" applyBorder="1" applyAlignment="1">
      <alignment horizontal="center"/>
    </xf>
    <xf numFmtId="0" fontId="4" fillId="4" borderId="72" xfId="0" applyFont="1" applyFill="1" applyBorder="1"/>
    <xf numFmtId="0" fontId="0" fillId="0" borderId="119" xfId="0" applyBorder="1" applyAlignment="1">
      <alignment horizontal="center"/>
    </xf>
    <xf numFmtId="0" fontId="0" fillId="4" borderId="72" xfId="0" applyFill="1" applyBorder="1"/>
    <xf numFmtId="0" fontId="0" fillId="0" borderId="170" xfId="0" applyBorder="1" applyAlignment="1">
      <alignment horizontal="center"/>
    </xf>
    <xf numFmtId="3" fontId="0" fillId="0" borderId="29" xfId="0" applyNumberFormat="1" applyBorder="1" applyAlignment="1">
      <alignment horizontal="right"/>
    </xf>
    <xf numFmtId="3" fontId="0" fillId="0" borderId="161" xfId="0" applyNumberFormat="1" applyBorder="1" applyAlignment="1">
      <alignment horizontal="right"/>
    </xf>
    <xf numFmtId="0" fontId="2" fillId="0" borderId="29" xfId="0" applyFont="1" applyBorder="1" applyAlignment="1">
      <alignment horizontal="center"/>
    </xf>
    <xf numFmtId="0" fontId="2" fillId="0" borderId="171" xfId="0" applyFont="1" applyBorder="1" applyAlignment="1">
      <alignment horizontal="center"/>
    </xf>
    <xf numFmtId="0" fontId="2" fillId="0" borderId="161" xfId="0" applyFont="1" applyBorder="1" applyAlignment="1">
      <alignment horizontal="center"/>
    </xf>
    <xf numFmtId="3" fontId="0" fillId="4" borderId="172" xfId="0" applyNumberFormat="1" applyFill="1" applyBorder="1"/>
    <xf numFmtId="3" fontId="0" fillId="0" borderId="161" xfId="0" applyNumberFormat="1" applyBorder="1"/>
    <xf numFmtId="0" fontId="0" fillId="4" borderId="164" xfId="0" applyFill="1" applyBorder="1"/>
    <xf numFmtId="3" fontId="0" fillId="4" borderId="164" xfId="0" applyNumberFormat="1" applyFill="1" applyBorder="1"/>
    <xf numFmtId="3" fontId="0" fillId="4" borderId="165" xfId="0" applyNumberFormat="1" applyFill="1" applyBorder="1"/>
    <xf numFmtId="0" fontId="0" fillId="4" borderId="12" xfId="0" applyFill="1" applyBorder="1"/>
    <xf numFmtId="0" fontId="0" fillId="4" borderId="165" xfId="0" applyFill="1" applyBorder="1"/>
    <xf numFmtId="3" fontId="0" fillId="4" borderId="5" xfId="0" applyNumberFormat="1" applyFill="1" applyBorder="1"/>
    <xf numFmtId="3" fontId="0" fillId="4" borderId="12" xfId="0" applyNumberFormat="1" applyFill="1" applyBorder="1"/>
    <xf numFmtId="0" fontId="0" fillId="5" borderId="14" xfId="0" applyFill="1" applyBorder="1"/>
    <xf numFmtId="0" fontId="0" fillId="5" borderId="24" xfId="0" applyFill="1" applyBorder="1"/>
    <xf numFmtId="0" fontId="4" fillId="4" borderId="14" xfId="0" applyFont="1" applyFill="1" applyBorder="1"/>
    <xf numFmtId="0" fontId="2" fillId="0" borderId="121" xfId="0" applyFont="1" applyBorder="1" applyAlignment="1">
      <alignment horizontal="center"/>
    </xf>
    <xf numFmtId="0" fontId="0" fillId="0" borderId="121" xfId="0" applyBorder="1" applyAlignment="1">
      <alignment horizontal="center"/>
    </xf>
    <xf numFmtId="0" fontId="0" fillId="4" borderId="14" xfId="0" applyFill="1" applyBorder="1"/>
    <xf numFmtId="0" fontId="0" fillId="4" borderId="8" xfId="0" applyFill="1" applyBorder="1"/>
    <xf numFmtId="0" fontId="0" fillId="0" borderId="168" xfId="0" applyBorder="1"/>
    <xf numFmtId="0" fontId="0" fillId="0" borderId="63" xfId="0" applyBorder="1"/>
    <xf numFmtId="0" fontId="0" fillId="0" borderId="97" xfId="0" applyBorder="1"/>
    <xf numFmtId="1" fontId="0" fillId="0" borderId="168" xfId="0" applyNumberFormat="1" applyBorder="1"/>
    <xf numFmtId="1" fontId="0" fillId="0" borderId="63" xfId="0" applyNumberFormat="1" applyBorder="1"/>
    <xf numFmtId="1" fontId="0" fillId="0" borderId="97" xfId="0" applyNumberFormat="1" applyBorder="1"/>
    <xf numFmtId="1" fontId="0" fillId="4" borderId="142" xfId="0" applyNumberFormat="1" applyFill="1" applyBorder="1"/>
    <xf numFmtId="1" fontId="0" fillId="0" borderId="97" xfId="0" applyNumberFormat="1" applyBorder="1" applyAlignment="1">
      <alignment horizontal="right"/>
    </xf>
    <xf numFmtId="1" fontId="0" fillId="0" borderId="63" xfId="0" applyNumberFormat="1" applyBorder="1" applyAlignment="1">
      <alignment horizontal="right"/>
    </xf>
    <xf numFmtId="0" fontId="2" fillId="0" borderId="170" xfId="0" applyFont="1" applyBorder="1" applyAlignment="1">
      <alignment horizontal="center"/>
    </xf>
    <xf numFmtId="1" fontId="0" fillId="0" borderId="29" xfId="0" applyNumberFormat="1" applyBorder="1"/>
    <xf numFmtId="1" fontId="0" fillId="0" borderId="161" xfId="0" applyNumberFormat="1" applyBorder="1"/>
    <xf numFmtId="1" fontId="0" fillId="0" borderId="171" xfId="0" applyNumberFormat="1" applyBorder="1"/>
    <xf numFmtId="1" fontId="0" fillId="4" borderId="172" xfId="0" applyNumberFormat="1" applyFill="1" applyBorder="1"/>
    <xf numFmtId="1" fontId="0" fillId="4" borderId="164" xfId="0" applyNumberFormat="1" applyFill="1" applyBorder="1"/>
    <xf numFmtId="1" fontId="0" fillId="4" borderId="165" xfId="0" applyNumberFormat="1" applyFill="1" applyBorder="1"/>
    <xf numFmtId="1" fontId="0" fillId="4" borderId="12" xfId="0" applyNumberFormat="1" applyFill="1" applyBorder="1"/>
    <xf numFmtId="1" fontId="0" fillId="4" borderId="5" xfId="0" applyNumberFormat="1" applyFill="1" applyBorder="1"/>
    <xf numFmtId="1" fontId="0" fillId="5" borderId="14" xfId="0" applyNumberFormat="1" applyFill="1" applyBorder="1"/>
    <xf numFmtId="1" fontId="0" fillId="5" borderId="24" xfId="0" applyNumberFormat="1" applyFill="1" applyBorder="1"/>
    <xf numFmtId="1" fontId="0" fillId="5" borderId="0" xfId="0" applyNumberFormat="1" applyFill="1" applyBorder="1"/>
    <xf numFmtId="1" fontId="0" fillId="0" borderId="168" xfId="0" applyNumberFormat="1" applyBorder="1" applyAlignment="1">
      <alignment horizontal="right"/>
    </xf>
    <xf numFmtId="0" fontId="32" fillId="4" borderId="173" xfId="0" applyFont="1" applyFill="1" applyBorder="1" applyAlignment="1">
      <alignment horizontal="left"/>
    </xf>
    <xf numFmtId="0" fontId="0" fillId="4" borderId="26" xfId="0" applyFill="1" applyBorder="1"/>
    <xf numFmtId="3" fontId="0" fillId="4" borderId="29" xfId="0" applyNumberFormat="1" applyFill="1" applyBorder="1"/>
    <xf numFmtId="3" fontId="0" fillId="4" borderId="161" xfId="0" applyNumberFormat="1" applyFill="1" applyBorder="1"/>
    <xf numFmtId="3" fontId="0" fillId="4" borderId="171" xfId="0" applyNumberFormat="1" applyFill="1" applyBorder="1"/>
    <xf numFmtId="0" fontId="35" fillId="4" borderId="0" xfId="0" applyFont="1" applyFill="1" applyBorder="1" applyAlignment="1">
      <alignment horizontal="centerContinuous"/>
    </xf>
    <xf numFmtId="0" fontId="0" fillId="4" borderId="121" xfId="0" applyFill="1" applyBorder="1" applyAlignment="1">
      <alignment horizontal="left"/>
    </xf>
    <xf numFmtId="0" fontId="5" fillId="5" borderId="97" xfId="0" applyFont="1" applyFill="1" applyBorder="1" applyAlignment="1">
      <alignment horizontal="center"/>
    </xf>
    <xf numFmtId="0" fontId="49" fillId="4" borderId="97" xfId="0" applyFont="1" applyFill="1" applyBorder="1" applyAlignment="1">
      <alignment horizontal="center"/>
    </xf>
    <xf numFmtId="14" fontId="36" fillId="4" borderId="12" xfId="0" applyNumberFormat="1" applyFont="1" applyFill="1" applyBorder="1" applyAlignment="1">
      <alignment horizontal="center"/>
    </xf>
    <xf numFmtId="0" fontId="36" fillId="4" borderId="7" xfId="0" applyFont="1" applyFill="1" applyBorder="1"/>
    <xf numFmtId="0" fontId="0" fillId="4" borderId="158" xfId="0" applyFill="1" applyBorder="1"/>
    <xf numFmtId="0" fontId="0" fillId="4" borderId="0" xfId="0" applyFill="1" applyBorder="1"/>
    <xf numFmtId="0" fontId="0" fillId="4" borderId="2" xfId="0" applyFill="1" applyBorder="1"/>
    <xf numFmtId="0" fontId="0" fillId="4" borderId="121" xfId="0" applyFill="1" applyBorder="1"/>
    <xf numFmtId="0" fontId="50" fillId="4" borderId="0" xfId="0" applyFont="1" applyFill="1" applyBorder="1"/>
    <xf numFmtId="0" fontId="50" fillId="4" borderId="7" xfId="0" applyFont="1" applyFill="1" applyBorder="1" applyAlignment="1">
      <alignment horizontal="left"/>
    </xf>
    <xf numFmtId="0" fontId="50" fillId="4" borderId="2" xfId="0" applyFont="1" applyFill="1" applyBorder="1"/>
    <xf numFmtId="0" fontId="36" fillId="4" borderId="121" xfId="0" applyFont="1" applyFill="1" applyBorder="1" applyAlignment="1">
      <alignment horizontal="left"/>
    </xf>
    <xf numFmtId="0" fontId="52" fillId="4" borderId="142" xfId="0" applyFont="1" applyFill="1" applyBorder="1"/>
    <xf numFmtId="0" fontId="50" fillId="0" borderId="94" xfId="0" applyFont="1" applyBorder="1" applyAlignment="1">
      <alignment horizontal="centerContinuous"/>
    </xf>
    <xf numFmtId="0" fontId="50" fillId="0" borderId="23" xfId="0" applyFont="1" applyBorder="1" applyAlignment="1">
      <alignment horizontal="centerContinuous"/>
    </xf>
    <xf numFmtId="0" fontId="50" fillId="0" borderId="27" xfId="0" applyFont="1" applyBorder="1" applyAlignment="1">
      <alignment horizontal="centerContinuous"/>
    </xf>
    <xf numFmtId="0" fontId="50" fillId="0" borderId="62" xfId="0" applyFont="1" applyBorder="1" applyAlignment="1">
      <alignment horizontal="centerContinuous"/>
    </xf>
    <xf numFmtId="0" fontId="50" fillId="4" borderId="106" xfId="0" applyFont="1" applyFill="1" applyBorder="1"/>
    <xf numFmtId="0" fontId="50" fillId="0" borderId="98" xfId="0" applyFont="1" applyBorder="1"/>
    <xf numFmtId="0" fontId="0" fillId="0" borderId="23" xfId="0" applyBorder="1"/>
    <xf numFmtId="0" fontId="36" fillId="4" borderId="9" xfId="0" applyFont="1" applyFill="1" applyBorder="1"/>
    <xf numFmtId="0" fontId="52" fillId="4" borderId="0" xfId="0" applyFont="1" applyFill="1" applyBorder="1"/>
    <xf numFmtId="0" fontId="50" fillId="4" borderId="106" xfId="0" applyFont="1" applyFill="1" applyBorder="1" applyAlignment="1"/>
    <xf numFmtId="0" fontId="50" fillId="4" borderId="94" xfId="0" applyFont="1" applyFill="1" applyBorder="1" applyAlignment="1"/>
    <xf numFmtId="0" fontId="50" fillId="4" borderId="98" xfId="0" applyFont="1" applyFill="1" applyBorder="1" applyAlignment="1"/>
    <xf numFmtId="0" fontId="50" fillId="4" borderId="94" xfId="0" applyFont="1" applyFill="1" applyBorder="1"/>
    <xf numFmtId="0" fontId="50" fillId="4" borderId="98" xfId="0" applyFont="1" applyFill="1" applyBorder="1"/>
    <xf numFmtId="0" fontId="50" fillId="0" borderId="94" xfId="0" applyFont="1" applyBorder="1" applyAlignment="1">
      <alignment horizontal="center"/>
    </xf>
    <xf numFmtId="0" fontId="50" fillId="4" borderId="93" xfId="0" applyFont="1" applyFill="1" applyBorder="1"/>
    <xf numFmtId="0" fontId="50" fillId="0" borderId="62" xfId="0" applyFont="1" applyBorder="1" applyAlignment="1">
      <alignment horizontal="center"/>
    </xf>
    <xf numFmtId="0" fontId="50" fillId="0" borderId="28" xfId="0" applyFont="1" applyBorder="1" applyAlignment="1">
      <alignment horizontal="center"/>
    </xf>
    <xf numFmtId="0" fontId="50" fillId="0" borderId="102" xfId="0" applyFont="1" applyBorder="1" applyAlignment="1">
      <alignment horizontal="center"/>
    </xf>
    <xf numFmtId="0" fontId="50" fillId="0" borderId="1" xfId="0" applyFont="1" applyBorder="1"/>
    <xf numFmtId="0" fontId="50" fillId="0" borderId="25" xfId="0" applyFont="1" applyBorder="1"/>
    <xf numFmtId="0" fontId="50" fillId="0" borderId="1" xfId="0" applyFont="1" applyBorder="1" applyAlignment="1">
      <alignment horizontal="center"/>
    </xf>
    <xf numFmtId="0" fontId="50" fillId="0" borderId="101" xfId="0" applyFont="1" applyBorder="1"/>
    <xf numFmtId="0" fontId="50" fillId="0" borderId="100" xfId="0" applyFont="1" applyBorder="1" applyAlignment="1">
      <alignment horizontal="center"/>
    </xf>
    <xf numFmtId="0" fontId="50" fillId="4" borderId="100" xfId="0" applyFont="1" applyFill="1" applyBorder="1"/>
    <xf numFmtId="0" fontId="0" fillId="5" borderId="162" xfId="0" applyFill="1" applyBorder="1"/>
    <xf numFmtId="0" fontId="0" fillId="5" borderId="83" xfId="0" applyFill="1" applyBorder="1" applyAlignment="1">
      <alignment horizontal="center"/>
    </xf>
    <xf numFmtId="0" fontId="0" fillId="5" borderId="162" xfId="0" applyFill="1" applyBorder="1" applyAlignment="1">
      <alignment horizontal="center"/>
    </xf>
    <xf numFmtId="0" fontId="0" fillId="5" borderId="119" xfId="0" applyFill="1" applyBorder="1" applyAlignment="1">
      <alignment horizontal="center"/>
    </xf>
    <xf numFmtId="0" fontId="0" fillId="5" borderId="174" xfId="0" applyFill="1" applyBorder="1" applyAlignment="1">
      <alignment horizontal="center"/>
    </xf>
    <xf numFmtId="0" fontId="2" fillId="0" borderId="142" xfId="0" applyFont="1" applyBorder="1" applyAlignment="1">
      <alignment horizontal="center"/>
    </xf>
    <xf numFmtId="3" fontId="0" fillId="0" borderId="97" xfId="0" applyNumberFormat="1" applyBorder="1" applyAlignment="1">
      <alignment horizontal="right"/>
    </xf>
    <xf numFmtId="0" fontId="0" fillId="0" borderId="97" xfId="0" applyBorder="1" applyAlignment="1">
      <alignment horizontal="center"/>
    </xf>
    <xf numFmtId="0" fontId="0" fillId="0" borderId="171" xfId="0" applyBorder="1" applyAlignment="1">
      <alignment horizontal="center"/>
    </xf>
    <xf numFmtId="3" fontId="0" fillId="4" borderId="97" xfId="0" applyNumberFormat="1" applyFill="1" applyBorder="1"/>
    <xf numFmtId="0" fontId="0" fillId="4" borderId="172" xfId="0" applyFill="1" applyBorder="1"/>
    <xf numFmtId="0" fontId="53" fillId="4" borderId="0" xfId="0" applyFont="1" applyFill="1"/>
    <xf numFmtId="0" fontId="54" fillId="4" borderId="0" xfId="0" applyFont="1" applyFill="1" applyAlignment="1">
      <alignment horizontal="center"/>
    </xf>
    <xf numFmtId="0" fontId="0" fillId="4" borderId="99" xfId="0" applyFill="1" applyBorder="1" applyAlignment="1">
      <alignment horizontal="center"/>
    </xf>
    <xf numFmtId="0" fontId="0" fillId="4" borderId="104" xfId="0" applyFill="1" applyBorder="1" applyAlignment="1">
      <alignment horizontal="center"/>
    </xf>
    <xf numFmtId="0" fontId="0" fillId="4" borderId="105" xfId="0" applyFill="1" applyBorder="1" applyAlignment="1">
      <alignment horizontal="center"/>
    </xf>
    <xf numFmtId="0" fontId="36" fillId="4" borderId="159" xfId="0" applyFont="1" applyFill="1" applyBorder="1" applyAlignment="1">
      <alignment horizontal="center"/>
    </xf>
    <xf numFmtId="0" fontId="0" fillId="4" borderId="167" xfId="0" applyFill="1" applyBorder="1" applyAlignment="1">
      <alignment horizontal="center"/>
    </xf>
    <xf numFmtId="0" fontId="0" fillId="4" borderId="160" xfId="0" applyFill="1" applyBorder="1" applyAlignment="1">
      <alignment horizontal="center"/>
    </xf>
    <xf numFmtId="1" fontId="2" fillId="4" borderId="168" xfId="0" applyNumberFormat="1" applyFont="1" applyFill="1" applyBorder="1"/>
    <xf numFmtId="1" fontId="2" fillId="4" borderId="97" xfId="0" applyNumberFormat="1" applyFont="1" applyFill="1" applyBorder="1" applyAlignment="1">
      <alignment horizontal="center"/>
    </xf>
    <xf numFmtId="1" fontId="2" fillId="4" borderId="63" xfId="0" applyNumberFormat="1" applyFont="1" applyFill="1" applyBorder="1"/>
    <xf numFmtId="1" fontId="2" fillId="4" borderId="97" xfId="0" applyNumberFormat="1" applyFont="1" applyFill="1" applyBorder="1"/>
    <xf numFmtId="1" fontId="2" fillId="4" borderId="29" xfId="0" applyNumberFormat="1" applyFont="1" applyFill="1" applyBorder="1"/>
    <xf numFmtId="1" fontId="2" fillId="4" borderId="171" xfId="0" applyNumberFormat="1" applyFont="1" applyFill="1" applyBorder="1" applyAlignment="1">
      <alignment horizontal="center"/>
    </xf>
    <xf numFmtId="1" fontId="2" fillId="4" borderId="161" xfId="0" applyNumberFormat="1" applyFont="1" applyFill="1" applyBorder="1"/>
    <xf numFmtId="1" fontId="2" fillId="4" borderId="171" xfId="0" applyNumberFormat="1" applyFont="1" applyFill="1" applyBorder="1"/>
    <xf numFmtId="0" fontId="36" fillId="4" borderId="0" xfId="0" applyFont="1" applyFill="1" applyBorder="1"/>
    <xf numFmtId="1" fontId="2" fillId="4" borderId="0" xfId="0" applyNumberFormat="1" applyFont="1" applyFill="1" applyBorder="1"/>
    <xf numFmtId="0" fontId="0" fillId="4" borderId="0" xfId="0" applyFill="1" applyBorder="1"/>
    <xf numFmtId="0" fontId="49" fillId="5" borderId="0" xfId="0" applyFont="1" applyFill="1" applyBorder="1"/>
    <xf numFmtId="1" fontId="2" fillId="5" borderId="0" xfId="0" applyNumberFormat="1" applyFont="1" applyFill="1" applyBorder="1" applyAlignment="1">
      <alignment horizontal="center"/>
    </xf>
    <xf numFmtId="1" fontId="10" fillId="5" borderId="0" xfId="0" applyNumberFormat="1" applyFont="1" applyFill="1" applyBorder="1"/>
    <xf numFmtId="1" fontId="16" fillId="5" borderId="0" xfId="0" applyNumberFormat="1" applyFont="1" applyFill="1" applyBorder="1" applyAlignment="1">
      <alignment horizontal="left"/>
    </xf>
    <xf numFmtId="1" fontId="16" fillId="5" borderId="0" xfId="0" applyNumberFormat="1" applyFont="1" applyFill="1" applyBorder="1" applyAlignment="1">
      <alignment horizontal="center"/>
    </xf>
    <xf numFmtId="0" fontId="2" fillId="5" borderId="0" xfId="0" applyNumberFormat="1" applyFont="1" applyFill="1" applyBorder="1" applyAlignment="1">
      <alignment horizontal="center"/>
    </xf>
    <xf numFmtId="1" fontId="2" fillId="5" borderId="0" xfId="0" applyNumberFormat="1" applyFont="1" applyFill="1" applyBorder="1"/>
    <xf numFmtId="170" fontId="55" fillId="5" borderId="0" xfId="0" applyNumberFormat="1" applyFont="1" applyFill="1" applyBorder="1" applyAlignment="1">
      <alignment horizontal="center"/>
    </xf>
    <xf numFmtId="0" fontId="57" fillId="5" borderId="97" xfId="0" applyFont="1" applyFill="1" applyBorder="1" applyAlignment="1">
      <alignment horizontal="left"/>
    </xf>
    <xf numFmtId="0" fontId="56" fillId="4" borderId="1" xfId="0" applyFont="1" applyFill="1" applyBorder="1" applyAlignment="1">
      <alignment horizontal="left"/>
    </xf>
    <xf numFmtId="0" fontId="56" fillId="4" borderId="5" xfId="0" applyFont="1" applyFill="1" applyBorder="1"/>
    <xf numFmtId="0" fontId="57" fillId="5" borderId="1" xfId="0" applyFont="1" applyFill="1" applyBorder="1" applyAlignment="1">
      <alignment horizontal="left"/>
    </xf>
    <xf numFmtId="0" fontId="56" fillId="4" borderId="8" xfId="0" applyFont="1" applyFill="1" applyBorder="1" applyAlignment="1">
      <alignment horizontal="left"/>
    </xf>
    <xf numFmtId="0" fontId="56" fillId="4" borderId="1" xfId="0" applyFont="1" applyFill="1" applyBorder="1"/>
    <xf numFmtId="0" fontId="56" fillId="4" borderId="119" xfId="0" applyFont="1" applyFill="1" applyBorder="1" applyAlignment="1">
      <alignment horizontal="left"/>
    </xf>
    <xf numFmtId="0" fontId="57" fillId="5" borderId="119" xfId="0" applyFont="1" applyFill="1" applyBorder="1" applyAlignment="1">
      <alignment horizontal="left"/>
    </xf>
    <xf numFmtId="0" fontId="56" fillId="4" borderId="121" xfId="0" applyFont="1" applyFill="1" applyBorder="1" applyAlignment="1">
      <alignment horizontal="left"/>
    </xf>
    <xf numFmtId="0" fontId="56" fillId="4" borderId="119" xfId="0" applyFont="1" applyFill="1" applyBorder="1"/>
    <xf numFmtId="0" fontId="57" fillId="5" borderId="142" xfId="0" applyFont="1" applyFill="1" applyBorder="1" applyAlignment="1">
      <alignment horizontal="left"/>
    </xf>
    <xf numFmtId="0" fontId="58" fillId="4" borderId="119" xfId="0" applyFont="1" applyFill="1" applyBorder="1"/>
    <xf numFmtId="0" fontId="58" fillId="5" borderId="119" xfId="0" applyFont="1" applyFill="1" applyBorder="1" applyAlignment="1">
      <alignment horizontal="right"/>
    </xf>
    <xf numFmtId="0" fontId="59" fillId="4" borderId="121" xfId="0" applyFont="1" applyFill="1" applyBorder="1" applyAlignment="1">
      <alignment horizontal="left"/>
    </xf>
    <xf numFmtId="1" fontId="2" fillId="4" borderId="62" xfId="0" applyNumberFormat="1" applyFont="1" applyFill="1" applyBorder="1"/>
    <xf numFmtId="1" fontId="2" fillId="4" borderId="62" xfId="0" applyNumberFormat="1" applyFont="1" applyFill="1" applyBorder="1" applyAlignment="1">
      <alignment horizontal="center"/>
    </xf>
    <xf numFmtId="0" fontId="36" fillId="4" borderId="24" xfId="0" applyFont="1" applyFill="1" applyBorder="1"/>
    <xf numFmtId="0" fontId="4" fillId="21" borderId="0" xfId="0" applyFont="1" applyFill="1" applyBorder="1" applyAlignment="1" applyProtection="1"/>
    <xf numFmtId="0" fontId="18" fillId="0" borderId="156" xfId="6" applyNumberFormat="1" applyFont="1" applyFill="1" applyBorder="1" applyAlignment="1" applyProtection="1"/>
    <xf numFmtId="0" fontId="18" fillId="0" borderId="156" xfId="6" applyNumberFormat="1" applyFont="1" applyFill="1" applyBorder="1" applyAlignment="1" applyProtection="1">
      <alignment horizontal="left"/>
    </xf>
    <xf numFmtId="0" fontId="18" fillId="0" borderId="156" xfId="6" applyNumberFormat="1" applyFont="1" applyFill="1" applyBorder="1" applyAlignment="1" applyProtection="1">
      <alignment horizontal="center"/>
    </xf>
    <xf numFmtId="169" fontId="34" fillId="0" borderId="156" xfId="6" applyNumberFormat="1" applyFont="1" applyFill="1" applyBorder="1" applyAlignment="1" applyProtection="1">
      <alignment horizontal="center"/>
    </xf>
    <xf numFmtId="169" fontId="34" fillId="0" borderId="177" xfId="6" applyNumberFormat="1" applyFont="1" applyFill="1" applyBorder="1" applyAlignment="1" applyProtection="1">
      <alignment horizontal="center"/>
    </xf>
    <xf numFmtId="0" fontId="0" fillId="0" borderId="0" xfId="0"/>
    <xf numFmtId="0" fontId="32" fillId="0" borderId="0" xfId="0" applyFont="1"/>
    <xf numFmtId="0" fontId="31" fillId="0" borderId="0" xfId="0" applyFont="1"/>
    <xf numFmtId="0" fontId="2" fillId="0" borderId="0" xfId="0" applyFont="1"/>
    <xf numFmtId="0" fontId="2" fillId="5" borderId="6" xfId="1" applyNumberFormat="1" applyFont="1" applyFill="1" applyBorder="1" applyAlignment="1" applyProtection="1">
      <alignment horizontal="center"/>
    </xf>
    <xf numFmtId="0" fontId="12" fillId="0" borderId="0" xfId="0" applyFont="1"/>
    <xf numFmtId="0" fontId="13" fillId="7" borderId="97" xfId="1" applyNumberFormat="1" applyFont="1" applyFill="1" applyBorder="1" applyAlignment="1" applyProtection="1"/>
    <xf numFmtId="0" fontId="3" fillId="28" borderId="22" xfId="1" applyNumberFormat="1" applyFont="1" applyFill="1" applyBorder="1" applyAlignment="1" applyProtection="1">
      <alignment horizontal="left" wrapText="1"/>
      <protection locked="0"/>
    </xf>
    <xf numFmtId="0" fontId="15" fillId="2" borderId="30" xfId="1" applyNumberFormat="1" applyFont="1" applyFill="1" applyBorder="1" applyAlignment="1" applyProtection="1">
      <alignment horizontal="left" wrapText="1"/>
    </xf>
    <xf numFmtId="0" fontId="0" fillId="0" borderId="0" xfId="1" applyNumberFormat="1" applyFont="1" applyFill="1" applyBorder="1" applyAlignment="1" applyProtection="1"/>
    <xf numFmtId="0" fontId="0" fillId="0" borderId="0" xfId="0" applyNumberFormat="1"/>
    <xf numFmtId="0" fontId="0" fillId="0" borderId="0" xfId="0" applyNumberFormat="1" applyFill="1"/>
    <xf numFmtId="0" fontId="0" fillId="13" borderId="0" xfId="0" applyNumberFormat="1" applyFill="1"/>
    <xf numFmtId="0" fontId="0" fillId="5" borderId="0" xfId="1" applyNumberFormat="1" applyFont="1" applyFill="1" applyBorder="1" applyAlignment="1" applyProtection="1"/>
    <xf numFmtId="0" fontId="0" fillId="0" borderId="0" xfId="1" applyNumberFormat="1" applyFont="1" applyFill="1" applyBorder="1" applyAlignment="1" applyProtection="1">
      <alignment wrapText="1"/>
    </xf>
    <xf numFmtId="0" fontId="61" fillId="0" borderId="0" xfId="0" applyFont="1" applyProtection="1"/>
    <xf numFmtId="0" fontId="61" fillId="0" borderId="0" xfId="0" applyFont="1"/>
    <xf numFmtId="0" fontId="61" fillId="0" borderId="0" xfId="0" applyFont="1" applyAlignment="1" applyProtection="1">
      <alignment horizontal="center"/>
    </xf>
    <xf numFmtId="0" fontId="42" fillId="0" borderId="0" xfId="0" applyFont="1" applyAlignment="1" applyProtection="1">
      <alignment horizontal="center"/>
    </xf>
    <xf numFmtId="0" fontId="4" fillId="2" borderId="6" xfId="1" applyNumberFormat="1" applyFont="1" applyFill="1" applyBorder="1" applyAlignment="1" applyProtection="1">
      <alignment horizontal="left"/>
    </xf>
    <xf numFmtId="0" fontId="0" fillId="0" borderId="0" xfId="1" applyNumberFormat="1" applyFont="1" applyFill="1" applyBorder="1" applyAlignment="1" applyProtection="1">
      <alignment horizontal="right"/>
    </xf>
    <xf numFmtId="0" fontId="12" fillId="0" borderId="0" xfId="1" applyNumberFormat="1" applyFont="1" applyFill="1" applyBorder="1" applyAlignment="1" applyProtection="1"/>
    <xf numFmtId="0" fontId="13" fillId="7" borderId="6" xfId="1" applyNumberFormat="1" applyFont="1" applyFill="1" applyBorder="1" applyAlignment="1" applyProtection="1"/>
    <xf numFmtId="0" fontId="13" fillId="7" borderId="97" xfId="1" applyNumberFormat="1" applyFont="1" applyFill="1" applyBorder="1" applyAlignment="1" applyProtection="1"/>
    <xf numFmtId="0" fontId="0" fillId="0" borderId="0" xfId="0"/>
    <xf numFmtId="171" fontId="3" fillId="3" borderId="22" xfId="0" quotePrefix="1" applyNumberFormat="1" applyFont="1" applyFill="1" applyBorder="1" applyAlignment="1" applyProtection="1">
      <alignment horizontal="left" wrapText="1"/>
      <protection locked="0"/>
    </xf>
    <xf numFmtId="171" fontId="3" fillId="3" borderId="22" xfId="0" applyNumberFormat="1" applyFont="1" applyFill="1" applyBorder="1" applyAlignment="1" applyProtection="1">
      <alignment horizontal="left" wrapText="1"/>
      <protection locked="0"/>
    </xf>
    <xf numFmtId="0" fontId="3" fillId="0" borderId="22" xfId="1" applyNumberFormat="1" applyFont="1" applyFill="1" applyBorder="1" applyAlignment="1" applyProtection="1">
      <alignment horizontal="left" wrapText="1"/>
      <protection locked="0"/>
    </xf>
    <xf numFmtId="0" fontId="0" fillId="0" borderId="0" xfId="1" quotePrefix="1" applyNumberFormat="1" applyFont="1" applyFill="1" applyBorder="1" applyAlignment="1" applyProtection="1"/>
    <xf numFmtId="169" fontId="34" fillId="0" borderId="95" xfId="6" applyNumberFormat="1" applyFont="1" applyFill="1" applyBorder="1" applyAlignment="1" applyProtection="1">
      <alignment horizontal="center"/>
      <protection locked="0"/>
    </xf>
    <xf numFmtId="169" fontId="34" fillId="0" borderId="110" xfId="6" applyNumberFormat="1" applyFont="1" applyFill="1" applyBorder="1" applyAlignment="1" applyProtection="1">
      <alignment horizontal="center"/>
      <protection locked="0"/>
    </xf>
    <xf numFmtId="169" fontId="34" fillId="0" borderId="111" xfId="6" applyNumberFormat="1" applyFont="1" applyFill="1" applyBorder="1" applyAlignment="1" applyProtection="1">
      <alignment horizontal="center"/>
      <protection locked="0"/>
    </xf>
    <xf numFmtId="169" fontId="34" fillId="0" borderId="67" xfId="6" applyNumberFormat="1" applyFont="1" applyFill="1" applyBorder="1" applyAlignment="1" applyProtection="1">
      <alignment horizontal="center"/>
      <protection locked="0"/>
    </xf>
    <xf numFmtId="169" fontId="34" fillId="0" borderId="176" xfId="6" applyNumberFormat="1" applyFont="1" applyFill="1" applyBorder="1" applyAlignment="1" applyProtection="1">
      <alignment horizontal="center"/>
      <protection locked="0"/>
    </xf>
    <xf numFmtId="0" fontId="0" fillId="4" borderId="0" xfId="0" applyFill="1"/>
    <xf numFmtId="0" fontId="0" fillId="0" borderId="0" xfId="0" applyFill="1"/>
    <xf numFmtId="0" fontId="0" fillId="0" borderId="0" xfId="0"/>
    <xf numFmtId="172" fontId="0" fillId="0" borderId="0" xfId="0" applyNumberFormat="1"/>
    <xf numFmtId="0" fontId="63" fillId="0" borderId="0" xfId="0" applyFont="1" applyFill="1"/>
    <xf numFmtId="0" fontId="41" fillId="29" borderId="0" xfId="0" applyFont="1" applyFill="1" applyBorder="1"/>
    <xf numFmtId="0" fontId="32" fillId="0" borderId="0" xfId="0" applyFont="1" applyFill="1" applyAlignment="1">
      <alignment horizontal="center"/>
    </xf>
    <xf numFmtId="0" fontId="32" fillId="0" borderId="0" xfId="0" applyFont="1" applyFill="1" applyAlignment="1">
      <alignment horizontal="left"/>
    </xf>
    <xf numFmtId="0" fontId="31" fillId="0" borderId="0" xfId="0" applyFont="1" applyFill="1"/>
    <xf numFmtId="0" fontId="63" fillId="4" borderId="0" xfId="0" applyFont="1" applyFill="1"/>
    <xf numFmtId="172" fontId="2" fillId="4" borderId="0" xfId="3" applyNumberFormat="1" applyFont="1" applyFill="1" applyBorder="1" applyAlignment="1" applyProtection="1"/>
    <xf numFmtId="0" fontId="0" fillId="0" borderId="27" xfId="0" applyFill="1" applyBorder="1"/>
    <xf numFmtId="0" fontId="4" fillId="0" borderId="62" xfId="0" applyFont="1" applyFill="1" applyBorder="1" applyAlignment="1">
      <alignment horizontal="center"/>
    </xf>
    <xf numFmtId="0" fontId="4" fillId="0" borderId="23" xfId="0" applyFont="1" applyFill="1" applyBorder="1" applyAlignment="1">
      <alignment horizontal="center"/>
    </xf>
    <xf numFmtId="172" fontId="4" fillId="0" borderId="100" xfId="3" applyNumberFormat="1" applyFont="1" applyFill="1" applyBorder="1" applyAlignment="1" applyProtection="1">
      <alignment horizontal="center"/>
    </xf>
    <xf numFmtId="0" fontId="49" fillId="0" borderId="100" xfId="0" applyFont="1" applyFill="1" applyBorder="1" applyAlignment="1">
      <alignment horizontal="center"/>
    </xf>
    <xf numFmtId="0" fontId="0" fillId="0" borderId="14" xfId="0" applyFill="1" applyBorder="1"/>
    <xf numFmtId="172" fontId="0" fillId="29" borderId="0" xfId="0" applyNumberFormat="1" applyFill="1" applyBorder="1"/>
    <xf numFmtId="172" fontId="0" fillId="29" borderId="24" xfId="0" applyNumberFormat="1" applyFill="1" applyBorder="1"/>
    <xf numFmtId="0" fontId="5" fillId="0" borderId="181" xfId="0" applyFont="1" applyFill="1" applyBorder="1" applyAlignment="1">
      <alignment horizontal="center" vertical="center"/>
    </xf>
    <xf numFmtId="0" fontId="4" fillId="0" borderId="167" xfId="0" applyFont="1" applyFill="1" applyBorder="1" applyAlignment="1">
      <alignment horizontal="center" wrapText="1"/>
    </xf>
    <xf numFmtId="0" fontId="4" fillId="0" borderId="160" xfId="0" applyFont="1" applyFill="1" applyBorder="1" applyAlignment="1">
      <alignment horizontal="center" wrapText="1"/>
    </xf>
    <xf numFmtId="8" fontId="2" fillId="29" borderId="0" xfId="3" applyNumberFormat="1" applyFont="1" applyFill="1" applyBorder="1" applyAlignment="1" applyProtection="1"/>
    <xf numFmtId="7" fontId="2" fillId="29" borderId="24" xfId="3" applyNumberFormat="1" applyFont="1" applyFill="1" applyBorder="1" applyAlignment="1" applyProtection="1"/>
    <xf numFmtId="0" fontId="0" fillId="0" borderId="182" xfId="0" applyFill="1" applyBorder="1"/>
    <xf numFmtId="0" fontId="4" fillId="0" borderId="156" xfId="0" applyFont="1" applyFill="1" applyBorder="1" applyAlignment="1">
      <alignment horizontal="center" wrapText="1"/>
    </xf>
    <xf numFmtId="0" fontId="0" fillId="0" borderId="183" xfId="0" applyFill="1" applyBorder="1"/>
    <xf numFmtId="0" fontId="0" fillId="0" borderId="65" xfId="0" applyFill="1" applyBorder="1"/>
    <xf numFmtId="0" fontId="62" fillId="0" borderId="14" xfId="0" applyFont="1" applyFill="1" applyBorder="1"/>
    <xf numFmtId="0" fontId="0" fillId="0" borderId="0" xfId="0" applyFill="1" applyBorder="1"/>
    <xf numFmtId="0" fontId="4" fillId="0" borderId="0" xfId="0" applyFont="1" applyFill="1" applyBorder="1" applyAlignment="1">
      <alignment horizontal="center" wrapText="1"/>
    </xf>
    <xf numFmtId="0" fontId="0" fillId="0" borderId="24" xfId="0" applyFill="1" applyBorder="1"/>
    <xf numFmtId="172" fontId="0" fillId="0" borderId="0" xfId="0" applyNumberFormat="1" applyFill="1"/>
    <xf numFmtId="8" fontId="0" fillId="0" borderId="0" xfId="0" applyNumberFormat="1" applyFill="1" applyBorder="1"/>
    <xf numFmtId="6" fontId="0" fillId="0" borderId="24" xfId="0" applyNumberFormat="1" applyFill="1" applyBorder="1"/>
    <xf numFmtId="0" fontId="3" fillId="0" borderId="14" xfId="0" applyFont="1" applyFill="1" applyBorder="1"/>
    <xf numFmtId="0" fontId="62" fillId="0" borderId="83" xfId="0" applyFont="1" applyFill="1" applyBorder="1"/>
    <xf numFmtId="0" fontId="0" fillId="0" borderId="119" xfId="0" applyFill="1" applyBorder="1" applyAlignment="1">
      <alignment horizontal="center"/>
    </xf>
    <xf numFmtId="0" fontId="0" fillId="0" borderId="119" xfId="0" applyFill="1" applyBorder="1"/>
    <xf numFmtId="172" fontId="0" fillId="0" borderId="119" xfId="0" applyNumberFormat="1" applyFont="1" applyFill="1" applyBorder="1"/>
    <xf numFmtId="8" fontId="0" fillId="0" borderId="119" xfId="0" applyNumberFormat="1" applyFill="1" applyBorder="1"/>
    <xf numFmtId="8" fontId="4" fillId="0" borderId="119" xfId="0" applyNumberFormat="1" applyFont="1" applyFill="1" applyBorder="1"/>
    <xf numFmtId="6" fontId="4" fillId="0" borderId="174" xfId="0" applyNumberFormat="1" applyFont="1" applyFill="1" applyBorder="1"/>
    <xf numFmtId="0" fontId="0" fillId="0" borderId="0" xfId="0" applyFill="1" applyBorder="1" applyAlignment="1">
      <alignment horizontal="center"/>
    </xf>
    <xf numFmtId="172" fontId="0" fillId="0" borderId="0" xfId="0" applyNumberFormat="1" applyFont="1" applyFill="1" applyBorder="1"/>
    <xf numFmtId="8" fontId="4" fillId="0" borderId="0" xfId="0" applyNumberFormat="1" applyFont="1" applyFill="1" applyBorder="1"/>
    <xf numFmtId="6" fontId="4" fillId="0" borderId="24" xfId="0" applyNumberFormat="1" applyFont="1" applyFill="1" applyBorder="1"/>
    <xf numFmtId="0" fontId="62" fillId="0" borderId="173" xfId="0" applyFont="1" applyFill="1" applyBorder="1"/>
    <xf numFmtId="0" fontId="0" fillId="0" borderId="26" xfId="0" applyFill="1" applyBorder="1" applyAlignment="1">
      <alignment horizontal="center"/>
    </xf>
    <xf numFmtId="0" fontId="0" fillId="0" borderId="26" xfId="0" applyFill="1" applyBorder="1"/>
    <xf numFmtId="172" fontId="0" fillId="0" borderId="26" xfId="0" applyNumberFormat="1" applyFont="1" applyFill="1" applyBorder="1"/>
    <xf numFmtId="8" fontId="0" fillId="0" borderId="26" xfId="0" applyNumberFormat="1" applyFill="1" applyBorder="1"/>
    <xf numFmtId="8" fontId="4" fillId="0" borderId="26" xfId="0" applyNumberFormat="1" applyFont="1" applyFill="1" applyBorder="1"/>
    <xf numFmtId="6" fontId="4" fillId="0" borderId="184" xfId="0" applyNumberFormat="1" applyFont="1" applyFill="1" applyBorder="1"/>
    <xf numFmtId="0" fontId="0" fillId="0" borderId="0" xfId="0" applyAlignment="1">
      <alignment horizontal="center"/>
    </xf>
    <xf numFmtId="0" fontId="62" fillId="4" borderId="1" xfId="0" applyFont="1" applyFill="1" applyBorder="1" applyProtection="1"/>
    <xf numFmtId="0" fontId="2" fillId="4" borderId="0" xfId="0" applyFont="1" applyFill="1" applyProtection="1"/>
    <xf numFmtId="0" fontId="4" fillId="4" borderId="0" xfId="0" applyFont="1" applyFill="1" applyBorder="1" applyAlignment="1" applyProtection="1">
      <alignment horizontal="right"/>
    </xf>
    <xf numFmtId="0" fontId="4" fillId="4" borderId="167" xfId="0" applyFont="1" applyFill="1" applyBorder="1" applyAlignment="1" applyProtection="1">
      <alignment horizontal="center" wrapText="1"/>
    </xf>
    <xf numFmtId="0" fontId="4" fillId="4" borderId="156" xfId="0" applyFont="1" applyFill="1" applyBorder="1" applyAlignment="1" applyProtection="1">
      <alignment horizontal="center" wrapText="1"/>
    </xf>
    <xf numFmtId="0" fontId="62" fillId="4" borderId="14" xfId="0" applyFont="1" applyFill="1" applyBorder="1" applyProtection="1"/>
    <xf numFmtId="0" fontId="4" fillId="4" borderId="0" xfId="0" applyFont="1" applyFill="1" applyBorder="1" applyAlignment="1" applyProtection="1">
      <alignment horizontal="center" wrapText="1"/>
    </xf>
    <xf numFmtId="8" fontId="4" fillId="4" borderId="119" xfId="0" applyNumberFormat="1" applyFont="1" applyFill="1" applyBorder="1" applyProtection="1"/>
    <xf numFmtId="8" fontId="4" fillId="4" borderId="0" xfId="0" applyNumberFormat="1" applyFont="1" applyFill="1" applyBorder="1" applyProtection="1"/>
    <xf numFmtId="0" fontId="2" fillId="4" borderId="14" xfId="0" applyFont="1" applyFill="1" applyBorder="1" applyAlignment="1" applyProtection="1">
      <alignment horizontal="center"/>
    </xf>
    <xf numFmtId="0" fontId="4" fillId="4" borderId="97" xfId="0" applyFont="1" applyFill="1" applyBorder="1" applyAlignment="1" applyProtection="1">
      <alignment horizontal="center" wrapText="1"/>
    </xf>
    <xf numFmtId="8" fontId="4" fillId="4" borderId="119" xfId="0" applyNumberFormat="1" applyFont="1" applyFill="1" applyBorder="1" applyAlignment="1" applyProtection="1">
      <alignment horizontal="right"/>
    </xf>
    <xf numFmtId="0" fontId="4" fillId="4" borderId="14" xfId="0" applyFont="1" applyFill="1" applyBorder="1" applyProtection="1"/>
    <xf numFmtId="8" fontId="4" fillId="4" borderId="0" xfId="0" applyNumberFormat="1" applyFont="1" applyFill="1" applyBorder="1" applyAlignment="1" applyProtection="1">
      <alignment horizontal="right"/>
    </xf>
    <xf numFmtId="8" fontId="4" fillId="4" borderId="20" xfId="0" applyNumberFormat="1" applyFont="1" applyFill="1" applyBorder="1" applyAlignment="1" applyProtection="1">
      <alignment horizontal="right"/>
    </xf>
    <xf numFmtId="0" fontId="2" fillId="4" borderId="20" xfId="0" applyFont="1" applyFill="1" applyBorder="1" applyProtection="1"/>
    <xf numFmtId="0" fontId="3" fillId="0" borderId="0" xfId="0" applyFont="1"/>
    <xf numFmtId="0" fontId="5" fillId="0" borderId="0" xfId="0" applyFont="1"/>
    <xf numFmtId="0" fontId="5" fillId="0" borderId="0" xfId="0" applyFont="1" applyAlignment="1">
      <alignment wrapText="1"/>
    </xf>
    <xf numFmtId="0" fontId="2" fillId="4" borderId="0" xfId="0" applyFont="1" applyFill="1" applyAlignment="1" applyProtection="1"/>
    <xf numFmtId="0" fontId="4" fillId="4" borderId="0" xfId="0" applyFont="1" applyFill="1" applyAlignment="1" applyProtection="1">
      <alignment horizontal="center"/>
    </xf>
    <xf numFmtId="0" fontId="2" fillId="4" borderId="0" xfId="0" applyFont="1" applyFill="1" applyBorder="1" applyAlignment="1" applyProtection="1"/>
    <xf numFmtId="0" fontId="2" fillId="4" borderId="1" xfId="0" applyFont="1" applyFill="1" applyBorder="1" applyProtection="1"/>
    <xf numFmtId="0" fontId="2" fillId="4" borderId="0" xfId="0" applyFont="1" applyFill="1" applyBorder="1" applyProtection="1"/>
    <xf numFmtId="8" fontId="2" fillId="4" borderId="0" xfId="0" applyNumberFormat="1" applyFont="1" applyFill="1" applyBorder="1" applyProtection="1"/>
    <xf numFmtId="0" fontId="4" fillId="4" borderId="100" xfId="0" applyFont="1" applyFill="1" applyBorder="1" applyAlignment="1" applyProtection="1">
      <alignment horizontal="center"/>
    </xf>
    <xf numFmtId="0" fontId="2" fillId="0" borderId="94" xfId="0" applyFont="1" applyBorder="1" applyAlignment="1" applyProtection="1">
      <alignment horizontal="centerContinuous"/>
    </xf>
    <xf numFmtId="0" fontId="4" fillId="4" borderId="181" xfId="0" applyFont="1" applyFill="1" applyBorder="1" applyAlignment="1" applyProtection="1">
      <alignment horizontal="center" vertical="center"/>
    </xf>
    <xf numFmtId="0" fontId="2" fillId="4" borderId="182" xfId="0" applyFont="1" applyFill="1" applyBorder="1" applyProtection="1"/>
    <xf numFmtId="0" fontId="2" fillId="4" borderId="14" xfId="0" applyFont="1" applyFill="1" applyBorder="1" applyProtection="1"/>
    <xf numFmtId="0" fontId="2" fillId="4" borderId="119" xfId="0" applyFont="1" applyFill="1" applyBorder="1" applyAlignment="1" applyProtection="1">
      <alignment horizontal="center"/>
    </xf>
    <xf numFmtId="8" fontId="2" fillId="4" borderId="119" xfId="0" applyNumberFormat="1" applyFont="1" applyFill="1" applyBorder="1" applyProtection="1"/>
    <xf numFmtId="0" fontId="2" fillId="4" borderId="0" xfId="0" applyFont="1" applyFill="1" applyBorder="1" applyAlignment="1" applyProtection="1">
      <alignment horizontal="center"/>
    </xf>
    <xf numFmtId="0" fontId="2" fillId="4" borderId="65" xfId="0" applyFont="1" applyFill="1" applyBorder="1" applyProtection="1"/>
    <xf numFmtId="0" fontId="2" fillId="4" borderId="24" xfId="0" applyFont="1" applyFill="1" applyBorder="1" applyProtection="1"/>
    <xf numFmtId="0" fontId="2" fillId="0" borderId="98" xfId="0" applyFont="1" applyBorder="1" applyAlignment="1" applyProtection="1">
      <alignment horizontal="centerContinuous"/>
    </xf>
    <xf numFmtId="0" fontId="4" fillId="4" borderId="160" xfId="0" applyFont="1" applyFill="1" applyBorder="1" applyAlignment="1" applyProtection="1">
      <alignment horizontal="center" wrapText="1"/>
    </xf>
    <xf numFmtId="0" fontId="2" fillId="4" borderId="183" xfId="0" applyFont="1" applyFill="1" applyBorder="1" applyProtection="1"/>
    <xf numFmtId="6" fontId="2" fillId="4" borderId="24" xfId="0" applyNumberFormat="1" applyFont="1" applyFill="1" applyBorder="1" applyProtection="1"/>
    <xf numFmtId="6" fontId="4" fillId="4" borderId="174" xfId="0" applyNumberFormat="1" applyFont="1" applyFill="1" applyBorder="1" applyProtection="1"/>
    <xf numFmtId="6" fontId="4" fillId="4" borderId="24" xfId="0" applyNumberFormat="1" applyFont="1" applyFill="1" applyBorder="1" applyProtection="1"/>
    <xf numFmtId="8" fontId="2" fillId="4" borderId="24" xfId="0" applyNumberFormat="1" applyFont="1" applyFill="1" applyBorder="1" applyProtection="1"/>
    <xf numFmtId="8" fontId="4" fillId="4" borderId="24" xfId="0" applyNumberFormat="1" applyFont="1" applyFill="1" applyBorder="1" applyProtection="1"/>
    <xf numFmtId="8" fontId="4" fillId="4" borderId="66" xfId="0" applyNumberFormat="1" applyFont="1" applyFill="1" applyBorder="1" applyProtection="1"/>
    <xf numFmtId="0" fontId="4" fillId="4" borderId="63" xfId="0" applyFont="1" applyFill="1" applyBorder="1" applyAlignment="1" applyProtection="1">
      <alignment horizontal="center" wrapText="1"/>
    </xf>
    <xf numFmtId="173" fontId="2" fillId="4" borderId="0" xfId="0" applyNumberFormat="1" applyFont="1" applyFill="1" applyAlignment="1" applyProtection="1"/>
    <xf numFmtId="173" fontId="2" fillId="4" borderId="0" xfId="0" applyNumberFormat="1" applyFont="1" applyFill="1" applyProtection="1"/>
    <xf numFmtId="173" fontId="4" fillId="4" borderId="106" xfId="0" applyNumberFormat="1" applyFont="1" applyFill="1" applyBorder="1" applyAlignment="1" applyProtection="1">
      <alignment horizontal="centerContinuous"/>
    </xf>
    <xf numFmtId="173" fontId="2" fillId="0" borderId="94" xfId="0" applyNumberFormat="1" applyFont="1" applyBorder="1" applyAlignment="1" applyProtection="1">
      <alignment horizontal="centerContinuous"/>
    </xf>
    <xf numFmtId="173" fontId="4" fillId="4" borderId="167" xfId="0" applyNumberFormat="1" applyFont="1" applyFill="1" applyBorder="1" applyAlignment="1" applyProtection="1">
      <alignment horizontal="center" wrapText="1"/>
    </xf>
    <xf numFmtId="173" fontId="4" fillId="4" borderId="156" xfId="0" applyNumberFormat="1" applyFont="1" applyFill="1" applyBorder="1" applyAlignment="1" applyProtection="1">
      <alignment horizontal="center" wrapText="1"/>
    </xf>
    <xf numFmtId="173" fontId="4" fillId="4" borderId="0" xfId="0" applyNumberFormat="1" applyFont="1" applyFill="1" applyBorder="1" applyAlignment="1" applyProtection="1">
      <alignment horizontal="center" wrapText="1"/>
    </xf>
    <xf numFmtId="173" fontId="2" fillId="4" borderId="0" xfId="0" applyNumberFormat="1" applyFont="1" applyFill="1" applyBorder="1" applyProtection="1"/>
    <xf numFmtId="173" fontId="2" fillId="4" borderId="119" xfId="0" applyNumberFormat="1" applyFont="1" applyFill="1" applyBorder="1" applyProtection="1"/>
    <xf numFmtId="173" fontId="4" fillId="4" borderId="97" xfId="0" applyNumberFormat="1" applyFont="1" applyFill="1" applyBorder="1" applyAlignment="1" applyProtection="1">
      <alignment horizontal="center" wrapText="1"/>
    </xf>
    <xf numFmtId="173" fontId="2" fillId="18" borderId="0" xfId="0" applyNumberFormat="1" applyFont="1" applyFill="1" applyBorder="1" applyAlignment="1" applyProtection="1"/>
    <xf numFmtId="173" fontId="2" fillId="4" borderId="20" xfId="0" applyNumberFormat="1" applyFont="1" applyFill="1" applyBorder="1" applyProtection="1"/>
    <xf numFmtId="173" fontId="2" fillId="4" borderId="1" xfId="0" applyNumberFormat="1" applyFont="1" applyFill="1" applyBorder="1" applyProtection="1"/>
    <xf numFmtId="0" fontId="2" fillId="18" borderId="14" xfId="0" applyFont="1" applyFill="1" applyBorder="1" applyAlignment="1" applyProtection="1"/>
    <xf numFmtId="8" fontId="2" fillId="4" borderId="0" xfId="0" applyNumberFormat="1" applyFont="1" applyFill="1" applyBorder="1" applyAlignment="1" applyProtection="1"/>
    <xf numFmtId="6" fontId="2" fillId="4" borderId="24" xfId="0" applyNumberFormat="1" applyFont="1" applyFill="1" applyBorder="1" applyAlignment="1" applyProtection="1"/>
    <xf numFmtId="0" fontId="2" fillId="23" borderId="93" xfId="0" applyFont="1" applyFill="1" applyBorder="1" applyAlignment="1" applyProtection="1">
      <protection locked="0"/>
    </xf>
    <xf numFmtId="173" fontId="2" fillId="4" borderId="0" xfId="0" applyNumberFormat="1" applyFont="1" applyFill="1" applyBorder="1" applyAlignment="1" applyProtection="1"/>
    <xf numFmtId="3" fontId="4" fillId="4" borderId="0" xfId="0" applyNumberFormat="1" applyFont="1" applyFill="1" applyBorder="1" applyAlignment="1" applyProtection="1"/>
    <xf numFmtId="3" fontId="4" fillId="0" borderId="0" xfId="0" applyNumberFormat="1" applyFont="1" applyAlignment="1" applyProtection="1"/>
    <xf numFmtId="3" fontId="4" fillId="4" borderId="0" xfId="0" applyNumberFormat="1" applyFont="1" applyFill="1" applyAlignment="1" applyProtection="1"/>
    <xf numFmtId="3" fontId="2" fillId="4" borderId="0" xfId="0" applyNumberFormat="1" applyFont="1" applyFill="1" applyProtection="1"/>
    <xf numFmtId="3" fontId="2" fillId="0" borderId="94" xfId="0" applyNumberFormat="1" applyFont="1" applyBorder="1" applyAlignment="1" applyProtection="1">
      <alignment horizontal="centerContinuous"/>
    </xf>
    <xf numFmtId="3" fontId="4" fillId="4" borderId="167" xfId="0" applyNumberFormat="1" applyFont="1" applyFill="1" applyBorder="1" applyAlignment="1" applyProtection="1">
      <alignment horizontal="center" wrapText="1"/>
    </xf>
    <xf numFmtId="3" fontId="4" fillId="4" borderId="156" xfId="0" applyNumberFormat="1" applyFont="1" applyFill="1" applyBorder="1" applyAlignment="1" applyProtection="1">
      <alignment horizontal="center" wrapText="1"/>
    </xf>
    <xf numFmtId="3" fontId="4" fillId="4" borderId="0" xfId="0" applyNumberFormat="1" applyFont="1" applyFill="1" applyBorder="1" applyAlignment="1" applyProtection="1">
      <alignment wrapText="1"/>
    </xf>
    <xf numFmtId="3" fontId="2" fillId="18" borderId="0" xfId="0" applyNumberFormat="1" applyFont="1" applyFill="1" applyBorder="1" applyAlignment="1" applyProtection="1"/>
    <xf numFmtId="3" fontId="2" fillId="4" borderId="0" xfId="0" applyNumberFormat="1" applyFont="1" applyFill="1" applyBorder="1" applyProtection="1"/>
    <xf numFmtId="3" fontId="2" fillId="4" borderId="119" xfId="0" applyNumberFormat="1" applyFont="1" applyFill="1" applyBorder="1" applyProtection="1"/>
    <xf numFmtId="3" fontId="2" fillId="4" borderId="0" xfId="0" applyNumberFormat="1" applyFont="1" applyFill="1" applyBorder="1" applyProtection="1"/>
    <xf numFmtId="3" fontId="4" fillId="4" borderId="0" xfId="0" applyNumberFormat="1" applyFont="1" applyFill="1" applyBorder="1" applyAlignment="1" applyProtection="1">
      <alignment horizontal="center" wrapText="1"/>
    </xf>
    <xf numFmtId="3" fontId="2" fillId="4" borderId="0" xfId="0" applyNumberFormat="1" applyFont="1" applyFill="1" applyBorder="1" applyAlignment="1" applyProtection="1"/>
    <xf numFmtId="3" fontId="2" fillId="4" borderId="0" xfId="0" applyNumberFormat="1" applyFont="1" applyFill="1" applyBorder="1" applyAlignment="1" applyProtection="1">
      <alignment horizontal="center"/>
    </xf>
    <xf numFmtId="3" fontId="2" fillId="4" borderId="20" xfId="0" applyNumberFormat="1" applyFont="1" applyFill="1" applyBorder="1" applyProtection="1"/>
    <xf numFmtId="3" fontId="2" fillId="4" borderId="1" xfId="0" applyNumberFormat="1" applyFont="1" applyFill="1" applyBorder="1" applyProtection="1"/>
    <xf numFmtId="3" fontId="2" fillId="23" borderId="93" xfId="0" applyNumberFormat="1" applyFont="1" applyFill="1" applyBorder="1" applyAlignment="1" applyProtection="1">
      <protection locked="0"/>
    </xf>
    <xf numFmtId="0" fontId="30" fillId="0" borderId="106" xfId="0" applyFont="1" applyBorder="1" applyAlignment="1" applyProtection="1">
      <alignment horizontal="centerContinuous" vertical="center"/>
    </xf>
    <xf numFmtId="0" fontId="30" fillId="0" borderId="94" xfId="0" applyFont="1" applyBorder="1" applyAlignment="1" applyProtection="1">
      <alignment horizontal="centerContinuous" vertical="center"/>
    </xf>
    <xf numFmtId="0" fontId="42" fillId="0" borderId="98" xfId="0" applyFont="1" applyBorder="1" applyAlignment="1" applyProtection="1">
      <alignment horizontal="centerContinuous" vertical="center"/>
    </xf>
    <xf numFmtId="0" fontId="42" fillId="4" borderId="0" xfId="0" applyFont="1" applyFill="1" applyAlignment="1" applyProtection="1">
      <alignment vertical="center"/>
    </xf>
    <xf numFmtId="173" fontId="2" fillId="23" borderId="93" xfId="0" applyNumberFormat="1" applyFont="1" applyFill="1" applyBorder="1" applyAlignment="1" applyProtection="1">
      <protection locked="0"/>
    </xf>
    <xf numFmtId="173" fontId="4" fillId="4" borderId="119" xfId="0" applyNumberFormat="1" applyFont="1" applyFill="1" applyBorder="1" applyProtection="1"/>
    <xf numFmtId="173" fontId="4" fillId="4" borderId="0" xfId="0" applyNumberFormat="1" applyFont="1" applyFill="1" applyBorder="1" applyProtection="1"/>
    <xf numFmtId="173" fontId="4" fillId="4" borderId="119" xfId="0" applyNumberFormat="1" applyFont="1" applyFill="1" applyBorder="1" applyAlignment="1" applyProtection="1">
      <alignment horizontal="right"/>
    </xf>
    <xf numFmtId="173" fontId="4" fillId="4" borderId="0" xfId="0" applyNumberFormat="1" applyFont="1" applyFill="1" applyBorder="1" applyAlignment="1" applyProtection="1">
      <alignment horizontal="right"/>
    </xf>
    <xf numFmtId="0" fontId="0" fillId="0" borderId="0" xfId="6" applyNumberFormat="1" applyFont="1" applyFill="1" applyBorder="1" applyAlignment="1" applyProtection="1"/>
    <xf numFmtId="0" fontId="2" fillId="0" borderId="0" xfId="6" applyNumberFormat="1" applyFont="1" applyFill="1" applyBorder="1" applyAlignment="1" applyProtection="1"/>
    <xf numFmtId="0" fontId="18" fillId="3" borderId="97" xfId="6" applyNumberFormat="1" applyFont="1" applyFill="1" applyBorder="1" applyAlignment="1" applyProtection="1">
      <alignment horizontal="center"/>
      <protection locked="0"/>
    </xf>
    <xf numFmtId="0" fontId="18" fillId="0" borderId="67" xfId="6" applyNumberFormat="1" applyFont="1" applyFill="1" applyBorder="1" applyAlignment="1" applyProtection="1"/>
    <xf numFmtId="0" fontId="18" fillId="0" borderId="67" xfId="6" quotePrefix="1" applyNumberFormat="1" applyFont="1" applyFill="1" applyBorder="1" applyAlignment="1" applyProtection="1"/>
    <xf numFmtId="0" fontId="18" fillId="0" borderId="67" xfId="6" applyNumberFormat="1" applyFont="1" applyFill="1" applyBorder="1" applyAlignment="1" applyProtection="1">
      <alignment horizontal="left"/>
    </xf>
    <xf numFmtId="0" fontId="18" fillId="0" borderId="95" xfId="6" applyNumberFormat="1" applyFont="1" applyFill="1" applyBorder="1" applyAlignment="1" applyProtection="1">
      <alignment horizontal="center"/>
    </xf>
    <xf numFmtId="0" fontId="18" fillId="0" borderId="110" xfId="6" applyNumberFormat="1" applyFont="1" applyFill="1" applyBorder="1" applyAlignment="1" applyProtection="1">
      <alignment horizontal="center"/>
    </xf>
    <xf numFmtId="0" fontId="18" fillId="0" borderId="111" xfId="6" applyNumberFormat="1" applyFont="1" applyFill="1" applyBorder="1" applyAlignment="1" applyProtection="1">
      <alignment horizontal="center"/>
    </xf>
    <xf numFmtId="0" fontId="4" fillId="23" borderId="100" xfId="0" applyFont="1" applyFill="1" applyBorder="1" applyAlignment="1" applyProtection="1">
      <alignment horizontal="center"/>
      <protection locked="0"/>
    </xf>
    <xf numFmtId="9" fontId="4" fillId="23" borderId="100" xfId="4" applyNumberFormat="1" applyFont="1" applyFill="1" applyBorder="1" applyAlignment="1" applyProtection="1">
      <alignment horizontal="center"/>
      <protection locked="0"/>
    </xf>
    <xf numFmtId="0" fontId="2" fillId="23" borderId="100" xfId="0" applyFont="1" applyFill="1" applyBorder="1" applyAlignment="1" applyProtection="1">
      <protection locked="0"/>
    </xf>
    <xf numFmtId="173" fontId="2" fillId="23" borderId="100" xfId="0" applyNumberFormat="1" applyFont="1" applyFill="1" applyBorder="1" applyAlignment="1" applyProtection="1">
      <protection locked="0"/>
    </xf>
    <xf numFmtId="37" fontId="2" fillId="23" borderId="93" xfId="0" applyNumberFormat="1" applyFont="1" applyFill="1" applyBorder="1" applyProtection="1">
      <protection locked="0"/>
    </xf>
    <xf numFmtId="8" fontId="4" fillId="23" borderId="93" xfId="3" applyNumberFormat="1" applyFont="1" applyFill="1" applyBorder="1" applyAlignment="1" applyProtection="1">
      <protection locked="0"/>
    </xf>
    <xf numFmtId="3" fontId="2" fillId="23" borderId="93" xfId="0" applyNumberFormat="1" applyFont="1" applyFill="1" applyBorder="1" applyProtection="1">
      <protection locked="0"/>
    </xf>
    <xf numFmtId="0" fontId="2" fillId="0" borderId="0" xfId="0" applyFont="1"/>
    <xf numFmtId="0" fontId="2" fillId="0" borderId="0" xfId="0" applyFont="1" applyFill="1"/>
    <xf numFmtId="172" fontId="2" fillId="0" borderId="0" xfId="3" applyNumberFormat="1" applyFont="1" applyFill="1" applyBorder="1" applyAlignment="1" applyProtection="1"/>
    <xf numFmtId="0" fontId="4" fillId="0" borderId="0" xfId="0" applyFont="1" applyFill="1" applyAlignment="1">
      <alignment horizontal="right"/>
    </xf>
    <xf numFmtId="0" fontId="2" fillId="0" borderId="0" xfId="0" applyFont="1" applyAlignment="1"/>
    <xf numFmtId="172" fontId="0" fillId="0" borderId="101" xfId="0" applyNumberFormat="1" applyFill="1" applyBorder="1"/>
    <xf numFmtId="44" fontId="2" fillId="0" borderId="101" xfId="3" applyNumberFormat="1" applyFont="1" applyFill="1" applyBorder="1" applyAlignment="1" applyProtection="1"/>
    <xf numFmtId="172" fontId="2" fillId="0" borderId="103" xfId="3" applyNumberFormat="1" applyFont="1" applyFill="1" applyBorder="1" applyAlignment="1" applyProtection="1"/>
    <xf numFmtId="164" fontId="4" fillId="0" borderId="97" xfId="3" applyNumberFormat="1" applyFont="1" applyFill="1" applyBorder="1" applyAlignment="1" applyProtection="1"/>
    <xf numFmtId="172" fontId="2" fillId="0" borderId="0" xfId="3" applyNumberFormat="1" applyFont="1" applyFill="1" applyBorder="1" applyAlignment="1" applyProtection="1"/>
    <xf numFmtId="172" fontId="4" fillId="0" borderId="97" xfId="0" applyNumberFormat="1" applyFont="1" applyFill="1" applyBorder="1"/>
    <xf numFmtId="172" fontId="2" fillId="0" borderId="0" xfId="0" applyNumberFormat="1" applyFont="1" applyFill="1"/>
    <xf numFmtId="9" fontId="4" fillId="0" borderId="97" xfId="4" applyNumberFormat="1" applyFont="1" applyFill="1" applyBorder="1" applyAlignment="1" applyProtection="1"/>
    <xf numFmtId="172" fontId="0" fillId="0" borderId="0" xfId="0" applyNumberFormat="1" applyFill="1" applyBorder="1"/>
    <xf numFmtId="172" fontId="0" fillId="0" borderId="24" xfId="0" applyNumberFormat="1" applyFill="1" applyBorder="1"/>
    <xf numFmtId="164" fontId="2" fillId="0" borderId="20" xfId="3" applyNumberFormat="1" applyFont="1" applyFill="1" applyBorder="1" applyAlignment="1" applyProtection="1"/>
    <xf numFmtId="164" fontId="2" fillId="0" borderId="66" xfId="3" applyNumberFormat="1" applyFont="1" applyFill="1" applyBorder="1" applyAlignment="1" applyProtection="1"/>
    <xf numFmtId="0" fontId="41" fillId="0" borderId="0" xfId="0" applyFont="1" applyFill="1" applyBorder="1"/>
    <xf numFmtId="0" fontId="41" fillId="23" borderId="0" xfId="0" applyFont="1" applyFill="1" applyBorder="1"/>
    <xf numFmtId="0" fontId="2" fillId="23" borderId="93" xfId="0" applyFont="1" applyFill="1" applyBorder="1" applyAlignment="1" applyProtection="1">
      <alignment horizontal="center"/>
      <protection locked="0"/>
    </xf>
    <xf numFmtId="9" fontId="36" fillId="23" borderId="100" xfId="4" applyNumberFormat="1" applyFont="1" applyFill="1" applyBorder="1" applyAlignment="1" applyProtection="1">
      <alignment horizontal="center"/>
      <protection locked="0"/>
    </xf>
    <xf numFmtId="0" fontId="0" fillId="23" borderId="100" xfId="0" applyFill="1" applyBorder="1" applyAlignment="1" applyProtection="1">
      <alignment horizontal="center"/>
      <protection locked="0"/>
    </xf>
    <xf numFmtId="8" fontId="0" fillId="23" borderId="100" xfId="0" applyNumberFormat="1" applyFill="1" applyBorder="1" applyAlignment="1" applyProtection="1">
      <alignment horizontal="center"/>
      <protection locked="0"/>
    </xf>
    <xf numFmtId="8" fontId="0" fillId="23" borderId="100" xfId="0" applyNumberFormat="1" applyFill="1" applyBorder="1" applyProtection="1">
      <protection locked="0"/>
    </xf>
    <xf numFmtId="8" fontId="0" fillId="23" borderId="93" xfId="0" applyNumberFormat="1" applyFill="1" applyBorder="1" applyProtection="1">
      <protection locked="0"/>
    </xf>
    <xf numFmtId="0" fontId="0" fillId="23" borderId="93" xfId="0" applyFill="1" applyBorder="1" applyAlignment="1" applyProtection="1">
      <alignment horizontal="center"/>
      <protection locked="0"/>
    </xf>
    <xf numFmtId="8" fontId="0" fillId="23" borderId="103" xfId="0" applyNumberFormat="1" applyFill="1" applyBorder="1" applyProtection="1">
      <protection locked="0"/>
    </xf>
    <xf numFmtId="0" fontId="0" fillId="23" borderId="103" xfId="0" applyFill="1" applyBorder="1" applyAlignment="1" applyProtection="1">
      <alignment horizontal="center"/>
      <protection locked="0"/>
    </xf>
    <xf numFmtId="8" fontId="0" fillId="23" borderId="93" xfId="0" applyNumberFormat="1" applyFill="1" applyBorder="1" applyAlignment="1" applyProtection="1">
      <alignment horizontal="center"/>
      <protection locked="0"/>
    </xf>
    <xf numFmtId="0" fontId="4" fillId="4" borderId="0" xfId="0" applyFont="1" applyFill="1" applyAlignment="1">
      <alignment horizontal="right"/>
    </xf>
    <xf numFmtId="0" fontId="37" fillId="0" borderId="106" xfId="0" applyFont="1" applyBorder="1" applyAlignment="1">
      <alignment horizontal="centerContinuous"/>
    </xf>
    <xf numFmtId="0" fontId="37" fillId="0" borderId="94" xfId="0" applyFont="1" applyBorder="1" applyAlignment="1">
      <alignment horizontal="centerContinuous"/>
    </xf>
    <xf numFmtId="0" fontId="37" fillId="0" borderId="94" xfId="0" applyFont="1" applyFill="1" applyBorder="1" applyAlignment="1">
      <alignment horizontal="centerContinuous"/>
    </xf>
    <xf numFmtId="0" fontId="37" fillId="0" borderId="98" xfId="0" applyNumberFormat="1" applyFont="1" applyBorder="1" applyAlignment="1">
      <alignment horizontal="centerContinuous"/>
    </xf>
    <xf numFmtId="173" fontId="61" fillId="4" borderId="0" xfId="0" applyNumberFormat="1" applyFont="1" applyFill="1" applyBorder="1" applyAlignment="1" applyProtection="1"/>
    <xf numFmtId="173" fontId="61" fillId="4" borderId="0" xfId="0" applyNumberFormat="1" applyFont="1" applyFill="1" applyBorder="1" applyProtection="1"/>
    <xf numFmtId="3" fontId="61" fillId="4" borderId="0" xfId="0" applyNumberFormat="1" applyFont="1" applyFill="1" applyBorder="1" applyProtection="1"/>
    <xf numFmtId="3" fontId="61" fillId="4" borderId="0" xfId="0" applyNumberFormat="1" applyFont="1" applyFill="1" applyBorder="1" applyAlignment="1" applyProtection="1"/>
    <xf numFmtId="0" fontId="64" fillId="0" borderId="17" xfId="1" applyNumberFormat="1" applyFont="1" applyFill="1" applyBorder="1" applyAlignment="1" applyProtection="1">
      <alignment horizontal="center"/>
      <protection locked="0"/>
    </xf>
    <xf numFmtId="0" fontId="32" fillId="24" borderId="27" xfId="0" applyFont="1" applyFill="1" applyBorder="1" applyAlignment="1" applyProtection="1">
      <alignment horizontal="centerContinuous" vertical="top"/>
    </xf>
    <xf numFmtId="0" fontId="0" fillId="24" borderId="62" xfId="1" applyNumberFormat="1" applyFont="1" applyFill="1" applyBorder="1" applyAlignment="1" applyProtection="1">
      <alignment horizontal="centerContinuous"/>
    </xf>
    <xf numFmtId="0" fontId="32" fillId="24" borderId="23" xfId="0" applyFont="1" applyFill="1" applyBorder="1" applyAlignment="1" applyProtection="1">
      <alignment horizontal="centerContinuous" vertical="top"/>
    </xf>
    <xf numFmtId="0" fontId="0" fillId="0" borderId="0" xfId="0" applyFont="1" applyAlignment="1" applyProtection="1">
      <alignment wrapText="1"/>
    </xf>
    <xf numFmtId="0" fontId="67" fillId="0" borderId="0" xfId="0" applyFont="1" applyProtection="1"/>
    <xf numFmtId="0" fontId="68" fillId="0" borderId="0" xfId="0" applyFont="1" applyAlignment="1" applyProtection="1">
      <alignment vertical="top"/>
    </xf>
    <xf numFmtId="0" fontId="2" fillId="0" borderId="0" xfId="0" applyFont="1" applyAlignment="1" applyProtection="1">
      <alignment horizontal="left"/>
    </xf>
    <xf numFmtId="0" fontId="67" fillId="0" borderId="0" xfId="0" applyFont="1" applyFill="1" applyProtection="1"/>
    <xf numFmtId="0" fontId="69" fillId="0" borderId="0" xfId="0" applyFont="1" applyProtection="1"/>
    <xf numFmtId="0" fontId="67" fillId="0" borderId="0" xfId="0" applyFont="1" applyBorder="1" applyProtection="1"/>
    <xf numFmtId="0" fontId="67" fillId="0" borderId="0" xfId="0" applyFont="1" applyFill="1" applyBorder="1" applyProtection="1"/>
    <xf numFmtId="0" fontId="41" fillId="0" borderId="0" xfId="0" applyFont="1" applyProtection="1"/>
    <xf numFmtId="0" fontId="4" fillId="31" borderId="121" xfId="0" applyFont="1" applyFill="1" applyBorder="1" applyAlignment="1" applyProtection="1">
      <alignment horizontal="centerContinuous"/>
    </xf>
    <xf numFmtId="0" fontId="4" fillId="31" borderId="142" xfId="0" applyFont="1" applyFill="1" applyBorder="1" applyAlignment="1" applyProtection="1">
      <alignment horizontal="centerContinuous"/>
    </xf>
    <xf numFmtId="0" fontId="4" fillId="8" borderId="121" xfId="0" applyFont="1" applyFill="1" applyBorder="1" applyAlignment="1" applyProtection="1">
      <alignment horizontal="centerContinuous"/>
    </xf>
    <xf numFmtId="0" fontId="4" fillId="8" borderId="142" xfId="0" applyFont="1" applyFill="1" applyBorder="1" applyAlignment="1" applyProtection="1">
      <alignment horizontal="centerContinuous"/>
    </xf>
    <xf numFmtId="0" fontId="4" fillId="32" borderId="121" xfId="0" applyFont="1" applyFill="1" applyBorder="1" applyAlignment="1" applyProtection="1">
      <alignment horizontal="left" wrapText="1"/>
    </xf>
    <xf numFmtId="0" fontId="4" fillId="32" borderId="119" xfId="0" applyFont="1" applyFill="1" applyBorder="1" applyAlignment="1" applyProtection="1">
      <alignment horizontal="center" wrapText="1"/>
    </xf>
    <xf numFmtId="0" fontId="4" fillId="32" borderId="142" xfId="0" applyFont="1" applyFill="1" applyBorder="1" applyAlignment="1" applyProtection="1">
      <alignment horizontal="center" wrapText="1"/>
    </xf>
    <xf numFmtId="0" fontId="2" fillId="32" borderId="116" xfId="0" applyFont="1" applyFill="1" applyBorder="1" applyAlignment="1" applyProtection="1">
      <alignment horizontal="center" wrapText="1"/>
    </xf>
    <xf numFmtId="0" fontId="2" fillId="32" borderId="118" xfId="0" applyFont="1" applyFill="1" applyBorder="1" applyAlignment="1" applyProtection="1">
      <alignment horizontal="center" wrapText="1"/>
    </xf>
    <xf numFmtId="0" fontId="2" fillId="2" borderId="116" xfId="0" applyFont="1" applyFill="1" applyBorder="1" applyAlignment="1" applyProtection="1">
      <alignment horizontal="center" wrapText="1"/>
    </xf>
    <xf numFmtId="0" fontId="2" fillId="2" borderId="118" xfId="0" applyFont="1" applyFill="1" applyBorder="1" applyAlignment="1" applyProtection="1">
      <alignment horizontal="center" wrapText="1"/>
    </xf>
    <xf numFmtId="0" fontId="4" fillId="33" borderId="121" xfId="0" applyFont="1" applyFill="1" applyBorder="1" applyAlignment="1" applyProtection="1"/>
    <xf numFmtId="0" fontId="4" fillId="33" borderId="119" xfId="0" applyFont="1" applyFill="1" applyBorder="1" applyAlignment="1" applyProtection="1"/>
    <xf numFmtId="0" fontId="4" fillId="33" borderId="142" xfId="0" applyFont="1" applyFill="1" applyBorder="1" applyAlignment="1" applyProtection="1"/>
    <xf numFmtId="0" fontId="0" fillId="0" borderId="0" xfId="0" applyFont="1" applyBorder="1" applyProtection="1"/>
    <xf numFmtId="0" fontId="67" fillId="0" borderId="156" xfId="0" applyFont="1" applyBorder="1" applyProtection="1"/>
    <xf numFmtId="0" fontId="67" fillId="0" borderId="156" xfId="0" applyFont="1" applyFill="1" applyBorder="1" applyProtection="1"/>
    <xf numFmtId="0" fontId="70" fillId="0" borderId="0" xfId="0" applyFont="1" applyProtection="1"/>
    <xf numFmtId="0" fontId="71" fillId="0" borderId="0" xfId="0" applyFont="1" applyProtection="1"/>
    <xf numFmtId="0" fontId="4" fillId="32" borderId="121" xfId="0" applyFont="1" applyFill="1" applyBorder="1" applyAlignment="1" applyProtection="1">
      <alignment horizontal="left"/>
    </xf>
    <xf numFmtId="0" fontId="2" fillId="0" borderId="0" xfId="0" applyFont="1" applyFill="1" applyProtection="1"/>
    <xf numFmtId="0" fontId="67" fillId="0" borderId="0" xfId="0" applyFont="1" applyFill="1" applyAlignment="1" applyProtection="1">
      <alignment horizontal="left"/>
    </xf>
    <xf numFmtId="0" fontId="2" fillId="0" borderId="186" xfId="0" applyNumberFormat="1" applyFont="1" applyFill="1" applyBorder="1" applyProtection="1"/>
    <xf numFmtId="0" fontId="2" fillId="0" borderId="189" xfId="0" applyNumberFormat="1" applyFont="1" applyFill="1" applyBorder="1" applyProtection="1"/>
    <xf numFmtId="0" fontId="2" fillId="0" borderId="190" xfId="0" applyNumberFormat="1" applyFont="1" applyFill="1" applyBorder="1" applyProtection="1"/>
    <xf numFmtId="0" fontId="2" fillId="0" borderId="192" xfId="0" applyNumberFormat="1" applyFont="1" applyFill="1" applyBorder="1" applyProtection="1"/>
    <xf numFmtId="0" fontId="2" fillId="0" borderId="193" xfId="0" applyNumberFormat="1" applyFont="1" applyFill="1" applyBorder="1" applyProtection="1"/>
    <xf numFmtId="0" fontId="72" fillId="0" borderId="0" xfId="0" applyFont="1" applyProtection="1"/>
    <xf numFmtId="174" fontId="0" fillId="0" borderId="0" xfId="0" applyNumberFormat="1"/>
    <xf numFmtId="0" fontId="73" fillId="0" borderId="68" xfId="0" applyFont="1" applyBorder="1" applyAlignment="1" applyProtection="1">
      <alignment wrapText="1"/>
    </xf>
    <xf numFmtId="177" fontId="73" fillId="0" borderId="95" xfId="0" applyNumberFormat="1" applyFont="1" applyBorder="1" applyAlignment="1" applyProtection="1">
      <alignment horizontal="center"/>
    </xf>
    <xf numFmtId="177" fontId="73" fillId="0" borderId="111" xfId="0" applyNumberFormat="1" applyFont="1" applyBorder="1" applyAlignment="1" applyProtection="1">
      <alignment horizontal="center"/>
    </xf>
    <xf numFmtId="0" fontId="73" fillId="0" borderId="68" xfId="0" applyFont="1" applyBorder="1" applyAlignment="1" applyProtection="1"/>
    <xf numFmtId="0" fontId="2" fillId="0" borderId="185" xfId="0" applyNumberFormat="1" applyFont="1" applyFill="1" applyBorder="1" applyAlignment="1" applyProtection="1">
      <alignment vertical="center"/>
    </xf>
    <xf numFmtId="0" fontId="0" fillId="0" borderId="0" xfId="1" applyNumberFormat="1" applyFont="1" applyFill="1" applyBorder="1" applyAlignment="1" applyProtection="1"/>
    <xf numFmtId="0" fontId="0" fillId="0" borderId="0" xfId="1" applyNumberFormat="1" applyFont="1" applyFill="1" applyBorder="1" applyAlignment="1" applyProtection="1"/>
    <xf numFmtId="0" fontId="3" fillId="18" borderId="22" xfId="1" applyNumberFormat="1" applyFont="1" applyFill="1" applyBorder="1" applyAlignment="1" applyProtection="1">
      <alignment horizontal="left" wrapText="1"/>
      <protection locked="0"/>
    </xf>
    <xf numFmtId="0" fontId="33" fillId="0" borderId="0" xfId="5" applyFill="1" applyBorder="1" applyAlignment="1" applyProtection="1"/>
    <xf numFmtId="0" fontId="2" fillId="17" borderId="0" xfId="0" applyFont="1" applyFill="1"/>
    <xf numFmtId="0" fontId="33" fillId="0" borderId="0" xfId="5" applyAlignment="1" applyProtection="1"/>
    <xf numFmtId="0" fontId="0" fillId="0" borderId="0" xfId="1" applyNumberFormat="1" applyFont="1" applyFill="1" applyBorder="1" applyAlignment="1" applyProtection="1"/>
    <xf numFmtId="0" fontId="0" fillId="0" borderId="0" xfId="0"/>
    <xf numFmtId="0" fontId="0" fillId="0" borderId="0" xfId="0" applyNumberFormat="1"/>
    <xf numFmtId="0" fontId="4" fillId="27" borderId="121" xfId="0" applyNumberFormat="1" applyFont="1" applyFill="1" applyBorder="1" applyAlignment="1" applyProtection="1"/>
    <xf numFmtId="0" fontId="4" fillId="27" borderId="119" xfId="0" applyFont="1" applyFill="1" applyBorder="1" applyAlignment="1" applyProtection="1"/>
    <xf numFmtId="0" fontId="4" fillId="27" borderId="142" xfId="0" applyFont="1" applyFill="1" applyBorder="1" applyAlignment="1" applyProtection="1"/>
    <xf numFmtId="0" fontId="0" fillId="17" borderId="119" xfId="0" applyFill="1" applyBorder="1"/>
    <xf numFmtId="0" fontId="0" fillId="17" borderId="142" xfId="0" applyFill="1" applyBorder="1"/>
    <xf numFmtId="0" fontId="0" fillId="17" borderId="156" xfId="0" applyFill="1" applyBorder="1"/>
    <xf numFmtId="0" fontId="0" fillId="17" borderId="158" xfId="0" applyFill="1" applyBorder="1"/>
    <xf numFmtId="0" fontId="0" fillId="17" borderId="0" xfId="0" applyFill="1" applyBorder="1"/>
    <xf numFmtId="0" fontId="0" fillId="17" borderId="2" xfId="0" applyFill="1" applyBorder="1"/>
    <xf numFmtId="0" fontId="0" fillId="17" borderId="1" xfId="0" applyFill="1" applyBorder="1"/>
    <xf numFmtId="0" fontId="0" fillId="17" borderId="5" xfId="0" applyFill="1" applyBorder="1"/>
    <xf numFmtId="0" fontId="10" fillId="17" borderId="121" xfId="0" applyFont="1" applyFill="1" applyBorder="1" applyAlignment="1">
      <alignment horizontal="left" indent="2"/>
    </xf>
    <xf numFmtId="0" fontId="10" fillId="17" borderId="157" xfId="0" applyNumberFormat="1" applyFont="1" applyFill="1" applyBorder="1"/>
    <xf numFmtId="0" fontId="10" fillId="17" borderId="7" xfId="0" applyNumberFormat="1" applyFont="1" applyFill="1" applyBorder="1"/>
    <xf numFmtId="0" fontId="10" fillId="17" borderId="8" xfId="0" applyNumberFormat="1" applyFont="1" applyFill="1" applyBorder="1"/>
    <xf numFmtId="0" fontId="10" fillId="0" borderId="0" xfId="0" applyFont="1"/>
    <xf numFmtId="0" fontId="0" fillId="0" borderId="0" xfId="1" applyNumberFormat="1" applyFont="1" applyFill="1" applyBorder="1" applyAlignment="1" applyProtection="1"/>
    <xf numFmtId="0" fontId="0" fillId="0" borderId="0" xfId="1" applyNumberFormat="1" applyFont="1" applyFill="1" applyBorder="1" applyAlignment="1" applyProtection="1"/>
    <xf numFmtId="0" fontId="0" fillId="3" borderId="6" xfId="0" applyNumberFormat="1" applyFont="1" applyFill="1" applyBorder="1" applyAlignment="1" applyProtection="1">
      <protection locked="0"/>
    </xf>
    <xf numFmtId="0" fontId="75" fillId="34" borderId="0" xfId="8" applyNumberFormat="1" applyFont="1" applyFill="1" applyBorder="1" applyAlignment="1" applyProtection="1">
      <alignment horizontal="center" wrapText="1"/>
    </xf>
    <xf numFmtId="0" fontId="0" fillId="0" borderId="20" xfId="1" applyNumberFormat="1" applyFont="1" applyFill="1" applyBorder="1" applyAlignment="1" applyProtection="1">
      <alignment horizontal="center"/>
    </xf>
    <xf numFmtId="14" fontId="0" fillId="0" borderId="20" xfId="1" applyNumberFormat="1" applyFont="1" applyFill="1" applyBorder="1" applyAlignment="1" applyProtection="1">
      <alignment horizontal="center"/>
    </xf>
    <xf numFmtId="0" fontId="2" fillId="0" borderId="20" xfId="1" applyNumberFormat="1" applyFont="1" applyFill="1" applyBorder="1" applyAlignment="1" applyProtection="1">
      <alignment horizontal="center"/>
    </xf>
    <xf numFmtId="0" fontId="2" fillId="0" borderId="20" xfId="0" applyFont="1" applyFill="1" applyBorder="1" applyAlignment="1" applyProtection="1">
      <alignment wrapText="1"/>
    </xf>
    <xf numFmtId="0" fontId="0" fillId="0" borderId="20" xfId="0" applyBorder="1"/>
    <xf numFmtId="0" fontId="2" fillId="23" borderId="97" xfId="0" applyFont="1" applyFill="1" applyBorder="1" applyAlignment="1" applyProtection="1">
      <alignment horizontal="center"/>
      <protection locked="0"/>
    </xf>
    <xf numFmtId="173" fontId="42" fillId="4" borderId="0" xfId="0" applyNumberFormat="1" applyFont="1" applyFill="1" applyBorder="1" applyAlignment="1" applyProtection="1"/>
    <xf numFmtId="3" fontId="42" fillId="4" borderId="0" xfId="0" applyNumberFormat="1" applyFont="1" applyFill="1" applyBorder="1" applyAlignment="1" applyProtection="1"/>
    <xf numFmtId="0" fontId="42" fillId="4" borderId="0" xfId="0" applyFont="1" applyFill="1" applyBorder="1" applyAlignment="1" applyProtection="1"/>
    <xf numFmtId="3" fontId="4" fillId="4" borderId="156" xfId="8" applyNumberFormat="1" applyFont="1" applyFill="1" applyBorder="1" applyAlignment="1" applyProtection="1">
      <alignment horizontal="center" wrapText="1"/>
    </xf>
    <xf numFmtId="3" fontId="4" fillId="4" borderId="0" xfId="8" applyNumberFormat="1" applyFont="1" applyFill="1" applyBorder="1" applyAlignment="1" applyProtection="1">
      <alignment horizontal="center" wrapText="1"/>
    </xf>
    <xf numFmtId="3" fontId="2" fillId="18" borderId="0" xfId="8" applyNumberFormat="1" applyFont="1" applyFill="1" applyBorder="1" applyAlignment="1" applyProtection="1"/>
    <xf numFmtId="3" fontId="2" fillId="4" borderId="0" xfId="8" applyNumberFormat="1" applyFont="1" applyFill="1" applyBorder="1" applyAlignment="1" applyProtection="1"/>
    <xf numFmtId="3" fontId="2" fillId="4" borderId="119" xfId="8" applyNumberFormat="1" applyFont="1" applyFill="1" applyBorder="1" applyAlignment="1" applyProtection="1">
      <alignment horizontal="center"/>
    </xf>
    <xf numFmtId="3" fontId="2" fillId="4" borderId="0" xfId="8" applyNumberFormat="1" applyFont="1" applyFill="1" applyBorder="1" applyAlignment="1" applyProtection="1">
      <alignment horizontal="center"/>
    </xf>
    <xf numFmtId="3" fontId="4" fillId="4" borderId="97" xfId="8" applyNumberFormat="1" applyFont="1" applyFill="1" applyBorder="1" applyAlignment="1" applyProtection="1">
      <alignment horizontal="center" wrapText="1"/>
    </xf>
    <xf numFmtId="0" fontId="2" fillId="4" borderId="97" xfId="0" applyFont="1" applyFill="1" applyBorder="1" applyProtection="1"/>
    <xf numFmtId="0" fontId="2" fillId="23" borderId="97" xfId="0" applyFont="1" applyFill="1" applyBorder="1" applyAlignment="1" applyProtection="1">
      <protection locked="0"/>
    </xf>
    <xf numFmtId="0" fontId="2" fillId="4" borderId="12" xfId="0" applyFont="1" applyFill="1" applyBorder="1" applyProtection="1"/>
    <xf numFmtId="0" fontId="2" fillId="4" borderId="27" xfId="0" applyFont="1" applyFill="1" applyBorder="1" applyProtection="1"/>
    <xf numFmtId="0" fontId="4" fillId="4" borderId="0" xfId="0" applyFont="1" applyFill="1" applyAlignment="1" applyProtection="1"/>
    <xf numFmtId="0" fontId="2" fillId="4" borderId="62" xfId="0" applyFont="1" applyFill="1" applyBorder="1" applyProtection="1"/>
    <xf numFmtId="173" fontId="2" fillId="4" borderId="62" xfId="0" applyNumberFormat="1" applyFont="1" applyFill="1" applyBorder="1" applyProtection="1"/>
    <xf numFmtId="3" fontId="2" fillId="4" borderId="62" xfId="0" applyNumberFormat="1" applyFont="1" applyFill="1" applyBorder="1" applyProtection="1"/>
    <xf numFmtId="0" fontId="4" fillId="4" borderId="62" xfId="0" applyFont="1" applyFill="1" applyBorder="1" applyProtection="1"/>
    <xf numFmtId="0" fontId="4" fillId="4" borderId="62" xfId="0" applyFont="1" applyFill="1" applyBorder="1" applyAlignment="1" applyProtection="1">
      <alignment horizontal="right"/>
    </xf>
    <xf numFmtId="6" fontId="4" fillId="4" borderId="23" xfId="0" applyNumberFormat="1" applyFont="1" applyFill="1" applyBorder="1" applyProtection="1"/>
    <xf numFmtId="0" fontId="4" fillId="4" borderId="20" xfId="0" applyFont="1" applyFill="1" applyBorder="1" applyProtection="1"/>
    <xf numFmtId="0" fontId="4" fillId="4" borderId="20" xfId="0" applyFont="1" applyFill="1" applyBorder="1" applyAlignment="1" applyProtection="1">
      <alignment horizontal="right"/>
    </xf>
    <xf numFmtId="9" fontId="4" fillId="4" borderId="66" xfId="4" applyNumberFormat="1" applyFont="1" applyFill="1" applyBorder="1" applyAlignment="1" applyProtection="1"/>
    <xf numFmtId="6" fontId="2" fillId="4" borderId="23" xfId="0" applyNumberFormat="1" applyFont="1" applyFill="1" applyBorder="1" applyProtection="1"/>
    <xf numFmtId="6" fontId="2" fillId="4" borderId="66" xfId="0" applyNumberFormat="1" applyFont="1" applyFill="1" applyBorder="1" applyProtection="1"/>
    <xf numFmtId="0" fontId="4" fillId="4" borderId="83" xfId="0" applyFont="1" applyFill="1" applyBorder="1" applyProtection="1"/>
    <xf numFmtId="3" fontId="2" fillId="4" borderId="119" xfId="0" applyNumberFormat="1" applyFont="1" applyFill="1" applyBorder="1" applyAlignment="1" applyProtection="1">
      <alignment horizontal="center"/>
    </xf>
    <xf numFmtId="0" fontId="4" fillId="0" borderId="0" xfId="0" applyFont="1" applyFill="1" applyAlignment="1" applyProtection="1"/>
    <xf numFmtId="0" fontId="4" fillId="0" borderId="0" xfId="0" applyFont="1" applyFill="1" applyAlignment="1" applyProtection="1">
      <alignment horizontal="center"/>
    </xf>
    <xf numFmtId="0" fontId="2" fillId="0" borderId="0" xfId="0" applyFont="1" applyFill="1" applyAlignment="1" applyProtection="1"/>
    <xf numFmtId="3" fontId="4" fillId="0" borderId="0" xfId="0" applyNumberFormat="1" applyFont="1" applyFill="1" applyAlignment="1" applyProtection="1"/>
    <xf numFmtId="5" fontId="2" fillId="23" borderId="97" xfId="3" applyNumberFormat="1" applyFont="1" applyFill="1" applyBorder="1" applyAlignment="1" applyProtection="1">
      <alignment horizontal="center" vertical="center"/>
      <protection locked="0"/>
    </xf>
    <xf numFmtId="0" fontId="4" fillId="18" borderId="0" xfId="0" applyFont="1" applyFill="1" applyAlignment="1" applyProtection="1"/>
    <xf numFmtId="0" fontId="2" fillId="18" borderId="0" xfId="0" applyFont="1" applyFill="1" applyAlignment="1" applyProtection="1"/>
    <xf numFmtId="0" fontId="4" fillId="18" borderId="0" xfId="0" applyFont="1" applyFill="1" applyAlignment="1" applyProtection="1">
      <alignment horizontal="center"/>
    </xf>
    <xf numFmtId="0" fontId="4" fillId="18" borderId="0" xfId="0" applyFont="1" applyFill="1" applyAlignment="1" applyProtection="1">
      <alignment horizontal="right"/>
    </xf>
    <xf numFmtId="9" fontId="4" fillId="18" borderId="100" xfId="4" applyNumberFormat="1" applyFont="1" applyFill="1" applyBorder="1" applyAlignment="1" applyProtection="1">
      <alignment horizontal="center"/>
    </xf>
    <xf numFmtId="3" fontId="4" fillId="18" borderId="167" xfId="8" applyNumberFormat="1" applyFont="1" applyFill="1" applyBorder="1" applyAlignment="1" applyProtection="1">
      <alignment horizontal="center" wrapText="1"/>
    </xf>
    <xf numFmtId="0" fontId="4" fillId="18" borderId="14" xfId="0" applyFont="1" applyFill="1" applyBorder="1" applyProtection="1"/>
    <xf numFmtId="0" fontId="2" fillId="18" borderId="27" xfId="0" applyFont="1" applyFill="1" applyBorder="1" applyProtection="1"/>
    <xf numFmtId="9" fontId="2" fillId="18" borderId="100" xfId="4" applyNumberFormat="1" applyFont="1" applyFill="1" applyBorder="1" applyAlignment="1" applyProtection="1">
      <alignment horizontal="center"/>
    </xf>
    <xf numFmtId="0" fontId="2" fillId="18" borderId="65" xfId="0" applyFont="1" applyFill="1" applyBorder="1" applyProtection="1"/>
    <xf numFmtId="3" fontId="2" fillId="18" borderId="103" xfId="0" applyNumberFormat="1" applyFont="1" applyFill="1" applyBorder="1" applyAlignment="1" applyProtection="1">
      <alignment horizontal="center"/>
    </xf>
    <xf numFmtId="0" fontId="30" fillId="18" borderId="14" xfId="0" applyFont="1" applyFill="1" applyBorder="1" applyProtection="1"/>
    <xf numFmtId="0" fontId="2" fillId="18" borderId="0" xfId="0" applyFont="1" applyFill="1" applyBorder="1" applyProtection="1"/>
    <xf numFmtId="173" fontId="2" fillId="18" borderId="0" xfId="0" applyNumberFormat="1" applyFont="1" applyFill="1" applyBorder="1" applyProtection="1"/>
    <xf numFmtId="3" fontId="2" fillId="18" borderId="0" xfId="0" applyNumberFormat="1" applyFont="1" applyFill="1" applyBorder="1" applyProtection="1"/>
    <xf numFmtId="173" fontId="4" fillId="18" borderId="0" xfId="0" applyNumberFormat="1" applyFont="1" applyFill="1" applyBorder="1" applyAlignment="1" applyProtection="1">
      <alignment horizontal="right"/>
    </xf>
    <xf numFmtId="8" fontId="4" fillId="18" borderId="24" xfId="0" applyNumberFormat="1" applyFont="1" applyFill="1" applyBorder="1" applyProtection="1"/>
    <xf numFmtId="0" fontId="2" fillId="18" borderId="20" xfId="0" applyFont="1" applyFill="1" applyBorder="1" applyProtection="1"/>
    <xf numFmtId="173" fontId="2" fillId="18" borderId="20" xfId="0" applyNumberFormat="1" applyFont="1" applyFill="1" applyBorder="1" applyProtection="1"/>
    <xf numFmtId="3" fontId="2" fillId="18" borderId="20" xfId="0" applyNumberFormat="1" applyFont="1" applyFill="1" applyBorder="1" applyProtection="1"/>
    <xf numFmtId="173" fontId="4" fillId="18" borderId="20" xfId="0" applyNumberFormat="1" applyFont="1" applyFill="1" applyBorder="1" applyAlignment="1" applyProtection="1">
      <alignment horizontal="right"/>
    </xf>
    <xf numFmtId="8" fontId="4" fillId="18" borderId="66" xfId="0" applyNumberFormat="1" applyFont="1" applyFill="1" applyBorder="1" applyProtection="1"/>
    <xf numFmtId="8" fontId="4" fillId="18" borderId="0" xfId="0" applyNumberFormat="1" applyFont="1" applyFill="1" applyBorder="1" applyProtection="1"/>
    <xf numFmtId="0" fontId="2" fillId="18" borderId="62" xfId="0" applyFont="1" applyFill="1" applyBorder="1" applyProtection="1"/>
    <xf numFmtId="173" fontId="2" fillId="18" borderId="62" xfId="0" applyNumberFormat="1" applyFont="1" applyFill="1" applyBorder="1" applyProtection="1"/>
    <xf numFmtId="3" fontId="2" fillId="18" borderId="62" xfId="0" applyNumberFormat="1" applyFont="1" applyFill="1" applyBorder="1" applyProtection="1"/>
    <xf numFmtId="0" fontId="4" fillId="18" borderId="62" xfId="0" applyFont="1" applyFill="1" applyBorder="1" applyProtection="1"/>
    <xf numFmtId="0" fontId="4" fillId="18" borderId="62" xfId="0" applyFont="1" applyFill="1" applyBorder="1" applyAlignment="1" applyProtection="1">
      <alignment horizontal="right"/>
    </xf>
    <xf numFmtId="6" fontId="4" fillId="18" borderId="23" xfId="0" applyNumberFormat="1" applyFont="1" applyFill="1" applyBorder="1" applyProtection="1"/>
    <xf numFmtId="0" fontId="4" fillId="18" borderId="20" xfId="0" applyFont="1" applyFill="1" applyBorder="1" applyProtection="1"/>
    <xf numFmtId="0" fontId="4" fillId="18" borderId="20" xfId="0" applyFont="1" applyFill="1" applyBorder="1" applyAlignment="1" applyProtection="1">
      <alignment horizontal="right"/>
    </xf>
    <xf numFmtId="9" fontId="4" fillId="18" borderId="66" xfId="4" applyNumberFormat="1" applyFont="1" applyFill="1" applyBorder="1" applyAlignment="1" applyProtection="1"/>
    <xf numFmtId="0" fontId="2" fillId="18" borderId="0" xfId="0" applyFont="1" applyFill="1" applyProtection="1"/>
    <xf numFmtId="173" fontId="2" fillId="18" borderId="0" xfId="0" applyNumberFormat="1" applyFont="1" applyFill="1" applyProtection="1"/>
    <xf numFmtId="3" fontId="2" fillId="18" borderId="0" xfId="0" applyNumberFormat="1" applyFont="1" applyFill="1" applyProtection="1"/>
    <xf numFmtId="6" fontId="2" fillId="18" borderId="23" xfId="0" applyNumberFormat="1" applyFont="1" applyFill="1" applyBorder="1" applyProtection="1"/>
    <xf numFmtId="0" fontId="2" fillId="18" borderId="14" xfId="0" applyFont="1" applyFill="1" applyBorder="1" applyProtection="1"/>
    <xf numFmtId="0" fontId="4" fillId="18" borderId="0" xfId="0" applyFont="1" applyFill="1" applyBorder="1" applyAlignment="1" applyProtection="1">
      <alignment horizontal="right"/>
    </xf>
    <xf numFmtId="6" fontId="2" fillId="18" borderId="24" xfId="0" applyNumberFormat="1" applyFont="1" applyFill="1" applyBorder="1" applyProtection="1"/>
    <xf numFmtId="6" fontId="2" fillId="18" borderId="66" xfId="0" applyNumberFormat="1" applyFont="1" applyFill="1" applyBorder="1" applyProtection="1"/>
    <xf numFmtId="0" fontId="61" fillId="0" borderId="0" xfId="0" applyFont="1" applyProtection="1">
      <protection locked="0"/>
    </xf>
    <xf numFmtId="0" fontId="61" fillId="0" borderId="0" xfId="1" applyNumberFormat="1" applyFont="1" applyFill="1" applyBorder="1" applyAlignment="1" applyProtection="1"/>
    <xf numFmtId="0" fontId="2" fillId="4" borderId="12" xfId="0" applyFont="1" applyFill="1" applyBorder="1" applyAlignment="1" applyProtection="1">
      <alignment wrapText="1"/>
    </xf>
    <xf numFmtId="0" fontId="2" fillId="4" borderId="97" xfId="0" applyFont="1" applyFill="1" applyBorder="1" applyAlignment="1" applyProtection="1">
      <alignment wrapText="1"/>
    </xf>
    <xf numFmtId="0" fontId="12" fillId="0" borderId="0" xfId="1" applyNumberFormat="1" applyFont="1" applyFill="1" applyBorder="1" applyAlignment="1" applyProtection="1">
      <alignment wrapText="1"/>
    </xf>
    <xf numFmtId="0" fontId="13" fillId="7" borderId="6" xfId="1" applyNumberFormat="1" applyFont="1" applyFill="1" applyBorder="1" applyAlignment="1" applyProtection="1">
      <protection locked="0"/>
    </xf>
    <xf numFmtId="6" fontId="0" fillId="0" borderId="0" xfId="1" quotePrefix="1" applyNumberFormat="1" applyFont="1" applyFill="1" applyBorder="1" applyAlignment="1" applyProtection="1"/>
    <xf numFmtId="6" fontId="0" fillId="0" borderId="0" xfId="0" quotePrefix="1" applyNumberFormat="1"/>
    <xf numFmtId="0" fontId="2" fillId="0" borderId="121" xfId="0" applyNumberFormat="1" applyFont="1" applyFill="1" applyBorder="1" applyProtection="1"/>
    <xf numFmtId="0" fontId="2" fillId="0" borderId="119" xfId="0" applyNumberFormat="1" applyFont="1" applyFill="1" applyBorder="1" applyProtection="1"/>
    <xf numFmtId="6" fontId="0" fillId="0" borderId="0" xfId="1" applyNumberFormat="1" applyFont="1" applyFill="1" applyBorder="1" applyAlignment="1" applyProtection="1"/>
    <xf numFmtId="0" fontId="2" fillId="3" borderId="97" xfId="3" applyNumberFormat="1" applyFont="1" applyFill="1" applyBorder="1" applyAlignment="1" applyProtection="1">
      <protection locked="0"/>
    </xf>
    <xf numFmtId="0" fontId="2" fillId="3" borderId="97" xfId="4" applyNumberFormat="1" applyFont="1" applyFill="1" applyBorder="1" applyAlignment="1" applyProtection="1">
      <protection locked="0"/>
    </xf>
    <xf numFmtId="0" fontId="0" fillId="0" borderId="0" xfId="0" applyAlignment="1">
      <alignment wrapText="1"/>
    </xf>
    <xf numFmtId="0" fontId="2" fillId="0" borderId="0" xfId="0" applyFont="1" applyAlignment="1">
      <alignment wrapText="1"/>
    </xf>
    <xf numFmtId="0" fontId="4" fillId="20" borderId="97" xfId="0" applyFont="1" applyFill="1" applyBorder="1"/>
    <xf numFmtId="0" fontId="4" fillId="20" borderId="9" xfId="0" applyFont="1" applyFill="1" applyBorder="1"/>
    <xf numFmtId="0" fontId="2" fillId="0" borderId="0" xfId="0" applyFont="1" applyFill="1" applyBorder="1"/>
    <xf numFmtId="0" fontId="0" fillId="0" borderId="0" xfId="0" applyFont="1"/>
    <xf numFmtId="0" fontId="3" fillId="0" borderId="0" xfId="0" applyFont="1" applyAlignment="1">
      <alignment horizontal="right"/>
    </xf>
    <xf numFmtId="0" fontId="5" fillId="35" borderId="104" xfId="0" applyNumberFormat="1" applyFont="1" applyFill="1" applyBorder="1" applyAlignment="1" applyProtection="1">
      <alignment horizontal="center" vertical="center" wrapText="1"/>
    </xf>
    <xf numFmtId="0" fontId="3" fillId="3" borderId="97" xfId="0" applyFont="1" applyFill="1" applyBorder="1" applyAlignment="1">
      <alignment horizontal="right"/>
    </xf>
    <xf numFmtId="0" fontId="64" fillId="0" borderId="17" xfId="1" applyNumberFormat="1" applyFont="1" applyFill="1" applyBorder="1" applyAlignment="1" applyProtection="1">
      <alignment horizontal="center"/>
    </xf>
    <xf numFmtId="0" fontId="0" fillId="0" borderId="0" xfId="0" applyProtection="1">
      <protection locked="0"/>
    </xf>
    <xf numFmtId="0" fontId="30" fillId="0" borderId="0" xfId="0" applyFont="1" applyProtection="1">
      <protection locked="0"/>
    </xf>
    <xf numFmtId="0" fontId="4" fillId="9" borderId="0" xfId="0" applyFont="1" applyFill="1" applyProtection="1"/>
    <xf numFmtId="0" fontId="0" fillId="9" borderId="0" xfId="0" applyFill="1" applyProtection="1"/>
    <xf numFmtId="0" fontId="0" fillId="0" borderId="0" xfId="0" applyProtection="1"/>
    <xf numFmtId="0" fontId="0" fillId="0" borderId="97" xfId="0" applyFill="1" applyBorder="1" applyProtection="1">
      <protection locked="0"/>
    </xf>
    <xf numFmtId="0" fontId="0" fillId="0" borderId="97" xfId="0" applyFill="1" applyBorder="1" applyProtection="1"/>
    <xf numFmtId="0" fontId="2" fillId="0" borderId="97" xfId="0" applyFont="1" applyFill="1" applyBorder="1" applyAlignment="1" applyProtection="1">
      <alignment vertical="center" wrapText="1"/>
    </xf>
    <xf numFmtId="0" fontId="2" fillId="0" borderId="97" xfId="0" applyFont="1" applyFill="1" applyBorder="1" applyProtection="1">
      <protection locked="0"/>
    </xf>
    <xf numFmtId="0" fontId="2" fillId="0" borderId="97" xfId="0" applyFont="1" applyFill="1" applyBorder="1" applyProtection="1"/>
    <xf numFmtId="0" fontId="0" fillId="0" borderId="0" xfId="0" applyFill="1"/>
    <xf numFmtId="0" fontId="0" fillId="0" borderId="97" xfId="0" applyFill="1" applyBorder="1"/>
    <xf numFmtId="0" fontId="0" fillId="0" borderId="97" xfId="0" applyFill="1" applyBorder="1" applyAlignment="1" applyProtection="1">
      <alignment vertical="center" wrapText="1"/>
    </xf>
    <xf numFmtId="0" fontId="0" fillId="0" borderId="97" xfId="0" applyBorder="1" applyProtection="1"/>
    <xf numFmtId="0" fontId="2" fillId="0" borderId="97" xfId="0" applyFont="1" applyBorder="1" applyProtection="1"/>
    <xf numFmtId="0" fontId="2" fillId="16" borderId="97" xfId="0" applyFont="1" applyFill="1" applyBorder="1" applyProtection="1"/>
    <xf numFmtId="0" fontId="0" fillId="0" borderId="0" xfId="1" applyNumberFormat="1" applyFont="1" applyFill="1" applyBorder="1" applyAlignment="1" applyProtection="1"/>
    <xf numFmtId="0" fontId="0" fillId="0" borderId="0" xfId="1" applyNumberFormat="1" applyFont="1" applyFill="1" applyBorder="1" applyAlignment="1" applyProtection="1">
      <protection locked="0"/>
    </xf>
    <xf numFmtId="0" fontId="0" fillId="0" borderId="0" xfId="0" applyNumberFormat="1" applyProtection="1">
      <protection locked="0"/>
    </xf>
    <xf numFmtId="0" fontId="4" fillId="2" borderId="6" xfId="1" applyNumberFormat="1" applyFont="1" applyFill="1" applyBorder="1" applyAlignment="1" applyProtection="1">
      <alignment horizontal="center"/>
    </xf>
    <xf numFmtId="0" fontId="2" fillId="0" borderId="0" xfId="0" applyNumberFormat="1" applyFont="1" applyProtection="1">
      <protection locked="0"/>
    </xf>
    <xf numFmtId="0" fontId="0" fillId="0" borderId="0" xfId="1" applyNumberFormat="1" applyFont="1" applyFill="1" applyBorder="1" applyAlignment="1" applyProtection="1">
      <alignment wrapText="1"/>
      <protection locked="0"/>
    </xf>
    <xf numFmtId="0" fontId="4" fillId="0" borderId="97" xfId="1" applyNumberFormat="1" applyFont="1" applyFill="1" applyBorder="1" applyAlignment="1" applyProtection="1"/>
    <xf numFmtId="0" fontId="0" fillId="0" borderId="2" xfId="1" applyNumberFormat="1" applyFont="1" applyFill="1" applyBorder="1" applyAlignment="1" applyProtection="1">
      <protection locked="0"/>
    </xf>
    <xf numFmtId="0" fontId="4" fillId="13" borderId="15" xfId="1" applyNumberFormat="1" applyFont="1" applyFill="1" applyBorder="1" applyAlignment="1" applyProtection="1">
      <alignment horizontal="left"/>
    </xf>
    <xf numFmtId="0" fontId="4" fillId="13" borderId="4" xfId="1" applyNumberFormat="1" applyFont="1" applyFill="1" applyBorder="1" applyAlignment="1" applyProtection="1">
      <alignment horizontal="centerContinuous"/>
    </xf>
    <xf numFmtId="0" fontId="4" fillId="13" borderId="21" xfId="1" applyNumberFormat="1" applyFont="1" applyFill="1" applyBorder="1" applyAlignment="1" applyProtection="1">
      <alignment horizontal="centerContinuous"/>
    </xf>
    <xf numFmtId="0" fontId="0" fillId="0" borderId="97" xfId="0" applyNumberFormat="1" applyFill="1" applyBorder="1" applyProtection="1"/>
    <xf numFmtId="0" fontId="0" fillId="0" borderId="0" xfId="0" applyNumberFormat="1" applyProtection="1"/>
    <xf numFmtId="0" fontId="0" fillId="0" borderId="14" xfId="1" applyNumberFormat="1" applyFont="1" applyFill="1" applyBorder="1" applyAlignment="1" applyProtection="1">
      <protection locked="0"/>
    </xf>
    <xf numFmtId="0" fontId="0" fillId="0" borderId="1" xfId="1" applyNumberFormat="1" applyFont="1" applyFill="1" applyBorder="1" applyAlignment="1" applyProtection="1">
      <protection locked="0"/>
    </xf>
    <xf numFmtId="0" fontId="0" fillId="0" borderId="5" xfId="1" applyNumberFormat="1" applyFont="1" applyFill="1" applyBorder="1" applyAlignment="1" applyProtection="1">
      <protection locked="0"/>
    </xf>
    <xf numFmtId="0" fontId="0" fillId="0" borderId="7" xfId="1" applyNumberFormat="1" applyFont="1" applyFill="1" applyBorder="1" applyAlignment="1" applyProtection="1"/>
    <xf numFmtId="0" fontId="4" fillId="2" borderId="15" xfId="1" applyNumberFormat="1" applyFont="1" applyFill="1" applyBorder="1" applyAlignment="1" applyProtection="1"/>
    <xf numFmtId="0" fontId="0" fillId="2" borderId="21" xfId="1" applyNumberFormat="1" applyFont="1" applyFill="1" applyBorder="1" applyAlignment="1" applyProtection="1"/>
    <xf numFmtId="0" fontId="0" fillId="0" borderId="0" xfId="0" applyNumberFormat="1" applyAlignment="1">
      <alignment horizontal="center"/>
    </xf>
    <xf numFmtId="0" fontId="4" fillId="2" borderId="15" xfId="1" applyNumberFormat="1" applyFont="1" applyFill="1" applyBorder="1" applyAlignment="1" applyProtection="1">
      <alignment vertical="center"/>
    </xf>
    <xf numFmtId="0" fontId="2" fillId="2" borderId="21" xfId="1" applyNumberFormat="1" applyFont="1" applyFill="1" applyBorder="1" applyAlignment="1" applyProtection="1"/>
    <xf numFmtId="0" fontId="11" fillId="3" borderId="6" xfId="1" applyNumberFormat="1" applyFont="1" applyFill="1" applyBorder="1" applyAlignment="1" applyProtection="1">
      <protection locked="0"/>
    </xf>
    <xf numFmtId="0" fontId="2" fillId="3" borderId="6" xfId="1" applyNumberFormat="1" applyFont="1" applyFill="1" applyBorder="1" applyAlignment="1" applyProtection="1">
      <protection locked="0"/>
    </xf>
    <xf numFmtId="0" fontId="2" fillId="0" borderId="7" xfId="1" applyNumberFormat="1" applyFont="1" applyFill="1" applyBorder="1" applyAlignment="1" applyProtection="1"/>
    <xf numFmtId="0" fontId="2" fillId="0" borderId="0" xfId="1" applyNumberFormat="1" applyFont="1" applyFill="1" applyBorder="1" applyAlignment="1" applyProtection="1"/>
    <xf numFmtId="0" fontId="30" fillId="2" borderId="15" xfId="1" applyNumberFormat="1" applyFont="1" applyFill="1" applyBorder="1" applyAlignment="1" applyProtection="1"/>
    <xf numFmtId="0" fontId="7" fillId="0" borderId="7" xfId="1" applyNumberFormat="1" applyFont="1" applyFill="1" applyBorder="1" applyAlignment="1" applyProtection="1"/>
    <xf numFmtId="0" fontId="2" fillId="0" borderId="14" xfId="1" applyNumberFormat="1" applyFont="1" applyFill="1" applyBorder="1" applyAlignment="1" applyProtection="1">
      <protection locked="0"/>
    </xf>
    <xf numFmtId="0" fontId="2" fillId="0" borderId="156" xfId="1" applyNumberFormat="1" applyFont="1" applyFill="1" applyBorder="1" applyAlignment="1" applyProtection="1"/>
    <xf numFmtId="0" fontId="2" fillId="0" borderId="0" xfId="1" applyNumberFormat="1" applyFont="1" applyFill="1" applyBorder="1" applyAlignment="1" applyProtection="1">
      <protection locked="0"/>
    </xf>
    <xf numFmtId="0" fontId="16" fillId="2" borderId="121" xfId="1" applyNumberFormat="1" applyFont="1" applyFill="1" applyBorder="1" applyAlignment="1" applyProtection="1"/>
    <xf numFmtId="0" fontId="2" fillId="2" borderId="142" xfId="1" applyNumberFormat="1" applyFont="1" applyFill="1" applyBorder="1" applyAlignment="1" applyProtection="1"/>
    <xf numFmtId="0" fontId="2" fillId="0" borderId="97" xfId="3" applyNumberFormat="1" applyFont="1" applyFill="1" applyBorder="1" applyAlignment="1" applyProtection="1">
      <protection locked="0"/>
    </xf>
    <xf numFmtId="0" fontId="0" fillId="0" borderId="0" xfId="0" applyNumberFormat="1" applyFill="1" applyBorder="1"/>
    <xf numFmtId="0" fontId="2" fillId="14" borderId="0" xfId="1" applyNumberFormat="1" applyFont="1" applyFill="1" applyBorder="1" applyAlignment="1" applyProtection="1"/>
    <xf numFmtId="0" fontId="2" fillId="14" borderId="0" xfId="1" applyNumberFormat="1" applyFont="1" applyFill="1" applyBorder="1" applyAlignment="1" applyProtection="1">
      <protection locked="0"/>
    </xf>
    <xf numFmtId="0" fontId="16" fillId="2" borderId="157" xfId="1" applyNumberFormat="1" applyFont="1" applyFill="1" applyBorder="1" applyAlignment="1" applyProtection="1"/>
    <xf numFmtId="0" fontId="2" fillId="2" borderId="158" xfId="1" applyNumberFormat="1" applyFont="1" applyFill="1" applyBorder="1" applyAlignment="1" applyProtection="1"/>
    <xf numFmtId="0" fontId="74" fillId="0" borderId="198" xfId="1" applyNumberFormat="1" applyFont="1" applyFill="1" applyBorder="1" applyAlignment="1" applyProtection="1">
      <protection locked="0"/>
    </xf>
    <xf numFmtId="0" fontId="27" fillId="0" borderId="199" xfId="1" applyNumberFormat="1" applyFont="1" applyFill="1" applyBorder="1" applyAlignment="1" applyProtection="1">
      <protection locked="0"/>
    </xf>
    <xf numFmtId="0" fontId="0" fillId="0" borderId="0" xfId="0" applyNumberFormat="1" applyBorder="1"/>
    <xf numFmtId="0" fontId="4" fillId="2" borderId="15" xfId="1" applyNumberFormat="1" applyFont="1" applyFill="1" applyBorder="1" applyAlignment="1" applyProtection="1">
      <alignment horizontal="centerContinuous"/>
    </xf>
    <xf numFmtId="0" fontId="4" fillId="2" borderId="4" xfId="1" applyNumberFormat="1" applyFont="1" applyFill="1" applyBorder="1" applyAlignment="1" applyProtection="1">
      <alignment horizontal="centerContinuous"/>
    </xf>
    <xf numFmtId="0" fontId="4" fillId="2" borderId="142" xfId="1" applyNumberFormat="1" applyFont="1" applyFill="1" applyBorder="1" applyAlignment="1" applyProtection="1">
      <alignment horizontal="centerContinuous"/>
    </xf>
    <xf numFmtId="0" fontId="4" fillId="17" borderId="6" xfId="1" applyNumberFormat="1" applyFont="1" applyFill="1" applyBorder="1" applyAlignment="1" applyProtection="1">
      <alignment horizontal="center"/>
    </xf>
    <xf numFmtId="0" fontId="4" fillId="17" borderId="97" xfId="1" applyNumberFormat="1" applyFont="1" applyFill="1" applyBorder="1" applyAlignment="1" applyProtection="1">
      <alignment horizontal="center" wrapText="1"/>
    </xf>
    <xf numFmtId="0" fontId="64" fillId="17" borderId="15" xfId="1" applyNumberFormat="1" applyFont="1" applyFill="1" applyBorder="1" applyAlignment="1" applyProtection="1">
      <alignment horizontal="centerContinuous"/>
    </xf>
    <xf numFmtId="0" fontId="64" fillId="17" borderId="4" xfId="1" applyNumberFormat="1" applyFont="1" applyFill="1" applyBorder="1" applyAlignment="1" applyProtection="1">
      <alignment horizontal="centerContinuous"/>
    </xf>
    <xf numFmtId="0" fontId="64" fillId="17" borderId="21" xfId="1" applyNumberFormat="1" applyFont="1" applyFill="1" applyBorder="1" applyAlignment="1" applyProtection="1">
      <alignment horizontal="centerContinuous"/>
    </xf>
    <xf numFmtId="0" fontId="65" fillId="2" borderId="6" xfId="1" applyNumberFormat="1" applyFont="1" applyFill="1" applyBorder="1" applyAlignment="1" applyProtection="1">
      <alignment horizontal="center" wrapText="1"/>
      <protection locked="0"/>
    </xf>
    <xf numFmtId="0" fontId="18" fillId="3" borderId="67" xfId="1" applyNumberFormat="1" applyFont="1" applyFill="1" applyBorder="1" applyAlignment="1" applyProtection="1">
      <protection locked="0"/>
    </xf>
    <xf numFmtId="0" fontId="18" fillId="3" borderId="67" xfId="0" applyNumberFormat="1" applyFont="1" applyFill="1" applyBorder="1" applyAlignment="1" applyProtection="1">
      <alignment horizontal="left"/>
      <protection locked="0"/>
    </xf>
    <xf numFmtId="0" fontId="18" fillId="3" borderId="67" xfId="0" applyNumberFormat="1" applyFont="1" applyFill="1" applyBorder="1" applyAlignment="1" applyProtection="1">
      <alignment horizontal="center"/>
      <protection locked="0"/>
    </xf>
    <xf numFmtId="0" fontId="18" fillId="3" borderId="67" xfId="1" applyNumberFormat="1" applyFont="1" applyFill="1" applyBorder="1" applyAlignment="1" applyProtection="1">
      <alignment horizontal="center"/>
      <protection locked="0"/>
    </xf>
    <xf numFmtId="0" fontId="18" fillId="3" borderId="17" xfId="1" applyNumberFormat="1" applyFont="1" applyFill="1" applyBorder="1" applyAlignment="1" applyProtection="1">
      <alignment horizontal="center"/>
      <protection locked="0"/>
    </xf>
    <xf numFmtId="0" fontId="9" fillId="3" borderId="175" xfId="1" applyNumberFormat="1" applyFont="1" applyFill="1" applyBorder="1" applyAlignment="1" applyProtection="1">
      <alignment horizontal="center"/>
      <protection locked="0"/>
    </xf>
    <xf numFmtId="0" fontId="23" fillId="3" borderId="67" xfId="1" applyNumberFormat="1" applyFont="1" applyFill="1" applyBorder="1" applyAlignment="1" applyProtection="1">
      <alignment horizontal="center"/>
      <protection locked="0"/>
    </xf>
    <xf numFmtId="0" fontId="64" fillId="3" borderId="68" xfId="1" applyNumberFormat="1" applyFont="1" applyFill="1" applyBorder="1" applyAlignment="1" applyProtection="1">
      <protection locked="0"/>
    </xf>
    <xf numFmtId="0" fontId="64" fillId="3" borderId="82" xfId="1" applyNumberFormat="1" applyFont="1" applyFill="1" applyBorder="1" applyAlignment="1" applyProtection="1">
      <alignment horizontal="center"/>
      <protection locked="0"/>
    </xf>
    <xf numFmtId="0" fontId="64" fillId="3" borderId="69" xfId="1" applyNumberFormat="1" applyFont="1" applyFill="1" applyBorder="1" applyAlignment="1" applyProtection="1">
      <alignment horizontal="center"/>
      <protection locked="0"/>
    </xf>
    <xf numFmtId="0" fontId="64" fillId="23" borderId="17" xfId="4" applyNumberFormat="1" applyFont="1" applyFill="1" applyBorder="1" applyAlignment="1" applyProtection="1">
      <alignment horizontal="center"/>
      <protection locked="0"/>
    </xf>
    <xf numFmtId="0" fontId="18" fillId="3" borderId="67" xfId="1" applyNumberFormat="1" applyFont="1" applyFill="1" applyBorder="1" applyAlignment="1" applyProtection="1">
      <alignment horizontal="left"/>
      <protection locked="0"/>
    </xf>
    <xf numFmtId="0" fontId="4" fillId="0" borderId="0" xfId="1" applyNumberFormat="1" applyFont="1" applyFill="1" applyBorder="1" applyAlignment="1" applyProtection="1">
      <alignment horizontal="centerContinuous"/>
      <protection locked="0"/>
    </xf>
    <xf numFmtId="0" fontId="0" fillId="0" borderId="156" xfId="1" applyNumberFormat="1" applyFont="1" applyFill="1" applyBorder="1" applyAlignment="1" applyProtection="1"/>
    <xf numFmtId="0" fontId="0" fillId="0" borderId="3" xfId="1" applyNumberFormat="1" applyFont="1" applyFill="1" applyBorder="1" applyAlignment="1" applyProtection="1"/>
    <xf numFmtId="0" fontId="4" fillId="0" borderId="0" xfId="1" applyNumberFormat="1" applyFont="1" applyFill="1" applyBorder="1" applyAlignment="1" applyProtection="1">
      <alignment horizontal="centerContinuous"/>
    </xf>
    <xf numFmtId="0" fontId="4" fillId="8" borderId="97" xfId="1" applyNumberFormat="1" applyFont="1" applyFill="1" applyBorder="1" applyAlignment="1" applyProtection="1">
      <alignment horizontal="center"/>
    </xf>
    <xf numFmtId="0" fontId="0" fillId="8" borderId="121" xfId="1" applyNumberFormat="1" applyFont="1" applyFill="1" applyBorder="1" applyAlignment="1" applyProtection="1">
      <alignment horizontal="centerContinuous"/>
    </xf>
    <xf numFmtId="0" fontId="0" fillId="8" borderId="142" xfId="1" applyNumberFormat="1" applyFont="1" applyFill="1" applyBorder="1" applyAlignment="1" applyProtection="1">
      <alignment horizontal="centerContinuous"/>
    </xf>
    <xf numFmtId="0" fontId="0" fillId="8" borderId="119" xfId="1" applyNumberFormat="1" applyFont="1" applyFill="1" applyBorder="1" applyAlignment="1" applyProtection="1">
      <alignment horizontal="centerContinuous"/>
    </xf>
    <xf numFmtId="0" fontId="0" fillId="0" borderId="10" xfId="1" applyNumberFormat="1" applyFont="1" applyFill="1" applyBorder="1" applyAlignment="1" applyProtection="1">
      <alignment horizontal="center"/>
    </xf>
    <xf numFmtId="0" fontId="0" fillId="0" borderId="11" xfId="1" applyNumberFormat="1" applyFont="1" applyFill="1" applyBorder="1" applyAlignment="1" applyProtection="1">
      <alignment horizontal="centerContinuous"/>
    </xf>
    <xf numFmtId="0" fontId="0" fillId="0" borderId="13" xfId="1" applyNumberFormat="1" applyFont="1" applyFill="1" applyBorder="1" applyAlignment="1" applyProtection="1">
      <alignment horizontal="centerContinuous"/>
    </xf>
    <xf numFmtId="0" fontId="0" fillId="0" borderId="3" xfId="1" applyNumberFormat="1" applyFont="1" applyFill="1" applyBorder="1" applyAlignment="1" applyProtection="1">
      <alignment horizontal="centerContinuous"/>
    </xf>
    <xf numFmtId="0" fontId="0" fillId="0" borderId="9" xfId="1" applyNumberFormat="1" applyFont="1" applyFill="1" applyBorder="1" applyAlignment="1" applyProtection="1">
      <alignment horizontal="center"/>
    </xf>
    <xf numFmtId="0" fontId="0" fillId="0" borderId="7" xfId="1" applyNumberFormat="1" applyFont="1" applyFill="1" applyBorder="1" applyAlignment="1" applyProtection="1">
      <alignment horizontal="centerContinuous"/>
    </xf>
    <xf numFmtId="0" fontId="0" fillId="0" borderId="2" xfId="1" applyNumberFormat="1" applyFont="1" applyFill="1" applyBorder="1" applyAlignment="1" applyProtection="1">
      <alignment horizontal="centerContinuous"/>
    </xf>
    <xf numFmtId="0" fontId="0" fillId="0" borderId="0" xfId="1" applyNumberFormat="1" applyFont="1" applyFill="1" applyBorder="1" applyAlignment="1" applyProtection="1">
      <alignment horizontal="centerContinuous"/>
    </xf>
    <xf numFmtId="0" fontId="2" fillId="0" borderId="12" xfId="1" applyNumberFormat="1" applyFont="1" applyFill="1" applyBorder="1" applyAlignment="1" applyProtection="1">
      <alignment horizontal="center"/>
    </xf>
    <xf numFmtId="0" fontId="0" fillId="0" borderId="8" xfId="1" applyNumberFormat="1" applyFont="1" applyFill="1" applyBorder="1" applyAlignment="1" applyProtection="1">
      <alignment horizontal="centerContinuous"/>
    </xf>
    <xf numFmtId="0" fontId="0" fillId="0" borderId="5" xfId="1" applyNumberFormat="1" applyFont="1" applyFill="1" applyBorder="1" applyAlignment="1" applyProtection="1">
      <alignment horizontal="centerContinuous"/>
    </xf>
    <xf numFmtId="0" fontId="2" fillId="0" borderId="8" xfId="1" applyNumberFormat="1" applyFont="1" applyFill="1" applyBorder="1" applyAlignment="1" applyProtection="1">
      <alignment horizontal="centerContinuous"/>
    </xf>
    <xf numFmtId="0" fontId="0" fillId="0" borderId="1" xfId="1" applyNumberFormat="1" applyFont="1" applyFill="1" applyBorder="1" applyAlignment="1" applyProtection="1">
      <alignment horizontal="centerContinuous"/>
    </xf>
    <xf numFmtId="0" fontId="2" fillId="0" borderId="3" xfId="1" applyNumberFormat="1" applyFont="1" applyFill="1" applyBorder="1" applyAlignment="1" applyProtection="1">
      <alignment horizontal="center"/>
    </xf>
    <xf numFmtId="0" fontId="6" fillId="0" borderId="0" xfId="1" applyNumberFormat="1" applyFont="1" applyFill="1" applyBorder="1" applyAlignment="1" applyProtection="1"/>
    <xf numFmtId="0" fontId="0" fillId="0" borderId="1" xfId="1" applyNumberFormat="1" applyFont="1" applyFill="1" applyBorder="1" applyAlignment="1" applyProtection="1"/>
    <xf numFmtId="0" fontId="4" fillId="0" borderId="0" xfId="1" applyNumberFormat="1" applyFont="1" applyFill="1" applyBorder="1" applyAlignment="1" applyProtection="1">
      <protection locked="0"/>
    </xf>
    <xf numFmtId="0" fontId="10" fillId="0" borderId="1" xfId="1" applyNumberFormat="1" applyFont="1" applyFill="1" applyBorder="1" applyAlignment="1" applyProtection="1"/>
    <xf numFmtId="0" fontId="0" fillId="0" borderId="25" xfId="1" applyNumberFormat="1" applyFont="1" applyFill="1" applyBorder="1" applyAlignment="1" applyProtection="1"/>
    <xf numFmtId="0" fontId="4" fillId="13" borderId="27" xfId="1" applyNumberFormat="1" applyFont="1" applyFill="1" applyBorder="1" applyAlignment="1" applyProtection="1">
      <alignment horizontal="center"/>
    </xf>
    <xf numFmtId="0" fontId="4" fillId="13" borderId="100" xfId="1" applyNumberFormat="1" applyFont="1" applyFill="1" applyBorder="1" applyAlignment="1" applyProtection="1">
      <alignment horizontal="center"/>
    </xf>
    <xf numFmtId="0" fontId="4" fillId="2" borderId="6" xfId="1" applyNumberFormat="1" applyFont="1" applyFill="1" applyBorder="1" applyAlignment="1" applyProtection="1">
      <alignment horizontal="center" wrapText="1"/>
    </xf>
    <xf numFmtId="0" fontId="4" fillId="2" borderId="121" xfId="1" applyNumberFormat="1" applyFont="1" applyFill="1" applyBorder="1" applyAlignment="1" applyProtection="1">
      <alignment horizontal="center" wrapText="1"/>
    </xf>
    <xf numFmtId="0" fontId="4" fillId="2" borderId="63" xfId="1" applyNumberFormat="1" applyFont="1" applyFill="1" applyBorder="1" applyAlignment="1" applyProtection="1">
      <alignment horizontal="center" wrapText="1"/>
    </xf>
    <xf numFmtId="0" fontId="4" fillId="2" borderId="84" xfId="1" applyNumberFormat="1" applyFont="1" applyFill="1" applyBorder="1" applyAlignment="1" applyProtection="1">
      <alignment horizontal="center" wrapText="1"/>
    </xf>
    <xf numFmtId="0" fontId="4" fillId="2" borderId="85" xfId="1" applyNumberFormat="1" applyFont="1" applyFill="1" applyBorder="1" applyAlignment="1" applyProtection="1">
      <alignment horizontal="center" wrapText="1"/>
    </xf>
    <xf numFmtId="0" fontId="4" fillId="2" borderId="97" xfId="1" applyNumberFormat="1" applyFont="1" applyFill="1" applyBorder="1" applyAlignment="1" applyProtection="1">
      <alignment horizontal="center" wrapText="1"/>
    </xf>
    <xf numFmtId="0" fontId="4" fillId="2" borderId="145" xfId="1" applyNumberFormat="1" applyFont="1" applyFill="1" applyBorder="1" applyAlignment="1" applyProtection="1">
      <alignment horizontal="center" wrapText="1"/>
    </xf>
    <xf numFmtId="0" fontId="4" fillId="2" borderId="108" xfId="1" applyNumberFormat="1" applyFont="1" applyFill="1" applyBorder="1" applyAlignment="1" applyProtection="1">
      <alignment horizontal="center" wrapText="1"/>
    </xf>
    <xf numFmtId="0" fontId="4" fillId="2" borderId="146" xfId="1" applyNumberFormat="1" applyFont="1" applyFill="1" applyBorder="1" applyAlignment="1" applyProtection="1">
      <alignment horizontal="center" wrapText="1"/>
    </xf>
    <xf numFmtId="0" fontId="0" fillId="3" borderId="16" xfId="1" applyNumberFormat="1" applyFont="1" applyFill="1" applyBorder="1" applyAlignment="1" applyProtection="1">
      <protection locked="0"/>
    </xf>
    <xf numFmtId="0" fontId="0" fillId="0" borderId="16" xfId="1" applyNumberFormat="1" applyFont="1" applyFill="1" applyBorder="1" applyAlignment="1" applyProtection="1"/>
    <xf numFmtId="0" fontId="0" fillId="3" borderId="120" xfId="1" applyNumberFormat="1" applyFont="1" applyFill="1" applyBorder="1" applyAlignment="1" applyProtection="1">
      <alignment horizontal="center"/>
      <protection locked="0"/>
    </xf>
    <xf numFmtId="0" fontId="0" fillId="3" borderId="76" xfId="1" applyNumberFormat="1" applyFont="1" applyFill="1" applyBorder="1" applyAlignment="1" applyProtection="1">
      <alignment horizontal="center"/>
      <protection locked="0"/>
    </xf>
    <xf numFmtId="0" fontId="0" fillId="23" borderId="86" xfId="1" applyNumberFormat="1" applyFont="1" applyFill="1" applyBorder="1" applyAlignment="1" applyProtection="1">
      <protection locked="0"/>
    </xf>
    <xf numFmtId="0" fontId="0" fillId="23" borderId="87" xfId="1" applyNumberFormat="1" applyFont="1" applyFill="1" applyBorder="1" applyAlignment="1" applyProtection="1">
      <protection locked="0"/>
    </xf>
    <xf numFmtId="0" fontId="3" fillId="0" borderId="16" xfId="1" applyNumberFormat="1" applyFont="1" applyFill="1" applyBorder="1" applyAlignment="1" applyProtection="1">
      <alignment horizontal="center"/>
      <protection locked="0"/>
    </xf>
    <xf numFmtId="0" fontId="0" fillId="0" borderId="147" xfId="1" applyNumberFormat="1" applyFont="1" applyFill="1" applyBorder="1" applyAlignment="1" applyProtection="1"/>
    <xf numFmtId="0" fontId="0" fillId="0" borderId="148" xfId="1" applyNumberFormat="1" applyFont="1" applyFill="1" applyBorder="1" applyAlignment="1" applyProtection="1"/>
    <xf numFmtId="0" fontId="0" fillId="0" borderId="149" xfId="1" applyNumberFormat="1" applyFont="1" applyFill="1" applyBorder="1" applyAlignment="1" applyProtection="1"/>
    <xf numFmtId="0" fontId="0" fillId="3" borderId="17" xfId="1" applyNumberFormat="1" applyFont="1" applyFill="1" applyBorder="1" applyAlignment="1" applyProtection="1">
      <protection locked="0"/>
    </xf>
    <xf numFmtId="0" fontId="0" fillId="0" borderId="17" xfId="1" applyNumberFormat="1" applyFont="1" applyFill="1" applyBorder="1" applyAlignment="1" applyProtection="1"/>
    <xf numFmtId="0" fontId="0" fillId="0" borderId="143" xfId="1" applyNumberFormat="1" applyFont="1" applyFill="1" applyBorder="1" applyAlignment="1" applyProtection="1">
      <alignment horizontal="center"/>
      <protection locked="0"/>
    </xf>
    <xf numFmtId="0" fontId="0" fillId="3" borderId="77" xfId="1" applyNumberFormat="1" applyFont="1" applyFill="1" applyBorder="1" applyAlignment="1" applyProtection="1">
      <alignment horizontal="center"/>
      <protection locked="0"/>
    </xf>
    <xf numFmtId="0" fontId="0" fillId="23" borderId="88" xfId="1" applyNumberFormat="1" applyFont="1" applyFill="1" applyBorder="1" applyAlignment="1" applyProtection="1">
      <protection locked="0"/>
    </xf>
    <xf numFmtId="0" fontId="0" fillId="23" borderId="89" xfId="1" applyNumberFormat="1" applyFont="1" applyFill="1" applyBorder="1" applyAlignment="1" applyProtection="1">
      <protection locked="0"/>
    </xf>
    <xf numFmtId="0" fontId="3" fillId="0" borderId="17" xfId="1" applyNumberFormat="1" applyFont="1" applyFill="1" applyBorder="1" applyAlignment="1" applyProtection="1">
      <alignment horizontal="center"/>
      <protection locked="0"/>
    </xf>
    <xf numFmtId="0" fontId="2" fillId="3" borderId="77" xfId="1" applyNumberFormat="1" applyFont="1" applyFill="1" applyBorder="1" applyAlignment="1" applyProtection="1">
      <alignment horizontal="center"/>
      <protection locked="0"/>
    </xf>
    <xf numFmtId="0" fontId="0" fillId="3" borderId="18" xfId="1" applyNumberFormat="1" applyFont="1" applyFill="1" applyBorder="1" applyAlignment="1" applyProtection="1">
      <protection locked="0"/>
    </xf>
    <xf numFmtId="0" fontId="0" fillId="0" borderId="18" xfId="1" applyNumberFormat="1" applyFont="1" applyFill="1" applyBorder="1" applyAlignment="1" applyProtection="1"/>
    <xf numFmtId="0" fontId="0" fillId="0" borderId="144" xfId="1" applyNumberFormat="1" applyFont="1" applyFill="1" applyBorder="1" applyAlignment="1" applyProtection="1">
      <alignment horizontal="center"/>
      <protection locked="0"/>
    </xf>
    <xf numFmtId="0" fontId="0" fillId="3" borderId="78" xfId="1" applyNumberFormat="1" applyFont="1" applyFill="1" applyBorder="1" applyAlignment="1" applyProtection="1">
      <alignment horizontal="center"/>
      <protection locked="0"/>
    </xf>
    <xf numFmtId="0" fontId="0" fillId="23" borderId="90" xfId="1" applyNumberFormat="1" applyFont="1" applyFill="1" applyBorder="1" applyAlignment="1" applyProtection="1">
      <protection locked="0"/>
    </xf>
    <xf numFmtId="0" fontId="0" fillId="23" borderId="91" xfId="1" applyNumberFormat="1" applyFont="1" applyFill="1" applyBorder="1" applyAlignment="1" applyProtection="1">
      <protection locked="0"/>
    </xf>
    <xf numFmtId="0" fontId="3" fillId="0" borderId="18" xfId="1" applyNumberFormat="1" applyFont="1" applyFill="1" applyBorder="1" applyAlignment="1" applyProtection="1">
      <alignment horizontal="center"/>
      <protection locked="0"/>
    </xf>
    <xf numFmtId="0" fontId="0" fillId="0" borderId="150" xfId="1" applyNumberFormat="1" applyFont="1" applyFill="1" applyBorder="1" applyAlignment="1" applyProtection="1"/>
    <xf numFmtId="0" fontId="0" fillId="0" borderId="151" xfId="1" applyNumberFormat="1" applyFont="1" applyFill="1" applyBorder="1" applyAlignment="1" applyProtection="1"/>
    <xf numFmtId="0" fontId="0" fillId="0" borderId="152" xfId="1" applyNumberFormat="1" applyFont="1" applyFill="1" applyBorder="1" applyAlignment="1" applyProtection="1"/>
    <xf numFmtId="0" fontId="0" fillId="0" borderId="139" xfId="1" applyNumberFormat="1" applyFont="1" applyFill="1" applyBorder="1" applyAlignment="1" applyProtection="1">
      <protection locked="0"/>
    </xf>
    <xf numFmtId="0" fontId="0" fillId="0" borderId="153" xfId="1" applyNumberFormat="1" applyFont="1" applyFill="1" applyBorder="1" applyAlignment="1" applyProtection="1">
      <protection locked="0"/>
    </xf>
    <xf numFmtId="0" fontId="0" fillId="0" borderId="141" xfId="1" applyNumberFormat="1" applyFont="1" applyFill="1" applyBorder="1" applyAlignment="1" applyProtection="1">
      <protection locked="0"/>
    </xf>
    <xf numFmtId="0" fontId="0" fillId="0" borderId="154" xfId="1" applyNumberFormat="1" applyFont="1" applyFill="1" applyBorder="1" applyAlignment="1" applyProtection="1">
      <protection locked="0"/>
    </xf>
    <xf numFmtId="0" fontId="0" fillId="0" borderId="155" xfId="1" applyNumberFormat="1" applyFont="1" applyFill="1" applyBorder="1" applyAlignment="1" applyProtection="1">
      <protection locked="0"/>
    </xf>
    <xf numFmtId="0" fontId="26" fillId="0" borderId="79" xfId="0" applyNumberFormat="1" applyFont="1" applyBorder="1" applyAlignment="1" applyProtection="1">
      <alignment horizontal="center" wrapText="1"/>
    </xf>
    <xf numFmtId="0" fontId="26" fillId="0" borderId="79" xfId="0" applyNumberFormat="1" applyFont="1" applyBorder="1" applyAlignment="1">
      <alignment horizontal="center" wrapText="1"/>
    </xf>
    <xf numFmtId="0" fontId="0" fillId="0" borderId="81" xfId="0" applyNumberFormat="1" applyBorder="1" applyProtection="1"/>
    <xf numFmtId="0" fontId="0" fillId="0" borderId="81" xfId="0" applyNumberFormat="1" applyBorder="1"/>
    <xf numFmtId="0" fontId="26" fillId="0" borderId="80" xfId="0" applyNumberFormat="1" applyFont="1" applyBorder="1" applyAlignment="1" applyProtection="1">
      <alignment horizontal="center"/>
    </xf>
    <xf numFmtId="0" fontId="26" fillId="0" borderId="80" xfId="0" applyNumberFormat="1" applyFont="1" applyBorder="1" applyAlignment="1">
      <alignment horizontal="center"/>
    </xf>
    <xf numFmtId="178" fontId="4" fillId="8" borderId="21" xfId="1" applyNumberFormat="1" applyFont="1" applyFill="1" applyBorder="1" applyAlignment="1" applyProtection="1"/>
    <xf numFmtId="0" fontId="86" fillId="0" borderId="0" xfId="0" applyNumberFormat="1" applyFont="1" applyProtection="1">
      <protection locked="0"/>
    </xf>
    <xf numFmtId="0" fontId="87" fillId="0" borderId="0" xfId="0" applyNumberFormat="1" applyFont="1" applyProtection="1">
      <protection locked="0"/>
    </xf>
    <xf numFmtId="0" fontId="65" fillId="2" borderId="204" xfId="1" applyNumberFormat="1" applyFont="1" applyFill="1" applyBorder="1" applyAlignment="1" applyProtection="1"/>
    <xf numFmtId="0" fontId="87" fillId="2" borderId="205" xfId="1" applyNumberFormat="1" applyFont="1" applyFill="1" applyBorder="1" applyAlignment="1" applyProtection="1"/>
    <xf numFmtId="9" fontId="87" fillId="0" borderId="203" xfId="4" applyNumberFormat="1" applyFont="1" applyFill="1" applyBorder="1" applyAlignment="1" applyProtection="1">
      <protection locked="0"/>
    </xf>
    <xf numFmtId="170" fontId="2" fillId="3" borderId="97" xfId="3" applyNumberFormat="1" applyFont="1" applyFill="1" applyBorder="1" applyAlignment="1" applyProtection="1">
      <alignment horizontal="right"/>
      <protection locked="0"/>
    </xf>
    <xf numFmtId="164" fontId="87" fillId="0" borderId="203" xfId="3" applyNumberFormat="1" applyFont="1" applyFill="1" applyBorder="1" applyAlignment="1" applyProtection="1">
      <protection locked="0"/>
    </xf>
    <xf numFmtId="0" fontId="0" fillId="0" borderId="9" xfId="1" applyNumberFormat="1" applyFont="1" applyFill="1" applyBorder="1" applyAlignment="1" applyProtection="1"/>
    <xf numFmtId="0" fontId="40" fillId="0" borderId="0" xfId="0" applyFont="1" applyAlignment="1">
      <alignment horizontal="left"/>
    </xf>
    <xf numFmtId="0" fontId="3" fillId="0" borderId="0" xfId="0" applyFont="1" applyAlignment="1">
      <alignment horizontal="right"/>
    </xf>
    <xf numFmtId="178" fontId="3" fillId="0" borderId="0" xfId="0" applyNumberFormat="1" applyFont="1" applyAlignment="1">
      <alignment horizontal="center"/>
    </xf>
    <xf numFmtId="180" fontId="3" fillId="0" borderId="0" xfId="0" applyNumberFormat="1" applyFont="1" applyAlignment="1">
      <alignment horizontal="center"/>
    </xf>
    <xf numFmtId="0" fontId="3" fillId="0" borderId="0" xfId="0" applyFont="1" applyAlignment="1">
      <alignment horizontal="left"/>
    </xf>
    <xf numFmtId="4" fontId="3" fillId="37" borderId="22" xfId="2" applyNumberFormat="1" applyFont="1" applyFill="1" applyBorder="1" applyAlignment="1" applyProtection="1">
      <alignment horizontal="right" wrapText="1"/>
      <protection locked="0"/>
    </xf>
    <xf numFmtId="1" fontId="3" fillId="37" borderId="22" xfId="2" applyNumberFormat="1" applyFont="1" applyFill="1" applyBorder="1" applyAlignment="1" applyProtection="1">
      <alignment horizontal="right" wrapText="1"/>
      <protection locked="0"/>
    </xf>
    <xf numFmtId="0" fontId="0" fillId="0" borderId="0" xfId="0" applyNumberFormat="1" applyProtection="1"/>
    <xf numFmtId="0" fontId="4" fillId="0" borderId="0" xfId="0" applyFont="1"/>
    <xf numFmtId="0" fontId="0" fillId="0" borderId="0" xfId="0" applyNumberFormat="1"/>
    <xf numFmtId="0" fontId="88" fillId="0" borderId="36" xfId="1" applyNumberFormat="1" applyFont="1" applyFill="1" applyBorder="1" applyAlignment="1" applyProtection="1"/>
    <xf numFmtId="0" fontId="4" fillId="0" borderId="0" xfId="0" applyNumberFormat="1" applyFont="1"/>
    <xf numFmtId="0" fontId="3" fillId="25" borderId="22" xfId="1" applyNumberFormat="1" applyFont="1" applyFill="1" applyBorder="1" applyAlignment="1" applyProtection="1">
      <alignment horizontal="left" wrapText="1"/>
      <protection locked="0"/>
    </xf>
    <xf numFmtId="0" fontId="89" fillId="0" borderId="0" xfId="0" applyFont="1"/>
    <xf numFmtId="0" fontId="3" fillId="3" borderId="97" xfId="0" applyNumberFormat="1" applyFont="1" applyFill="1" applyBorder="1" applyAlignment="1" applyProtection="1">
      <alignment horizontal="center"/>
      <protection locked="0"/>
    </xf>
    <xf numFmtId="0" fontId="3" fillId="3" borderId="97" xfId="0" applyNumberFormat="1" applyFont="1" applyFill="1" applyBorder="1" applyAlignment="1" applyProtection="1">
      <alignment horizontal="center" wrapText="1"/>
      <protection locked="0"/>
    </xf>
    <xf numFmtId="0" fontId="3" fillId="3" borderId="97" xfId="0" quotePrefix="1" applyNumberFormat="1" applyFont="1" applyFill="1" applyBorder="1" applyAlignment="1" applyProtection="1">
      <alignment horizontal="center"/>
      <protection locked="0"/>
    </xf>
    <xf numFmtId="0" fontId="2" fillId="0" borderId="20" xfId="0" applyFont="1" applyBorder="1" applyAlignment="1">
      <alignment wrapText="1"/>
    </xf>
    <xf numFmtId="0" fontId="3" fillId="0" borderId="0" xfId="1" applyNumberFormat="1" applyFont="1" applyFill="1" applyBorder="1" applyAlignment="1" applyProtection="1">
      <alignment horizontal="center"/>
    </xf>
    <xf numFmtId="49" fontId="2" fillId="3" borderId="6" xfId="1" applyNumberFormat="1" applyFont="1" applyFill="1" applyBorder="1" applyAlignment="1" applyProtection="1">
      <alignment horizontal="center"/>
      <protection locked="0"/>
    </xf>
    <xf numFmtId="0" fontId="2" fillId="0" borderId="0" xfId="0" applyNumberFormat="1" applyFont="1" applyFill="1" applyBorder="1" applyAlignment="1" applyProtection="1">
      <alignment horizontal="center"/>
    </xf>
    <xf numFmtId="14" fontId="7" fillId="2" borderId="6" xfId="1" applyNumberFormat="1" applyFont="1" applyFill="1" applyBorder="1" applyAlignment="1" applyProtection="1">
      <alignment horizontal="center" wrapText="1"/>
    </xf>
    <xf numFmtId="14" fontId="2" fillId="0" borderId="0" xfId="1" applyNumberFormat="1" applyFont="1" applyFill="1" applyBorder="1" applyAlignment="1" applyProtection="1">
      <alignment horizontal="center"/>
    </xf>
    <xf numFmtId="6" fontId="0" fillId="0" borderId="0" xfId="0" applyNumberFormat="1"/>
    <xf numFmtId="10" fontId="64" fillId="23" borderId="17" xfId="4" applyNumberFormat="1" applyFont="1" applyFill="1" applyBorder="1" applyAlignment="1" applyProtection="1">
      <alignment horizontal="center"/>
      <protection locked="0"/>
    </xf>
    <xf numFmtId="0" fontId="0" fillId="17" borderId="97" xfId="1" applyNumberFormat="1" applyFont="1" applyFill="1" applyBorder="1" applyAlignment="1" applyProtection="1"/>
    <xf numFmtId="0" fontId="0" fillId="23" borderId="97" xfId="1" applyNumberFormat="1" applyFont="1" applyFill="1" applyBorder="1" applyAlignment="1" applyProtection="1"/>
    <xf numFmtId="49" fontId="3" fillId="37" borderId="22" xfId="2" applyNumberFormat="1" applyFont="1" applyFill="1" applyBorder="1" applyAlignment="1" applyProtection="1">
      <alignment horizontal="right" wrapText="1"/>
      <protection locked="0"/>
    </xf>
    <xf numFmtId="0" fontId="90" fillId="0" borderId="0" xfId="9" applyNumberFormat="1" applyFont="1" applyFill="1" applyBorder="1" applyAlignment="1" applyProtection="1"/>
    <xf numFmtId="0" fontId="91" fillId="27" borderId="0" xfId="9" applyNumberFormat="1" applyFont="1" applyFill="1" applyBorder="1" applyAlignment="1" applyProtection="1"/>
    <xf numFmtId="0" fontId="92" fillId="0" borderId="0" xfId="9" applyNumberFormat="1" applyFont="1" applyFill="1" applyBorder="1" applyAlignment="1" applyProtection="1"/>
    <xf numFmtId="0" fontId="93" fillId="27" borderId="0" xfId="9" applyNumberFormat="1" applyFont="1" applyFill="1" applyBorder="1" applyAlignment="1" applyProtection="1"/>
    <xf numFmtId="0" fontId="92" fillId="0" borderId="1" xfId="9" applyNumberFormat="1" applyFont="1" applyFill="1" applyBorder="1" applyAlignment="1" applyProtection="1">
      <alignment wrapText="1"/>
    </xf>
    <xf numFmtId="0" fontId="93" fillId="27" borderId="1" xfId="9" applyNumberFormat="1" applyFont="1" applyFill="1" applyBorder="1" applyAlignment="1" applyProtection="1">
      <alignment wrapText="1"/>
    </xf>
    <xf numFmtId="0" fontId="92" fillId="0" borderId="1" xfId="9" quotePrefix="1" applyNumberFormat="1" applyFont="1" applyFill="1" applyBorder="1" applyAlignment="1" applyProtection="1">
      <alignment wrapText="1"/>
    </xf>
    <xf numFmtId="0" fontId="2" fillId="0" borderId="22" xfId="0" applyFont="1" applyFill="1" applyBorder="1" applyAlignment="1" applyProtection="1">
      <alignment horizontal="center"/>
    </xf>
    <xf numFmtId="173" fontId="2" fillId="0" borderId="22" xfId="0" applyNumberFormat="1" applyFont="1" applyFill="1" applyBorder="1" applyAlignment="1" applyProtection="1">
      <alignment horizontal="center"/>
    </xf>
    <xf numFmtId="5" fontId="2" fillId="0" borderId="22" xfId="3" applyNumberFormat="1" applyFont="1" applyFill="1" applyBorder="1" applyAlignment="1" applyProtection="1"/>
    <xf numFmtId="5" fontId="2" fillId="23" borderId="97" xfId="3" applyNumberFormat="1" applyFont="1" applyFill="1" applyBorder="1" applyAlignment="1" applyProtection="1">
      <alignment vertical="center"/>
      <protection locked="0"/>
    </xf>
    <xf numFmtId="164" fontId="90" fillId="0" borderId="0" xfId="3" applyNumberFormat="1" applyFont="1" applyFill="1" applyBorder="1" applyAlignment="1" applyProtection="1"/>
    <xf numFmtId="164" fontId="92" fillId="0" borderId="0" xfId="3" applyNumberFormat="1" applyFont="1" applyFill="1" applyBorder="1" applyAlignment="1" applyProtection="1"/>
    <xf numFmtId="164" fontId="92" fillId="0" borderId="1" xfId="3" applyNumberFormat="1" applyFont="1" applyFill="1" applyBorder="1" applyAlignment="1" applyProtection="1">
      <alignment wrapText="1"/>
    </xf>
    <xf numFmtId="0" fontId="2" fillId="23" borderId="97" xfId="3" applyNumberFormat="1" applyFont="1" applyFill="1" applyBorder="1" applyAlignment="1" applyProtection="1">
      <alignment horizontal="center" vertical="center"/>
      <protection locked="0"/>
    </xf>
    <xf numFmtId="0" fontId="33" fillId="18" borderId="0" xfId="5" applyFill="1" applyBorder="1" applyAlignment="1" applyProtection="1"/>
    <xf numFmtId="0" fontId="2" fillId="0" borderId="22" xfId="0" applyFont="1" applyFill="1" applyBorder="1" applyAlignment="1" applyProtection="1"/>
    <xf numFmtId="0" fontId="105" fillId="18" borderId="62" xfId="0" applyFont="1" applyFill="1" applyBorder="1" applyProtection="1"/>
    <xf numFmtId="0" fontId="106" fillId="18" borderId="0" xfId="0" applyFont="1" applyFill="1" applyAlignment="1" applyProtection="1">
      <alignment horizontal="center"/>
    </xf>
    <xf numFmtId="0" fontId="106" fillId="18" borderId="0" xfId="0" applyFont="1" applyFill="1" applyProtection="1"/>
    <xf numFmtId="167" fontId="106" fillId="27" borderId="0" xfId="4" applyNumberFormat="1" applyFont="1" applyFill="1" applyBorder="1" applyAlignment="1" applyProtection="1"/>
    <xf numFmtId="170" fontId="106" fillId="27" borderId="0" xfId="4" applyNumberFormat="1" applyFont="1" applyFill="1" applyBorder="1" applyAlignment="1" applyProtection="1"/>
    <xf numFmtId="5" fontId="106" fillId="27" borderId="0" xfId="3" applyNumberFormat="1" applyFont="1" applyFill="1" applyBorder="1" applyAlignment="1" applyProtection="1"/>
    <xf numFmtId="10" fontId="106" fillId="27" borderId="0" xfId="4" applyNumberFormat="1" applyFont="1" applyFill="1" applyBorder="1" applyAlignment="1" applyProtection="1"/>
    <xf numFmtId="9" fontId="106" fillId="18" borderId="0" xfId="4" applyNumberFormat="1" applyFont="1" applyFill="1" applyBorder="1" applyAlignment="1" applyProtection="1">
      <alignment horizontal="right"/>
    </xf>
    <xf numFmtId="170" fontId="106" fillId="18" borderId="0" xfId="0" applyNumberFormat="1" applyFont="1" applyFill="1" applyProtection="1"/>
    <xf numFmtId="0" fontId="42" fillId="18" borderId="0" xfId="0" applyFont="1" applyFill="1" applyProtection="1"/>
    <xf numFmtId="0" fontId="0" fillId="18" borderId="0" xfId="0" applyFill="1" applyAlignment="1" applyProtection="1">
      <alignment horizontal="center"/>
    </xf>
    <xf numFmtId="0" fontId="0" fillId="18" borderId="0" xfId="0" applyFill="1" applyProtection="1"/>
    <xf numFmtId="167" fontId="0" fillId="27" borderId="0" xfId="4" applyNumberFormat="1" applyFont="1" applyFill="1" applyBorder="1" applyAlignment="1" applyProtection="1"/>
    <xf numFmtId="170" fontId="0" fillId="27" borderId="0" xfId="4" applyNumberFormat="1" applyFont="1" applyFill="1" applyBorder="1" applyAlignment="1" applyProtection="1"/>
    <xf numFmtId="5" fontId="0" fillId="27" borderId="0" xfId="3" applyNumberFormat="1" applyFont="1" applyFill="1" applyBorder="1" applyAlignment="1" applyProtection="1"/>
    <xf numFmtId="10" fontId="0" fillId="27" borderId="0" xfId="4" applyNumberFormat="1" applyFont="1" applyFill="1" applyBorder="1" applyAlignment="1" applyProtection="1"/>
    <xf numFmtId="9" fontId="0" fillId="18" borderId="0" xfId="4" applyNumberFormat="1" applyFont="1" applyFill="1" applyBorder="1" applyAlignment="1" applyProtection="1">
      <alignment horizontal="right"/>
    </xf>
    <xf numFmtId="170" fontId="0" fillId="18" borderId="0" xfId="0" applyNumberFormat="1" applyFill="1" applyProtection="1"/>
    <xf numFmtId="0" fontId="96" fillId="18" borderId="0" xfId="0" applyFont="1" applyFill="1" applyBorder="1" applyAlignment="1" applyProtection="1"/>
    <xf numFmtId="0" fontId="0" fillId="18" borderId="22" xfId="0" applyNumberFormat="1" applyFill="1" applyBorder="1" applyAlignment="1" applyProtection="1"/>
    <xf numFmtId="0" fontId="0" fillId="18" borderId="0" xfId="0" applyFill="1" applyAlignment="1" applyProtection="1"/>
    <xf numFmtId="167" fontId="0" fillId="27" borderId="0" xfId="4" applyNumberFormat="1" applyFont="1" applyFill="1" applyBorder="1" applyAlignment="1" applyProtection="1"/>
    <xf numFmtId="170" fontId="0" fillId="27" borderId="0" xfId="4" applyNumberFormat="1" applyFont="1" applyFill="1" applyBorder="1" applyAlignment="1" applyProtection="1"/>
    <xf numFmtId="5" fontId="0" fillId="27" borderId="0" xfId="3" applyNumberFormat="1" applyFont="1" applyFill="1" applyBorder="1" applyAlignment="1" applyProtection="1"/>
    <xf numFmtId="10" fontId="0" fillId="27" borderId="0" xfId="4" applyNumberFormat="1" applyFont="1" applyFill="1" applyBorder="1" applyAlignment="1" applyProtection="1"/>
    <xf numFmtId="170" fontId="0" fillId="18" borderId="0" xfId="0" applyNumberFormat="1" applyFill="1" applyAlignment="1" applyProtection="1"/>
    <xf numFmtId="0" fontId="0" fillId="18" borderId="22" xfId="0" applyNumberFormat="1" applyFill="1" applyBorder="1" applyAlignment="1" applyProtection="1">
      <alignment horizontal="center"/>
    </xf>
    <xf numFmtId="170" fontId="0" fillId="27" borderId="0" xfId="0" applyNumberFormat="1" applyFill="1" applyAlignment="1" applyProtection="1"/>
    <xf numFmtId="0" fontId="0" fillId="27" borderId="0" xfId="0" applyFill="1" applyAlignment="1" applyProtection="1"/>
    <xf numFmtId="10" fontId="0" fillId="27" borderId="0" xfId="0" applyNumberFormat="1" applyFill="1" applyAlignment="1" applyProtection="1"/>
    <xf numFmtId="9" fontId="0" fillId="18" borderId="0" xfId="4" applyNumberFormat="1" applyFont="1" applyFill="1" applyBorder="1" applyAlignment="1" applyProtection="1"/>
    <xf numFmtId="0" fontId="96" fillId="18" borderId="0" xfId="0" applyFont="1" applyFill="1" applyBorder="1" applyAlignment="1" applyProtection="1">
      <alignment wrapText="1"/>
    </xf>
    <xf numFmtId="167" fontId="0" fillId="18" borderId="22" xfId="4" applyNumberFormat="1" applyFont="1" applyFill="1" applyBorder="1" applyAlignment="1" applyProtection="1">
      <alignment horizontal="center"/>
    </xf>
    <xf numFmtId="170" fontId="0" fillId="27" borderId="0" xfId="8" applyNumberFormat="1" applyFont="1" applyFill="1" applyBorder="1" applyAlignment="1" applyProtection="1"/>
    <xf numFmtId="172" fontId="0" fillId="27" borderId="0" xfId="8" applyNumberFormat="1" applyFont="1" applyFill="1" applyBorder="1" applyAlignment="1" applyProtection="1"/>
    <xf numFmtId="10" fontId="0" fillId="27" borderId="0" xfId="8" applyNumberFormat="1" applyFont="1" applyFill="1" applyBorder="1" applyAlignment="1" applyProtection="1"/>
    <xf numFmtId="172" fontId="0" fillId="18" borderId="0" xfId="8" applyNumberFormat="1" applyFont="1" applyFill="1" applyBorder="1" applyAlignment="1" applyProtection="1"/>
    <xf numFmtId="167" fontId="44" fillId="27" borderId="97" xfId="4" applyNumberFormat="1" applyFont="1" applyFill="1" applyBorder="1" applyAlignment="1" applyProtection="1">
      <alignment horizontal="centerContinuous"/>
    </xf>
    <xf numFmtId="170" fontId="0" fillId="27" borderId="97" xfId="4" applyNumberFormat="1" applyFont="1" applyFill="1" applyBorder="1" applyAlignment="1" applyProtection="1">
      <alignment horizontal="centerContinuous"/>
    </xf>
    <xf numFmtId="5" fontId="0" fillId="27" borderId="97" xfId="3" applyNumberFormat="1" applyFont="1" applyFill="1" applyBorder="1" applyAlignment="1" applyProtection="1">
      <alignment horizontal="centerContinuous"/>
    </xf>
    <xf numFmtId="167" fontId="0" fillId="27" borderId="97" xfId="4" applyNumberFormat="1" applyFont="1" applyFill="1" applyBorder="1" applyAlignment="1" applyProtection="1">
      <alignment horizontal="centerContinuous"/>
    </xf>
    <xf numFmtId="10" fontId="0" fillId="27" borderId="97" xfId="4" applyNumberFormat="1" applyFont="1" applyFill="1" applyBorder="1" applyAlignment="1" applyProtection="1">
      <alignment horizontal="centerContinuous"/>
    </xf>
    <xf numFmtId="0" fontId="95" fillId="20" borderId="0" xfId="0" applyFont="1" applyFill="1" applyBorder="1" applyAlignment="1" applyProtection="1">
      <alignment horizontal="center" wrapText="1"/>
    </xf>
    <xf numFmtId="0" fontId="0" fillId="20" borderId="0" xfId="0" applyFill="1" applyProtection="1"/>
    <xf numFmtId="167" fontId="44" fillId="20" borderId="0" xfId="4" applyNumberFormat="1" applyFont="1" applyFill="1" applyBorder="1" applyAlignment="1" applyProtection="1">
      <alignment horizontal="center" wrapText="1"/>
    </xf>
    <xf numFmtId="170" fontId="44" fillId="20" borderId="0" xfId="3" applyNumberFormat="1" applyFont="1" applyFill="1" applyBorder="1" applyAlignment="1" applyProtection="1">
      <alignment horizontal="center" wrapText="1"/>
    </xf>
    <xf numFmtId="5" fontId="44" fillId="20" borderId="0" xfId="3" applyNumberFormat="1" applyFont="1" applyFill="1" applyBorder="1" applyAlignment="1" applyProtection="1">
      <alignment horizontal="center" wrapText="1"/>
    </xf>
    <xf numFmtId="10" fontId="44" fillId="20" borderId="0" xfId="4" applyNumberFormat="1" applyFont="1" applyFill="1" applyBorder="1" applyAlignment="1" applyProtection="1">
      <alignment horizontal="center" wrapText="1"/>
    </xf>
    <xf numFmtId="9" fontId="95" fillId="20" borderId="0" xfId="4" applyNumberFormat="1" applyFont="1" applyFill="1" applyBorder="1" applyAlignment="1" applyProtection="1">
      <alignment horizontal="center" wrapText="1"/>
    </xf>
    <xf numFmtId="170" fontId="95" fillId="20" borderId="0" xfId="0" applyNumberFormat="1" applyFont="1" applyFill="1" applyBorder="1" applyAlignment="1" applyProtection="1">
      <alignment horizontal="center" wrapText="1"/>
    </xf>
    <xf numFmtId="167" fontId="0" fillId="27" borderId="0" xfId="4" quotePrefix="1" applyNumberFormat="1" applyFont="1" applyFill="1" applyBorder="1" applyAlignment="1" applyProtection="1"/>
    <xf numFmtId="170" fontId="0" fillId="27" borderId="0" xfId="4" quotePrefix="1" applyNumberFormat="1" applyFont="1" applyFill="1" applyBorder="1" applyAlignment="1" applyProtection="1"/>
    <xf numFmtId="5" fontId="0" fillId="27" borderId="0" xfId="3" quotePrefix="1" applyNumberFormat="1" applyFont="1" applyFill="1" applyBorder="1" applyAlignment="1" applyProtection="1"/>
    <xf numFmtId="10" fontId="0" fillId="27" borderId="0" xfId="4" quotePrefix="1" applyNumberFormat="1" applyFont="1" applyFill="1" applyBorder="1" applyAlignment="1" applyProtection="1"/>
    <xf numFmtId="9" fontId="0" fillId="18" borderId="22" xfId="4" quotePrefix="1" applyNumberFormat="1" applyFont="1" applyFill="1" applyBorder="1" applyAlignment="1" applyProtection="1">
      <alignment horizontal="right"/>
    </xf>
    <xf numFmtId="170" fontId="0" fillId="18" borderId="22" xfId="0" quotePrefix="1" applyNumberFormat="1" applyFill="1" applyBorder="1" applyProtection="1"/>
    <xf numFmtId="9" fontId="0" fillId="18" borderId="22" xfId="4" applyNumberFormat="1" applyFont="1" applyFill="1" applyBorder="1" applyAlignment="1" applyProtection="1">
      <alignment horizontal="right"/>
    </xf>
    <xf numFmtId="170" fontId="0" fillId="18" borderId="22" xfId="0" applyNumberFormat="1" applyFill="1" applyBorder="1" applyProtection="1"/>
    <xf numFmtId="0" fontId="97" fillId="18" borderId="0" xfId="0" applyFont="1" applyFill="1" applyBorder="1" applyAlignment="1" applyProtection="1">
      <alignment horizontal="right"/>
    </xf>
    <xf numFmtId="5" fontId="16" fillId="0" borderId="93" xfId="3" applyNumberFormat="1" applyFont="1" applyFill="1" applyBorder="1" applyAlignment="1" applyProtection="1"/>
    <xf numFmtId="170" fontId="16" fillId="0" borderId="93" xfId="3" applyNumberFormat="1" applyFont="1" applyFill="1" applyBorder="1" applyAlignment="1" applyProtection="1"/>
    <xf numFmtId="0" fontId="0" fillId="18" borderId="0" xfId="0" applyFill="1" applyBorder="1" applyProtection="1"/>
    <xf numFmtId="0" fontId="30" fillId="18" borderId="0" xfId="0" applyFont="1" applyFill="1" applyBorder="1" applyAlignment="1" applyProtection="1"/>
    <xf numFmtId="0" fontId="0" fillId="16" borderId="0" xfId="0" applyFill="1" applyProtection="1"/>
    <xf numFmtId="0" fontId="0" fillId="16" borderId="0" xfId="0" applyFill="1" applyAlignment="1" applyProtection="1">
      <alignment horizontal="center"/>
    </xf>
    <xf numFmtId="170" fontId="0" fillId="18" borderId="0" xfId="0" applyNumberFormat="1" applyFill="1" applyAlignment="1" applyProtection="1">
      <alignment horizontal="center"/>
    </xf>
    <xf numFmtId="0" fontId="108" fillId="20" borderId="0" xfId="0" applyFont="1" applyFill="1" applyBorder="1" applyAlignment="1" applyProtection="1"/>
    <xf numFmtId="0" fontId="0" fillId="20" borderId="0" xfId="0" applyFill="1" applyBorder="1" applyAlignment="1" applyProtection="1"/>
    <xf numFmtId="167" fontId="0" fillId="20" borderId="0" xfId="4" applyNumberFormat="1" applyFont="1" applyFill="1" applyBorder="1" applyAlignment="1" applyProtection="1"/>
    <xf numFmtId="170" fontId="0" fillId="20" borderId="0" xfId="0" applyNumberFormat="1" applyFill="1" applyBorder="1" applyAlignment="1" applyProtection="1"/>
    <xf numFmtId="10" fontId="0" fillId="20" borderId="0" xfId="0" applyNumberFormat="1" applyFill="1" applyBorder="1" applyAlignment="1" applyProtection="1"/>
    <xf numFmtId="9" fontId="0" fillId="20" borderId="0" xfId="4" applyNumberFormat="1" applyFont="1" applyFill="1" applyBorder="1" applyAlignment="1" applyProtection="1"/>
    <xf numFmtId="0" fontId="0" fillId="20" borderId="0" xfId="0" applyFill="1" applyAlignment="1" applyProtection="1"/>
    <xf numFmtId="166" fontId="4" fillId="18" borderId="0" xfId="0" applyNumberFormat="1" applyFont="1" applyFill="1" applyBorder="1" applyAlignment="1" applyProtection="1"/>
    <xf numFmtId="0" fontId="0" fillId="18" borderId="0" xfId="0" applyFill="1" applyBorder="1" applyAlignment="1" applyProtection="1"/>
    <xf numFmtId="167" fontId="0" fillId="27" borderId="0" xfId="4" applyNumberFormat="1" applyFont="1" applyFill="1" applyBorder="1" applyAlignment="1" applyProtection="1"/>
    <xf numFmtId="170" fontId="0" fillId="27" borderId="0" xfId="0" applyNumberFormat="1" applyFill="1" applyBorder="1" applyAlignment="1" applyProtection="1"/>
    <xf numFmtId="0" fontId="0" fillId="27" borderId="0" xfId="0" applyFill="1" applyBorder="1" applyAlignment="1" applyProtection="1"/>
    <xf numFmtId="10" fontId="0" fillId="27" borderId="0" xfId="0" applyNumberFormat="1" applyFill="1" applyBorder="1" applyAlignment="1" applyProtection="1"/>
    <xf numFmtId="9" fontId="0" fillId="18" borderId="0" xfId="4" applyNumberFormat="1" applyFont="1" applyFill="1" applyBorder="1" applyAlignment="1" applyProtection="1"/>
    <xf numFmtId="0" fontId="4" fillId="18" borderId="0" xfId="0" applyFont="1" applyFill="1" applyBorder="1" applyAlignment="1" applyProtection="1"/>
    <xf numFmtId="0" fontId="2" fillId="18" borderId="0" xfId="0" applyFont="1" applyFill="1" applyBorder="1" applyAlignment="1" applyProtection="1"/>
    <xf numFmtId="0" fontId="2" fillId="18" borderId="0" xfId="0" applyFont="1" applyFill="1" applyBorder="1" applyAlignment="1" applyProtection="1">
      <alignment horizontal="left"/>
    </xf>
    <xf numFmtId="0" fontId="42" fillId="18" borderId="0" xfId="0" applyFont="1" applyFill="1" applyBorder="1" applyAlignment="1" applyProtection="1"/>
    <xf numFmtId="0" fontId="0" fillId="0" borderId="0" xfId="0" applyBorder="1" applyAlignment="1" applyProtection="1"/>
    <xf numFmtId="0" fontId="45" fillId="18" borderId="0" xfId="0" applyFont="1" applyFill="1" applyBorder="1" applyAlignment="1" applyProtection="1"/>
    <xf numFmtId="164" fontId="0" fillId="18" borderId="0" xfId="3" applyNumberFormat="1" applyFont="1" applyFill="1" applyBorder="1" applyAlignment="1" applyProtection="1"/>
    <xf numFmtId="170" fontId="98" fillId="27" borderId="0" xfId="0" applyNumberFormat="1" applyFont="1" applyFill="1" applyBorder="1" applyAlignment="1" applyProtection="1"/>
    <xf numFmtId="0" fontId="99" fillId="40" borderId="97" xfId="0" applyFont="1" applyFill="1" applyBorder="1" applyAlignment="1" applyProtection="1">
      <alignment horizontal="center" wrapText="1"/>
    </xf>
    <xf numFmtId="0" fontId="100" fillId="40" borderId="97" xfId="0" applyFont="1" applyFill="1" applyBorder="1" applyAlignment="1" applyProtection="1">
      <alignment horizontal="center" wrapText="1"/>
    </xf>
    <xf numFmtId="167" fontId="44" fillId="27" borderId="0" xfId="4" applyNumberFormat="1" applyFont="1" applyFill="1" applyBorder="1" applyAlignment="1" applyProtection="1"/>
    <xf numFmtId="0" fontId="10" fillId="27" borderId="0" xfId="0" applyFont="1" applyFill="1" applyBorder="1" applyAlignment="1" applyProtection="1"/>
    <xf numFmtId="0" fontId="101" fillId="18" borderId="166" xfId="0" applyFont="1" applyFill="1" applyBorder="1" applyAlignment="1" applyProtection="1">
      <alignment horizontal="center" vertical="top" wrapText="1"/>
    </xf>
    <xf numFmtId="0" fontId="99" fillId="18" borderId="207" xfId="0" applyFont="1" applyFill="1" applyBorder="1" applyAlignment="1" applyProtection="1">
      <alignment horizontal="center" wrapText="1"/>
    </xf>
    <xf numFmtId="170" fontId="102" fillId="18" borderId="208" xfId="3" applyNumberFormat="1" applyFont="1" applyFill="1" applyBorder="1" applyAlignment="1" applyProtection="1">
      <alignment horizontal="center" wrapText="1"/>
    </xf>
    <xf numFmtId="170" fontId="102" fillId="18" borderId="0" xfId="3" applyNumberFormat="1" applyFont="1" applyFill="1" applyBorder="1" applyAlignment="1" applyProtection="1">
      <alignment horizontal="center" wrapText="1"/>
    </xf>
    <xf numFmtId="167" fontId="98" fillId="27" borderId="0" xfId="4" applyNumberFormat="1" applyFont="1" applyFill="1" applyBorder="1" applyAlignment="1" applyProtection="1"/>
    <xf numFmtId="164" fontId="0" fillId="27" borderId="0" xfId="3" applyNumberFormat="1" applyFont="1" applyFill="1" applyBorder="1" applyAlignment="1" applyProtection="1"/>
    <xf numFmtId="0" fontId="101" fillId="18" borderId="9" xfId="0" applyFont="1" applyFill="1" applyBorder="1" applyAlignment="1" applyProtection="1">
      <alignment horizontal="center" vertical="top" wrapText="1"/>
    </xf>
    <xf numFmtId="0" fontId="99" fillId="18" borderId="210" xfId="0" applyFont="1" applyFill="1" applyBorder="1" applyAlignment="1" applyProtection="1">
      <alignment horizontal="center" wrapText="1"/>
    </xf>
    <xf numFmtId="170" fontId="102" fillId="18" borderId="22" xfId="3" applyNumberFormat="1" applyFont="1" applyFill="1" applyBorder="1" applyAlignment="1" applyProtection="1">
      <alignment horizontal="center" wrapText="1"/>
    </xf>
    <xf numFmtId="0" fontId="101" fillId="18" borderId="12" xfId="0" applyFont="1" applyFill="1" applyBorder="1" applyAlignment="1" applyProtection="1">
      <alignment horizontal="center" vertical="top" wrapText="1"/>
    </xf>
    <xf numFmtId="0" fontId="99" fillId="18" borderId="212" xfId="0" applyFont="1" applyFill="1" applyBorder="1" applyAlignment="1" applyProtection="1">
      <alignment horizontal="center" wrapText="1"/>
    </xf>
    <xf numFmtId="170" fontId="102" fillId="18" borderId="213" xfId="3" applyNumberFormat="1" applyFont="1" applyFill="1" applyBorder="1" applyAlignment="1" applyProtection="1">
      <alignment horizontal="center" wrapText="1"/>
    </xf>
    <xf numFmtId="0" fontId="103" fillId="18" borderId="156" xfId="0" applyFont="1" applyFill="1" applyBorder="1" applyAlignment="1" applyProtection="1">
      <alignment horizontal="center" wrapText="1"/>
    </xf>
    <xf numFmtId="0" fontId="0" fillId="18" borderId="156" xfId="0" applyFill="1" applyBorder="1" applyAlignment="1" applyProtection="1"/>
    <xf numFmtId="0" fontId="104" fillId="18" borderId="156" xfId="0" applyFont="1" applyFill="1" applyBorder="1" applyAlignment="1" applyProtection="1">
      <alignment horizontal="center" wrapText="1"/>
    </xf>
    <xf numFmtId="170" fontId="104" fillId="18" borderId="0" xfId="0" applyNumberFormat="1" applyFont="1" applyFill="1" applyBorder="1" applyAlignment="1" applyProtection="1">
      <alignment horizontal="center" wrapText="1"/>
    </xf>
    <xf numFmtId="0" fontId="98" fillId="27" borderId="0" xfId="0" applyFont="1" applyFill="1" applyBorder="1" applyAlignment="1" applyProtection="1"/>
    <xf numFmtId="0" fontId="0" fillId="18" borderId="0" xfId="0" applyFill="1" applyBorder="1" applyAlignment="1" applyProtection="1">
      <alignment wrapText="1"/>
    </xf>
    <xf numFmtId="167" fontId="0" fillId="27" borderId="0" xfId="4" applyNumberFormat="1" applyFont="1" applyFill="1" applyBorder="1" applyAlignment="1" applyProtection="1">
      <alignment wrapText="1"/>
    </xf>
    <xf numFmtId="170" fontId="0" fillId="27" borderId="0" xfId="0" applyNumberFormat="1" applyFill="1" applyBorder="1" applyAlignment="1" applyProtection="1">
      <alignment wrapText="1"/>
    </xf>
    <xf numFmtId="0" fontId="0" fillId="27" borderId="0" xfId="0" applyFill="1" applyBorder="1" applyAlignment="1" applyProtection="1">
      <alignment wrapText="1"/>
    </xf>
    <xf numFmtId="10" fontId="0" fillId="27" borderId="0" xfId="0" applyNumberFormat="1" applyFill="1" applyBorder="1" applyAlignment="1" applyProtection="1">
      <alignment wrapText="1"/>
    </xf>
    <xf numFmtId="0" fontId="0" fillId="18" borderId="22" xfId="0" applyFill="1" applyBorder="1" applyAlignment="1" applyProtection="1">
      <alignment horizontal="left" indent="1"/>
    </xf>
    <xf numFmtId="0" fontId="0" fillId="18" borderId="0" xfId="0" applyFill="1" applyBorder="1" applyAlignment="1" applyProtection="1">
      <alignment horizontal="left" indent="1"/>
    </xf>
    <xf numFmtId="0" fontId="2" fillId="18" borderId="0" xfId="0" applyFont="1" applyFill="1" applyBorder="1" applyAlignment="1" applyProtection="1">
      <alignment horizontal="right"/>
    </xf>
    <xf numFmtId="0" fontId="107" fillId="20" borderId="0" xfId="0" applyFont="1" applyFill="1" applyBorder="1" applyAlignment="1" applyProtection="1"/>
    <xf numFmtId="0" fontId="2" fillId="20" borderId="0" xfId="0" applyFont="1" applyFill="1" applyBorder="1" applyAlignment="1" applyProtection="1">
      <alignment horizontal="right"/>
    </xf>
    <xf numFmtId="0" fontId="0" fillId="20" borderId="0" xfId="0" applyFill="1" applyBorder="1" applyProtection="1"/>
    <xf numFmtId="0" fontId="0" fillId="20" borderId="0" xfId="0" applyFill="1" applyBorder="1" applyAlignment="1" applyProtection="1">
      <alignment horizontal="center"/>
    </xf>
    <xf numFmtId="167" fontId="0" fillId="20" borderId="0" xfId="4" applyNumberFormat="1" applyFont="1" applyFill="1" applyBorder="1" applyAlignment="1" applyProtection="1"/>
    <xf numFmtId="170" fontId="0" fillId="20" borderId="0" xfId="4" applyNumberFormat="1" applyFont="1" applyFill="1" applyBorder="1" applyAlignment="1" applyProtection="1"/>
    <xf numFmtId="5" fontId="0" fillId="20" borderId="0" xfId="3" applyNumberFormat="1" applyFont="1" applyFill="1" applyBorder="1" applyAlignment="1" applyProtection="1"/>
    <xf numFmtId="10" fontId="0" fillId="20" borderId="0" xfId="4" applyNumberFormat="1" applyFont="1" applyFill="1" applyBorder="1" applyAlignment="1" applyProtection="1"/>
    <xf numFmtId="9" fontId="0" fillId="20" borderId="0" xfId="4" applyNumberFormat="1" applyFont="1" applyFill="1" applyBorder="1" applyAlignment="1" applyProtection="1">
      <alignment horizontal="right"/>
    </xf>
    <xf numFmtId="170" fontId="0" fillId="20" borderId="0" xfId="0" applyNumberFormat="1" applyFill="1" applyBorder="1" applyProtection="1"/>
    <xf numFmtId="9" fontId="30" fillId="18" borderId="0" xfId="0" applyNumberFormat="1" applyFont="1" applyFill="1" applyBorder="1" applyAlignment="1" applyProtection="1"/>
    <xf numFmtId="5" fontId="106" fillId="18" borderId="0" xfId="3" applyNumberFormat="1" applyFont="1" applyFill="1" applyBorder="1" applyAlignment="1" applyProtection="1"/>
    <xf numFmtId="5" fontId="0" fillId="18" borderId="0" xfId="3" applyNumberFormat="1" applyFont="1" applyFill="1" applyBorder="1" applyAlignment="1" applyProtection="1"/>
    <xf numFmtId="5" fontId="96" fillId="18" borderId="0" xfId="3" applyNumberFormat="1" applyFont="1" applyFill="1" applyBorder="1" applyAlignment="1" applyProtection="1"/>
    <xf numFmtId="5" fontId="95" fillId="20" borderId="0" xfId="3" applyNumberFormat="1" applyFont="1" applyFill="1" applyBorder="1" applyAlignment="1" applyProtection="1">
      <alignment horizontal="center" wrapText="1"/>
    </xf>
    <xf numFmtId="5" fontId="0" fillId="18" borderId="0" xfId="3" applyNumberFormat="1" applyFont="1" applyFill="1" applyBorder="1" applyAlignment="1" applyProtection="1"/>
    <xf numFmtId="5" fontId="0" fillId="16" borderId="0" xfId="3" applyNumberFormat="1" applyFont="1" applyFill="1" applyBorder="1" applyAlignment="1" applyProtection="1"/>
    <xf numFmtId="5" fontId="4" fillId="18" borderId="93" xfId="3" applyNumberFormat="1" applyFont="1" applyFill="1" applyBorder="1" applyAlignment="1" applyProtection="1">
      <alignment horizontal="center"/>
    </xf>
    <xf numFmtId="5" fontId="0" fillId="20" borderId="0" xfId="3" applyNumberFormat="1" applyFont="1" applyFill="1" applyBorder="1" applyAlignment="1" applyProtection="1"/>
    <xf numFmtId="5" fontId="0" fillId="18" borderId="0" xfId="3" applyNumberFormat="1" applyFont="1" applyFill="1" applyBorder="1" applyAlignment="1" applyProtection="1"/>
    <xf numFmtId="5" fontId="2" fillId="18" borderId="0" xfId="3" applyNumberFormat="1" applyFont="1" applyFill="1" applyBorder="1" applyAlignment="1" applyProtection="1"/>
    <xf numFmtId="5" fontId="99" fillId="40" borderId="97" xfId="3" applyNumberFormat="1" applyFont="1" applyFill="1" applyBorder="1" applyAlignment="1" applyProtection="1">
      <alignment horizontal="center" wrapText="1"/>
    </xf>
    <xf numFmtId="5" fontId="102" fillId="18" borderId="208" xfId="3" applyNumberFormat="1" applyFont="1" applyFill="1" applyBorder="1" applyAlignment="1" applyProtection="1">
      <alignment horizontal="center" wrapText="1"/>
    </xf>
    <xf numFmtId="5" fontId="102" fillId="18" borderId="22" xfId="3" applyNumberFormat="1" applyFont="1" applyFill="1" applyBorder="1" applyAlignment="1" applyProtection="1">
      <alignment horizontal="center" wrapText="1"/>
    </xf>
    <xf numFmtId="5" fontId="102" fillId="18" borderId="213" xfId="3" applyNumberFormat="1" applyFont="1" applyFill="1" applyBorder="1" applyAlignment="1" applyProtection="1">
      <alignment horizontal="center" wrapText="1"/>
    </xf>
    <xf numFmtId="5" fontId="104" fillId="18" borderId="156" xfId="3" applyNumberFormat="1" applyFont="1" applyFill="1" applyBorder="1" applyAlignment="1" applyProtection="1">
      <alignment horizontal="center" wrapText="1"/>
    </xf>
    <xf numFmtId="5" fontId="2" fillId="20" borderId="0" xfId="3" applyNumberFormat="1" applyFont="1" applyFill="1" applyBorder="1" applyAlignment="1" applyProtection="1"/>
    <xf numFmtId="5" fontId="0" fillId="18" borderId="22" xfId="3" applyNumberFormat="1" applyFont="1" applyFill="1" applyBorder="1" applyAlignment="1" applyProtection="1"/>
    <xf numFmtId="5" fontId="30" fillId="18" borderId="0" xfId="3" applyNumberFormat="1" applyFont="1" applyFill="1" applyBorder="1" applyAlignment="1" applyProtection="1"/>
    <xf numFmtId="5" fontId="0" fillId="18" borderId="156" xfId="3" applyNumberFormat="1" applyFont="1" applyFill="1" applyBorder="1" applyAlignment="1" applyProtection="1"/>
    <xf numFmtId="5" fontId="0" fillId="18" borderId="93" xfId="3" applyNumberFormat="1" applyFont="1" applyFill="1" applyBorder="1" applyAlignment="1" applyProtection="1"/>
    <xf numFmtId="14" fontId="0" fillId="18" borderId="22" xfId="3" applyNumberFormat="1" applyFont="1" applyFill="1" applyBorder="1" applyAlignment="1" applyProtection="1">
      <alignment horizontal="center"/>
    </xf>
    <xf numFmtId="0" fontId="99" fillId="18" borderId="209" xfId="3" applyNumberFormat="1" applyFont="1" applyFill="1" applyBorder="1" applyAlignment="1" applyProtection="1">
      <alignment horizontal="center" wrapText="1"/>
    </xf>
    <xf numFmtId="0" fontId="99" fillId="18" borderId="211" xfId="3" applyNumberFormat="1" applyFont="1" applyFill="1" applyBorder="1" applyAlignment="1" applyProtection="1">
      <alignment horizontal="center" wrapText="1"/>
    </xf>
    <xf numFmtId="0" fontId="99" fillId="18" borderId="214" xfId="3" applyNumberFormat="1" applyFont="1" applyFill="1" applyBorder="1" applyAlignment="1" applyProtection="1">
      <alignment horizontal="center" wrapText="1"/>
    </xf>
    <xf numFmtId="0" fontId="30" fillId="16" borderId="0" xfId="0" applyFont="1" applyFill="1" applyProtection="1"/>
    <xf numFmtId="5" fontId="4" fillId="18" borderId="0" xfId="0" applyNumberFormat="1" applyFont="1" applyFill="1" applyBorder="1" applyAlignment="1" applyProtection="1"/>
    <xf numFmtId="0" fontId="2" fillId="0" borderId="0" xfId="10" applyFont="1" applyBorder="1" applyAlignment="1" applyProtection="1"/>
    <xf numFmtId="0" fontId="4" fillId="0" borderId="1" xfId="10" applyFont="1" applyBorder="1" applyAlignment="1" applyProtection="1">
      <alignment horizontal="center"/>
    </xf>
    <xf numFmtId="0" fontId="4" fillId="0" borderId="0" xfId="10" applyFont="1" applyBorder="1" applyAlignment="1" applyProtection="1"/>
    <xf numFmtId="172" fontId="0" fillId="0" borderId="0" xfId="11" applyNumberFormat="1" applyFont="1" applyBorder="1" applyAlignment="1" applyProtection="1"/>
    <xf numFmtId="167" fontId="0" fillId="0" borderId="0" xfId="4" applyNumberFormat="1" applyFont="1" applyFill="1" applyBorder="1" applyAlignment="1" applyProtection="1"/>
    <xf numFmtId="172" fontId="0" fillId="0" borderId="206" xfId="11" applyNumberFormat="1" applyFont="1" applyBorder="1" applyAlignment="1" applyProtection="1"/>
    <xf numFmtId="167" fontId="0" fillId="0" borderId="206" xfId="4" applyNumberFormat="1" applyFont="1" applyFill="1" applyBorder="1" applyAlignment="1" applyProtection="1"/>
    <xf numFmtId="0" fontId="4" fillId="0" borderId="97" xfId="10" applyFont="1" applyBorder="1" applyAlignment="1" applyProtection="1">
      <alignment horizontal="center"/>
    </xf>
    <xf numFmtId="0" fontId="110" fillId="0" borderId="0" xfId="0" applyFont="1"/>
    <xf numFmtId="0" fontId="111" fillId="0" borderId="0" xfId="0" applyFont="1" applyAlignment="1">
      <alignment vertical="center"/>
    </xf>
    <xf numFmtId="0" fontId="112" fillId="0" borderId="0" xfId="0" applyFont="1" applyAlignment="1">
      <alignment horizontal="left" vertical="center"/>
    </xf>
    <xf numFmtId="0" fontId="18" fillId="0" borderId="67" xfId="1" applyNumberFormat="1" applyFont="1" applyFill="1" applyBorder="1" applyAlignment="1" applyProtection="1">
      <alignment horizontal="right"/>
    </xf>
    <xf numFmtId="0" fontId="18" fillId="0" borderId="67" xfId="1" applyNumberFormat="1" applyFont="1" applyFill="1" applyBorder="1" applyAlignment="1" applyProtection="1">
      <alignment horizontal="center"/>
    </xf>
    <xf numFmtId="0" fontId="113" fillId="0" borderId="0" xfId="0" applyNumberFormat="1" applyFont="1" applyProtection="1">
      <protection locked="0"/>
    </xf>
    <xf numFmtId="0" fontId="113" fillId="0" borderId="0" xfId="0" applyNumberFormat="1" applyFont="1"/>
    <xf numFmtId="0" fontId="5" fillId="2" borderId="30" xfId="1" applyNumberFormat="1" applyFont="1" applyFill="1" applyBorder="1" applyAlignment="1" applyProtection="1">
      <alignment horizontal="left" wrapText="1"/>
    </xf>
    <xf numFmtId="164" fontId="3" fillId="23" borderId="101" xfId="3" applyNumberFormat="1" applyFont="1" applyFill="1" applyBorder="1" applyAlignment="1" applyProtection="1">
      <protection locked="0"/>
    </xf>
    <xf numFmtId="0" fontId="2" fillId="0" borderId="0" xfId="16" applyFont="1" applyAlignment="1" applyProtection="1">
      <alignment wrapText="1"/>
    </xf>
    <xf numFmtId="0" fontId="2" fillId="0" borderId="0" xfId="16" applyProtection="1"/>
    <xf numFmtId="0" fontId="66" fillId="30" borderId="0" xfId="15" applyProtection="1"/>
    <xf numFmtId="174" fontId="0" fillId="0" borderId="0" xfId="13" applyNumberFormat="1" applyFont="1" applyProtection="1"/>
    <xf numFmtId="0" fontId="2" fillId="0" borderId="0" xfId="16"/>
    <xf numFmtId="0" fontId="67" fillId="0" borderId="0" xfId="16" applyFont="1" applyProtection="1"/>
    <xf numFmtId="0" fontId="68" fillId="0" borderId="0" xfId="16" applyFont="1" applyAlignment="1" applyProtection="1">
      <alignment vertical="top"/>
    </xf>
    <xf numFmtId="174" fontId="67" fillId="0" borderId="0" xfId="13" applyNumberFormat="1" applyFont="1" applyProtection="1"/>
    <xf numFmtId="0" fontId="2" fillId="0" borderId="0" xfId="16" applyFont="1" applyProtection="1"/>
    <xf numFmtId="174" fontId="2" fillId="0" borderId="0" xfId="13" applyNumberFormat="1" applyFont="1" applyProtection="1"/>
    <xf numFmtId="0" fontId="67" fillId="0" borderId="0" xfId="16" applyFont="1" applyFill="1" applyProtection="1"/>
    <xf numFmtId="174" fontId="67" fillId="0" borderId="0" xfId="13" applyNumberFormat="1" applyFont="1" applyFill="1" applyProtection="1"/>
    <xf numFmtId="0" fontId="2" fillId="0" borderId="185" xfId="16" applyNumberFormat="1" applyFont="1" applyFill="1" applyBorder="1" applyAlignment="1" applyProtection="1">
      <alignment vertical="center"/>
    </xf>
    <xf numFmtId="0" fontId="2" fillId="0" borderId="186" xfId="16" applyNumberFormat="1" applyFont="1" applyFill="1" applyBorder="1" applyProtection="1"/>
    <xf numFmtId="0" fontId="69" fillId="0" borderId="0" xfId="16" applyFont="1" applyProtection="1"/>
    <xf numFmtId="0" fontId="2" fillId="0" borderId="189" xfId="16" applyNumberFormat="1" applyFont="1" applyFill="1" applyBorder="1" applyProtection="1"/>
    <xf numFmtId="0" fontId="2" fillId="0" borderId="190" xfId="16" applyNumberFormat="1" applyFont="1" applyFill="1" applyBorder="1" applyProtection="1"/>
    <xf numFmtId="175" fontId="30" fillId="0" borderId="37" xfId="17" applyNumberFormat="1" applyFont="1" applyFill="1" applyBorder="1" applyAlignment="1" applyProtection="1">
      <alignment horizontal="left"/>
    </xf>
    <xf numFmtId="175" fontId="2" fillId="0" borderId="191" xfId="17" applyNumberFormat="1" applyFont="1" applyFill="1" applyBorder="1" applyAlignment="1" applyProtection="1">
      <alignment horizontal="center"/>
    </xf>
    <xf numFmtId="166" fontId="2" fillId="0" borderId="37" xfId="17" applyNumberFormat="1" applyFont="1" applyFill="1" applyBorder="1" applyAlignment="1" applyProtection="1">
      <alignment horizontal="left"/>
    </xf>
    <xf numFmtId="0" fontId="2" fillId="0" borderId="37" xfId="12" applyNumberFormat="1" applyFont="1" applyFill="1" applyBorder="1" applyAlignment="1" applyProtection="1">
      <alignment horizontal="left"/>
    </xf>
    <xf numFmtId="9" fontId="2" fillId="0" borderId="191" xfId="14" applyFont="1" applyFill="1" applyBorder="1" applyAlignment="1" applyProtection="1">
      <alignment horizontal="center"/>
    </xf>
    <xf numFmtId="1" fontId="2" fillId="0" borderId="37" xfId="12" applyNumberFormat="1" applyFont="1" applyFill="1" applyBorder="1" applyAlignment="1" applyProtection="1">
      <alignment horizontal="left"/>
    </xf>
    <xf numFmtId="176" fontId="2" fillId="0" borderId="191" xfId="13" applyNumberFormat="1" applyFont="1" applyFill="1" applyBorder="1" applyAlignment="1" applyProtection="1">
      <alignment horizontal="center"/>
    </xf>
    <xf numFmtId="0" fontId="2" fillId="0" borderId="0" xfId="16" applyFont="1"/>
    <xf numFmtId="0" fontId="2" fillId="0" borderId="191" xfId="17" applyNumberFormat="1" applyFont="1" applyFill="1" applyBorder="1" applyAlignment="1" applyProtection="1">
      <alignment horizontal="center"/>
    </xf>
    <xf numFmtId="0" fontId="2" fillId="0" borderId="192" xfId="16" applyNumberFormat="1" applyFont="1" applyFill="1" applyBorder="1" applyProtection="1"/>
    <xf numFmtId="0" fontId="2" fillId="0" borderId="193" xfId="16" applyNumberFormat="1" applyFont="1" applyFill="1" applyBorder="1" applyProtection="1"/>
    <xf numFmtId="1" fontId="2" fillId="0" borderId="194" xfId="17" applyNumberFormat="1" applyFont="1" applyFill="1" applyBorder="1" applyAlignment="1" applyProtection="1">
      <alignment horizontal="left"/>
    </xf>
    <xf numFmtId="176" fontId="2" fillId="0" borderId="195" xfId="13" applyNumberFormat="1" applyFont="1" applyFill="1" applyBorder="1" applyAlignment="1" applyProtection="1">
      <alignment horizontal="center"/>
    </xf>
    <xf numFmtId="174" fontId="4" fillId="31" borderId="121" xfId="13" applyNumberFormat="1" applyFont="1" applyFill="1" applyBorder="1" applyAlignment="1" applyProtection="1">
      <alignment horizontal="centerContinuous"/>
    </xf>
    <xf numFmtId="174" fontId="4" fillId="31" borderId="142" xfId="13" applyNumberFormat="1" applyFont="1" applyFill="1" applyBorder="1" applyAlignment="1" applyProtection="1">
      <alignment horizontal="centerContinuous"/>
    </xf>
    <xf numFmtId="0" fontId="2" fillId="0" borderId="194" xfId="12" applyNumberFormat="1" applyFont="1" applyFill="1" applyBorder="1" applyAlignment="1" applyProtection="1">
      <alignment horizontal="left"/>
    </xf>
    <xf numFmtId="0" fontId="2" fillId="0" borderId="195" xfId="17" applyNumberFormat="1" applyFont="1" applyFill="1" applyBorder="1" applyAlignment="1" applyProtection="1">
      <alignment horizontal="center"/>
    </xf>
    <xf numFmtId="174" fontId="2" fillId="32" borderId="116" xfId="13" applyNumberFormat="1" applyFont="1" applyFill="1" applyBorder="1" applyAlignment="1" applyProtection="1">
      <alignment horizontal="center" wrapText="1"/>
    </xf>
    <xf numFmtId="174" fontId="2" fillId="32" borderId="118" xfId="13" applyNumberFormat="1" applyFont="1" applyFill="1" applyBorder="1" applyAlignment="1" applyProtection="1">
      <alignment horizontal="center" wrapText="1"/>
    </xf>
    <xf numFmtId="174" fontId="4" fillId="33" borderId="116" xfId="13" applyNumberFormat="1" applyFont="1" applyFill="1" applyBorder="1" applyAlignment="1" applyProtection="1"/>
    <xf numFmtId="174" fontId="4" fillId="33" borderId="118" xfId="13" applyNumberFormat="1" applyFont="1" applyFill="1" applyBorder="1" applyAlignment="1" applyProtection="1"/>
    <xf numFmtId="0" fontId="2" fillId="0" borderId="0" xfId="16" applyFont="1" applyFill="1" applyProtection="1"/>
    <xf numFmtId="176" fontId="67" fillId="0" borderId="0" xfId="13" applyNumberFormat="1" applyFont="1" applyFill="1" applyProtection="1"/>
    <xf numFmtId="0" fontId="42" fillId="0" borderId="0" xfId="1" applyNumberFormat="1" applyFont="1" applyFill="1" applyBorder="1" applyAlignment="1" applyProtection="1"/>
    <xf numFmtId="164" fontId="2" fillId="0" borderId="0" xfId="13" applyNumberFormat="1" applyFont="1" applyFill="1" applyBorder="1" applyAlignment="1" applyProtection="1">
      <alignment horizontal="center"/>
      <protection locked="0"/>
    </xf>
    <xf numFmtId="0" fontId="41" fillId="0" borderId="0" xfId="16" applyFont="1" applyProtection="1"/>
    <xf numFmtId="0" fontId="112" fillId="0" borderId="0" xfId="16" applyFont="1" applyProtection="1"/>
    <xf numFmtId="0" fontId="72" fillId="0" borderId="0" xfId="16" applyFont="1" applyProtection="1"/>
    <xf numFmtId="0" fontId="4" fillId="31" borderId="121" xfId="16" applyFont="1" applyFill="1" applyBorder="1" applyAlignment="1" applyProtection="1">
      <alignment horizontal="centerContinuous"/>
    </xf>
    <xf numFmtId="0" fontId="4" fillId="31" borderId="142" xfId="16" applyFont="1" applyFill="1" applyBorder="1" applyAlignment="1" applyProtection="1">
      <alignment horizontal="centerContinuous"/>
    </xf>
    <xf numFmtId="0" fontId="4" fillId="8" borderId="121" xfId="16" applyFont="1" applyFill="1" applyBorder="1" applyAlignment="1" applyProtection="1">
      <alignment horizontal="centerContinuous"/>
    </xf>
    <xf numFmtId="0" fontId="4" fillId="8" borderId="142" xfId="16" applyFont="1" applyFill="1" applyBorder="1" applyAlignment="1" applyProtection="1">
      <alignment horizontal="centerContinuous"/>
    </xf>
    <xf numFmtId="0" fontId="4" fillId="32" borderId="121" xfId="16" applyFont="1" applyFill="1" applyBorder="1" applyAlignment="1" applyProtection="1">
      <alignment horizontal="left" wrapText="1"/>
    </xf>
    <xf numFmtId="0" fontId="4" fillId="32" borderId="121" xfId="16" applyFont="1" applyFill="1" applyBorder="1" applyAlignment="1" applyProtection="1">
      <alignment horizontal="left"/>
    </xf>
    <xf numFmtId="0" fontId="4" fillId="32" borderId="119" xfId="16" applyFont="1" applyFill="1" applyBorder="1" applyAlignment="1" applyProtection="1">
      <alignment horizontal="center" wrapText="1"/>
    </xf>
    <xf numFmtId="0" fontId="4" fillId="32" borderId="142" xfId="16" applyFont="1" applyFill="1" applyBorder="1" applyAlignment="1" applyProtection="1">
      <alignment horizontal="center" wrapText="1"/>
    </xf>
    <xf numFmtId="0" fontId="2" fillId="32" borderId="116" xfId="16" applyFont="1" applyFill="1" applyBorder="1" applyAlignment="1" applyProtection="1">
      <alignment horizontal="center" wrapText="1"/>
    </xf>
    <xf numFmtId="0" fontId="2" fillId="32" borderId="118" xfId="16" applyFont="1" applyFill="1" applyBorder="1" applyAlignment="1" applyProtection="1">
      <alignment horizontal="center" wrapText="1"/>
    </xf>
    <xf numFmtId="0" fontId="2" fillId="2" borderId="116" xfId="16" applyFont="1" applyFill="1" applyBorder="1" applyAlignment="1" applyProtection="1">
      <alignment horizontal="center" wrapText="1"/>
    </xf>
    <xf numFmtId="0" fontId="2" fillId="2" borderId="118" xfId="16" applyFont="1" applyFill="1" applyBorder="1" applyAlignment="1" applyProtection="1">
      <alignment horizontal="center" wrapText="1"/>
    </xf>
    <xf numFmtId="9" fontId="0" fillId="0" borderId="0" xfId="14" applyFont="1" applyProtection="1"/>
    <xf numFmtId="0" fontId="4" fillId="33" borderId="121" xfId="16" applyFont="1" applyFill="1" applyBorder="1" applyAlignment="1" applyProtection="1"/>
    <xf numFmtId="0" fontId="4" fillId="33" borderId="119" xfId="16" applyFont="1" applyFill="1" applyBorder="1" applyAlignment="1" applyProtection="1"/>
    <xf numFmtId="0" fontId="4" fillId="33" borderId="142" xfId="16" applyFont="1" applyFill="1" applyBorder="1" applyAlignment="1" applyProtection="1"/>
    <xf numFmtId="175" fontId="4" fillId="33" borderId="116" xfId="17" applyNumberFormat="1" applyFont="1" applyFill="1" applyBorder="1" applyAlignment="1" applyProtection="1">
      <alignment horizontal="center"/>
    </xf>
    <xf numFmtId="175" fontId="4" fillId="33" borderId="118" xfId="17" applyNumberFormat="1" applyFont="1" applyFill="1" applyBorder="1" applyAlignment="1" applyProtection="1">
      <alignment horizontal="center"/>
    </xf>
    <xf numFmtId="9" fontId="4" fillId="33" borderId="116" xfId="14" applyFont="1" applyFill="1" applyBorder="1" applyAlignment="1" applyProtection="1"/>
    <xf numFmtId="9" fontId="4" fillId="33" borderId="118" xfId="14" applyFont="1" applyFill="1" applyBorder="1" applyAlignment="1" applyProtection="1"/>
    <xf numFmtId="174" fontId="4" fillId="7" borderId="116" xfId="13" applyNumberFormat="1" applyFont="1" applyFill="1" applyBorder="1" applyAlignment="1" applyProtection="1"/>
    <xf numFmtId="174" fontId="4" fillId="7" borderId="118" xfId="13" applyNumberFormat="1" applyFont="1" applyFill="1" applyBorder="1" applyAlignment="1" applyProtection="1"/>
    <xf numFmtId="174" fontId="2" fillId="0" borderId="0" xfId="16" applyNumberFormat="1"/>
    <xf numFmtId="0" fontId="73" fillId="0" borderId="68" xfId="16" applyFont="1" applyBorder="1" applyAlignment="1" applyProtection="1">
      <alignment wrapText="1"/>
    </xf>
    <xf numFmtId="177" fontId="73" fillId="0" borderId="95" xfId="16" applyNumberFormat="1" applyFont="1" applyBorder="1" applyAlignment="1" applyProtection="1">
      <alignment horizontal="center"/>
    </xf>
    <xf numFmtId="177" fontId="73" fillId="0" borderId="111" xfId="16" applyNumberFormat="1" applyFont="1" applyBorder="1" applyAlignment="1" applyProtection="1">
      <alignment horizontal="center"/>
    </xf>
    <xf numFmtId="174" fontId="73" fillId="0" borderId="95" xfId="13" applyNumberFormat="1" applyFont="1" applyBorder="1" applyAlignment="1" applyProtection="1">
      <alignment horizontal="right"/>
    </xf>
    <xf numFmtId="174" fontId="73" fillId="0" borderId="111" xfId="13" applyNumberFormat="1" applyFont="1" applyBorder="1" applyAlignment="1" applyProtection="1">
      <alignment horizontal="right"/>
    </xf>
    <xf numFmtId="167" fontId="73" fillId="0" borderId="95" xfId="14" applyNumberFormat="1" applyFont="1" applyBorder="1" applyAlignment="1" applyProtection="1">
      <alignment horizontal="right"/>
    </xf>
    <xf numFmtId="167" fontId="73" fillId="0" borderId="111" xfId="14" applyNumberFormat="1" applyFont="1" applyBorder="1" applyAlignment="1" applyProtection="1">
      <alignment horizontal="right"/>
    </xf>
    <xf numFmtId="174" fontId="73" fillId="0" borderId="95" xfId="13" applyNumberFormat="1" applyFont="1" applyFill="1" applyBorder="1" applyAlignment="1" applyProtection="1">
      <alignment horizontal="right" wrapText="1"/>
    </xf>
    <xf numFmtId="174" fontId="73" fillId="0" borderId="111" xfId="13" applyNumberFormat="1" applyFont="1" applyFill="1" applyBorder="1" applyAlignment="1" applyProtection="1">
      <alignment horizontal="right" wrapText="1"/>
    </xf>
    <xf numFmtId="174" fontId="73" fillId="0" borderId="95" xfId="13" applyNumberFormat="1" applyFont="1" applyBorder="1" applyAlignment="1" applyProtection="1">
      <alignment horizontal="right" wrapText="1"/>
    </xf>
    <xf numFmtId="174" fontId="73" fillId="0" borderId="111" xfId="13" applyNumberFormat="1" applyFont="1" applyBorder="1" applyAlignment="1" applyProtection="1">
      <alignment horizontal="right" wrapText="1"/>
    </xf>
    <xf numFmtId="0" fontId="2" fillId="0" borderId="0" xfId="16" applyFont="1" applyBorder="1" applyProtection="1"/>
    <xf numFmtId="0" fontId="67" fillId="0" borderId="0" xfId="16" applyFont="1" applyBorder="1" applyProtection="1"/>
    <xf numFmtId="0" fontId="67" fillId="0" borderId="156" xfId="16" applyFont="1" applyBorder="1" applyProtection="1"/>
    <xf numFmtId="0" fontId="67" fillId="0" borderId="156" xfId="16" applyFont="1" applyFill="1" applyBorder="1" applyProtection="1"/>
    <xf numFmtId="174" fontId="67" fillId="0" borderId="156" xfId="13" applyNumberFormat="1" applyFont="1" applyBorder="1" applyProtection="1"/>
    <xf numFmtId="0" fontId="67" fillId="0" borderId="0" xfId="16" applyFont="1" applyFill="1" applyBorder="1" applyProtection="1"/>
    <xf numFmtId="174" fontId="67" fillId="0" borderId="0" xfId="13" applyNumberFormat="1" applyFont="1" applyBorder="1" applyProtection="1"/>
    <xf numFmtId="0" fontId="70" fillId="0" borderId="0" xfId="16" applyFont="1" applyProtection="1"/>
    <xf numFmtId="0" fontId="71" fillId="0" borderId="0" xfId="16" applyFont="1" applyProtection="1"/>
    <xf numFmtId="1" fontId="2" fillId="0" borderId="37" xfId="17" applyNumberFormat="1" applyFont="1" applyFill="1" applyBorder="1" applyAlignment="1" applyProtection="1">
      <alignment horizontal="left"/>
    </xf>
    <xf numFmtId="0" fontId="2" fillId="0" borderId="37" xfId="17" applyNumberFormat="1" applyFont="1" applyFill="1" applyBorder="1" applyAlignment="1" applyProtection="1">
      <alignment horizontal="left"/>
    </xf>
    <xf numFmtId="1" fontId="2" fillId="0" borderId="121" xfId="17" applyNumberFormat="1" applyFont="1" applyFill="1" applyBorder="1" applyAlignment="1" applyProtection="1">
      <alignment horizontal="centerContinuous"/>
    </xf>
    <xf numFmtId="0" fontId="11" fillId="0" borderId="142" xfId="17" applyNumberFormat="1" applyFont="1" applyFill="1" applyBorder="1" applyAlignment="1" applyProtection="1">
      <alignment horizontal="centerContinuous"/>
    </xf>
    <xf numFmtId="0" fontId="2" fillId="0" borderId="189" xfId="17" applyNumberFormat="1" applyFont="1" applyFill="1" applyBorder="1" applyAlignment="1" applyProtection="1">
      <alignment horizontal="left"/>
    </xf>
    <xf numFmtId="0" fontId="2" fillId="0" borderId="190" xfId="17" applyNumberFormat="1" applyFont="1" applyFill="1" applyBorder="1" applyAlignment="1" applyProtection="1">
      <alignment horizontal="left"/>
    </xf>
    <xf numFmtId="0" fontId="2" fillId="0" borderId="92" xfId="17" applyNumberFormat="1" applyFont="1" applyFill="1" applyBorder="1" applyAlignment="1" applyProtection="1">
      <alignment horizontal="left"/>
    </xf>
    <xf numFmtId="0" fontId="11" fillId="0" borderId="191" xfId="17" applyNumberFormat="1" applyFont="1" applyFill="1" applyBorder="1" applyAlignment="1" applyProtection="1">
      <alignment horizontal="center"/>
    </xf>
    <xf numFmtId="0" fontId="2" fillId="0" borderId="194" xfId="17" applyNumberFormat="1" applyFont="1" applyFill="1" applyBorder="1" applyAlignment="1" applyProtection="1">
      <alignment horizontal="left"/>
    </xf>
    <xf numFmtId="1" fontId="2" fillId="0" borderId="194" xfId="17" applyNumberFormat="1" applyFont="1" applyFill="1" applyBorder="1" applyAlignment="1" applyProtection="1">
      <alignment horizontal="centerContinuous"/>
    </xf>
    <xf numFmtId="0" fontId="11" fillId="0" borderId="195" xfId="17" applyNumberFormat="1" applyFont="1" applyFill="1" applyBorder="1" applyAlignment="1" applyProtection="1">
      <alignment horizontal="centerContinuous"/>
    </xf>
    <xf numFmtId="44" fontId="0" fillId="0" borderId="166" xfId="13" applyFont="1" applyBorder="1"/>
    <xf numFmtId="44" fontId="0" fillId="0" borderId="9" xfId="13" applyFont="1" applyBorder="1"/>
    <xf numFmtId="0" fontId="67" fillId="0" borderId="97" xfId="16" applyFont="1" applyBorder="1" applyProtection="1"/>
    <xf numFmtId="164" fontId="67" fillId="23" borderId="97" xfId="13" quotePrefix="1" applyNumberFormat="1" applyFont="1" applyFill="1" applyBorder="1" applyProtection="1"/>
    <xf numFmtId="0" fontId="115" fillId="0" borderId="67" xfId="1" applyNumberFormat="1" applyFont="1" applyFill="1" applyBorder="1" applyAlignment="1" applyProtection="1">
      <alignment horizontal="center"/>
    </xf>
    <xf numFmtId="0" fontId="0" fillId="0" borderId="0" xfId="0" quotePrefix="1" applyNumberFormat="1"/>
    <xf numFmtId="0" fontId="12" fillId="0" borderId="0" xfId="1" applyNumberFormat="1" applyFont="1" applyFill="1" applyBorder="1" applyAlignment="1" applyProtection="1">
      <alignment horizontal="right" wrapText="1"/>
    </xf>
    <xf numFmtId="0" fontId="119" fillId="0" borderId="0" xfId="18" applyFont="1"/>
    <xf numFmtId="0" fontId="1" fillId="0" borderId="0" xfId="18"/>
    <xf numFmtId="0" fontId="118" fillId="0" borderId="0" xfId="18" applyFont="1"/>
    <xf numFmtId="0" fontId="118" fillId="41" borderId="0" xfId="18" applyFont="1" applyFill="1" applyAlignment="1">
      <alignment horizontal="center" vertical="center"/>
    </xf>
    <xf numFmtId="172" fontId="0" fillId="23" borderId="97" xfId="19" applyNumberFormat="1" applyFont="1" applyFill="1" applyBorder="1"/>
    <xf numFmtId="43" fontId="0" fillId="0" borderId="97" xfId="19" applyNumberFormat="1" applyFont="1" applyBorder="1"/>
    <xf numFmtId="0" fontId="110" fillId="0" borderId="0" xfId="0" applyFont="1" applyFill="1"/>
    <xf numFmtId="0" fontId="4" fillId="23" borderId="93" xfId="0" applyFont="1" applyFill="1" applyBorder="1" applyAlignment="1" applyProtection="1">
      <alignment vertical="center" wrapText="1"/>
      <protection locked="0"/>
    </xf>
    <xf numFmtId="5" fontId="4" fillId="23" borderId="93" xfId="3" applyNumberFormat="1" applyFont="1" applyFill="1" applyBorder="1" applyAlignment="1" applyProtection="1">
      <alignment vertical="center" wrapText="1"/>
      <protection locked="0"/>
    </xf>
    <xf numFmtId="0" fontId="121" fillId="0" borderId="0" xfId="0" applyFont="1" applyAlignment="1">
      <alignment vertical="center"/>
    </xf>
    <xf numFmtId="0" fontId="18" fillId="3" borderId="67" xfId="1" quotePrefix="1" applyNumberFormat="1" applyFont="1" applyFill="1" applyBorder="1" applyAlignment="1" applyProtection="1">
      <protection locked="0"/>
    </xf>
    <xf numFmtId="0" fontId="0" fillId="5" borderId="9" xfId="1" applyNumberFormat="1" applyFont="1" applyFill="1" applyBorder="1" applyAlignment="1" applyProtection="1">
      <alignment horizontal="center"/>
    </xf>
    <xf numFmtId="0" fontId="0" fillId="5" borderId="97" xfId="1" applyNumberFormat="1" applyFont="1" applyFill="1" applyBorder="1" applyAlignment="1" applyProtection="1">
      <alignment horizontal="center"/>
    </xf>
    <xf numFmtId="0" fontId="2" fillId="5" borderId="166" xfId="1" applyNumberFormat="1" applyFont="1" applyFill="1" applyBorder="1" applyAlignment="1" applyProtection="1">
      <alignment horizontal="center"/>
    </xf>
    <xf numFmtId="0" fontId="2" fillId="0" borderId="97" xfId="1" applyNumberFormat="1" applyFont="1" applyFill="1" applyBorder="1" applyAlignment="1" applyProtection="1"/>
    <xf numFmtId="0" fontId="0" fillId="0" borderId="97" xfId="1" applyNumberFormat="1" applyFont="1" applyFill="1" applyBorder="1" applyAlignment="1" applyProtection="1"/>
    <xf numFmtId="170" fontId="2" fillId="3" borderId="166" xfId="3" applyNumberFormat="1" applyFont="1" applyFill="1" applyBorder="1" applyAlignment="1" applyProtection="1">
      <alignment horizontal="right"/>
      <protection locked="0"/>
    </xf>
    <xf numFmtId="0" fontId="27" fillId="0" borderId="200" xfId="0" applyNumberFormat="1" applyFont="1" applyFill="1" applyBorder="1" applyProtection="1">
      <protection locked="0"/>
    </xf>
    <xf numFmtId="0" fontId="0" fillId="0" borderId="0" xfId="0" applyNumberFormat="1" applyFill="1" applyBorder="1" applyProtection="1">
      <protection locked="0"/>
    </xf>
    <xf numFmtId="6" fontId="2" fillId="0" borderId="6" xfId="3" applyNumberFormat="1" applyFont="1" applyFill="1" applyBorder="1" applyAlignment="1" applyProtection="1">
      <protection locked="0"/>
    </xf>
    <xf numFmtId="0" fontId="2" fillId="0" borderId="156" xfId="1" applyNumberFormat="1" applyFont="1" applyFill="1" applyBorder="1" applyAlignment="1" applyProtection="1">
      <protection locked="0"/>
    </xf>
    <xf numFmtId="0" fontId="2" fillId="0" borderId="0" xfId="0" quotePrefix="1" applyFont="1" applyAlignment="1">
      <alignment wrapText="1"/>
    </xf>
    <xf numFmtId="0" fontId="0" fillId="0" borderId="166" xfId="0" applyBorder="1"/>
    <xf numFmtId="0" fontId="2" fillId="0" borderId="9" xfId="0" applyFont="1" applyBorder="1"/>
    <xf numFmtId="0" fontId="2" fillId="0" borderId="12" xfId="0" applyFont="1" applyBorder="1"/>
    <xf numFmtId="0" fontId="2" fillId="0" borderId="97" xfId="0" quotePrefix="1" applyFont="1" applyBorder="1"/>
    <xf numFmtId="0" fontId="0" fillId="0" borderId="0" xfId="0" applyBorder="1"/>
    <xf numFmtId="0" fontId="2" fillId="0" borderId="0" xfId="0" quotePrefix="1" applyFont="1" applyBorder="1"/>
    <xf numFmtId="0" fontId="2" fillId="0" borderId="0" xfId="0" applyFont="1" applyAlignment="1">
      <alignment horizontal="left" wrapText="1" indent="1"/>
    </xf>
    <xf numFmtId="14" fontId="122" fillId="0" borderId="0" xfId="1" applyNumberFormat="1" applyFont="1" applyFill="1" applyBorder="1" applyAlignment="1" applyProtection="1">
      <alignment horizontal="center"/>
    </xf>
    <xf numFmtId="0" fontId="122" fillId="0" borderId="0" xfId="1" applyNumberFormat="1" applyFont="1" applyFill="1" applyBorder="1" applyAlignment="1" applyProtection="1">
      <alignment horizontal="center"/>
    </xf>
    <xf numFmtId="14" fontId="2" fillId="39" borderId="0" xfId="0" applyNumberFormat="1" applyFont="1" applyFill="1"/>
    <xf numFmtId="0" fontId="30" fillId="0" borderId="0" xfId="1" applyNumberFormat="1" applyFont="1" applyFill="1" applyBorder="1" applyAlignment="1" applyProtection="1">
      <protection locked="0"/>
    </xf>
    <xf numFmtId="0" fontId="16" fillId="2" borderId="31" xfId="1" applyNumberFormat="1" applyFont="1" applyFill="1" applyBorder="1" applyAlignment="1" applyProtection="1">
      <alignment horizontal="center"/>
    </xf>
    <xf numFmtId="0" fontId="18" fillId="3" borderId="67" xfId="0" applyNumberFormat="1" applyFont="1" applyFill="1" applyBorder="1" applyAlignment="1" applyProtection="1">
      <protection locked="0"/>
    </xf>
    <xf numFmtId="0" fontId="3" fillId="44" borderId="22" xfId="1" applyNumberFormat="1" applyFont="1" applyFill="1" applyBorder="1" applyAlignment="1" applyProtection="1">
      <alignment horizontal="left" wrapText="1"/>
      <protection locked="0"/>
    </xf>
    <xf numFmtId="4" fontId="3" fillId="37" borderId="0" xfId="2" applyNumberFormat="1" applyFont="1" applyFill="1" applyBorder="1" applyAlignment="1" applyProtection="1">
      <alignment horizontal="right" wrapText="1"/>
      <protection locked="0"/>
    </xf>
    <xf numFmtId="181" fontId="3" fillId="3" borderId="22" xfId="1" applyNumberFormat="1" applyFont="1" applyFill="1" applyBorder="1" applyAlignment="1" applyProtection="1">
      <alignment wrapText="1"/>
      <protection locked="0"/>
    </xf>
    <xf numFmtId="181" fontId="3" fillId="3" borderId="44" xfId="1" applyNumberFormat="1" applyFont="1" applyFill="1" applyBorder="1" applyAlignment="1" applyProtection="1">
      <alignment horizontal="right" wrapText="1"/>
      <protection locked="0"/>
    </xf>
    <xf numFmtId="181" fontId="3" fillId="3" borderId="22" xfId="1" applyNumberFormat="1" applyFont="1" applyFill="1" applyBorder="1" applyAlignment="1" applyProtection="1">
      <alignment horizontal="right" wrapText="1"/>
      <protection locked="0"/>
    </xf>
    <xf numFmtId="181" fontId="3" fillId="3" borderId="30" xfId="1" applyNumberFormat="1" applyFont="1" applyFill="1" applyBorder="1" applyAlignment="1" applyProtection="1">
      <alignment horizontal="right" wrapText="1"/>
      <protection locked="0"/>
    </xf>
    <xf numFmtId="182" fontId="3" fillId="3" borderId="30" xfId="1" applyNumberFormat="1" applyFont="1" applyFill="1" applyBorder="1" applyAlignment="1" applyProtection="1">
      <alignment wrapText="1"/>
      <protection locked="0"/>
    </xf>
    <xf numFmtId="181" fontId="3" fillId="3" borderId="37" xfId="1" applyNumberFormat="1" applyFont="1" applyFill="1" applyBorder="1" applyAlignment="1" applyProtection="1">
      <alignment wrapText="1"/>
      <protection locked="0"/>
    </xf>
    <xf numFmtId="181" fontId="3" fillId="3" borderId="49" xfId="1" applyNumberFormat="1" applyFont="1" applyFill="1" applyBorder="1" applyAlignment="1" applyProtection="1">
      <alignment horizontal="right" wrapText="1"/>
      <protection locked="0"/>
    </xf>
    <xf numFmtId="9" fontId="16" fillId="3" borderId="33" xfId="4" applyNumberFormat="1" applyFont="1" applyFill="1" applyBorder="1" applyAlignment="1" applyProtection="1">
      <alignment horizontal="right"/>
      <protection locked="0"/>
    </xf>
    <xf numFmtId="44" fontId="16" fillId="3" borderId="33" xfId="3" applyNumberFormat="1" applyFont="1" applyFill="1" applyBorder="1" applyAlignment="1" applyProtection="1">
      <alignment horizontal="right"/>
      <protection locked="0"/>
    </xf>
    <xf numFmtId="44" fontId="16" fillId="3" borderId="56" xfId="3" applyNumberFormat="1" applyFont="1" applyFill="1" applyBorder="1" applyAlignment="1" applyProtection="1">
      <alignment horizontal="right"/>
      <protection locked="0"/>
    </xf>
    <xf numFmtId="181" fontId="3" fillId="3" borderId="57" xfId="1" applyNumberFormat="1" applyFont="1" applyFill="1" applyBorder="1" applyAlignment="1" applyProtection="1">
      <alignment wrapText="1"/>
      <protection locked="0"/>
    </xf>
    <xf numFmtId="181" fontId="3" fillId="0" borderId="22" xfId="1" applyNumberFormat="1" applyFont="1" applyFill="1" applyBorder="1" applyAlignment="1" applyProtection="1">
      <alignment horizontal="right" wrapText="1"/>
      <protection locked="0"/>
    </xf>
    <xf numFmtId="0" fontId="20" fillId="0" borderId="217" xfId="1" applyNumberFormat="1" applyFont="1" applyFill="1" applyBorder="1" applyAlignment="1" applyProtection="1">
      <protection locked="0"/>
    </xf>
    <xf numFmtId="44" fontId="20" fillId="0" borderId="217" xfId="3" applyNumberFormat="1" applyFont="1" applyFill="1" applyBorder="1" applyAlignment="1" applyProtection="1">
      <protection locked="0"/>
    </xf>
    <xf numFmtId="0" fontId="20" fillId="0" borderId="217" xfId="3" applyNumberFormat="1" applyFont="1" applyFill="1" applyBorder="1" applyAlignment="1" applyProtection="1">
      <protection locked="0"/>
    </xf>
    <xf numFmtId="181" fontId="126" fillId="0" borderId="0" xfId="0" applyNumberFormat="1" applyFont="1"/>
    <xf numFmtId="0" fontId="126" fillId="0" borderId="0" xfId="0" applyFont="1"/>
    <xf numFmtId="0" fontId="126" fillId="0" borderId="0" xfId="0" applyNumberFormat="1" applyFont="1"/>
    <xf numFmtId="0" fontId="127" fillId="0" borderId="36" xfId="1" applyNumberFormat="1" applyFont="1" applyFill="1" applyBorder="1" applyAlignment="1" applyProtection="1"/>
    <xf numFmtId="0" fontId="127" fillId="0" borderId="217" xfId="1" applyNumberFormat="1" applyFont="1" applyFill="1" applyBorder="1" applyAlignment="1" applyProtection="1"/>
    <xf numFmtId="181" fontId="127" fillId="0" borderId="217" xfId="3" applyNumberFormat="1" applyFont="1" applyFill="1" applyBorder="1" applyAlignment="1" applyProtection="1">
      <protection locked="0"/>
    </xf>
    <xf numFmtId="0" fontId="127" fillId="0" borderId="36" xfId="3" applyNumberFormat="1" applyFont="1" applyFill="1" applyBorder="1" applyAlignment="1" applyProtection="1">
      <protection locked="0"/>
    </xf>
    <xf numFmtId="0" fontId="126" fillId="0" borderId="2" xfId="0" applyFont="1" applyBorder="1"/>
    <xf numFmtId="181" fontId="126" fillId="0" borderId="2" xfId="0" applyNumberFormat="1" applyFont="1" applyBorder="1"/>
    <xf numFmtId="0" fontId="126" fillId="0" borderId="218" xfId="0" applyNumberFormat="1" applyFont="1" applyBorder="1"/>
    <xf numFmtId="0" fontId="0" fillId="0" borderId="218" xfId="0" applyNumberFormat="1" applyBorder="1"/>
    <xf numFmtId="0" fontId="2" fillId="0" borderId="0" xfId="0" applyFont="1" applyFill="1" applyAlignment="1">
      <alignment wrapText="1"/>
    </xf>
    <xf numFmtId="0" fontId="4" fillId="13" borderId="181" xfId="1" applyNumberFormat="1" applyFont="1" applyFill="1" applyBorder="1" applyAlignment="1" applyProtection="1">
      <alignment horizontal="center"/>
    </xf>
    <xf numFmtId="0" fontId="4" fillId="13" borderId="219" xfId="1" applyNumberFormat="1" applyFont="1" applyFill="1" applyBorder="1" applyAlignment="1" applyProtection="1">
      <alignment horizontal="center"/>
    </xf>
    <xf numFmtId="0" fontId="4" fillId="13" borderId="181" xfId="1" applyNumberFormat="1" applyFont="1" applyFill="1" applyBorder="1" applyAlignment="1" applyProtection="1">
      <alignment horizontal="left"/>
    </xf>
    <xf numFmtId="0" fontId="2" fillId="0" borderId="7" xfId="0" applyFont="1" applyBorder="1" applyAlignment="1" applyProtection="1">
      <alignment horizontal="center"/>
      <protection locked="0"/>
    </xf>
    <xf numFmtId="0" fontId="2" fillId="0" borderId="2" xfId="0" applyFont="1" applyBorder="1" applyAlignment="1" applyProtection="1">
      <alignment horizontal="center"/>
      <protection locked="0"/>
    </xf>
    <xf numFmtId="0" fontId="2" fillId="0" borderId="8" xfId="0" applyFont="1" applyBorder="1" applyAlignment="1" applyProtection="1">
      <alignment horizontal="center"/>
      <protection locked="0"/>
    </xf>
    <xf numFmtId="0" fontId="2" fillId="0" borderId="5" xfId="0" applyFont="1" applyBorder="1" applyAlignment="1" applyProtection="1">
      <alignment horizontal="center"/>
      <protection locked="0"/>
    </xf>
    <xf numFmtId="0" fontId="128" fillId="45" borderId="166" xfId="0" applyFont="1" applyFill="1" applyBorder="1" applyAlignment="1">
      <alignment horizontal="center"/>
    </xf>
    <xf numFmtId="0" fontId="128" fillId="45" borderId="9" xfId="0" applyFont="1" applyFill="1" applyBorder="1" applyAlignment="1">
      <alignment horizontal="center"/>
    </xf>
    <xf numFmtId="0" fontId="128" fillId="45" borderId="12" xfId="0" applyFont="1" applyFill="1" applyBorder="1" applyAlignment="1">
      <alignment horizontal="center"/>
    </xf>
    <xf numFmtId="0" fontId="60" fillId="5" borderId="0" xfId="0" applyFont="1" applyFill="1" applyAlignment="1">
      <alignment horizontal="right"/>
    </xf>
    <xf numFmtId="0" fontId="60" fillId="5" borderId="0" xfId="0" applyFont="1" applyFill="1" applyBorder="1" applyAlignment="1">
      <alignment horizontal="right"/>
    </xf>
    <xf numFmtId="1" fontId="16" fillId="5" borderId="0" xfId="0" applyNumberFormat="1" applyFont="1" applyFill="1" applyBorder="1" applyAlignment="1">
      <alignment horizontal="right"/>
    </xf>
    <xf numFmtId="0" fontId="36" fillId="27" borderId="0" xfId="0" applyFont="1" applyFill="1" applyBorder="1"/>
    <xf numFmtId="1" fontId="2" fillId="27" borderId="0" xfId="0" applyNumberFormat="1" applyFont="1" applyFill="1" applyBorder="1"/>
    <xf numFmtId="1" fontId="2" fillId="27" borderId="0" xfId="0" applyNumberFormat="1" applyFont="1" applyFill="1" applyBorder="1" applyAlignment="1">
      <alignment horizontal="center"/>
    </xf>
    <xf numFmtId="0" fontId="49" fillId="27" borderId="0" xfId="0" applyFont="1" applyFill="1" applyBorder="1"/>
    <xf numFmtId="0" fontId="16" fillId="5" borderId="0" xfId="0" applyFont="1" applyFill="1" applyBorder="1"/>
    <xf numFmtId="0" fontId="130" fillId="5" borderId="0" xfId="0" applyFont="1" applyFill="1" applyBorder="1" applyAlignment="1">
      <alignment horizontal="right"/>
    </xf>
    <xf numFmtId="0" fontId="16" fillId="27" borderId="0" xfId="0" applyFont="1" applyFill="1" applyBorder="1"/>
    <xf numFmtId="1" fontId="10" fillId="27" borderId="0" xfId="0" applyNumberFormat="1" applyFont="1" applyFill="1" applyBorder="1"/>
    <xf numFmtId="1" fontId="10" fillId="27" borderId="0" xfId="0" applyNumberFormat="1" applyFont="1" applyFill="1" applyBorder="1" applyAlignment="1">
      <alignment horizontal="center"/>
    </xf>
    <xf numFmtId="0" fontId="60" fillId="5" borderId="0" xfId="0" applyFont="1" applyFill="1" applyAlignment="1"/>
    <xf numFmtId="0" fontId="60" fillId="5" borderId="0" xfId="0" applyFont="1" applyFill="1" applyBorder="1" applyAlignment="1"/>
    <xf numFmtId="0" fontId="131" fillId="26" borderId="0" xfId="0" applyFont="1" applyFill="1"/>
    <xf numFmtId="1" fontId="16" fillId="5" borderId="0" xfId="0" applyNumberFormat="1" applyFont="1" applyFill="1" applyBorder="1" applyAlignment="1"/>
    <xf numFmtId="0" fontId="60" fillId="5" borderId="7" xfId="0" applyFont="1" applyFill="1" applyBorder="1" applyAlignment="1"/>
    <xf numFmtId="0" fontId="60" fillId="5" borderId="2" xfId="0" applyFont="1" applyFill="1" applyBorder="1" applyAlignment="1">
      <alignment horizontal="right"/>
    </xf>
    <xf numFmtId="0" fontId="0" fillId="18" borderId="142" xfId="0" applyFill="1" applyBorder="1" applyAlignment="1">
      <alignment horizontal="centerContinuous"/>
    </xf>
    <xf numFmtId="0" fontId="87" fillId="5" borderId="0" xfId="0" applyFont="1" applyFill="1" applyBorder="1" applyAlignment="1"/>
    <xf numFmtId="0" fontId="0" fillId="0" borderId="121" xfId="0" applyBorder="1" applyAlignment="1">
      <alignment horizontal="centerContinuous"/>
    </xf>
    <xf numFmtId="0" fontId="116" fillId="0" borderId="0" xfId="0" applyFont="1" applyProtection="1">
      <protection locked="0"/>
    </xf>
    <xf numFmtId="0" fontId="14" fillId="0" borderId="0" xfId="1" applyNumberFormat="1" applyFont="1" applyFill="1" applyBorder="1" applyAlignment="1" applyProtection="1">
      <alignment horizontal="left" indent="1"/>
    </xf>
    <xf numFmtId="0" fontId="14" fillId="0" borderId="0" xfId="1" applyNumberFormat="1" applyFont="1" applyFill="1" applyBorder="1" applyAlignment="1" applyProtection="1">
      <alignment horizontal="left" indent="4"/>
    </xf>
    <xf numFmtId="0" fontId="133" fillId="0" borderId="0" xfId="1" applyNumberFormat="1" applyFont="1" applyFill="1" applyBorder="1" applyAlignment="1" applyProtection="1">
      <alignment horizontal="left" wrapText="1"/>
    </xf>
    <xf numFmtId="171" fontId="134" fillId="0" borderId="0" xfId="1" quotePrefix="1" applyNumberFormat="1" applyFont="1" applyFill="1" applyBorder="1" applyAlignment="1" applyProtection="1">
      <alignment horizontal="left" wrapText="1"/>
      <protection locked="0"/>
    </xf>
    <xf numFmtId="171" fontId="134" fillId="0" borderId="0" xfId="1" applyNumberFormat="1" applyFont="1" applyFill="1" applyBorder="1" applyAlignment="1" applyProtection="1">
      <alignment horizontal="left" wrapText="1"/>
      <protection locked="0"/>
    </xf>
    <xf numFmtId="179" fontId="134" fillId="0" borderId="0" xfId="1" applyNumberFormat="1" applyFont="1" applyFill="1" applyBorder="1" applyAlignment="1" applyProtection="1">
      <alignment horizontal="left" wrapText="1"/>
      <protection locked="0"/>
    </xf>
    <xf numFmtId="0" fontId="61" fillId="0" borderId="0" xfId="0" applyFont="1" applyFill="1" applyBorder="1"/>
    <xf numFmtId="0" fontId="61" fillId="0" borderId="0" xfId="0" applyFont="1" applyFill="1" applyBorder="1" applyProtection="1">
      <protection locked="0"/>
    </xf>
    <xf numFmtId="0" fontId="120" fillId="0" borderId="0" xfId="20" applyFont="1" applyFill="1" applyBorder="1" applyProtection="1">
      <protection locked="0"/>
    </xf>
    <xf numFmtId="0" fontId="120" fillId="0" borderId="0" xfId="21" applyFont="1" applyFill="1" applyBorder="1" applyProtection="1">
      <protection locked="0"/>
    </xf>
    <xf numFmtId="0" fontId="61" fillId="0" borderId="0" xfId="0" applyFont="1" applyAlignment="1" applyProtection="1">
      <alignment horizontal="center"/>
      <protection locked="0"/>
    </xf>
    <xf numFmtId="0" fontId="61" fillId="0" borderId="0" xfId="0" applyFont="1" applyFill="1" applyAlignment="1" applyProtection="1">
      <alignment horizontal="center"/>
      <protection locked="0"/>
    </xf>
    <xf numFmtId="0" fontId="0" fillId="0" borderId="2" xfId="0" applyBorder="1"/>
    <xf numFmtId="173" fontId="5" fillId="0" borderId="0" xfId="0" applyNumberFormat="1" applyFont="1" applyAlignment="1">
      <alignment horizontal="right"/>
    </xf>
    <xf numFmtId="183" fontId="5" fillId="0" borderId="0" xfId="0" applyNumberFormat="1" applyFont="1" applyAlignment="1">
      <alignment horizontal="right"/>
    </xf>
    <xf numFmtId="0" fontId="3" fillId="0" borderId="0" xfId="0" applyFont="1" applyBorder="1" applyAlignment="1">
      <alignment horizontal="right"/>
    </xf>
    <xf numFmtId="173" fontId="3" fillId="0" borderId="0" xfId="0" applyNumberFormat="1" applyFont="1" applyBorder="1" applyAlignment="1">
      <alignment horizontal="right"/>
    </xf>
    <xf numFmtId="183" fontId="3" fillId="0" borderId="0" xfId="0" applyNumberFormat="1" applyFont="1" applyBorder="1" applyAlignment="1">
      <alignment horizontal="right"/>
    </xf>
    <xf numFmtId="0" fontId="3" fillId="0" borderId="7" xfId="0" applyFont="1" applyBorder="1" applyAlignment="1">
      <alignment horizontal="right"/>
    </xf>
    <xf numFmtId="0" fontId="3" fillId="0" borderId="8" xfId="0" applyFont="1" applyBorder="1" applyAlignment="1">
      <alignment horizontal="right"/>
    </xf>
    <xf numFmtId="0" fontId="3" fillId="0" borderId="1" xfId="0" applyFont="1" applyBorder="1" applyAlignment="1">
      <alignment horizontal="right"/>
    </xf>
    <xf numFmtId="173" fontId="3" fillId="0" borderId="1" xfId="0" applyNumberFormat="1" applyFont="1" applyBorder="1" applyAlignment="1">
      <alignment horizontal="right"/>
    </xf>
    <xf numFmtId="183" fontId="3" fillId="0" borderId="1" xfId="0" applyNumberFormat="1" applyFont="1" applyBorder="1" applyAlignment="1">
      <alignment horizontal="right"/>
    </xf>
    <xf numFmtId="0" fontId="3" fillId="0" borderId="2" xfId="0" applyFont="1" applyBorder="1" applyAlignment="1">
      <alignment horizontal="right"/>
    </xf>
    <xf numFmtId="0" fontId="3" fillId="0" borderId="5" xfId="0" applyFont="1" applyBorder="1" applyAlignment="1">
      <alignment horizontal="right"/>
    </xf>
    <xf numFmtId="0" fontId="16" fillId="0" borderId="0" xfId="0" applyFont="1" applyAlignment="1">
      <alignment horizontal="left"/>
    </xf>
    <xf numFmtId="0" fontId="3" fillId="0" borderId="62" xfId="0" applyFont="1" applyBorder="1" applyAlignment="1">
      <alignment horizontal="right"/>
    </xf>
    <xf numFmtId="0" fontId="3" fillId="0" borderId="220" xfId="0" applyFont="1" applyBorder="1" applyAlignment="1">
      <alignment horizontal="left"/>
    </xf>
    <xf numFmtId="0" fontId="5" fillId="35" borderId="221" xfId="0" applyNumberFormat="1" applyFont="1" applyFill="1" applyBorder="1" applyAlignment="1" applyProtection="1">
      <alignment horizontal="center" vertical="center" wrapText="1"/>
    </xf>
    <xf numFmtId="0" fontId="3" fillId="0" borderId="223" xfId="0" applyFont="1" applyBorder="1" applyAlignment="1">
      <alignment horizontal="right"/>
    </xf>
    <xf numFmtId="0" fontId="3" fillId="0" borderId="222" xfId="0" applyFont="1" applyBorder="1" applyAlignment="1">
      <alignment horizontal="left"/>
    </xf>
    <xf numFmtId="0" fontId="3" fillId="0" borderId="224" xfId="0" applyFont="1" applyBorder="1" applyAlignment="1">
      <alignment horizontal="right"/>
    </xf>
    <xf numFmtId="0" fontId="3" fillId="0" borderId="225" xfId="0" applyFont="1" applyBorder="1" applyAlignment="1">
      <alignment horizontal="right"/>
    </xf>
    <xf numFmtId="0" fontId="2" fillId="3" borderId="0" xfId="1" applyNumberFormat="1" applyFont="1" applyFill="1" applyBorder="1" applyAlignment="1" applyProtection="1"/>
    <xf numFmtId="0" fontId="0" fillId="5" borderId="0" xfId="1" quotePrefix="1" applyNumberFormat="1" applyFont="1" applyFill="1" applyBorder="1" applyAlignment="1" applyProtection="1"/>
    <xf numFmtId="0" fontId="135" fillId="0" borderId="0" xfId="1" applyNumberFormat="1" applyFont="1" applyFill="1" applyBorder="1" applyAlignment="1" applyProtection="1"/>
    <xf numFmtId="0" fontId="135" fillId="0" borderId="0" xfId="0" applyFont="1"/>
    <xf numFmtId="0" fontId="136" fillId="2" borderId="6" xfId="1" applyNumberFormat="1" applyFont="1" applyFill="1" applyBorder="1" applyAlignment="1" applyProtection="1">
      <alignment horizontal="right"/>
    </xf>
    <xf numFmtId="0" fontId="137" fillId="3" borderId="6" xfId="1" applyNumberFormat="1" applyFont="1" applyFill="1" applyBorder="1" applyAlignment="1" applyProtection="1">
      <alignment horizontal="center"/>
      <protection locked="0"/>
    </xf>
    <xf numFmtId="14" fontId="137" fillId="3" borderId="6" xfId="1" applyNumberFormat="1" applyFont="1" applyFill="1" applyBorder="1" applyAlignment="1" applyProtection="1">
      <alignment horizontal="center"/>
      <protection locked="0"/>
    </xf>
    <xf numFmtId="0" fontId="135" fillId="0" borderId="2" xfId="1" applyNumberFormat="1" applyFont="1" applyFill="1" applyBorder="1" applyAlignment="1" applyProtection="1"/>
    <xf numFmtId="0" fontId="137" fillId="23" borderId="6" xfId="1" applyNumberFormat="1" applyFont="1" applyFill="1" applyBorder="1" applyAlignment="1" applyProtection="1">
      <alignment horizontal="center"/>
      <protection locked="0"/>
    </xf>
    <xf numFmtId="0" fontId="135" fillId="0" borderId="97" xfId="1" quotePrefix="1" applyNumberFormat="1" applyFont="1" applyFill="1" applyBorder="1" applyAlignment="1" applyProtection="1">
      <alignment horizontal="center"/>
    </xf>
    <xf numFmtId="0" fontId="135" fillId="0" borderId="7" xfId="1" applyNumberFormat="1" applyFont="1" applyFill="1" applyBorder="1" applyAlignment="1" applyProtection="1"/>
    <xf numFmtId="0" fontId="138" fillId="2" borderId="6" xfId="1" applyNumberFormat="1" applyFont="1" applyFill="1" applyBorder="1" applyAlignment="1" applyProtection="1">
      <alignment horizontal="right"/>
    </xf>
    <xf numFmtId="0" fontId="139" fillId="0" borderId="0" xfId="1" applyNumberFormat="1" applyFont="1" applyFill="1" applyBorder="1" applyAlignment="1" applyProtection="1"/>
    <xf numFmtId="0" fontId="140" fillId="0" borderId="4" xfId="1" applyNumberFormat="1" applyFont="1" applyFill="1" applyBorder="1" applyAlignment="1" applyProtection="1"/>
    <xf numFmtId="0" fontId="135" fillId="0" borderId="4" xfId="1" applyNumberFormat="1" applyFont="1" applyFill="1" applyBorder="1" applyAlignment="1" applyProtection="1"/>
    <xf numFmtId="17" fontId="137" fillId="3" borderId="6" xfId="1" applyNumberFormat="1" applyFont="1" applyFill="1" applyBorder="1" applyAlignment="1" applyProtection="1">
      <alignment horizontal="center"/>
      <protection locked="0"/>
    </xf>
    <xf numFmtId="0" fontId="141" fillId="2" borderId="97" xfId="1" applyNumberFormat="1" applyFont="1" applyFill="1" applyBorder="1" applyAlignment="1" applyProtection="1">
      <alignment horizontal="center"/>
    </xf>
    <xf numFmtId="0" fontId="135" fillId="0" borderId="97" xfId="1" quotePrefix="1" applyNumberFormat="1" applyFont="1" applyFill="1" applyBorder="1" applyAlignment="1" applyProtection="1">
      <alignment horizontal="center"/>
      <protection locked="0"/>
    </xf>
    <xf numFmtId="0" fontId="142" fillId="2" borderId="97" xfId="1" applyNumberFormat="1" applyFont="1" applyFill="1" applyBorder="1" applyAlignment="1" applyProtection="1">
      <alignment horizontal="center"/>
    </xf>
    <xf numFmtId="0" fontId="143" fillId="0" borderId="0" xfId="0" applyFont="1"/>
    <xf numFmtId="44" fontId="137" fillId="23" borderId="178" xfId="1" applyNumberFormat="1" applyFont="1" applyFill="1" applyBorder="1" applyAlignment="1" applyProtection="1">
      <alignment horizontal="center"/>
      <protection locked="0"/>
    </xf>
    <xf numFmtId="0" fontId="135" fillId="0" borderId="0" xfId="0" applyFont="1" applyAlignment="1" applyProtection="1">
      <protection locked="0"/>
    </xf>
    <xf numFmtId="0" fontId="144" fillId="0" borderId="97" xfId="0" applyFont="1" applyFill="1" applyBorder="1" applyAlignment="1">
      <alignment horizontal="center"/>
    </xf>
    <xf numFmtId="44" fontId="137" fillId="23" borderId="179" xfId="1" applyNumberFormat="1" applyFont="1" applyFill="1" applyBorder="1" applyAlignment="1" applyProtection="1">
      <alignment horizontal="center"/>
      <protection locked="0"/>
    </xf>
    <xf numFmtId="0" fontId="136" fillId="2" borderId="97" xfId="1" applyNumberFormat="1" applyFont="1" applyFill="1" applyBorder="1" applyAlignment="1" applyProtection="1">
      <alignment horizontal="right"/>
    </xf>
    <xf numFmtId="0" fontId="137" fillId="3" borderId="97" xfId="1" applyNumberFormat="1" applyFont="1" applyFill="1" applyBorder="1" applyAlignment="1" applyProtection="1">
      <alignment horizontal="center"/>
      <protection locked="0"/>
    </xf>
    <xf numFmtId="0" fontId="135" fillId="0" borderId="97" xfId="1" applyNumberFormat="1" applyFont="1" applyFill="1" applyBorder="1" applyAlignment="1" applyProtection="1">
      <alignment horizontal="center"/>
    </xf>
    <xf numFmtId="0" fontId="140" fillId="0" borderId="3" xfId="1" applyNumberFormat="1" applyFont="1" applyFill="1" applyBorder="1" applyAlignment="1" applyProtection="1"/>
    <xf numFmtId="0" fontId="135" fillId="0" borderId="3" xfId="1" applyNumberFormat="1" applyFont="1" applyFill="1" applyBorder="1" applyAlignment="1" applyProtection="1"/>
    <xf numFmtId="0" fontId="140" fillId="0" borderId="0" xfId="1" applyNumberFormat="1" applyFont="1" applyFill="1" applyBorder="1" applyAlignment="1" applyProtection="1"/>
    <xf numFmtId="22" fontId="135" fillId="0" borderId="97" xfId="1" quotePrefix="1" applyNumberFormat="1" applyFont="1" applyFill="1" applyBorder="1" applyAlignment="1" applyProtection="1">
      <alignment horizontal="center"/>
      <protection locked="0"/>
    </xf>
    <xf numFmtId="0" fontId="140" fillId="0" borderId="0" xfId="1" applyNumberFormat="1" applyFont="1" applyFill="1" applyBorder="1" applyAlignment="1" applyProtection="1">
      <alignment horizontal="right"/>
    </xf>
    <xf numFmtId="0" fontId="135" fillId="0" borderId="0" xfId="1" applyNumberFormat="1" applyFont="1" applyFill="1" applyBorder="1" applyAlignment="1" applyProtection="1">
      <alignment horizontal="center"/>
    </xf>
    <xf numFmtId="0" fontId="140" fillId="0" borderId="1" xfId="1" applyNumberFormat="1" applyFont="1" applyFill="1" applyBorder="1" applyAlignment="1" applyProtection="1"/>
    <xf numFmtId="0" fontId="135" fillId="0" borderId="1" xfId="1" applyNumberFormat="1" applyFont="1" applyFill="1" applyBorder="1" applyAlignment="1" applyProtection="1"/>
    <xf numFmtId="0" fontId="142" fillId="5" borderId="166" xfId="1" applyNumberFormat="1" applyFont="1" applyFill="1" applyBorder="1" applyAlignment="1" applyProtection="1">
      <alignment horizontal="left"/>
    </xf>
    <xf numFmtId="0" fontId="142" fillId="5" borderId="166" xfId="1" applyNumberFormat="1" applyFont="1" applyFill="1" applyBorder="1" applyAlignment="1" applyProtection="1">
      <alignment horizontal="center"/>
    </xf>
    <xf numFmtId="0" fontId="135" fillId="0" borderId="157" xfId="1" applyNumberFormat="1" applyFont="1" applyFill="1" applyBorder="1" applyAlignment="1" applyProtection="1">
      <alignment horizontal="center"/>
      <protection locked="0"/>
    </xf>
    <xf numFmtId="0" fontId="135" fillId="0" borderId="158" xfId="1" applyNumberFormat="1" applyFont="1" applyFill="1" applyBorder="1" applyAlignment="1" applyProtection="1">
      <alignment horizontal="center"/>
      <protection locked="0"/>
    </xf>
    <xf numFmtId="0" fontId="135" fillId="0" borderId="7" xfId="1" applyNumberFormat="1" applyFont="1" applyFill="1" applyBorder="1" applyAlignment="1" applyProtection="1">
      <alignment horizontal="center"/>
      <protection locked="0"/>
    </xf>
    <xf numFmtId="0" fontId="135" fillId="0" borderId="2" xfId="1" applyNumberFormat="1" applyFont="1" applyFill="1" applyBorder="1" applyAlignment="1" applyProtection="1">
      <alignment horizontal="center"/>
      <protection locked="0"/>
    </xf>
    <xf numFmtId="0" fontId="136" fillId="3" borderId="6" xfId="1" applyNumberFormat="1" applyFont="1" applyFill="1" applyBorder="1" applyAlignment="1" applyProtection="1">
      <alignment horizontal="right"/>
    </xf>
    <xf numFmtId="0" fontId="138" fillId="2" borderId="97" xfId="1" applyNumberFormat="1" applyFont="1" applyFill="1" applyBorder="1" applyAlignment="1" applyProtection="1">
      <alignment horizontal="right"/>
    </xf>
    <xf numFmtId="1" fontId="137" fillId="3" borderId="97" xfId="1" applyNumberFormat="1" applyFont="1" applyFill="1" applyBorder="1" applyAlignment="1" applyProtection="1">
      <alignment horizontal="center"/>
      <protection locked="0"/>
    </xf>
    <xf numFmtId="0" fontId="142" fillId="2" borderId="6" xfId="1" applyNumberFormat="1" applyFont="1" applyFill="1" applyBorder="1" applyAlignment="1" applyProtection="1">
      <alignment horizontal="right" wrapText="1"/>
    </xf>
    <xf numFmtId="0" fontId="137" fillId="3" borderId="6" xfId="1" applyNumberFormat="1" applyFont="1" applyFill="1" applyBorder="1" applyAlignment="1" applyProtection="1">
      <alignment horizontal="center" vertical="center" wrapText="1"/>
      <protection locked="0"/>
    </xf>
    <xf numFmtId="0" fontId="142" fillId="17" borderId="121" xfId="1" applyNumberFormat="1" applyFont="1" applyFill="1" applyBorder="1" applyAlignment="1" applyProtection="1">
      <alignment horizontal="right" vertical="center" wrapText="1"/>
    </xf>
    <xf numFmtId="0" fontId="135" fillId="3" borderId="97" xfId="0" applyFont="1" applyFill="1" applyBorder="1" applyAlignment="1" applyProtection="1">
      <alignment horizontal="left" vertical="top" wrapText="1"/>
      <protection locked="0"/>
    </xf>
    <xf numFmtId="0" fontId="135" fillId="0" borderId="8" xfId="1" applyNumberFormat="1" applyFont="1" applyFill="1" applyBorder="1" applyAlignment="1" applyProtection="1">
      <alignment horizontal="center"/>
      <protection locked="0"/>
    </xf>
    <xf numFmtId="0" fontId="135" fillId="0" borderId="5" xfId="1" applyNumberFormat="1" applyFont="1" applyFill="1" applyBorder="1" applyAlignment="1" applyProtection="1">
      <alignment horizontal="center"/>
      <protection locked="0"/>
    </xf>
    <xf numFmtId="44" fontId="137" fillId="23" borderId="180" xfId="1" applyNumberFormat="1" applyFont="1" applyFill="1" applyBorder="1" applyAlignment="1" applyProtection="1">
      <alignment horizontal="center"/>
      <protection locked="0"/>
    </xf>
    <xf numFmtId="0" fontId="145" fillId="0" borderId="0" xfId="1" applyNumberFormat="1" applyFont="1" applyFill="1" applyBorder="1" applyAlignment="1" applyProtection="1"/>
    <xf numFmtId="0" fontId="135" fillId="0" borderId="0" xfId="1" applyNumberFormat="1" applyFont="1" applyFill="1" applyBorder="1" applyAlignment="1" applyProtection="1">
      <alignment horizontal="right"/>
    </xf>
    <xf numFmtId="0" fontId="142" fillId="5" borderId="157" xfId="1" applyNumberFormat="1" applyFont="1" applyFill="1" applyBorder="1" applyAlignment="1" applyProtection="1">
      <alignment horizontal="center"/>
    </xf>
    <xf numFmtId="0" fontId="142" fillId="5" borderId="158" xfId="1" applyNumberFormat="1" applyFont="1" applyFill="1" applyBorder="1" applyAlignment="1" applyProtection="1">
      <alignment horizontal="center"/>
    </xf>
    <xf numFmtId="0" fontId="135" fillId="2" borderId="12" xfId="1" applyNumberFormat="1" applyFont="1" applyFill="1" applyBorder="1" applyAlignment="1" applyProtection="1">
      <alignment horizontal="right"/>
    </xf>
    <xf numFmtId="1" fontId="135" fillId="0" borderId="12" xfId="1" applyNumberFormat="1" applyFont="1" applyFill="1" applyBorder="1" applyAlignment="1" applyProtection="1">
      <alignment horizontal="center"/>
    </xf>
    <xf numFmtId="1" fontId="135" fillId="23" borderId="12" xfId="1" applyNumberFormat="1" applyFont="1" applyFill="1" applyBorder="1" applyAlignment="1" applyProtection="1">
      <alignment horizontal="center"/>
      <protection locked="0"/>
    </xf>
    <xf numFmtId="0" fontId="135" fillId="2" borderId="6" xfId="1" applyNumberFormat="1" applyFont="1" applyFill="1" applyBorder="1" applyAlignment="1" applyProtection="1">
      <alignment horizontal="right"/>
    </xf>
    <xf numFmtId="0" fontId="135" fillId="23" borderId="6" xfId="1" applyNumberFormat="1" applyFont="1" applyFill="1" applyBorder="1" applyAlignment="1" applyProtection="1">
      <alignment horizontal="center"/>
      <protection locked="0"/>
    </xf>
    <xf numFmtId="1" fontId="135" fillId="23" borderId="6" xfId="1" applyNumberFormat="1" applyFont="1" applyFill="1" applyBorder="1" applyAlignment="1" applyProtection="1">
      <alignment horizontal="center"/>
      <protection locked="0"/>
    </xf>
    <xf numFmtId="0" fontId="135" fillId="2" borderId="97" xfId="1" applyNumberFormat="1" applyFont="1" applyFill="1" applyBorder="1" applyAlignment="1" applyProtection="1">
      <alignment horizontal="right"/>
    </xf>
    <xf numFmtId="0" fontId="135" fillId="23" borderId="97" xfId="1" applyNumberFormat="1" applyFont="1" applyFill="1" applyBorder="1" applyAlignment="1" applyProtection="1">
      <alignment horizontal="center"/>
      <protection locked="0"/>
    </xf>
    <xf numFmtId="0" fontId="135" fillId="4" borderId="6" xfId="1" applyNumberFormat="1" applyFont="1" applyFill="1" applyBorder="1" applyAlignment="1" applyProtection="1">
      <alignment horizontal="center"/>
    </xf>
    <xf numFmtId="0" fontId="135" fillId="4" borderId="97" xfId="1" applyNumberFormat="1" applyFont="1" applyFill="1" applyBorder="1" applyAlignment="1" applyProtection="1">
      <alignment horizontal="center"/>
    </xf>
    <xf numFmtId="0" fontId="3" fillId="0" borderId="0" xfId="0" applyFont="1" applyAlignment="1"/>
    <xf numFmtId="0" fontId="5" fillId="0" borderId="0" xfId="0" applyFont="1" applyAlignment="1"/>
    <xf numFmtId="0" fontId="0" fillId="0" borderId="0" xfId="0" applyAlignment="1"/>
    <xf numFmtId="0" fontId="3" fillId="27" borderId="0" xfId="0" applyFont="1" applyFill="1" applyAlignment="1"/>
    <xf numFmtId="0" fontId="3" fillId="38" borderId="0" xfId="0" applyFont="1" applyFill="1" applyAlignment="1"/>
    <xf numFmtId="0" fontId="5" fillId="27" borderId="0" xfId="0" applyFont="1" applyFill="1" applyAlignment="1"/>
    <xf numFmtId="0" fontId="3" fillId="27" borderId="0" xfId="0" applyFont="1" applyFill="1"/>
    <xf numFmtId="0" fontId="5" fillId="27" borderId="0" xfId="0" applyFont="1" applyFill="1"/>
    <xf numFmtId="0" fontId="5" fillId="27" borderId="0" xfId="0" applyFont="1" applyFill="1" applyAlignment="1">
      <alignment wrapText="1"/>
    </xf>
    <xf numFmtId="0" fontId="3" fillId="3" borderId="6" xfId="1" applyNumberFormat="1" applyFont="1" applyFill="1" applyBorder="1" applyAlignment="1" applyProtection="1">
      <alignment horizontal="center"/>
      <protection locked="0"/>
    </xf>
    <xf numFmtId="0" fontId="5" fillId="46" borderId="32" xfId="2" applyNumberFormat="1" applyFont="1" applyFill="1" applyBorder="1" applyAlignment="1" applyProtection="1">
      <alignment horizontal="left" wrapText="1"/>
    </xf>
    <xf numFmtId="0" fontId="5" fillId="47" borderId="32" xfId="2" applyNumberFormat="1" applyFont="1" applyFill="1" applyBorder="1" applyAlignment="1" applyProtection="1">
      <alignment horizontal="left" wrapText="1"/>
    </xf>
    <xf numFmtId="0" fontId="18" fillId="3" borderId="67" xfId="0" quotePrefix="1" applyNumberFormat="1" applyFont="1" applyFill="1" applyBorder="1" applyAlignment="1" applyProtection="1">
      <protection locked="0"/>
    </xf>
    <xf numFmtId="4" fontId="3" fillId="48" borderId="0" xfId="2" applyNumberFormat="1" applyFont="1" applyFill="1" applyBorder="1" applyAlignment="1" applyProtection="1">
      <alignment horizontal="right" wrapText="1"/>
      <protection locked="0"/>
    </xf>
    <xf numFmtId="14" fontId="4" fillId="0" borderId="0" xfId="1" applyNumberFormat="1" applyFont="1" applyFill="1" applyBorder="1" applyAlignment="1" applyProtection="1">
      <alignment horizontal="center"/>
    </xf>
    <xf numFmtId="0" fontId="4" fillId="0" borderId="0" xfId="1" applyNumberFormat="1" applyFont="1" applyFill="1" applyBorder="1" applyAlignment="1" applyProtection="1">
      <alignment horizontal="center"/>
    </xf>
    <xf numFmtId="0" fontId="4" fillId="0" borderId="0" xfId="0" applyFont="1" applyAlignment="1">
      <alignment wrapText="1"/>
    </xf>
    <xf numFmtId="0" fontId="0" fillId="0" borderId="62" xfId="0" applyNumberFormat="1" applyFont="1" applyFill="1" applyBorder="1" applyAlignment="1" applyProtection="1">
      <protection locked="0"/>
    </xf>
    <xf numFmtId="0" fontId="2" fillId="23" borderId="23" xfId="0" applyFont="1" applyFill="1" applyBorder="1" applyAlignment="1" applyProtection="1">
      <alignment horizontal="left" vertical="top" wrapText="1"/>
      <protection locked="0"/>
    </xf>
    <xf numFmtId="0" fontId="2" fillId="23" borderId="14" xfId="0" applyFont="1" applyFill="1" applyBorder="1" applyAlignment="1" applyProtection="1">
      <alignment horizontal="left" vertical="top" wrapText="1"/>
      <protection locked="0"/>
    </xf>
    <xf numFmtId="0" fontId="2" fillId="23" borderId="0" xfId="0" applyFont="1" applyFill="1" applyBorder="1" applyAlignment="1" applyProtection="1">
      <alignment horizontal="left" vertical="top" wrapText="1"/>
      <protection locked="0"/>
    </xf>
    <xf numFmtId="0" fontId="2" fillId="23" borderId="24" xfId="0" applyFont="1" applyFill="1" applyBorder="1" applyAlignment="1" applyProtection="1">
      <alignment horizontal="left" vertical="top" wrapText="1"/>
      <protection locked="0"/>
    </xf>
    <xf numFmtId="0" fontId="2" fillId="23" borderId="65" xfId="0" applyFont="1" applyFill="1" applyBorder="1" applyAlignment="1" applyProtection="1">
      <alignment horizontal="left" vertical="top" wrapText="1"/>
      <protection locked="0"/>
    </xf>
    <xf numFmtId="0" fontId="2" fillId="23" borderId="20" xfId="0" applyFont="1" applyFill="1" applyBorder="1" applyAlignment="1" applyProtection="1">
      <alignment horizontal="left" vertical="top" wrapText="1"/>
      <protection locked="0"/>
    </xf>
    <xf numFmtId="0" fontId="2" fillId="23" borderId="66" xfId="0" applyFont="1" applyFill="1" applyBorder="1" applyAlignment="1" applyProtection="1">
      <alignment horizontal="left" vertical="top" wrapText="1"/>
      <protection locked="0"/>
    </xf>
    <xf numFmtId="171" fontId="3" fillId="36" borderId="226" xfId="1" applyNumberFormat="1" applyFont="1" applyFill="1" applyBorder="1" applyAlignment="1" applyProtection="1">
      <alignment horizontal="left" wrapText="1"/>
      <protection locked="0"/>
    </xf>
    <xf numFmtId="171" fontId="3" fillId="36" borderId="227" xfId="1" quotePrefix="1" applyNumberFormat="1" applyFont="1" applyFill="1" applyBorder="1" applyAlignment="1" applyProtection="1">
      <alignment horizontal="left" wrapText="1"/>
      <protection locked="0"/>
    </xf>
    <xf numFmtId="0" fontId="2" fillId="3" borderId="157" xfId="6" applyNumberFormat="1" applyFont="1" applyFill="1" applyBorder="1" applyAlignment="1" applyProtection="1">
      <alignment horizontal="center" vertical="top" wrapText="1"/>
      <protection locked="0"/>
    </xf>
    <xf numFmtId="0" fontId="2" fillId="3" borderId="156" xfId="6" applyNumberFormat="1" applyFont="1" applyFill="1" applyBorder="1" applyAlignment="1" applyProtection="1">
      <alignment horizontal="center" vertical="top" wrapText="1"/>
      <protection locked="0"/>
    </xf>
    <xf numFmtId="0" fontId="2" fillId="3" borderId="158" xfId="6" applyNumberFormat="1" applyFont="1" applyFill="1" applyBorder="1" applyAlignment="1" applyProtection="1">
      <alignment horizontal="center" vertical="top" wrapText="1"/>
      <protection locked="0"/>
    </xf>
    <xf numFmtId="0" fontId="2" fillId="3" borderId="7" xfId="6" applyNumberFormat="1" applyFont="1" applyFill="1" applyBorder="1" applyAlignment="1" applyProtection="1">
      <alignment horizontal="center" vertical="top" wrapText="1"/>
      <protection locked="0"/>
    </xf>
    <xf numFmtId="0" fontId="2" fillId="3" borderId="0" xfId="6" applyNumberFormat="1" applyFont="1" applyFill="1" applyBorder="1" applyAlignment="1" applyProtection="1">
      <alignment horizontal="center" vertical="top" wrapText="1"/>
      <protection locked="0"/>
    </xf>
    <xf numFmtId="0" fontId="2" fillId="3" borderId="2" xfId="6" applyNumberFormat="1" applyFont="1" applyFill="1" applyBorder="1" applyAlignment="1" applyProtection="1">
      <alignment horizontal="center" vertical="top" wrapText="1"/>
      <protection locked="0"/>
    </xf>
    <xf numFmtId="0" fontId="2" fillId="3" borderId="8" xfId="6" applyNumberFormat="1" applyFont="1" applyFill="1" applyBorder="1" applyAlignment="1" applyProtection="1">
      <alignment horizontal="center" vertical="top" wrapText="1"/>
      <protection locked="0"/>
    </xf>
    <xf numFmtId="0" fontId="2" fillId="3" borderId="1" xfId="6" applyNumberFormat="1" applyFont="1" applyFill="1" applyBorder="1" applyAlignment="1" applyProtection="1">
      <alignment horizontal="center" vertical="top" wrapText="1"/>
      <protection locked="0"/>
    </xf>
    <xf numFmtId="0" fontId="2" fillId="3" borderId="5" xfId="6" applyNumberFormat="1" applyFont="1" applyFill="1" applyBorder="1" applyAlignment="1" applyProtection="1">
      <alignment horizontal="center" vertical="top" wrapText="1"/>
      <protection locked="0"/>
    </xf>
    <xf numFmtId="0" fontId="2" fillId="23" borderId="27" xfId="0" applyFont="1" applyFill="1" applyBorder="1" applyAlignment="1" applyProtection="1">
      <alignment horizontal="center" vertical="top" wrapText="1"/>
      <protection locked="0"/>
    </xf>
    <xf numFmtId="0" fontId="2" fillId="23" borderId="62" xfId="0" applyFont="1" applyFill="1" applyBorder="1" applyAlignment="1" applyProtection="1">
      <alignment horizontal="center" vertical="top" wrapText="1"/>
      <protection locked="0"/>
    </xf>
    <xf numFmtId="0" fontId="2" fillId="23" borderId="23" xfId="0" applyFont="1" applyFill="1" applyBorder="1" applyAlignment="1" applyProtection="1">
      <alignment horizontal="center" vertical="top" wrapText="1"/>
      <protection locked="0"/>
    </xf>
    <xf numFmtId="0" fontId="2" fillId="23" borderId="14" xfId="0" applyFont="1" applyFill="1" applyBorder="1" applyAlignment="1" applyProtection="1">
      <alignment horizontal="center" vertical="top" wrapText="1"/>
      <protection locked="0"/>
    </xf>
    <xf numFmtId="0" fontId="2" fillId="23" borderId="0" xfId="0" applyFont="1" applyFill="1" applyBorder="1" applyAlignment="1" applyProtection="1">
      <alignment horizontal="center" vertical="top" wrapText="1"/>
      <protection locked="0"/>
    </xf>
    <xf numFmtId="0" fontId="2" fillId="23" borderId="24" xfId="0" applyFont="1" applyFill="1" applyBorder="1" applyAlignment="1" applyProtection="1">
      <alignment horizontal="center" vertical="top" wrapText="1"/>
      <protection locked="0"/>
    </xf>
    <xf numFmtId="0" fontId="2" fillId="23" borderId="65" xfId="0" applyFont="1" applyFill="1" applyBorder="1" applyAlignment="1" applyProtection="1">
      <alignment horizontal="center" vertical="top" wrapText="1"/>
      <protection locked="0"/>
    </xf>
    <xf numFmtId="0" fontId="2" fillId="23" borderId="20" xfId="0" applyFont="1" applyFill="1" applyBorder="1" applyAlignment="1" applyProtection="1">
      <alignment horizontal="center" vertical="top" wrapText="1"/>
      <protection locked="0"/>
    </xf>
    <xf numFmtId="0" fontId="2" fillId="23" borderId="66" xfId="0" applyFont="1" applyFill="1" applyBorder="1" applyAlignment="1" applyProtection="1">
      <alignment horizontal="center" vertical="top" wrapText="1"/>
      <protection locked="0"/>
    </xf>
    <xf numFmtId="0" fontId="2" fillId="0" borderId="187" xfId="12" applyNumberFormat="1" applyFont="1" applyFill="1" applyBorder="1" applyAlignment="1" applyProtection="1">
      <alignment horizontal="left" vertical="center" wrapText="1"/>
    </xf>
    <xf numFmtId="0" fontId="2" fillId="0" borderId="188" xfId="12" applyNumberFormat="1" applyFont="1" applyFill="1" applyBorder="1" applyAlignment="1" applyProtection="1">
      <alignment horizontal="left" vertical="center" wrapText="1"/>
    </xf>
    <xf numFmtId="166" fontId="2" fillId="0" borderId="187" xfId="17" applyNumberFormat="1" applyFont="1" applyFill="1" applyBorder="1" applyAlignment="1" applyProtection="1">
      <alignment horizontal="left" vertical="center" wrapText="1"/>
    </xf>
    <xf numFmtId="166" fontId="2" fillId="0" borderId="188" xfId="17" applyNumberFormat="1" applyFont="1" applyFill="1" applyBorder="1" applyAlignment="1" applyProtection="1">
      <alignment horizontal="left" vertical="center" wrapText="1"/>
    </xf>
    <xf numFmtId="0" fontId="73" fillId="0" borderId="68" xfId="16" applyFont="1" applyBorder="1" applyAlignment="1" applyProtection="1">
      <alignment horizontal="left" wrapText="1"/>
    </xf>
    <xf numFmtId="0" fontId="73" fillId="0" borderId="82" xfId="16" applyFont="1" applyBorder="1" applyAlignment="1" applyProtection="1">
      <alignment horizontal="left" wrapText="1"/>
    </xf>
    <xf numFmtId="0" fontId="73" fillId="0" borderId="69" xfId="16" applyFont="1" applyBorder="1" applyAlignment="1" applyProtection="1">
      <alignment horizontal="left" wrapText="1"/>
    </xf>
    <xf numFmtId="0" fontId="73" fillId="0" borderId="144" xfId="16" applyFont="1" applyBorder="1" applyAlignment="1" applyProtection="1">
      <alignment horizontal="left" wrapText="1"/>
    </xf>
    <xf numFmtId="0" fontId="73" fillId="0" borderId="196" xfId="16" applyFont="1" applyBorder="1" applyAlignment="1" applyProtection="1">
      <alignment horizontal="left" wrapText="1"/>
    </xf>
    <xf numFmtId="0" fontId="73" fillId="0" borderId="197" xfId="16" applyFont="1" applyBorder="1" applyAlignment="1" applyProtection="1">
      <alignment horizontal="left" wrapText="1"/>
    </xf>
    <xf numFmtId="166" fontId="42" fillId="0" borderId="187" xfId="17" applyNumberFormat="1" applyFont="1" applyFill="1" applyBorder="1" applyAlignment="1" applyProtection="1">
      <alignment horizontal="left" vertical="center" wrapText="1"/>
    </xf>
    <xf numFmtId="166" fontId="42" fillId="0" borderId="188" xfId="17" applyNumberFormat="1" applyFont="1" applyFill="1" applyBorder="1" applyAlignment="1" applyProtection="1">
      <alignment horizontal="left" vertical="center" wrapText="1"/>
    </xf>
    <xf numFmtId="175" fontId="2" fillId="0" borderId="187" xfId="17" applyNumberFormat="1" applyFont="1" applyFill="1" applyBorder="1" applyAlignment="1" applyProtection="1">
      <alignment horizontal="left" vertical="center"/>
    </xf>
    <xf numFmtId="175" fontId="2" fillId="0" borderId="188" xfId="17" applyNumberFormat="1" applyFont="1" applyFill="1" applyBorder="1" applyAlignment="1" applyProtection="1">
      <alignment horizontal="left" vertical="center"/>
    </xf>
    <xf numFmtId="0" fontId="73" fillId="0" borderId="68" xfId="0" applyFont="1" applyBorder="1" applyAlignment="1" applyProtection="1">
      <alignment horizontal="left" wrapText="1"/>
    </xf>
    <xf numFmtId="0" fontId="73" fillId="0" borderId="82" xfId="0" applyFont="1" applyBorder="1" applyAlignment="1" applyProtection="1">
      <alignment horizontal="left" wrapText="1"/>
    </xf>
    <xf numFmtId="0" fontId="73" fillId="0" borderId="69" xfId="0" applyFont="1" applyBorder="1" applyAlignment="1" applyProtection="1">
      <alignment horizontal="left" wrapText="1"/>
    </xf>
    <xf numFmtId="0" fontId="73" fillId="0" borderId="144" xfId="0" applyFont="1" applyBorder="1" applyAlignment="1" applyProtection="1">
      <alignment horizontal="left"/>
    </xf>
    <xf numFmtId="0" fontId="73" fillId="0" borderId="196" xfId="0" applyFont="1" applyBorder="1" applyAlignment="1" applyProtection="1">
      <alignment horizontal="left"/>
    </xf>
    <xf numFmtId="0" fontId="73" fillId="0" borderId="197" xfId="0" applyFont="1" applyBorder="1" applyAlignment="1" applyProtection="1">
      <alignment horizontal="left"/>
    </xf>
    <xf numFmtId="164" fontId="2" fillId="0" borderId="201" xfId="13" applyNumberFormat="1" applyFont="1" applyFill="1" applyBorder="1" applyAlignment="1" applyProtection="1">
      <alignment horizontal="center"/>
      <protection locked="0"/>
    </xf>
    <xf numFmtId="164" fontId="2" fillId="0" borderId="202" xfId="13" applyNumberFormat="1" applyFont="1" applyFill="1" applyBorder="1" applyAlignment="1" applyProtection="1">
      <alignment horizontal="center"/>
      <protection locked="0"/>
    </xf>
    <xf numFmtId="1" fontId="16" fillId="5" borderId="0" xfId="0" applyNumberFormat="1" applyFont="1" applyFill="1" applyBorder="1" applyAlignment="1">
      <alignment horizontal="right"/>
    </xf>
    <xf numFmtId="0" fontId="10" fillId="0" borderId="0" xfId="1" applyNumberFormat="1" applyFont="1" applyFill="1" applyBorder="1" applyAlignment="1" applyProtection="1"/>
    <xf numFmtId="0" fontId="129" fillId="5" borderId="0" xfId="0" applyFont="1" applyFill="1" applyBorder="1" applyAlignment="1">
      <alignment horizontal="right"/>
    </xf>
    <xf numFmtId="0" fontId="56" fillId="0" borderId="0" xfId="0" applyFont="1" applyBorder="1" applyAlignment="1">
      <alignment horizontal="right"/>
    </xf>
    <xf numFmtId="1" fontId="129" fillId="5" borderId="0" xfId="0" applyNumberFormat="1" applyFont="1" applyFill="1" applyBorder="1" applyAlignment="1">
      <alignment horizontal="right"/>
    </xf>
    <xf numFmtId="0" fontId="132" fillId="0" borderId="0" xfId="1" applyNumberFormat="1" applyFont="1" applyFill="1" applyBorder="1" applyAlignment="1" applyProtection="1"/>
    <xf numFmtId="0" fontId="60" fillId="5" borderId="0" xfId="0" applyFont="1" applyFill="1" applyAlignment="1">
      <alignment horizontal="right"/>
    </xf>
    <xf numFmtId="0" fontId="60" fillId="5" borderId="0" xfId="0" applyFont="1" applyFill="1" applyBorder="1" applyAlignment="1">
      <alignment horizontal="right"/>
    </xf>
    <xf numFmtId="0" fontId="2" fillId="5" borderId="0" xfId="0" applyFont="1" applyFill="1" applyBorder="1" applyAlignment="1">
      <alignment horizontal="center"/>
    </xf>
    <xf numFmtId="0" fontId="0" fillId="4" borderId="0" xfId="0" applyFill="1" applyBorder="1" applyAlignment="1"/>
    <xf numFmtId="0" fontId="2" fillId="23" borderId="121" xfId="0" applyFont="1" applyFill="1" applyBorder="1" applyAlignment="1" applyProtection="1">
      <alignment horizontal="center"/>
      <protection locked="0"/>
    </xf>
    <xf numFmtId="0" fontId="2" fillId="23" borderId="142" xfId="0" applyFont="1" applyFill="1" applyBorder="1" applyAlignment="1" applyProtection="1">
      <alignment horizontal="center"/>
      <protection locked="0"/>
    </xf>
    <xf numFmtId="0" fontId="2" fillId="23" borderId="142" xfId="0" applyFont="1" applyFill="1" applyBorder="1" applyAlignment="1" applyProtection="1">
      <protection locked="0"/>
    </xf>
    <xf numFmtId="0" fontId="2" fillId="23" borderId="97" xfId="0" applyFont="1" applyFill="1" applyBorder="1" applyAlignment="1" applyProtection="1">
      <alignment horizontal="center"/>
      <protection locked="0"/>
    </xf>
    <xf numFmtId="0" fontId="2" fillId="18" borderId="121" xfId="0" applyFont="1" applyFill="1" applyBorder="1" applyAlignment="1" applyProtection="1">
      <alignment horizontal="center"/>
    </xf>
    <xf numFmtId="0" fontId="2" fillId="18" borderId="142" xfId="0" applyFont="1" applyFill="1" applyBorder="1" applyAlignment="1" applyProtection="1">
      <alignment horizontal="center"/>
    </xf>
    <xf numFmtId="0" fontId="2" fillId="23" borderId="97" xfId="0" applyNumberFormat="1" applyFont="1" applyFill="1" applyBorder="1" applyAlignment="1" applyProtection="1">
      <alignment vertical="center" wrapText="1"/>
      <protection locked="0"/>
    </xf>
    <xf numFmtId="0" fontId="2" fillId="0" borderId="121" xfId="0" applyNumberFormat="1" applyFont="1" applyFill="1" applyBorder="1" applyAlignment="1" applyProtection="1">
      <alignment horizontal="left" vertical="center"/>
      <protection locked="0"/>
    </xf>
    <xf numFmtId="0" fontId="2" fillId="0" borderId="142" xfId="0" applyNumberFormat="1" applyFont="1" applyFill="1" applyBorder="1" applyAlignment="1" applyProtection="1">
      <alignment horizontal="left" vertical="center"/>
      <protection locked="0"/>
    </xf>
    <xf numFmtId="0" fontId="2" fillId="23" borderId="97" xfId="0" applyFont="1" applyFill="1" applyBorder="1" applyAlignment="1" applyProtection="1">
      <alignment horizontal="center" wrapText="1"/>
      <protection locked="0"/>
    </xf>
    <xf numFmtId="0" fontId="36" fillId="0" borderId="106" xfId="0" applyFont="1" applyFill="1" applyBorder="1" applyAlignment="1">
      <alignment horizontal="center" wrapText="1"/>
    </xf>
    <xf numFmtId="0" fontId="36" fillId="0" borderId="94" xfId="0" applyFont="1" applyFill="1" applyBorder="1" applyAlignment="1">
      <alignment horizontal="center" wrapText="1"/>
    </xf>
    <xf numFmtId="0" fontId="36" fillId="0" borderId="98" xfId="0" applyFont="1" applyFill="1" applyBorder="1" applyAlignment="1">
      <alignment horizontal="center" wrapText="1"/>
    </xf>
  </cellXfs>
  <cellStyles count="12">
    <cellStyle name="Calculation" xfId="21" builtinId="22"/>
    <cellStyle name="Check Cell" xfId="20" builtinId="23"/>
    <cellStyle name="Comma" xfId="12" builtinId="3"/>
    <cellStyle name="Comma 2" xfId="17" xr:uid="{00000000-0005-0000-0000-000003000000}"/>
    <cellStyle name="Comma 3" xfId="19" xr:uid="{00000000-0005-0000-0000-000004000000}"/>
    <cellStyle name="Currency" xfId="13" builtinId="4"/>
    <cellStyle name="Hyperlink" xfId="5" builtinId="8"/>
    <cellStyle name="Neutral" xfId="15" builtinId="28"/>
    <cellStyle name="Normal" xfId="0" builtinId="0"/>
    <cellStyle name="Normal 2" xfId="16" xr:uid="{00000000-0005-0000-0000-000009000000}"/>
    <cellStyle name="Normal 3" xfId="18" xr:uid="{00000000-0005-0000-0000-00000A000000}"/>
    <cellStyle name="Percent" xfId="14" builtinId="5"/>
  </cellStyles>
  <dxfs count="113">
    <dxf>
      <fill>
        <patternFill>
          <bgColor rgb="FFFF0000"/>
        </patternFill>
      </fill>
    </dxf>
    <dxf>
      <fill>
        <patternFill>
          <bgColor rgb="FF00FF0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condense val="0"/>
        <extend val="0"/>
        <color indexed="9"/>
      </font>
      <fill>
        <patternFill>
          <bgColor indexed="10"/>
        </patternFill>
      </fill>
    </dxf>
    <dxf>
      <font>
        <b/>
        <i val="0"/>
        <condense val="0"/>
        <extend val="0"/>
        <color indexed="9"/>
      </font>
      <fill>
        <patternFill>
          <bgColor indexed="10"/>
        </patternFill>
      </fill>
    </dxf>
    <dxf>
      <font>
        <color theme="0" tint="-0.24994659260841701"/>
      </font>
      <fill>
        <patternFill>
          <bgColor theme="0"/>
        </patternFill>
      </fill>
    </dxf>
    <dxf>
      <fill>
        <patternFill>
          <bgColor rgb="FF00FF00"/>
        </patternFill>
      </fill>
    </dxf>
    <dxf>
      <fill>
        <patternFill>
          <bgColor theme="9" tint="-0.24994659260841701"/>
        </patternFill>
      </fill>
    </dxf>
    <dxf>
      <fill>
        <patternFill>
          <bgColor rgb="FF00FF00"/>
        </patternFill>
      </fill>
    </dxf>
    <dxf>
      <fill>
        <patternFill>
          <bgColor theme="9" tint="-0.24994659260841701"/>
        </patternFill>
      </fill>
    </dxf>
    <dxf>
      <fill>
        <patternFill>
          <bgColor rgb="FF00FF00"/>
        </patternFill>
      </fill>
    </dxf>
    <dxf>
      <fill>
        <patternFill>
          <bgColor theme="9" tint="-0.24994659260841701"/>
        </patternFill>
      </fill>
    </dxf>
    <dxf>
      <fill>
        <patternFill>
          <bgColor rgb="FF00FF00"/>
        </patternFill>
      </fill>
    </dxf>
    <dxf>
      <fill>
        <patternFill>
          <bgColor theme="9" tint="-0.24994659260841701"/>
        </patternFill>
      </fill>
    </dxf>
    <dxf>
      <fill>
        <patternFill>
          <bgColor rgb="FF00FF00"/>
        </patternFill>
      </fill>
    </dxf>
    <dxf>
      <fill>
        <patternFill>
          <bgColor theme="9" tint="-0.24994659260841701"/>
        </patternFill>
      </fill>
    </dxf>
    <dxf>
      <fill>
        <patternFill>
          <bgColor rgb="FF00FF00"/>
        </patternFill>
      </fill>
    </dxf>
    <dxf>
      <fill>
        <patternFill>
          <bgColor theme="9" tint="-0.24994659260841701"/>
        </patternFill>
      </fill>
    </dxf>
    <dxf>
      <fill>
        <patternFill>
          <bgColor theme="0"/>
        </patternFill>
      </fill>
    </dxf>
    <dxf>
      <fill>
        <patternFill>
          <bgColor rgb="FFFF9900"/>
        </patternFill>
      </fill>
    </dxf>
    <dxf>
      <fill>
        <patternFill>
          <bgColor rgb="FFFF9900"/>
        </patternFill>
      </fill>
    </dxf>
    <dxf>
      <fill>
        <patternFill>
          <bgColor theme="5" tint="0.39994506668294322"/>
        </patternFill>
      </fill>
    </dxf>
    <dxf>
      <fill>
        <patternFill>
          <bgColor theme="5" tint="0.39994506668294322"/>
        </patternFill>
      </fill>
    </dxf>
    <dxf>
      <fill>
        <patternFill>
          <bgColor rgb="FFFF9900"/>
        </patternFill>
      </fill>
    </dxf>
    <dxf>
      <fill>
        <patternFill>
          <bgColor rgb="FFFF9900"/>
        </patternFill>
      </fill>
    </dxf>
    <dxf>
      <fill>
        <patternFill>
          <bgColor theme="5" tint="0.39994506668294322"/>
        </patternFill>
      </fill>
    </dxf>
    <dxf>
      <fill>
        <patternFill>
          <bgColor theme="5" tint="0.39994506668294322"/>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indexed="10"/>
        </patternFill>
      </fill>
    </dxf>
    <dxf>
      <font>
        <color rgb="FF00CC00"/>
      </font>
    </dxf>
    <dxf>
      <font>
        <color rgb="FFFF0000"/>
      </font>
    </dxf>
    <dxf>
      <fill>
        <patternFill>
          <bgColor theme="5" tint="0.39994506668294322"/>
        </patternFill>
      </fill>
    </dxf>
    <dxf>
      <font>
        <color rgb="FFFF0000"/>
      </font>
    </dxf>
    <dxf>
      <font>
        <color rgb="FFFF0000"/>
      </font>
    </dxf>
    <dxf>
      <font>
        <color rgb="FF00CC00"/>
      </font>
    </dxf>
    <dxf>
      <font>
        <color theme="0"/>
      </font>
    </dxf>
    <dxf>
      <font>
        <color theme="0"/>
      </font>
      <fill>
        <patternFill>
          <bgColor theme="0"/>
        </patternFill>
      </fill>
      <border>
        <left/>
        <right/>
        <top/>
        <bottom/>
        <vertical/>
        <horizontal/>
      </border>
    </dxf>
    <dxf>
      <font>
        <color rgb="FFFF0000"/>
      </font>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patternType="none">
          <bgColor indexed="65"/>
        </patternFill>
      </fill>
      <border>
        <right/>
        <top style="thin">
          <color indexed="64"/>
        </top>
        <bottom/>
      </border>
    </dxf>
    <dxf>
      <fill>
        <patternFill>
          <bgColor indexed="42"/>
        </patternFill>
      </fill>
    </dxf>
    <dxf>
      <fill>
        <patternFill>
          <bgColor indexed="42"/>
        </patternFill>
      </fill>
    </dxf>
    <dxf>
      <fill>
        <patternFill>
          <bgColor indexed="42"/>
        </patternFill>
      </fill>
    </dxf>
    <dxf>
      <fill>
        <patternFill patternType="none">
          <bgColor indexed="65"/>
        </patternFill>
      </fill>
      <border>
        <right/>
        <top style="thin">
          <color indexed="64"/>
        </top>
        <bottom/>
      </border>
    </dxf>
    <dxf>
      <fill>
        <patternFill>
          <bgColor indexed="42"/>
        </patternFill>
      </fill>
    </dxf>
    <dxf>
      <fill>
        <patternFill>
          <bgColor indexed="42"/>
        </patternFill>
      </fill>
    </dxf>
    <dxf>
      <fill>
        <patternFill>
          <bgColor indexed="42"/>
        </patternFill>
      </fill>
    </dxf>
    <dxf>
      <fill>
        <patternFill>
          <bgColor indexed="42"/>
        </patternFill>
      </fill>
    </dxf>
    <dxf>
      <font>
        <strike val="0"/>
        <color rgb="FFFF0000"/>
      </font>
      <fill>
        <patternFill patternType="none">
          <bgColor auto="1"/>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border>
    </dxf>
    <dxf>
      <fill>
        <patternFill>
          <bgColor rgb="FFFFFF00"/>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10"/>
        </patternFill>
      </fill>
    </dxf>
    <dxf>
      <fill>
        <patternFill>
          <bgColor rgb="FFFF0000"/>
        </patternFill>
      </fill>
    </dxf>
    <dxf>
      <fill>
        <patternFill>
          <bgColor indexed="8"/>
        </patternFill>
      </fill>
    </dxf>
    <dxf>
      <fill>
        <patternFill>
          <bgColor indexed="8"/>
        </patternFill>
      </fill>
    </dxf>
  </dxfs>
  <tableStyles count="0" defaultTableStyle="TableStyleMedium9" defaultPivotStyle="PivotStyleLight16"/>
  <colors>
    <mruColors>
      <color rgb="FFCCFFCC"/>
      <color rgb="FFCCFF33"/>
      <color rgb="FFFFFF99"/>
      <color rgb="FF00FF00"/>
      <color rgb="FFFF9900"/>
      <color rgb="FFDDDDDD"/>
      <color rgb="FF00CC00"/>
      <color rgb="FFFFFFCC"/>
      <color rgb="FFFF6600"/>
      <color rgb="FF3FFF3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3.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Drop" dropStyle="combo" dx="15" noThreeD="1" sel="0" val="0"/>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Radio" checked="Checked" firstButton="1" lockText="1" noThreeD="1"/>
</file>

<file path=xl/ctrlProps/ctrlProp33.xml><?xml version="1.0" encoding="utf-8"?>
<formControlPr xmlns="http://schemas.microsoft.com/office/spreadsheetml/2009/9/main" objectType="Radio" lockText="1" noThreeD="1"/>
</file>

<file path=xl/ctrlProps/ctrlProp34.xml><?xml version="1.0" encoding="utf-8"?>
<formControlPr xmlns="http://schemas.microsoft.com/office/spreadsheetml/2009/9/main" objectType="Radio" lockText="1" noThreeD="1"/>
</file>

<file path=xl/ctrlProps/ctrlProp35.xml><?xml version="1.0" encoding="utf-8"?>
<formControlPr xmlns="http://schemas.microsoft.com/office/spreadsheetml/2009/9/main" objectType="Radio" lockText="1" noThreeD="1"/>
</file>

<file path=xl/ctrlProps/ctrlProp36.xml><?xml version="1.0" encoding="utf-8"?>
<formControlPr xmlns="http://schemas.microsoft.com/office/spreadsheetml/2009/9/main" objectType="CheckBox" fmlaLink="cbSupersede" lockText="1" noThreeD="1"/>
</file>

<file path=xl/ctrlProps/ctrlProp37.xml><?xml version="1.0" encoding="utf-8"?>
<formControlPr xmlns="http://schemas.microsoft.com/office/spreadsheetml/2009/9/main" objectType="CheckBox" fmlaLink="cbOnlineCell" lockText="1" noThreeD="1"/>
</file>

<file path=xl/ctrlProps/ctrlProp38.xml><?xml version="1.0" encoding="utf-8"?>
<formControlPr xmlns="http://schemas.microsoft.com/office/spreadsheetml/2009/9/main" objectType="CheckBox" fmlaLink="$B$14" lockText="1" noThreeD="1"/>
</file>

<file path=xl/ctrlProps/ctrlProp39.xml><?xml version="1.0" encoding="utf-8"?>
<formControlPr xmlns="http://schemas.microsoft.com/office/spreadsheetml/2009/9/main" objectType="CheckBox" fmlaLink="$X$3" lockText="1" noThreeD="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CheckBox" fmlaLink="$D$263" lockText="1" noThreeD="1"/>
</file>

<file path=xl/ctrlProps/ctrlProp42.xml><?xml version="1.0" encoding="utf-8"?>
<formControlPr xmlns="http://schemas.microsoft.com/office/spreadsheetml/2009/9/main" objectType="CheckBox" fmlaLink="$X$3" lockText="1" noThreeD="1"/>
</file>

<file path=xl/ctrlProps/ctrlProp43.xml><?xml version="1.0" encoding="utf-8"?>
<formControlPr xmlns="http://schemas.microsoft.com/office/spreadsheetml/2009/9/main" objectType="CheckBox" fmlaLink="$B$263" lockText="1" noThreeD="1"/>
</file>

<file path=xl/ctrlProps/ctrlProp44.xml><?xml version="1.0" encoding="utf-8"?>
<formControlPr xmlns="http://schemas.microsoft.com/office/spreadsheetml/2009/9/main" objectType="CheckBox" fmlaLink="cbSupersede" lockText="1" noThreeD="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Radio" checked="Checked" firstButton="1" fmlaLink="oppty.iTopScenario" lockText="1" noThreeD="1"/>
</file>

<file path=xl/ctrlProps/ctrlProp51.xml><?xml version="1.0" encoding="utf-8"?>
<formControlPr xmlns="http://schemas.microsoft.com/office/spreadsheetml/2009/9/main" objectType="Radio" lockText="1" noThreeD="1"/>
</file>

<file path=xl/ctrlProps/ctrlProp52.xml><?xml version="1.0" encoding="utf-8"?>
<formControlPr xmlns="http://schemas.microsoft.com/office/spreadsheetml/2009/9/main" objectType="Radio" lockText="1" noThreeD="1"/>
</file>

<file path=xl/ctrlProps/ctrlProp53.xml><?xml version="1.0" encoding="utf-8"?>
<formControlPr xmlns="http://schemas.microsoft.com/office/spreadsheetml/2009/9/main" objectType="CheckBox" fmlaLink="'Step 0'!$C$124" lockText="1"/>
</file>

<file path=xl/ctrlProps/ctrlProp54.xml><?xml version="1.0" encoding="utf-8"?>
<formControlPr xmlns="http://schemas.microsoft.com/office/spreadsheetml/2009/9/main" objectType="CheckBox" fmlaLink="'Step 0'!$C$123"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CheckBox" fmlaLink="AvpnCondenseNo" lockText="1" noThreeD="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GBox" noThreeD="1"/>
</file>

<file path=xl/ctrlProps/ctrlProp92.xml><?xml version="1.0" encoding="utf-8"?>
<formControlPr xmlns="http://schemas.microsoft.com/office/spreadsheetml/2009/9/main" objectType="Radio" firstButton="1" fmlaLink="$DD$1" lockText="1" noThreeD="1"/>
</file>

<file path=xl/ctrlProps/ctrlProp93.xml><?xml version="1.0" encoding="utf-8"?>
<formControlPr xmlns="http://schemas.microsoft.com/office/spreadsheetml/2009/9/main" objectType="Radio" lockText="1" noThreeD="1"/>
</file>

<file path=xl/ctrlProps/ctrlProp94.xml><?xml version="1.0" encoding="utf-8"?>
<formControlPr xmlns="http://schemas.microsoft.com/office/spreadsheetml/2009/9/main" objectType="Radio" lockText="1" noThreeD="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 Id="rId4" Type="http://schemas.openxmlformats.org/officeDocument/2006/relationships/image" Target="../media/image4.jpeg"/></Relationships>
</file>

<file path=xl/drawings/_rels/drawing4.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http://salesone.web.att.com/SalesOne_SharedScripts/dwnld_win_pop/index.cfm?fuseaction=pop_eportals&amp;vardwnld_id=39289&amp;portal_id=27&amp;page_id=244" TargetMode="External"/></Relationships>
</file>

<file path=xl/drawings/_rels/drawing5.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http://salesone.web.att.com/SalesOne_SharedScripts/dwnld_win_pop/index.cfm?fuseaction=pop_eportals&amp;vardwnld_id=20876&amp;portal_id=27&amp;page_id=244" TargetMode="External"/></Relationships>
</file>

<file path=xl/drawings/_rels/drawing6.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http://salesone.web.att.com/SalesOne_SharedScripts/dwnld_win_pop/index.cfm?fuseaction=pop_eportals&amp;vardwnld_id=42846&amp;portal_id=27&amp;page_id=244" TargetMode="External"/></Relationships>
</file>

<file path=xl/drawings/_rels/drawing7.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http://salesone.web.att.com/SalesOne_SharedScripts/dwnld_win_pop/index.cfm?fuseaction=pop_eportals&amp;vardwnld_id=20877&amp;portal_id=27&amp;page_id=244" TargetMode="External"/></Relationships>
</file>

<file path=xl/drawings/_rels/drawing8.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http://salesone.web.att.com/SalesOne_SharedScripts/dwnld_win_pop/index.cfm?fuseaction=pop_eportals&amp;vardwnld_id=20878&amp;portal_id=27&amp;page_id=244" TargetMode="External"/></Relationships>
</file>

<file path=xl/drawings/_rels/drawing9.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hyperlink" Target="http://salesone.web.att.com/salesone_sharedscripts/dwnld_win_pop/index.cfm?fuseaction=pop_eportals&amp;vardwnld_id=46834&amp;portal_id=27&amp;page_id=244" TargetMode="External"/></Relationships>
</file>

<file path=xl/drawings/_rels/drawing10.x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hyperlink" Target="http://salesone.web.att.com/SalesOne_SharedScripts/dwnld_win_pop/index.cfm?fuseaction=pop_eportals&amp;vardwnld_id=20880&amp;portal_id=27&amp;page_id=244" TargetMode="External"/></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18</xdr:row>
      <xdr:rowOff>0</xdr:rowOff>
    </xdr:from>
    <xdr:to>
      <xdr:col>6</xdr:col>
      <xdr:colOff>304800</xdr:colOff>
      <xdr:row>31</xdr:row>
      <xdr:rowOff>28575</xdr:rowOff>
    </xdr:to>
    <xdr:pic>
      <xdr:nvPicPr>
        <xdr:cNvPr id="2" name="Picture 1" descr="sec3">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09600" y="2895600"/>
          <a:ext cx="3352800" cy="2133600"/>
        </a:xfrm>
        <a:prstGeom prst="rect">
          <a:avLst/>
        </a:prstGeom>
        <a:noFill/>
        <a:ln w="9525">
          <a:noFill/>
          <a:miter lim="800000"/>
          <a:headEnd/>
          <a:tailEnd/>
        </a:ln>
      </xdr:spPr>
    </xdr:pic>
    <xdr:clientData/>
  </xdr:twoCellAnchor>
  <xdr:twoCellAnchor editAs="oneCell">
    <xdr:from>
      <xdr:col>0</xdr:col>
      <xdr:colOff>600075</xdr:colOff>
      <xdr:row>6</xdr:row>
      <xdr:rowOff>89258</xdr:rowOff>
    </xdr:from>
    <xdr:to>
      <xdr:col>11</xdr:col>
      <xdr:colOff>523875</xdr:colOff>
      <xdr:row>36</xdr:row>
      <xdr:rowOff>148867</xdr:rowOff>
    </xdr:to>
    <xdr:pic>
      <xdr:nvPicPr>
        <xdr:cNvPr id="3" name="Picture 2" descr="excelMacro6.jpg">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cstate="print"/>
        <a:stretch>
          <a:fillRect/>
        </a:stretch>
      </xdr:blipFill>
      <xdr:spPr bwMode="auto">
        <a:xfrm>
          <a:off x="600075" y="1041758"/>
          <a:ext cx="6629400" cy="4917359"/>
        </a:xfrm>
        <a:prstGeom prst="rect">
          <a:avLst/>
        </a:prstGeom>
        <a:noFill/>
        <a:ln w="9525">
          <a:noFill/>
          <a:miter lim="800000"/>
          <a:headEnd/>
          <a:tailEnd/>
        </a:ln>
      </xdr:spPr>
    </xdr:pic>
    <xdr:clientData/>
  </xdr:twoCellAnchor>
  <xdr:twoCellAnchor editAs="oneCell">
    <xdr:from>
      <xdr:col>1</xdr:col>
      <xdr:colOff>28575</xdr:colOff>
      <xdr:row>37</xdr:row>
      <xdr:rowOff>133350</xdr:rowOff>
    </xdr:from>
    <xdr:to>
      <xdr:col>7</xdr:col>
      <xdr:colOff>161925</xdr:colOff>
      <xdr:row>52</xdr:row>
      <xdr:rowOff>133350</xdr:rowOff>
    </xdr:to>
    <xdr:pic>
      <xdr:nvPicPr>
        <xdr:cNvPr id="4" name="Picture 6" descr="excelMacro4.jpg">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cstate="print"/>
        <a:srcRect/>
        <a:stretch>
          <a:fillRect/>
        </a:stretch>
      </xdr:blipFill>
      <xdr:spPr bwMode="auto">
        <a:xfrm>
          <a:off x="638175" y="6105525"/>
          <a:ext cx="3790950" cy="2428875"/>
        </a:xfrm>
        <a:prstGeom prst="rect">
          <a:avLst/>
        </a:prstGeom>
        <a:noFill/>
        <a:ln w="9525">
          <a:noFill/>
          <a:miter lim="800000"/>
          <a:headEnd/>
          <a:tailEnd/>
        </a:ln>
      </xdr:spPr>
    </xdr:pic>
    <xdr:clientData/>
  </xdr:twoCellAnchor>
  <xdr:twoCellAnchor>
    <xdr:from>
      <xdr:col>3</xdr:col>
      <xdr:colOff>342900</xdr:colOff>
      <xdr:row>49</xdr:row>
      <xdr:rowOff>133350</xdr:rowOff>
    </xdr:from>
    <xdr:to>
      <xdr:col>5</xdr:col>
      <xdr:colOff>600075</xdr:colOff>
      <xdr:row>53</xdr:row>
      <xdr:rowOff>47625</xdr:rowOff>
    </xdr:to>
    <xdr:sp macro="" textlink="">
      <xdr:nvSpPr>
        <xdr:cNvPr id="5" name="Oval 4">
          <a:extLst>
            <a:ext uri="{FF2B5EF4-FFF2-40B4-BE49-F238E27FC236}">
              <a16:creationId xmlns:a16="http://schemas.microsoft.com/office/drawing/2014/main" id="{00000000-0008-0000-0000-000005000000}"/>
            </a:ext>
          </a:extLst>
        </xdr:cNvPr>
        <xdr:cNvSpPr/>
      </xdr:nvSpPr>
      <xdr:spPr>
        <a:xfrm>
          <a:off x="2171700" y="8048625"/>
          <a:ext cx="1476375" cy="561975"/>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editAs="oneCell">
    <xdr:from>
      <xdr:col>1</xdr:col>
      <xdr:colOff>9525</xdr:colOff>
      <xdr:row>53</xdr:row>
      <xdr:rowOff>142875</xdr:rowOff>
    </xdr:from>
    <xdr:to>
      <xdr:col>13</xdr:col>
      <xdr:colOff>0</xdr:colOff>
      <xdr:row>90</xdr:row>
      <xdr:rowOff>47625</xdr:rowOff>
    </xdr:to>
    <xdr:pic>
      <xdr:nvPicPr>
        <xdr:cNvPr id="6" name="Picture 8" descr="excelMacro3.jpg">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4" cstate="print"/>
        <a:srcRect/>
        <a:stretch>
          <a:fillRect/>
        </a:stretch>
      </xdr:blipFill>
      <xdr:spPr bwMode="auto">
        <a:xfrm>
          <a:off x="619125" y="8705850"/>
          <a:ext cx="7305675" cy="589597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133350</xdr:colOff>
          <xdr:row>6</xdr:row>
          <xdr:rowOff>76200</xdr:rowOff>
        </xdr:from>
        <xdr:to>
          <xdr:col>2</xdr:col>
          <xdr:colOff>133350</xdr:colOff>
          <xdr:row>7</xdr:row>
          <xdr:rowOff>133350</xdr:rowOff>
        </xdr:to>
        <xdr:sp macro="" textlink="">
          <xdr:nvSpPr>
            <xdr:cNvPr id="249857" name="Button 1" hidden="1">
              <a:extLst>
                <a:ext uri="{63B3BB69-23CF-44E3-9099-C40C66FF867C}">
                  <a14:compatExt spid="_x0000_s249857"/>
                </a:ext>
                <a:ext uri="{FF2B5EF4-FFF2-40B4-BE49-F238E27FC236}">
                  <a16:creationId xmlns:a16="http://schemas.microsoft.com/office/drawing/2014/main" id="{00000000-0008-0000-0200-000001D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Get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371475</xdr:colOff>
          <xdr:row>6</xdr:row>
          <xdr:rowOff>76200</xdr:rowOff>
        </xdr:from>
        <xdr:to>
          <xdr:col>2</xdr:col>
          <xdr:colOff>1295400</xdr:colOff>
          <xdr:row>7</xdr:row>
          <xdr:rowOff>133350</xdr:rowOff>
        </xdr:to>
        <xdr:sp macro="" textlink="">
          <xdr:nvSpPr>
            <xdr:cNvPr id="249858" name="Button 2" hidden="1">
              <a:extLst>
                <a:ext uri="{63B3BB69-23CF-44E3-9099-C40C66FF867C}">
                  <a14:compatExt spid="_x0000_s249858"/>
                </a:ext>
                <a:ext uri="{FF2B5EF4-FFF2-40B4-BE49-F238E27FC236}">
                  <a16:creationId xmlns:a16="http://schemas.microsoft.com/office/drawing/2014/main" id="{00000000-0008-0000-0200-000002D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List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1</xdr:col>
      <xdr:colOff>1581150</xdr:colOff>
      <xdr:row>0</xdr:row>
      <xdr:rowOff>38100</xdr:rowOff>
    </xdr:from>
    <xdr:to>
      <xdr:col>4</xdr:col>
      <xdr:colOff>276225</xdr:colOff>
      <xdr:row>1</xdr:row>
      <xdr:rowOff>133350</xdr:rowOff>
    </xdr:to>
    <xdr:sp macro="" textlink="">
      <xdr:nvSpPr>
        <xdr:cNvPr id="2" name="Rectangle 3">
          <a:extLst>
            <a:ext uri="{FF2B5EF4-FFF2-40B4-BE49-F238E27FC236}">
              <a16:creationId xmlns:a16="http://schemas.microsoft.com/office/drawing/2014/main" id="{00000000-0008-0000-0300-000002000000}"/>
            </a:ext>
          </a:extLst>
        </xdr:cNvPr>
        <xdr:cNvSpPr>
          <a:spLocks noChangeArrowheads="1"/>
        </xdr:cNvSpPr>
      </xdr:nvSpPr>
      <xdr:spPr bwMode="auto">
        <a:xfrm>
          <a:off x="1809750" y="38100"/>
          <a:ext cx="1666875" cy="542925"/>
        </a:xfrm>
        <a:prstGeom prst="rect">
          <a:avLst/>
        </a:prstGeom>
        <a:solidFill>
          <a:srgbClr val="CCFFCC"/>
        </a:solidFill>
        <a:ln w="9525">
          <a:solidFill>
            <a:srgbClr val="000000"/>
          </a:solidFill>
          <a:miter lim="800000"/>
          <a:headEnd/>
          <a:tailEnd/>
        </a:ln>
      </xdr:spPr>
      <xdr:txBody>
        <a:bodyPr vertOverflow="clip" wrap="square" lIns="27432" tIns="0" rIns="27432" bIns="22860" anchor="b" upright="1"/>
        <a:lstStyle/>
        <a:p>
          <a:pPr algn="ctr" rtl="0">
            <a:defRPr sz="1000"/>
          </a:pPr>
          <a:r>
            <a:rPr lang="en-US" sz="800" b="0" i="0" u="none" strike="noStrike" baseline="0">
              <a:solidFill>
                <a:srgbClr val="000000"/>
              </a:solidFill>
              <a:latin typeface="Arial"/>
              <a:cs typeface="Arial"/>
            </a:rPr>
            <a:t>Step 1 (multiple imports allowed)</a:t>
          </a:r>
        </a:p>
      </xdr:txBody>
    </xdr:sp>
    <xdr:clientData/>
  </xdr:twoCellAnchor>
  <xdr:twoCellAnchor editAs="absolute">
    <xdr:from>
      <xdr:col>4</xdr:col>
      <xdr:colOff>342900</xdr:colOff>
      <xdr:row>0</xdr:row>
      <xdr:rowOff>38100</xdr:rowOff>
    </xdr:from>
    <xdr:to>
      <xdr:col>6</xdr:col>
      <xdr:colOff>1371600</xdr:colOff>
      <xdr:row>1</xdr:row>
      <xdr:rowOff>133350</xdr:rowOff>
    </xdr:to>
    <xdr:sp macro="" textlink="">
      <xdr:nvSpPr>
        <xdr:cNvPr id="3" name="Rectangle 11">
          <a:extLst>
            <a:ext uri="{FF2B5EF4-FFF2-40B4-BE49-F238E27FC236}">
              <a16:creationId xmlns:a16="http://schemas.microsoft.com/office/drawing/2014/main" id="{00000000-0008-0000-0300-000003000000}"/>
            </a:ext>
          </a:extLst>
        </xdr:cNvPr>
        <xdr:cNvSpPr>
          <a:spLocks noChangeArrowheads="1"/>
        </xdr:cNvSpPr>
      </xdr:nvSpPr>
      <xdr:spPr bwMode="auto">
        <a:xfrm>
          <a:off x="3543300" y="38100"/>
          <a:ext cx="2247900" cy="542925"/>
        </a:xfrm>
        <a:prstGeom prst="rect">
          <a:avLst/>
        </a:prstGeom>
        <a:solidFill>
          <a:srgbClr val="CCFFCC"/>
        </a:solidFill>
        <a:ln w="9525">
          <a:solidFill>
            <a:srgbClr val="000000"/>
          </a:solidFill>
          <a:miter lim="800000"/>
          <a:headEnd/>
          <a:tailEnd/>
        </a:ln>
      </xdr:spPr>
      <xdr:txBody>
        <a:bodyPr vertOverflow="clip" wrap="square" lIns="27432" tIns="0" rIns="27432" bIns="22860" anchor="b" upright="1"/>
        <a:lstStyle/>
        <a:p>
          <a:pPr algn="ctr" rtl="0">
            <a:defRPr sz="1000"/>
          </a:pPr>
          <a:r>
            <a:rPr lang="en-US" sz="800" b="0" i="0" u="none" strike="noStrike" baseline="0">
              <a:solidFill>
                <a:srgbClr val="000000"/>
              </a:solidFill>
              <a:latin typeface="Arial"/>
              <a:cs typeface="Arial"/>
            </a:rPr>
            <a:t>Step 2</a:t>
          </a:r>
        </a:p>
      </xdr:txBody>
    </xdr:sp>
    <xdr:clientData/>
  </xdr:twoCellAnchor>
  <xdr:twoCellAnchor editAs="absolute">
    <xdr:from>
      <xdr:col>0</xdr:col>
      <xdr:colOff>57150</xdr:colOff>
      <xdr:row>0</xdr:row>
      <xdr:rowOff>38100</xdr:rowOff>
    </xdr:from>
    <xdr:to>
      <xdr:col>1</xdr:col>
      <xdr:colOff>1485900</xdr:colOff>
      <xdr:row>1</xdr:row>
      <xdr:rowOff>133350</xdr:rowOff>
    </xdr:to>
    <xdr:sp macro="" textlink="">
      <xdr:nvSpPr>
        <xdr:cNvPr id="4" name="Rectangle 20">
          <a:extLst>
            <a:ext uri="{FF2B5EF4-FFF2-40B4-BE49-F238E27FC236}">
              <a16:creationId xmlns:a16="http://schemas.microsoft.com/office/drawing/2014/main" id="{00000000-0008-0000-0300-000004000000}"/>
            </a:ext>
          </a:extLst>
        </xdr:cNvPr>
        <xdr:cNvSpPr>
          <a:spLocks noChangeArrowheads="1"/>
        </xdr:cNvSpPr>
      </xdr:nvSpPr>
      <xdr:spPr bwMode="auto">
        <a:xfrm>
          <a:off x="57150" y="38100"/>
          <a:ext cx="1657350" cy="542925"/>
        </a:xfrm>
        <a:prstGeom prst="rect">
          <a:avLst/>
        </a:prstGeom>
        <a:solidFill>
          <a:srgbClr val="CCFFCC"/>
        </a:solidFill>
        <a:ln w="9525">
          <a:solidFill>
            <a:srgbClr val="000000"/>
          </a:solidFill>
          <a:miter lim="800000"/>
          <a:headEnd/>
          <a:tailEnd/>
        </a:ln>
      </xdr:spPr>
      <xdr:txBody>
        <a:bodyPr vertOverflow="clip" wrap="square" lIns="27432" tIns="0" rIns="27432" bIns="22860" anchor="b" upright="1"/>
        <a:lstStyle/>
        <a:p>
          <a:pPr algn="ctr" rtl="0">
            <a:defRPr sz="1000"/>
          </a:pPr>
          <a:r>
            <a:rPr lang="en-US" sz="800" b="0" i="0" u="none" strike="noStrike" baseline="0">
              <a:solidFill>
                <a:srgbClr val="000000"/>
              </a:solidFill>
              <a:latin typeface="Arial"/>
              <a:cs typeface="Arial"/>
            </a:rPr>
            <a:t>Clear this tab</a:t>
          </a:r>
        </a:p>
      </xdr:txBody>
    </xdr:sp>
    <xdr:clientData/>
  </xdr:twoCellAnchor>
  <mc:AlternateContent xmlns:mc="http://schemas.openxmlformats.org/markup-compatibility/2006">
    <mc:Choice xmlns:a14="http://schemas.microsoft.com/office/drawing/2010/main" Requires="a14">
      <xdr:twoCellAnchor>
        <xdr:from>
          <xdr:col>1</xdr:col>
          <xdr:colOff>28575</xdr:colOff>
          <xdr:row>0</xdr:row>
          <xdr:rowOff>57150</xdr:rowOff>
        </xdr:from>
        <xdr:to>
          <xdr:col>1</xdr:col>
          <xdr:colOff>1400175</xdr:colOff>
          <xdr:row>0</xdr:row>
          <xdr:rowOff>419100</xdr:rowOff>
        </xdr:to>
        <xdr:sp macro="" textlink="">
          <xdr:nvSpPr>
            <xdr:cNvPr id="490497" name="Button 1" hidden="1">
              <a:extLst>
                <a:ext uri="{63B3BB69-23CF-44E3-9099-C40C66FF867C}">
                  <a14:compatExt spid="_x0000_s490497"/>
                </a:ext>
                <a:ext uri="{FF2B5EF4-FFF2-40B4-BE49-F238E27FC236}">
                  <a16:creationId xmlns:a16="http://schemas.microsoft.com/office/drawing/2014/main" id="{00000000-0008-0000-0300-0000017C07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NSS ASE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1695450</xdr:colOff>
          <xdr:row>0</xdr:row>
          <xdr:rowOff>57150</xdr:rowOff>
        </xdr:from>
        <xdr:to>
          <xdr:col>4</xdr:col>
          <xdr:colOff>171450</xdr:colOff>
          <xdr:row>0</xdr:row>
          <xdr:rowOff>419100</xdr:rowOff>
        </xdr:to>
        <xdr:sp macro="" textlink="">
          <xdr:nvSpPr>
            <xdr:cNvPr id="490498" name="Button 2" hidden="1">
              <a:extLst>
                <a:ext uri="{63B3BB69-23CF-44E3-9099-C40C66FF867C}">
                  <a14:compatExt spid="_x0000_s490498"/>
                </a:ext>
                <a:ext uri="{FF2B5EF4-FFF2-40B4-BE49-F238E27FC236}">
                  <a16:creationId xmlns:a16="http://schemas.microsoft.com/office/drawing/2014/main" id="{00000000-0008-0000-0300-0000027C07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Sales Solution Summary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457200</xdr:colOff>
          <xdr:row>0</xdr:row>
          <xdr:rowOff>66675</xdr:rowOff>
        </xdr:from>
        <xdr:to>
          <xdr:col>6</xdr:col>
          <xdr:colOff>1276350</xdr:colOff>
          <xdr:row>0</xdr:row>
          <xdr:rowOff>428625</xdr:rowOff>
        </xdr:to>
        <xdr:sp macro="" textlink="">
          <xdr:nvSpPr>
            <xdr:cNvPr id="490499" name="Button 3" hidden="1">
              <a:extLst>
                <a:ext uri="{63B3BB69-23CF-44E3-9099-C40C66FF867C}">
                  <a14:compatExt spid="_x0000_s490499"/>
                </a:ext>
                <a:ext uri="{FF2B5EF4-FFF2-40B4-BE49-F238E27FC236}">
                  <a16:creationId xmlns:a16="http://schemas.microsoft.com/office/drawing/2014/main" id="{00000000-0008-0000-0300-0000037C07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Compare and Copy Locations to Product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0</xdr:col>
      <xdr:colOff>114300</xdr:colOff>
      <xdr:row>0</xdr:row>
      <xdr:rowOff>0</xdr:rowOff>
    </xdr:from>
    <xdr:to>
      <xdr:col>0</xdr:col>
      <xdr:colOff>766233</xdr:colOff>
      <xdr:row>4</xdr:row>
      <xdr:rowOff>122767</xdr:rowOff>
    </xdr:to>
    <xdr:grpSp>
      <xdr:nvGrpSpPr>
        <xdr:cNvPr id="7" name="btnIms2TrainingStep0">
          <a:hlinkClick xmlns:r="http://schemas.openxmlformats.org/officeDocument/2006/relationships" r:id="rId1"/>
          <a:extLst>
            <a:ext uri="{FF2B5EF4-FFF2-40B4-BE49-F238E27FC236}">
              <a16:creationId xmlns:a16="http://schemas.microsoft.com/office/drawing/2014/main" id="{00000000-0008-0000-0400-000007000000}"/>
            </a:ext>
          </a:extLst>
        </xdr:cNvPr>
        <xdr:cNvGrpSpPr>
          <a:grpSpLocks noChangeAspect="1"/>
        </xdr:cNvGrpSpPr>
      </xdr:nvGrpSpPr>
      <xdr:grpSpPr>
        <a:xfrm>
          <a:off x="114300" y="0"/>
          <a:ext cx="651933" cy="789517"/>
          <a:chOff x="6173710" y="857250"/>
          <a:chExt cx="1166688" cy="1690953"/>
        </a:xfrm>
      </xdr:grpSpPr>
      <xdr:pic>
        <xdr:nvPicPr>
          <xdr:cNvPr id="8" name="Picture 7" descr="IMS2 Training v2.jpg">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2" cstate="print"/>
          <a:srcRect l="16000" t="15349" r="17600" b="15983"/>
          <a:stretch>
            <a:fillRect/>
          </a:stretch>
        </xdr:blipFill>
        <xdr:spPr>
          <a:xfrm>
            <a:off x="6238875" y="857250"/>
            <a:ext cx="923925" cy="946188"/>
          </a:xfrm>
          <a:prstGeom prst="rect">
            <a:avLst/>
          </a:prstGeom>
          <a:noFill/>
          <a:ln>
            <a:noFill/>
          </a:ln>
        </xdr:spPr>
      </xdr:pic>
      <xdr:sp macro="" textlink="">
        <xdr:nvSpPr>
          <xdr:cNvPr id="9" name="Rectangle 8">
            <a:extLst>
              <a:ext uri="{FF2B5EF4-FFF2-40B4-BE49-F238E27FC236}">
                <a16:creationId xmlns:a16="http://schemas.microsoft.com/office/drawing/2014/main" id="{00000000-0008-0000-0400-000009000000}"/>
              </a:ext>
            </a:extLst>
          </xdr:cNvPr>
          <xdr:cNvSpPr/>
        </xdr:nvSpPr>
        <xdr:spPr>
          <a:xfrm>
            <a:off x="6173710" y="1805525"/>
            <a:ext cx="1166688" cy="742678"/>
          </a:xfrm>
          <a:prstGeom prst="rect">
            <a:avLst/>
          </a:prstGeom>
          <a:noFill/>
        </xdr:spPr>
        <xdr:txBody>
          <a:bodyPr wrap="none" lIns="91440" tIns="45720" rIns="91440" bIns="45720">
            <a:spAutoFit/>
          </a:bodyPr>
          <a:lstStyle/>
          <a:p>
            <a:pPr algn="ctr"/>
            <a:r>
              <a:rPr lang="en-US" sz="1200" b="1" cap="none" spc="50">
                <a:ln w="12700" cmpd="sng">
                  <a:solidFill>
                    <a:schemeClr val="accent6">
                      <a:satMod val="120000"/>
                      <a:shade val="80000"/>
                    </a:schemeClr>
                  </a:solidFill>
                  <a:prstDash val="solid"/>
                </a:ln>
                <a:solidFill>
                  <a:srgbClr val="0070C0"/>
                </a:solidFill>
                <a:effectLst>
                  <a:glow rad="53100">
                    <a:schemeClr val="accent6">
                      <a:satMod val="180000"/>
                      <a:alpha val="30000"/>
                    </a:schemeClr>
                  </a:glow>
                </a:effectLst>
              </a:rPr>
              <a:t>Click For</a:t>
            </a:r>
          </a:p>
          <a:p>
            <a:pPr algn="ctr"/>
            <a:r>
              <a:rPr lang="en-US" sz="1200" b="1" cap="none" spc="50">
                <a:ln w="12700" cmpd="sng">
                  <a:solidFill>
                    <a:schemeClr val="accent6">
                      <a:satMod val="120000"/>
                      <a:shade val="80000"/>
                    </a:schemeClr>
                  </a:solidFill>
                  <a:prstDash val="solid"/>
                </a:ln>
                <a:solidFill>
                  <a:srgbClr val="0070C0"/>
                </a:solidFill>
                <a:effectLst>
                  <a:glow rad="53100">
                    <a:schemeClr val="accent6">
                      <a:satMod val="180000"/>
                      <a:alpha val="30000"/>
                    </a:schemeClr>
                  </a:glow>
                </a:effectLst>
              </a:rPr>
              <a:t> Training</a:t>
            </a:r>
          </a:p>
        </xdr:txBody>
      </xdr:sp>
    </xdr:grpSp>
    <xdr:clientData/>
  </xdr:twoCellAnchor>
  <mc:AlternateContent xmlns:mc="http://schemas.openxmlformats.org/markup-compatibility/2006">
    <mc:Choice xmlns:a14="http://schemas.microsoft.com/office/drawing/2010/main" Requires="a14">
      <xdr:twoCellAnchor editAs="absolute">
        <xdr:from>
          <xdr:col>1</xdr:col>
          <xdr:colOff>485775</xdr:colOff>
          <xdr:row>3</xdr:row>
          <xdr:rowOff>47625</xdr:rowOff>
        </xdr:from>
        <xdr:to>
          <xdr:col>4</xdr:col>
          <xdr:colOff>247650</xdr:colOff>
          <xdr:row>4</xdr:row>
          <xdr:rowOff>104775</xdr:rowOff>
        </xdr:to>
        <xdr:sp macro="" textlink="">
          <xdr:nvSpPr>
            <xdr:cNvPr id="507906" name="Button 2" hidden="1">
              <a:extLst>
                <a:ext uri="{63B3BB69-23CF-44E3-9099-C40C66FF867C}">
                  <a14:compatExt spid="_x0000_s507906"/>
                </a:ext>
                <a:ext uri="{FF2B5EF4-FFF2-40B4-BE49-F238E27FC236}">
                  <a16:creationId xmlns:a16="http://schemas.microsoft.com/office/drawing/2014/main" id="{00000000-0008-0000-0400-000002C007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Export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457200</xdr:colOff>
          <xdr:row>5</xdr:row>
          <xdr:rowOff>47625</xdr:rowOff>
        </xdr:from>
        <xdr:to>
          <xdr:col>4</xdr:col>
          <xdr:colOff>219075</xdr:colOff>
          <xdr:row>6</xdr:row>
          <xdr:rowOff>114300</xdr:rowOff>
        </xdr:to>
        <xdr:sp macro="" textlink="">
          <xdr:nvSpPr>
            <xdr:cNvPr id="507908" name="Button 4" hidden="1">
              <a:extLst>
                <a:ext uri="{63B3BB69-23CF-44E3-9099-C40C66FF867C}">
                  <a14:compatExt spid="_x0000_s507908"/>
                </a:ext>
                <a:ext uri="{FF2B5EF4-FFF2-40B4-BE49-F238E27FC236}">
                  <a16:creationId xmlns:a16="http://schemas.microsoft.com/office/drawing/2014/main" id="{00000000-0008-0000-0400-000004C007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absolute">
    <xdr:from>
      <xdr:col>0</xdr:col>
      <xdr:colOff>49742</xdr:colOff>
      <xdr:row>0</xdr:row>
      <xdr:rowOff>30691</xdr:rowOff>
    </xdr:from>
    <xdr:to>
      <xdr:col>3</xdr:col>
      <xdr:colOff>0</xdr:colOff>
      <xdr:row>1</xdr:row>
      <xdr:rowOff>116416</xdr:rowOff>
    </xdr:to>
    <xdr:sp macro="" textlink="">
      <xdr:nvSpPr>
        <xdr:cNvPr id="10" name="Rectangle 15">
          <a:extLst>
            <a:ext uri="{FF2B5EF4-FFF2-40B4-BE49-F238E27FC236}">
              <a16:creationId xmlns:a16="http://schemas.microsoft.com/office/drawing/2014/main" id="{00000000-0008-0000-0500-00000A000000}"/>
            </a:ext>
          </a:extLst>
        </xdr:cNvPr>
        <xdr:cNvSpPr>
          <a:spLocks noChangeArrowheads="1"/>
        </xdr:cNvSpPr>
      </xdr:nvSpPr>
      <xdr:spPr bwMode="auto">
        <a:xfrm>
          <a:off x="49742" y="30691"/>
          <a:ext cx="3792008" cy="911225"/>
        </a:xfrm>
        <a:prstGeom prst="rect">
          <a:avLst/>
        </a:prstGeom>
        <a:solidFill>
          <a:srgbClr val="FFCC99">
            <a:alpha val="75000"/>
          </a:srgbClr>
        </a:solidFill>
        <a:ln w="9525">
          <a:solidFill>
            <a:srgbClr val="FF6600"/>
          </a:solidFill>
          <a:miter lim="800000"/>
          <a:headEnd/>
          <a:tailEnd/>
        </a:ln>
      </xdr:spPr>
      <xdr:txBody>
        <a:bodyPr vertOverflow="clip" wrap="square" lIns="27432" tIns="22860" rIns="0" bIns="22860" anchor="t" upright="1"/>
        <a:lstStyle/>
        <a:p>
          <a:pPr algn="l" rtl="1">
            <a:defRPr sz="1000"/>
          </a:pPr>
          <a:r>
            <a:rPr lang="en-US" sz="1200" b="0" i="0" strike="noStrike">
              <a:solidFill>
                <a:srgbClr val="000000"/>
              </a:solidFill>
              <a:latin typeface="Arial"/>
              <a:cs typeface="Arial"/>
            </a:rPr>
            <a:t>CDT Options</a:t>
          </a:r>
        </a:p>
      </xdr:txBody>
    </xdr:sp>
    <xdr:clientData/>
  </xdr:twoCellAnchor>
  <xdr:twoCellAnchor editAs="absolute">
    <xdr:from>
      <xdr:col>1</xdr:col>
      <xdr:colOff>1301749</xdr:colOff>
      <xdr:row>0</xdr:row>
      <xdr:rowOff>412750</xdr:rowOff>
    </xdr:from>
    <xdr:to>
      <xdr:col>2</xdr:col>
      <xdr:colOff>2043641</xdr:colOff>
      <xdr:row>1</xdr:row>
      <xdr:rowOff>95250</xdr:rowOff>
    </xdr:to>
    <xdr:sp macro="" textlink="">
      <xdr:nvSpPr>
        <xdr:cNvPr id="21" name="TextBoxVoltage" hidden="1">
          <a:extLst>
            <a:ext uri="{FF2B5EF4-FFF2-40B4-BE49-F238E27FC236}">
              <a16:creationId xmlns:a16="http://schemas.microsoft.com/office/drawing/2014/main" id="{00000000-0008-0000-0500-000015000000}"/>
            </a:ext>
          </a:extLst>
        </xdr:cNvPr>
        <xdr:cNvSpPr>
          <a:spLocks noChangeArrowheads="1"/>
        </xdr:cNvSpPr>
      </xdr:nvSpPr>
      <xdr:spPr bwMode="auto">
        <a:xfrm>
          <a:off x="1375832" y="412750"/>
          <a:ext cx="2456392" cy="508000"/>
        </a:xfrm>
        <a:prstGeom prst="rect">
          <a:avLst/>
        </a:prstGeom>
        <a:solidFill>
          <a:srgbClr val="FFCC99">
            <a:alpha val="75000"/>
          </a:srgbClr>
        </a:solidFill>
        <a:ln w="9525">
          <a:solidFill>
            <a:srgbClr val="FF6600"/>
          </a:solidFill>
          <a:miter lim="800000"/>
          <a:headEnd/>
          <a:tailEnd/>
        </a:ln>
      </xdr:spPr>
      <xdr:txBody>
        <a:bodyPr vertOverflow="clip" wrap="square" lIns="27432" tIns="22860" rIns="91440" bIns="22860" anchor="t" upright="1"/>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400" b="0" i="0" u="none" strike="noStrike" kern="0" cap="none" spc="0" normalizeH="0" baseline="0" noProof="0">
              <a:ln>
                <a:noFill/>
              </a:ln>
              <a:solidFill>
                <a:srgbClr val="FF0000"/>
              </a:solidFill>
              <a:effectLst/>
              <a:uLnTx/>
              <a:uFillTx/>
              <a:latin typeface="Arial" pitchFamily="34" charset="0"/>
              <a:ea typeface="+mn-ea"/>
              <a:cs typeface="Arial" pitchFamily="34" charset="0"/>
            </a:rPr>
            <a:t>AT&amp;T NETWORK</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400" b="0" i="0" u="none" strike="noStrike" kern="0" cap="none" spc="0" normalizeH="0" baseline="0" noProof="0">
              <a:ln>
                <a:noFill/>
              </a:ln>
              <a:solidFill>
                <a:srgbClr val="FF0000"/>
              </a:solidFill>
              <a:effectLst/>
              <a:uLnTx/>
              <a:uFillTx/>
              <a:latin typeface="Arial" pitchFamily="34" charset="0"/>
              <a:ea typeface="+mn-ea"/>
              <a:cs typeface="Arial" pitchFamily="34" charset="0"/>
            </a:rPr>
            <a:t>SUITE RATES</a:t>
          </a:r>
        </a:p>
      </xdr:txBody>
    </xdr:sp>
    <xdr:clientData/>
  </xdr:twoCellAnchor>
  <xdr:twoCellAnchor editAs="absolute">
    <xdr:from>
      <xdr:col>9</xdr:col>
      <xdr:colOff>113368</xdr:colOff>
      <xdr:row>0</xdr:row>
      <xdr:rowOff>161925</xdr:rowOff>
    </xdr:from>
    <xdr:to>
      <xdr:col>10</xdr:col>
      <xdr:colOff>521883</xdr:colOff>
      <xdr:row>1</xdr:row>
      <xdr:rowOff>125942</xdr:rowOff>
    </xdr:to>
    <xdr:grpSp>
      <xdr:nvGrpSpPr>
        <xdr:cNvPr id="6" name="btnIms2TrainingStep0">
          <a:hlinkClick xmlns:r="http://schemas.openxmlformats.org/officeDocument/2006/relationships" r:id="rId1"/>
          <a:extLst>
            <a:ext uri="{FF2B5EF4-FFF2-40B4-BE49-F238E27FC236}">
              <a16:creationId xmlns:a16="http://schemas.microsoft.com/office/drawing/2014/main" id="{00000000-0008-0000-0500-000006000000}"/>
            </a:ext>
          </a:extLst>
        </xdr:cNvPr>
        <xdr:cNvGrpSpPr>
          <a:grpSpLocks noChangeAspect="1"/>
        </xdr:cNvGrpSpPr>
      </xdr:nvGrpSpPr>
      <xdr:grpSpPr>
        <a:xfrm>
          <a:off x="8929285" y="161925"/>
          <a:ext cx="651931" cy="789517"/>
          <a:chOff x="6173710" y="857250"/>
          <a:chExt cx="1166688" cy="1690953"/>
        </a:xfrm>
      </xdr:grpSpPr>
      <xdr:pic>
        <xdr:nvPicPr>
          <xdr:cNvPr id="7" name="Picture 6" descr="IMS2 Training v2.jpg">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2" cstate="print"/>
          <a:srcRect l="16000" t="15349" r="17600" b="15983"/>
          <a:stretch>
            <a:fillRect/>
          </a:stretch>
        </xdr:blipFill>
        <xdr:spPr>
          <a:xfrm>
            <a:off x="6238875" y="857250"/>
            <a:ext cx="923925" cy="946188"/>
          </a:xfrm>
          <a:prstGeom prst="rect">
            <a:avLst/>
          </a:prstGeom>
          <a:noFill/>
          <a:ln>
            <a:noFill/>
          </a:ln>
        </xdr:spPr>
      </xdr:pic>
      <xdr:sp macro="" textlink="">
        <xdr:nvSpPr>
          <xdr:cNvPr id="8" name="Rectangle 7">
            <a:extLst>
              <a:ext uri="{FF2B5EF4-FFF2-40B4-BE49-F238E27FC236}">
                <a16:creationId xmlns:a16="http://schemas.microsoft.com/office/drawing/2014/main" id="{00000000-0008-0000-0500-000008000000}"/>
              </a:ext>
            </a:extLst>
          </xdr:cNvPr>
          <xdr:cNvSpPr/>
        </xdr:nvSpPr>
        <xdr:spPr>
          <a:xfrm>
            <a:off x="6173710" y="1805525"/>
            <a:ext cx="1166688" cy="742678"/>
          </a:xfrm>
          <a:prstGeom prst="rect">
            <a:avLst/>
          </a:prstGeom>
          <a:noFill/>
        </xdr:spPr>
        <xdr:txBody>
          <a:bodyPr wrap="none" lIns="91440" tIns="45720" rIns="91440" bIns="45720">
            <a:spAutoFit/>
          </a:bodyPr>
          <a:lstStyle/>
          <a:p>
            <a:pPr algn="ctr"/>
            <a:r>
              <a:rPr lang="en-US" sz="1200" b="1" cap="none" spc="50">
                <a:ln w="12700" cmpd="sng">
                  <a:solidFill>
                    <a:schemeClr val="accent6">
                      <a:satMod val="120000"/>
                      <a:shade val="80000"/>
                    </a:schemeClr>
                  </a:solidFill>
                  <a:prstDash val="solid"/>
                </a:ln>
                <a:solidFill>
                  <a:srgbClr val="0070C0"/>
                </a:solidFill>
                <a:effectLst>
                  <a:glow rad="53100">
                    <a:schemeClr val="accent6">
                      <a:satMod val="180000"/>
                      <a:alpha val="30000"/>
                    </a:schemeClr>
                  </a:glow>
                </a:effectLst>
              </a:rPr>
              <a:t>Click For</a:t>
            </a:r>
          </a:p>
          <a:p>
            <a:pPr algn="ctr"/>
            <a:r>
              <a:rPr lang="en-US" sz="1200" b="1" cap="none" spc="50">
                <a:ln w="12700" cmpd="sng">
                  <a:solidFill>
                    <a:schemeClr val="accent6">
                      <a:satMod val="120000"/>
                      <a:shade val="80000"/>
                    </a:schemeClr>
                  </a:solidFill>
                  <a:prstDash val="solid"/>
                </a:ln>
                <a:solidFill>
                  <a:srgbClr val="0070C0"/>
                </a:solidFill>
                <a:effectLst>
                  <a:glow rad="53100">
                    <a:schemeClr val="accent6">
                      <a:satMod val="180000"/>
                      <a:alpha val="30000"/>
                    </a:schemeClr>
                  </a:glow>
                </a:effectLst>
              </a:rPr>
              <a:t> Training</a:t>
            </a:r>
          </a:p>
        </xdr:txBody>
      </xdr:sp>
    </xdr:grpSp>
    <xdr:clientData/>
  </xdr:twoCellAnchor>
  <mc:AlternateContent xmlns:mc="http://schemas.openxmlformats.org/markup-compatibility/2006">
    <mc:Choice xmlns:a14="http://schemas.microsoft.com/office/drawing/2010/main" Requires="a14">
      <xdr:twoCellAnchor editAs="absolute">
        <xdr:from>
          <xdr:col>4</xdr:col>
          <xdr:colOff>19050</xdr:colOff>
          <xdr:row>0</xdr:row>
          <xdr:rowOff>85725</xdr:rowOff>
        </xdr:from>
        <xdr:to>
          <xdr:col>5</xdr:col>
          <xdr:colOff>238125</xdr:colOff>
          <xdr:row>0</xdr:row>
          <xdr:rowOff>361950</xdr:rowOff>
        </xdr:to>
        <xdr:sp macro="" textlink="">
          <xdr:nvSpPr>
            <xdr:cNvPr id="2058" name="btnStartNewDeal" hidden="1">
              <a:extLst>
                <a:ext uri="{63B3BB69-23CF-44E3-9099-C40C66FF867C}">
                  <a14:compatExt spid="_x0000_s2058"/>
                </a:ext>
                <a:ext uri="{FF2B5EF4-FFF2-40B4-BE49-F238E27FC236}">
                  <a16:creationId xmlns:a16="http://schemas.microsoft.com/office/drawing/2014/main" id="{00000000-0008-0000-0500-00000A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Start New Deal</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409575</xdr:colOff>
          <xdr:row>0</xdr:row>
          <xdr:rowOff>85725</xdr:rowOff>
        </xdr:from>
        <xdr:to>
          <xdr:col>5</xdr:col>
          <xdr:colOff>1962150</xdr:colOff>
          <xdr:row>0</xdr:row>
          <xdr:rowOff>361950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500-00000B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Next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16</xdr:row>
          <xdr:rowOff>0</xdr:rowOff>
        </xdr:from>
        <xdr:to>
          <xdr:col>2</xdr:col>
          <xdr:colOff>1828800</xdr:colOff>
          <xdr:row>17</xdr:row>
          <xdr:rowOff>123825</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500-00000C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Manual Entry (No ROME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904875</xdr:colOff>
          <xdr:row>18</xdr:row>
          <xdr:rowOff>95250</xdr:rowOff>
        </xdr:from>
        <xdr:to>
          <xdr:col>2</xdr:col>
          <xdr:colOff>1047750</xdr:colOff>
          <xdr:row>20</xdr:row>
          <xdr:rowOff>57150</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500-00000D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ROME Entries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15</xdr:row>
          <xdr:rowOff>152400</xdr:rowOff>
        </xdr:from>
        <xdr:to>
          <xdr:col>2</xdr:col>
          <xdr:colOff>57150</xdr:colOff>
          <xdr:row>17</xdr:row>
          <xdr:rowOff>123825</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500-00000E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Find Deal in ROME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123825</xdr:rowOff>
        </xdr:from>
        <xdr:to>
          <xdr:col>1</xdr:col>
          <xdr:colOff>1266825</xdr:colOff>
          <xdr:row>0</xdr:row>
          <xdr:rowOff>323850</xdr:rowOff>
        </xdr:to>
        <xdr:sp macro="" textlink="">
          <xdr:nvSpPr>
            <xdr:cNvPr id="2082" name="Drop Down 34" hidden="1">
              <a:extLst>
                <a:ext uri="{63B3BB69-23CF-44E3-9099-C40C66FF867C}">
                  <a14:compatExt spid="_x0000_s2082"/>
                </a:ext>
                <a:ext uri="{FF2B5EF4-FFF2-40B4-BE49-F238E27FC236}">
                  <a16:creationId xmlns:a16="http://schemas.microsoft.com/office/drawing/2014/main" id="{00000000-0008-0000-0500-000022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409575</xdr:colOff>
          <xdr:row>0</xdr:row>
          <xdr:rowOff>466725</xdr:rowOff>
        </xdr:from>
        <xdr:to>
          <xdr:col>5</xdr:col>
          <xdr:colOff>1962150</xdr:colOff>
          <xdr:row>0</xdr:row>
          <xdr:rowOff>742950</xdr:rowOff>
        </xdr:to>
        <xdr:sp macro="" textlink="">
          <xdr:nvSpPr>
            <xdr:cNvPr id="2083" name="btnSaveDeal" hidden="1">
              <a:extLst>
                <a:ext uri="{63B3BB69-23CF-44E3-9099-C40C66FF867C}">
                  <a14:compatExt spid="_x0000_s2083"/>
                </a:ext>
                <a:ext uri="{FF2B5EF4-FFF2-40B4-BE49-F238E27FC236}">
                  <a16:creationId xmlns:a16="http://schemas.microsoft.com/office/drawing/2014/main" id="{00000000-0008-0000-0500-00002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8000"/>
                  </a:solidFill>
                  <a:latin typeface="Arial"/>
                  <a:cs typeface="Arial"/>
                </a:rPr>
                <a:t>Save or Version Deal</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19050</xdr:colOff>
          <xdr:row>0</xdr:row>
          <xdr:rowOff>466725</xdr:rowOff>
        </xdr:from>
        <xdr:to>
          <xdr:col>5</xdr:col>
          <xdr:colOff>238125</xdr:colOff>
          <xdr:row>0</xdr:row>
          <xdr:rowOff>742950</xdr:rowOff>
        </xdr:to>
        <xdr:sp macro="" textlink="">
          <xdr:nvSpPr>
            <xdr:cNvPr id="2085" name="Button 37" hidden="1">
              <a:extLst>
                <a:ext uri="{63B3BB69-23CF-44E3-9099-C40C66FF867C}">
                  <a14:compatExt spid="_x0000_s2085"/>
                </a:ext>
                <a:ext uri="{FF2B5EF4-FFF2-40B4-BE49-F238E27FC236}">
                  <a16:creationId xmlns:a16="http://schemas.microsoft.com/office/drawing/2014/main" id="{00000000-0008-0000-0500-00002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8000"/>
                  </a:solidFill>
                  <a:latin typeface="Arial"/>
                  <a:cs typeface="Arial"/>
                </a:rPr>
                <a:t>Load Existing Deal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942975</xdr:colOff>
          <xdr:row>18</xdr:row>
          <xdr:rowOff>142875</xdr:rowOff>
        </xdr:from>
        <xdr:to>
          <xdr:col>5</xdr:col>
          <xdr:colOff>1162050</xdr:colOff>
          <xdr:row>20</xdr:row>
          <xdr:rowOff>19050</xdr:rowOff>
        </xdr:to>
        <xdr:sp macro="" textlink="">
          <xdr:nvSpPr>
            <xdr:cNvPr id="2094" name="btnRefreshDealStatus" hidden="1">
              <a:extLst>
                <a:ext uri="{63B3BB69-23CF-44E3-9099-C40C66FF867C}">
                  <a14:compatExt spid="_x0000_s2094"/>
                </a:ext>
                <a:ext uri="{FF2B5EF4-FFF2-40B4-BE49-F238E27FC236}">
                  <a16:creationId xmlns:a16="http://schemas.microsoft.com/office/drawing/2014/main" id="{00000000-0008-0000-0500-00002E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Refresh Deal Status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85725</xdr:colOff>
          <xdr:row>0</xdr:row>
          <xdr:rowOff>85725</xdr:rowOff>
        </xdr:from>
        <xdr:to>
          <xdr:col>8</xdr:col>
          <xdr:colOff>114300</xdr:colOff>
          <xdr:row>0</xdr:row>
          <xdr:rowOff>361950</xdr:rowOff>
        </xdr:to>
        <xdr:sp macro="" textlink="">
          <xdr:nvSpPr>
            <xdr:cNvPr id="2096" name="btnOpenAllTabs" hidden="1">
              <a:extLst>
                <a:ext uri="{63B3BB69-23CF-44E3-9099-C40C66FF867C}">
                  <a14:compatExt spid="_x0000_s2096"/>
                </a:ext>
                <a:ext uri="{FF2B5EF4-FFF2-40B4-BE49-F238E27FC236}">
                  <a16:creationId xmlns:a16="http://schemas.microsoft.com/office/drawing/2014/main" id="{00000000-0008-0000-0500-000030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Open All Tabs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85725</xdr:colOff>
          <xdr:row>0</xdr:row>
          <xdr:rowOff>466725</xdr:rowOff>
        </xdr:from>
        <xdr:to>
          <xdr:col>8</xdr:col>
          <xdr:colOff>133350</xdr:colOff>
          <xdr:row>0</xdr:row>
          <xdr:rowOff>733425</xdr:rowOff>
        </xdr:to>
        <xdr:sp macro="" textlink="">
          <xdr:nvSpPr>
            <xdr:cNvPr id="2097" name="btnSaveWNewDealNum" hidden="1">
              <a:extLst>
                <a:ext uri="{63B3BB69-23CF-44E3-9099-C40C66FF867C}">
                  <a14:compatExt spid="_x0000_s2097"/>
                </a:ext>
                <a:ext uri="{FF2B5EF4-FFF2-40B4-BE49-F238E27FC236}">
                  <a16:creationId xmlns:a16="http://schemas.microsoft.com/office/drawing/2014/main" id="{00000000-0008-0000-0500-00003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Save w/New Deal Num</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76200</xdr:colOff>
          <xdr:row>1</xdr:row>
          <xdr:rowOff>85725</xdr:rowOff>
        </xdr:from>
        <xdr:to>
          <xdr:col>5</xdr:col>
          <xdr:colOff>295275</xdr:colOff>
          <xdr:row>2</xdr:row>
          <xdr:rowOff>19050</xdr:rowOff>
        </xdr:to>
        <xdr:sp macro="" textlink="">
          <xdr:nvSpPr>
            <xdr:cNvPr id="2098" name="btnCustomerContracts" hidden="1">
              <a:extLst>
                <a:ext uri="{63B3BB69-23CF-44E3-9099-C40C66FF867C}">
                  <a14:compatExt spid="_x0000_s2098"/>
                </a:ext>
                <a:ext uri="{FF2B5EF4-FFF2-40B4-BE49-F238E27FC236}">
                  <a16:creationId xmlns:a16="http://schemas.microsoft.com/office/drawing/2014/main" id="{00000000-0008-0000-0500-00003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Customer Contracts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1362075</xdr:colOff>
          <xdr:row>0</xdr:row>
          <xdr:rowOff>400050</xdr:rowOff>
        </xdr:from>
        <xdr:to>
          <xdr:col>2</xdr:col>
          <xdr:colOff>676275</xdr:colOff>
          <xdr:row>1</xdr:row>
          <xdr:rowOff>66675</xdr:rowOff>
        </xdr:to>
        <xdr:sp macro="" textlink="">
          <xdr:nvSpPr>
            <xdr:cNvPr id="2101" name="btnERateCDT" hidden="1">
              <a:extLst>
                <a:ext uri="{63B3BB69-23CF-44E3-9099-C40C66FF867C}">
                  <a14:compatExt spid="_x0000_s2101"/>
                </a:ext>
                <a:ext uri="{FF2B5EF4-FFF2-40B4-BE49-F238E27FC236}">
                  <a16:creationId xmlns:a16="http://schemas.microsoft.com/office/drawing/2014/main" id="{00000000-0008-0000-0500-000035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E-Rate Market Rates CDT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123825</xdr:colOff>
          <xdr:row>0</xdr:row>
          <xdr:rowOff>409575</xdr:rowOff>
        </xdr:from>
        <xdr:to>
          <xdr:col>1</xdr:col>
          <xdr:colOff>1152525</xdr:colOff>
          <xdr:row>1</xdr:row>
          <xdr:rowOff>57150</xdr:rowOff>
        </xdr:to>
        <xdr:sp macro="" textlink="">
          <xdr:nvSpPr>
            <xdr:cNvPr id="2103" name="btnResetCDT" hidden="1">
              <a:extLst>
                <a:ext uri="{63B3BB69-23CF-44E3-9099-C40C66FF867C}">
                  <a14:compatExt spid="_x0000_s2103"/>
                </a:ext>
                <a:ext uri="{FF2B5EF4-FFF2-40B4-BE49-F238E27FC236}">
                  <a16:creationId xmlns:a16="http://schemas.microsoft.com/office/drawing/2014/main" id="{00000000-0008-0000-0500-000037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Reset To Standard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85725</xdr:colOff>
          <xdr:row>1</xdr:row>
          <xdr:rowOff>38100</xdr:rowOff>
        </xdr:from>
        <xdr:to>
          <xdr:col>8</xdr:col>
          <xdr:colOff>123825</xdr:colOff>
          <xdr:row>2</xdr:row>
          <xdr:rowOff>9525</xdr:rowOff>
        </xdr:to>
        <xdr:sp macro="" textlink="">
          <xdr:nvSpPr>
            <xdr:cNvPr id="2107" name="btnProposal" hidden="1">
              <a:extLst>
                <a:ext uri="{63B3BB69-23CF-44E3-9099-C40C66FF867C}">
                  <a14:compatExt spid="_x0000_s2107"/>
                </a:ext>
                <a:ext uri="{FF2B5EF4-FFF2-40B4-BE49-F238E27FC236}">
                  <a16:creationId xmlns:a16="http://schemas.microsoft.com/office/drawing/2014/main" id="{00000000-0008-0000-0500-00003B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Request Proposal</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19050</xdr:colOff>
          <xdr:row>1</xdr:row>
          <xdr:rowOff>38100</xdr:rowOff>
        </xdr:from>
        <xdr:to>
          <xdr:col>5</xdr:col>
          <xdr:colOff>1962150</xdr:colOff>
          <xdr:row>2</xdr:row>
          <xdr:rowOff>0</xdr:rowOff>
        </xdr:to>
        <xdr:sp macro="" textlink="">
          <xdr:nvSpPr>
            <xdr:cNvPr id="2110" name="btnVoltageRL" hidden="1">
              <a:extLst>
                <a:ext uri="{63B3BB69-23CF-44E3-9099-C40C66FF867C}">
                  <a14:compatExt spid="_x0000_s2110"/>
                </a:ext>
                <a:ext uri="{FF2B5EF4-FFF2-40B4-BE49-F238E27FC236}">
                  <a16:creationId xmlns:a16="http://schemas.microsoft.com/office/drawing/2014/main" id="{00000000-0008-0000-0500-00003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8000"/>
                  </a:solidFill>
                  <a:latin typeface="Arial"/>
                  <a:cs typeface="Arial"/>
                </a:rPr>
                <a:t>Create AT&amp;T Network Suite Rate Letter</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1371600</xdr:colOff>
          <xdr:row>0</xdr:row>
          <xdr:rowOff>76200</xdr:rowOff>
        </xdr:from>
        <xdr:to>
          <xdr:col>2</xdr:col>
          <xdr:colOff>1962150</xdr:colOff>
          <xdr:row>0</xdr:row>
          <xdr:rowOff>314325</xdr:rowOff>
        </xdr:to>
        <xdr:sp macro="" textlink="">
          <xdr:nvSpPr>
            <xdr:cNvPr id="2111" name="btnCDTPopup" hidden="1">
              <a:extLst>
                <a:ext uri="{63B3BB69-23CF-44E3-9099-C40C66FF867C}">
                  <a14:compatExt spid="_x0000_s2111"/>
                </a:ext>
                <a:ext uri="{FF2B5EF4-FFF2-40B4-BE49-F238E27FC236}">
                  <a16:creationId xmlns:a16="http://schemas.microsoft.com/office/drawing/2014/main" id="{00000000-0008-0000-0500-00003F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Show CDT 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9525</xdr:colOff>
          <xdr:row>2</xdr:row>
          <xdr:rowOff>123825</xdr:rowOff>
        </xdr:from>
        <xdr:to>
          <xdr:col>5</xdr:col>
          <xdr:colOff>1962150</xdr:colOff>
          <xdr:row>10</xdr:row>
          <xdr:rowOff>76200</xdr:rowOff>
        </xdr:to>
        <xdr:sp macro="" textlink="">
          <xdr:nvSpPr>
            <xdr:cNvPr id="2112" name="btnRevertToStandard" hidden="1">
              <a:extLst>
                <a:ext uri="{63B3BB69-23CF-44E3-9099-C40C66FF867C}">
                  <a14:compatExt spid="_x0000_s2112"/>
                </a:ext>
                <a:ext uri="{FF2B5EF4-FFF2-40B4-BE49-F238E27FC236}">
                  <a16:creationId xmlns:a16="http://schemas.microsoft.com/office/drawing/2014/main" id="{00000000-0008-0000-0500-000040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8000"/>
                  </a:solidFill>
                  <a:latin typeface="Arial"/>
                  <a:cs typeface="Arial"/>
                </a:rPr>
                <a:t>Transfer ANS content to standard deal</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49</xdr:col>
          <xdr:colOff>180975</xdr:colOff>
          <xdr:row>10</xdr:row>
          <xdr:rowOff>76200</xdr:rowOff>
        </xdr:from>
        <xdr:to>
          <xdr:col>51</xdr:col>
          <xdr:colOff>133350</xdr:colOff>
          <xdr:row>14</xdr:row>
          <xdr:rowOff>66675</xdr:rowOff>
        </xdr:to>
        <xdr:sp macro="" textlink="">
          <xdr:nvSpPr>
            <xdr:cNvPr id="2114" name="btnVoltageCDT" hidden="1">
              <a:extLst>
                <a:ext uri="{63B3BB69-23CF-44E3-9099-C40C66FF867C}">
                  <a14:compatExt spid="_x0000_s2114"/>
                </a:ext>
                <a:ext uri="{FF2B5EF4-FFF2-40B4-BE49-F238E27FC236}">
                  <a16:creationId xmlns:a16="http://schemas.microsoft.com/office/drawing/2014/main" id="{00000000-0008-0000-0500-00004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AT&amp;T Network Suite CDT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absolute">
    <xdr:from>
      <xdr:col>11</xdr:col>
      <xdr:colOff>0</xdr:colOff>
      <xdr:row>0</xdr:row>
      <xdr:rowOff>133350</xdr:rowOff>
    </xdr:from>
    <xdr:to>
      <xdr:col>12</xdr:col>
      <xdr:colOff>42333</xdr:colOff>
      <xdr:row>4</xdr:row>
      <xdr:rowOff>141817</xdr:rowOff>
    </xdr:to>
    <xdr:grpSp>
      <xdr:nvGrpSpPr>
        <xdr:cNvPr id="2" name="btnIms2TrainingStep0">
          <a:hlinkClick xmlns:r="http://schemas.openxmlformats.org/officeDocument/2006/relationships" r:id="rId1"/>
          <a:extLst>
            <a:ext uri="{FF2B5EF4-FFF2-40B4-BE49-F238E27FC236}">
              <a16:creationId xmlns:a16="http://schemas.microsoft.com/office/drawing/2014/main" id="{00000000-0008-0000-0600-000002000000}"/>
            </a:ext>
          </a:extLst>
        </xdr:cNvPr>
        <xdr:cNvGrpSpPr>
          <a:grpSpLocks noChangeAspect="1"/>
        </xdr:cNvGrpSpPr>
      </xdr:nvGrpSpPr>
      <xdr:grpSpPr>
        <a:xfrm>
          <a:off x="8477250" y="133350"/>
          <a:ext cx="651933" cy="789517"/>
          <a:chOff x="6173710" y="857250"/>
          <a:chExt cx="1166688" cy="1690953"/>
        </a:xfrm>
      </xdr:grpSpPr>
      <xdr:pic>
        <xdr:nvPicPr>
          <xdr:cNvPr id="3" name="Picture 2" descr="IMS2 Training v2.jpg">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cstate="print"/>
          <a:srcRect l="16000" t="15349" r="17600" b="15983"/>
          <a:stretch>
            <a:fillRect/>
          </a:stretch>
        </xdr:blipFill>
        <xdr:spPr>
          <a:xfrm>
            <a:off x="6238875" y="857250"/>
            <a:ext cx="923925" cy="946188"/>
          </a:xfrm>
          <a:prstGeom prst="rect">
            <a:avLst/>
          </a:prstGeom>
          <a:noFill/>
          <a:ln>
            <a:noFill/>
          </a:ln>
        </xdr:spPr>
      </xdr:pic>
      <xdr:sp macro="" textlink="">
        <xdr:nvSpPr>
          <xdr:cNvPr id="4" name="Rectangle 3">
            <a:extLst>
              <a:ext uri="{FF2B5EF4-FFF2-40B4-BE49-F238E27FC236}">
                <a16:creationId xmlns:a16="http://schemas.microsoft.com/office/drawing/2014/main" id="{00000000-0008-0000-0600-000004000000}"/>
              </a:ext>
            </a:extLst>
          </xdr:cNvPr>
          <xdr:cNvSpPr/>
        </xdr:nvSpPr>
        <xdr:spPr>
          <a:xfrm>
            <a:off x="6173710" y="1805525"/>
            <a:ext cx="1166688" cy="742678"/>
          </a:xfrm>
          <a:prstGeom prst="rect">
            <a:avLst/>
          </a:prstGeom>
          <a:noFill/>
        </xdr:spPr>
        <xdr:txBody>
          <a:bodyPr wrap="none" lIns="91440" tIns="45720" rIns="91440" bIns="45720">
            <a:spAutoFit/>
          </a:bodyPr>
          <a:lstStyle/>
          <a:p>
            <a:pPr algn="ctr"/>
            <a:r>
              <a:rPr lang="en-US" sz="1200" b="1" cap="none" spc="50">
                <a:ln w="12700" cmpd="sng">
                  <a:solidFill>
                    <a:schemeClr val="accent6">
                      <a:satMod val="120000"/>
                      <a:shade val="80000"/>
                    </a:schemeClr>
                  </a:solidFill>
                  <a:prstDash val="solid"/>
                </a:ln>
                <a:solidFill>
                  <a:srgbClr val="0070C0"/>
                </a:solidFill>
                <a:effectLst>
                  <a:glow rad="53100">
                    <a:schemeClr val="accent6">
                      <a:satMod val="180000"/>
                      <a:alpha val="30000"/>
                    </a:schemeClr>
                  </a:glow>
                </a:effectLst>
              </a:rPr>
              <a:t>Click For</a:t>
            </a:r>
          </a:p>
          <a:p>
            <a:pPr algn="ctr"/>
            <a:r>
              <a:rPr lang="en-US" sz="1200" b="1" cap="none" spc="50">
                <a:ln w="12700" cmpd="sng">
                  <a:solidFill>
                    <a:schemeClr val="accent6">
                      <a:satMod val="120000"/>
                      <a:shade val="80000"/>
                    </a:schemeClr>
                  </a:solidFill>
                  <a:prstDash val="solid"/>
                </a:ln>
                <a:solidFill>
                  <a:srgbClr val="0070C0"/>
                </a:solidFill>
                <a:effectLst>
                  <a:glow rad="53100">
                    <a:schemeClr val="accent6">
                      <a:satMod val="180000"/>
                      <a:alpha val="30000"/>
                    </a:schemeClr>
                  </a:glow>
                </a:effectLst>
              </a:rPr>
              <a:t> Training</a:t>
            </a:r>
          </a:p>
        </xdr:txBody>
      </xdr:sp>
    </xdr:grpSp>
    <xdr:clientData/>
  </xdr:twoCellAnchor>
  <mc:AlternateContent xmlns:mc="http://schemas.openxmlformats.org/markup-compatibility/2006">
    <mc:Choice xmlns:a14="http://schemas.microsoft.com/office/drawing/2010/main" Requires="a14">
      <xdr:twoCellAnchor editAs="absolute">
        <xdr:from>
          <xdr:col>8</xdr:col>
          <xdr:colOff>152400</xdr:colOff>
          <xdr:row>0</xdr:row>
          <xdr:rowOff>180975</xdr:rowOff>
        </xdr:from>
        <xdr:to>
          <xdr:col>10</xdr:col>
          <xdr:colOff>304800</xdr:colOff>
          <xdr:row>2</xdr:row>
          <xdr:rowOff>0</xdr:rowOff>
        </xdr:to>
        <xdr:sp macro="" textlink="">
          <xdr:nvSpPr>
            <xdr:cNvPr id="556035" name="Button 3" hidden="1">
              <a:extLst>
                <a:ext uri="{63B3BB69-23CF-44E3-9099-C40C66FF867C}">
                  <a14:compatExt spid="_x0000_s556035"/>
                </a:ext>
                <a:ext uri="{FF2B5EF4-FFF2-40B4-BE49-F238E27FC236}">
                  <a16:creationId xmlns:a16="http://schemas.microsoft.com/office/drawing/2014/main" id="{00000000-0008-0000-0600-0000037C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Cancel Proposal</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152400</xdr:colOff>
          <xdr:row>2</xdr:row>
          <xdr:rowOff>104775</xdr:rowOff>
        </xdr:from>
        <xdr:to>
          <xdr:col>10</xdr:col>
          <xdr:colOff>304800</xdr:colOff>
          <xdr:row>4</xdr:row>
          <xdr:rowOff>57150</xdr:rowOff>
        </xdr:to>
        <xdr:sp macro="" textlink="">
          <xdr:nvSpPr>
            <xdr:cNvPr id="556037" name="btnOpenAllTabs" hidden="1">
              <a:extLst>
                <a:ext uri="{63B3BB69-23CF-44E3-9099-C40C66FF867C}">
                  <a14:compatExt spid="_x0000_s556037"/>
                </a:ext>
                <a:ext uri="{FF2B5EF4-FFF2-40B4-BE49-F238E27FC236}">
                  <a16:creationId xmlns:a16="http://schemas.microsoft.com/office/drawing/2014/main" id="{00000000-0008-0000-0600-0000057C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Open All Tabs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152400</xdr:colOff>
          <xdr:row>5</xdr:row>
          <xdr:rowOff>9525</xdr:rowOff>
        </xdr:from>
        <xdr:to>
          <xdr:col>10</xdr:col>
          <xdr:colOff>295275</xdr:colOff>
          <xdr:row>6</xdr:row>
          <xdr:rowOff>123825</xdr:rowOff>
        </xdr:to>
        <xdr:sp macro="" textlink="">
          <xdr:nvSpPr>
            <xdr:cNvPr id="556039" name="Button 7" hidden="1">
              <a:extLst>
                <a:ext uri="{63B3BB69-23CF-44E3-9099-C40C66FF867C}">
                  <a14:compatExt spid="_x0000_s556039"/>
                </a:ext>
                <a:ext uri="{FF2B5EF4-FFF2-40B4-BE49-F238E27FC236}">
                  <a16:creationId xmlns:a16="http://schemas.microsoft.com/office/drawing/2014/main" id="{00000000-0008-0000-0600-0000077C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Next ►</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5</xdr:col>
      <xdr:colOff>811867</xdr:colOff>
      <xdr:row>92</xdr:row>
      <xdr:rowOff>24092</xdr:rowOff>
    </xdr:from>
    <xdr:to>
      <xdr:col>7</xdr:col>
      <xdr:colOff>371475</xdr:colOff>
      <xdr:row>110</xdr:row>
      <xdr:rowOff>1682</xdr:rowOff>
    </xdr:to>
    <xdr:sp macro="" textlink="">
      <xdr:nvSpPr>
        <xdr:cNvPr id="6" name="Vertical Scroll 5">
          <a:extLst>
            <a:ext uri="{FF2B5EF4-FFF2-40B4-BE49-F238E27FC236}">
              <a16:creationId xmlns:a16="http://schemas.microsoft.com/office/drawing/2014/main" id="{00000000-0008-0000-0700-000006000000}"/>
            </a:ext>
          </a:extLst>
        </xdr:cNvPr>
        <xdr:cNvSpPr/>
      </xdr:nvSpPr>
      <xdr:spPr>
        <a:xfrm>
          <a:off x="6850717" y="16673792"/>
          <a:ext cx="1826558" cy="1996890"/>
        </a:xfrm>
        <a:prstGeom prst="verticalScrol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**Remember</a:t>
          </a:r>
          <a:r>
            <a:rPr lang="en-US" sz="1100" baseline="0"/>
            <a:t> to check </a:t>
          </a:r>
          <a:r>
            <a:rPr lang="en-US" sz="1100" b="1" baseline="0"/>
            <a:t>ICB Online</a:t>
          </a:r>
          <a:r>
            <a:rPr lang="en-US" sz="1100" baseline="0"/>
            <a:t> for all  applicable situations. You need solid rationale to support pricing beyond ICB Online</a:t>
          </a:r>
        </a:p>
        <a:p>
          <a:pPr algn="ctr"/>
          <a:endParaRPr lang="en-US" sz="1100"/>
        </a:p>
      </xdr:txBody>
    </xdr:sp>
    <xdr:clientData/>
  </xdr:twoCellAnchor>
  <xdr:twoCellAnchor>
    <xdr:from>
      <xdr:col>8</xdr:col>
      <xdr:colOff>616324</xdr:colOff>
      <xdr:row>0</xdr:row>
      <xdr:rowOff>224118</xdr:rowOff>
    </xdr:from>
    <xdr:to>
      <xdr:col>9</xdr:col>
      <xdr:colOff>91749</xdr:colOff>
      <xdr:row>12</xdr:row>
      <xdr:rowOff>90823</xdr:rowOff>
    </xdr:to>
    <xdr:grpSp>
      <xdr:nvGrpSpPr>
        <xdr:cNvPr id="9" name="Group 8">
          <a:hlinkClick xmlns:r="http://schemas.openxmlformats.org/officeDocument/2006/relationships" r:id="rId1"/>
          <a:extLst>
            <a:ext uri="{FF2B5EF4-FFF2-40B4-BE49-F238E27FC236}">
              <a16:creationId xmlns:a16="http://schemas.microsoft.com/office/drawing/2014/main" id="{00000000-0008-0000-0700-000009000000}"/>
            </a:ext>
          </a:extLst>
        </xdr:cNvPr>
        <xdr:cNvGrpSpPr/>
      </xdr:nvGrpSpPr>
      <xdr:grpSpPr>
        <a:xfrm>
          <a:off x="10448241" y="224118"/>
          <a:ext cx="798341" cy="1052038"/>
          <a:chOff x="6173718" y="857250"/>
          <a:chExt cx="1166689" cy="1690953"/>
        </a:xfrm>
      </xdr:grpSpPr>
      <xdr:pic>
        <xdr:nvPicPr>
          <xdr:cNvPr id="10" name="Picture 9" descr="IMS2 Training v2.jpg">
            <a:extLst>
              <a:ext uri="{FF2B5EF4-FFF2-40B4-BE49-F238E27FC236}">
                <a16:creationId xmlns:a16="http://schemas.microsoft.com/office/drawing/2014/main" id="{00000000-0008-0000-0700-00000A000000}"/>
              </a:ext>
            </a:extLst>
          </xdr:cNvPr>
          <xdr:cNvPicPr>
            <a:picLocks noChangeAspect="1"/>
          </xdr:cNvPicPr>
        </xdr:nvPicPr>
        <xdr:blipFill>
          <a:blip xmlns:r="http://schemas.openxmlformats.org/officeDocument/2006/relationships" r:embed="rId2" cstate="print"/>
          <a:srcRect l="16000" t="15349" r="17600" b="15983"/>
          <a:stretch>
            <a:fillRect/>
          </a:stretch>
        </xdr:blipFill>
        <xdr:spPr>
          <a:xfrm>
            <a:off x="6238875" y="857250"/>
            <a:ext cx="923925" cy="946188"/>
          </a:xfrm>
          <a:prstGeom prst="rect">
            <a:avLst/>
          </a:prstGeom>
          <a:noFill/>
          <a:ln>
            <a:noFill/>
          </a:ln>
        </xdr:spPr>
      </xdr:pic>
      <xdr:sp macro="" textlink="">
        <xdr:nvSpPr>
          <xdr:cNvPr id="11" name="Rectangle 10">
            <a:extLst>
              <a:ext uri="{FF2B5EF4-FFF2-40B4-BE49-F238E27FC236}">
                <a16:creationId xmlns:a16="http://schemas.microsoft.com/office/drawing/2014/main" id="{00000000-0008-0000-0700-00000B000000}"/>
              </a:ext>
            </a:extLst>
          </xdr:cNvPr>
          <xdr:cNvSpPr/>
        </xdr:nvSpPr>
        <xdr:spPr>
          <a:xfrm>
            <a:off x="6173718" y="1805526"/>
            <a:ext cx="1166689" cy="742677"/>
          </a:xfrm>
          <a:prstGeom prst="rect">
            <a:avLst/>
          </a:prstGeom>
          <a:noFill/>
        </xdr:spPr>
        <xdr:txBody>
          <a:bodyPr wrap="none" lIns="91440" tIns="45720" rIns="91440" bIns="45720">
            <a:spAutoFit/>
          </a:bodyPr>
          <a:lstStyle/>
          <a:p>
            <a:pPr algn="ctr"/>
            <a:r>
              <a:rPr lang="en-US" sz="1200" b="1" cap="none" spc="50">
                <a:ln w="12700" cmpd="sng">
                  <a:solidFill>
                    <a:schemeClr val="accent6">
                      <a:satMod val="120000"/>
                      <a:shade val="80000"/>
                    </a:schemeClr>
                  </a:solidFill>
                  <a:prstDash val="solid"/>
                </a:ln>
                <a:solidFill>
                  <a:srgbClr val="0070C0"/>
                </a:solidFill>
                <a:effectLst>
                  <a:glow rad="53100">
                    <a:schemeClr val="accent6">
                      <a:satMod val="180000"/>
                      <a:alpha val="30000"/>
                    </a:schemeClr>
                  </a:glow>
                </a:effectLst>
              </a:rPr>
              <a:t>Click For</a:t>
            </a:r>
          </a:p>
          <a:p>
            <a:pPr algn="ctr"/>
            <a:r>
              <a:rPr lang="en-US" sz="1200" b="1" cap="none" spc="50">
                <a:ln w="12700" cmpd="sng">
                  <a:solidFill>
                    <a:schemeClr val="accent6">
                      <a:satMod val="120000"/>
                      <a:shade val="80000"/>
                    </a:schemeClr>
                  </a:solidFill>
                  <a:prstDash val="solid"/>
                </a:ln>
                <a:solidFill>
                  <a:srgbClr val="0070C0"/>
                </a:solidFill>
                <a:effectLst>
                  <a:glow rad="53100">
                    <a:schemeClr val="accent6">
                      <a:satMod val="180000"/>
                      <a:alpha val="30000"/>
                    </a:schemeClr>
                  </a:glow>
                </a:effectLst>
              </a:rPr>
              <a:t> Training</a:t>
            </a:r>
          </a:p>
        </xdr:txBody>
      </xdr:sp>
    </xdr:grpSp>
    <xdr:clientData/>
  </xdr:twoCellAnchor>
  <mc:AlternateContent xmlns:mc="http://schemas.openxmlformats.org/markup-compatibility/2006">
    <mc:Choice xmlns:a14="http://schemas.microsoft.com/office/drawing/2010/main" Requires="a14">
      <xdr:twoCellAnchor editAs="oneCell">
        <xdr:from>
          <xdr:col>1</xdr:col>
          <xdr:colOff>0</xdr:colOff>
          <xdr:row>0</xdr:row>
          <xdr:rowOff>76200</xdr:rowOff>
        </xdr:from>
        <xdr:to>
          <xdr:col>1</xdr:col>
          <xdr:colOff>1371600</xdr:colOff>
          <xdr:row>0</xdr:row>
          <xdr:rowOff>352425</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700-000005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 Back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0</xdr:row>
          <xdr:rowOff>76200</xdr:rowOff>
        </xdr:from>
        <xdr:to>
          <xdr:col>2</xdr:col>
          <xdr:colOff>1524000</xdr:colOff>
          <xdr:row>0</xdr:row>
          <xdr:rowOff>352425</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700-000006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Next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28</xdr:row>
          <xdr:rowOff>38100</xdr:rowOff>
        </xdr:from>
        <xdr:to>
          <xdr:col>1</xdr:col>
          <xdr:colOff>885825</xdr:colOff>
          <xdr:row>29</xdr:row>
          <xdr:rowOff>104775</xdr:rowOff>
        </xdr:to>
        <xdr:sp macro="" textlink="">
          <xdr:nvSpPr>
            <xdr:cNvPr id="3080" name="Option Button 8" hidden="1">
              <a:extLst>
                <a:ext uri="{63B3BB69-23CF-44E3-9099-C40C66FF867C}">
                  <a14:compatExt spid="_x0000_s3080"/>
                </a:ext>
                <a:ext uri="{FF2B5EF4-FFF2-40B4-BE49-F238E27FC236}">
                  <a16:creationId xmlns:a16="http://schemas.microsoft.com/office/drawing/2014/main" id="{00000000-0008-0000-0700-0000080C0000}"/>
                </a:ext>
              </a:extLst>
            </xdr:cNvPr>
            <xdr:cNvSpPr/>
          </xdr:nvSpPr>
          <xdr:spPr bwMode="auto">
            <a:xfrm>
              <a:off x="0" y="0"/>
              <a:ext cx="0" cy="0"/>
            </a:xfrm>
            <a:prstGeom prst="rect">
              <a:avLst/>
            </a:prstGeom>
            <a:noFill/>
            <a:ln>
              <a:noFill/>
            </a:ln>
            <a:effectLst/>
            <a:extLst>
              <a:ext uri="{909E8E84-426E-40DD-AFC4-6F175D3DCCD1}">
                <a14:hiddenFill>
                  <a:solidFill>
                    <a:srgbClr val="E3E3E3"/>
                  </a:solidFill>
                </a14:hiddenFill>
              </a:ext>
              <a:ext uri="{91240B29-F687-4F45-9708-019B960494DF}">
                <a14:hiddenLine w="9525">
                  <a:solidFill>
                    <a:srgbClr val="FF8080" mc:Ignorable="a14" a14:legacySpreadsheetColorIndex="29"/>
                  </a:solidFill>
                  <a:miter lim="800000"/>
                  <a:headEnd/>
                  <a:tailEnd/>
                </a14:hiddenLine>
              </a:ext>
              <a:ext uri="{53640926-AAD7-44D8-BBD7-CCE9431645EC}">
                <a14:shadowObscured val="1"/>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ABN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876300</xdr:colOff>
          <xdr:row>28</xdr:row>
          <xdr:rowOff>47625</xdr:rowOff>
        </xdr:from>
        <xdr:to>
          <xdr:col>2</xdr:col>
          <xdr:colOff>152400</xdr:colOff>
          <xdr:row>29</xdr:row>
          <xdr:rowOff>104775</xdr:rowOff>
        </xdr:to>
        <xdr:sp macro="" textlink="">
          <xdr:nvSpPr>
            <xdr:cNvPr id="3081" name="Option Button 9" hidden="1">
              <a:extLst>
                <a:ext uri="{63B3BB69-23CF-44E3-9099-C40C66FF867C}">
                  <a14:compatExt spid="_x0000_s3081"/>
                </a:ext>
                <a:ext uri="{FF2B5EF4-FFF2-40B4-BE49-F238E27FC236}">
                  <a16:creationId xmlns:a16="http://schemas.microsoft.com/office/drawing/2014/main" id="{00000000-0008-0000-0700-0000090C0000}"/>
                </a:ext>
              </a:extLst>
            </xdr:cNvPr>
            <xdr:cNvSpPr/>
          </xdr:nvSpPr>
          <xdr:spPr bwMode="auto">
            <a:xfrm>
              <a:off x="0" y="0"/>
              <a:ext cx="0" cy="0"/>
            </a:xfrm>
            <a:prstGeom prst="rect">
              <a:avLst/>
            </a:prstGeom>
            <a:noFill/>
            <a:ln>
              <a:noFill/>
            </a:ln>
            <a:effectLst/>
            <a:extLst>
              <a:ext uri="{909E8E84-426E-40DD-AFC4-6F175D3DCCD1}">
                <a14:hiddenFill>
                  <a:solidFill>
                    <a:srgbClr val="E3E3E3"/>
                  </a:solidFill>
                </a14:hiddenFill>
              </a:ext>
              <a:ext uri="{91240B29-F687-4F45-9708-019B960494DF}">
                <a14:hiddenLine w="9525">
                  <a:solidFill>
                    <a:srgbClr val="FF8080" mc:Ignorable="a14" a14:legacySpreadsheetColorIndex="29"/>
                  </a:solidFill>
                  <a:miter lim="800000"/>
                  <a:headEnd/>
                  <a:tailEnd/>
                </a14:hiddenLine>
              </a:ext>
              <a:ext uri="{53640926-AAD7-44D8-BBD7-CCE9431645EC}">
                <a14:shadowObscured val="1"/>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OneNet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28</xdr:row>
          <xdr:rowOff>57150</xdr:rowOff>
        </xdr:from>
        <xdr:to>
          <xdr:col>2</xdr:col>
          <xdr:colOff>914400</xdr:colOff>
          <xdr:row>29</xdr:row>
          <xdr:rowOff>114300</xdr:rowOff>
        </xdr:to>
        <xdr:sp macro="" textlink="">
          <xdr:nvSpPr>
            <xdr:cNvPr id="3082" name="Option Button 10" hidden="1">
              <a:extLst>
                <a:ext uri="{63B3BB69-23CF-44E3-9099-C40C66FF867C}">
                  <a14:compatExt spid="_x0000_s3082"/>
                </a:ext>
                <a:ext uri="{FF2B5EF4-FFF2-40B4-BE49-F238E27FC236}">
                  <a16:creationId xmlns:a16="http://schemas.microsoft.com/office/drawing/2014/main" id="{00000000-0008-0000-0700-00000A0C0000}"/>
                </a:ext>
              </a:extLst>
            </xdr:cNvPr>
            <xdr:cNvSpPr/>
          </xdr:nvSpPr>
          <xdr:spPr bwMode="auto">
            <a:xfrm>
              <a:off x="0" y="0"/>
              <a:ext cx="0" cy="0"/>
            </a:xfrm>
            <a:prstGeom prst="rect">
              <a:avLst/>
            </a:prstGeom>
            <a:noFill/>
            <a:ln>
              <a:noFill/>
            </a:ln>
            <a:effectLst/>
            <a:extLst>
              <a:ext uri="{909E8E84-426E-40DD-AFC4-6F175D3DCCD1}">
                <a14:hiddenFill>
                  <a:solidFill>
                    <a:srgbClr val="E3E3E3"/>
                  </a:solidFill>
                </a14:hiddenFill>
              </a:ext>
              <a:ext uri="{91240B29-F687-4F45-9708-019B960494DF}">
                <a14:hiddenLine w="9525">
                  <a:solidFill>
                    <a:srgbClr val="FF8080" mc:Ignorable="a14" a14:legacySpreadsheetColorIndex="29"/>
                  </a:solidFill>
                  <a:miter lim="800000"/>
                  <a:headEnd/>
                  <a:tailEnd/>
                </a14:hiddenLine>
              </a:ext>
              <a:ext uri="{53640926-AAD7-44D8-BBD7-CCE9431645EC}">
                <a14:shadowObscured val="1"/>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VTNS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809625</xdr:colOff>
          <xdr:row>28</xdr:row>
          <xdr:rowOff>66675</xdr:rowOff>
        </xdr:from>
        <xdr:to>
          <xdr:col>3</xdr:col>
          <xdr:colOff>295275</xdr:colOff>
          <xdr:row>29</xdr:row>
          <xdr:rowOff>123825</xdr:rowOff>
        </xdr:to>
        <xdr:sp macro="" textlink="">
          <xdr:nvSpPr>
            <xdr:cNvPr id="3083" name="Option Button 11" hidden="1">
              <a:extLst>
                <a:ext uri="{63B3BB69-23CF-44E3-9099-C40C66FF867C}">
                  <a14:compatExt spid="_x0000_s3083"/>
                </a:ext>
                <a:ext uri="{FF2B5EF4-FFF2-40B4-BE49-F238E27FC236}">
                  <a16:creationId xmlns:a16="http://schemas.microsoft.com/office/drawing/2014/main" id="{00000000-0008-0000-0700-00000B0C0000}"/>
                </a:ext>
              </a:extLst>
            </xdr:cNvPr>
            <xdr:cNvSpPr/>
          </xdr:nvSpPr>
          <xdr:spPr bwMode="auto">
            <a:xfrm>
              <a:off x="0" y="0"/>
              <a:ext cx="0" cy="0"/>
            </a:xfrm>
            <a:prstGeom prst="rect">
              <a:avLst/>
            </a:prstGeom>
            <a:noFill/>
            <a:ln>
              <a:noFill/>
            </a:ln>
            <a:effectLst/>
            <a:extLst>
              <a:ext uri="{909E8E84-426E-40DD-AFC4-6F175D3DCCD1}">
                <a14:hiddenFill>
                  <a:solidFill>
                    <a:srgbClr val="E3E3E3"/>
                  </a:solidFill>
                </a14:hiddenFill>
              </a:ext>
              <a:ext uri="{91240B29-F687-4F45-9708-019B960494DF}">
                <a14:hiddenLine w="9525">
                  <a:solidFill>
                    <a:srgbClr val="FF8080" mc:Ignorable="a14" a14:legacySpreadsheetColorIndex="29"/>
                  </a:solidFill>
                  <a:miter lim="800000"/>
                  <a:headEnd/>
                  <a:tailEnd/>
                </a14:hiddenLine>
              </a:ext>
              <a:ext uri="{53640926-AAD7-44D8-BBD7-CCE9431645EC}">
                <a14:shadowObscured val="1"/>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Other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323850</xdr:colOff>
          <xdr:row>2</xdr:row>
          <xdr:rowOff>180975</xdr:rowOff>
        </xdr:from>
        <xdr:to>
          <xdr:col>34</xdr:col>
          <xdr:colOff>171450</xdr:colOff>
          <xdr:row>3</xdr:row>
          <xdr:rowOff>171450</xdr:rowOff>
        </xdr:to>
        <xdr:sp macro="" textlink="">
          <xdr:nvSpPr>
            <xdr:cNvPr id="3379" name="cbSSR" hidden="1">
              <a:extLst>
                <a:ext uri="{63B3BB69-23CF-44E3-9099-C40C66FF867C}">
                  <a14:compatExt spid="_x0000_s3379"/>
                </a:ext>
                <a:ext uri="{FF2B5EF4-FFF2-40B4-BE49-F238E27FC236}">
                  <a16:creationId xmlns:a16="http://schemas.microsoft.com/office/drawing/2014/main" id="{00000000-0008-0000-0700-0000330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Supercede and Replace an existing contract number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xdr:row>
          <xdr:rowOff>0</xdr:rowOff>
        </xdr:from>
        <xdr:to>
          <xdr:col>1</xdr:col>
          <xdr:colOff>876300</xdr:colOff>
          <xdr:row>17</xdr:row>
          <xdr:rowOff>19050</xdr:rowOff>
        </xdr:to>
        <xdr:sp macro="" textlink="">
          <xdr:nvSpPr>
            <xdr:cNvPr id="3896" name="cbOnline" hidden="1">
              <a:extLst>
                <a:ext uri="{63B3BB69-23CF-44E3-9099-C40C66FF867C}">
                  <a14:compatExt spid="_x0000_s3896"/>
                </a:ext>
                <a:ext uri="{FF2B5EF4-FFF2-40B4-BE49-F238E27FC236}">
                  <a16:creationId xmlns:a16="http://schemas.microsoft.com/office/drawing/2014/main" id="{00000000-0008-0000-0700-000038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13</xdr:row>
          <xdr:rowOff>0</xdr:rowOff>
        </xdr:from>
        <xdr:to>
          <xdr:col>1</xdr:col>
          <xdr:colOff>1504950</xdr:colOff>
          <xdr:row>18</xdr:row>
          <xdr:rowOff>85725</xdr:rowOff>
        </xdr:to>
        <xdr:sp macro="" textlink="">
          <xdr:nvSpPr>
            <xdr:cNvPr id="3951" name="cbCoTAdd" hidden="1">
              <a:extLst>
                <a:ext uri="{63B3BB69-23CF-44E3-9099-C40C66FF867C}">
                  <a14:compatExt spid="_x0000_s3951"/>
                </a:ext>
                <a:ext uri="{FF2B5EF4-FFF2-40B4-BE49-F238E27FC236}">
                  <a16:creationId xmlns:a16="http://schemas.microsoft.com/office/drawing/2014/main" id="{00000000-0008-0000-0700-00006F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CoTerminous Addition?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18</xdr:row>
          <xdr:rowOff>0</xdr:rowOff>
        </xdr:from>
        <xdr:to>
          <xdr:col>2</xdr:col>
          <xdr:colOff>76200</xdr:colOff>
          <xdr:row>27</xdr:row>
          <xdr:rowOff>19050</xdr:rowOff>
        </xdr:to>
        <xdr:sp macro="" textlink="">
          <xdr:nvSpPr>
            <xdr:cNvPr id="4086" name="Check Box 1014" hidden="1">
              <a:extLst>
                <a:ext uri="{63B3BB69-23CF-44E3-9099-C40C66FF867C}">
                  <a14:compatExt spid="_x0000_s4086"/>
                </a:ext>
                <a:ext uri="{FF2B5EF4-FFF2-40B4-BE49-F238E27FC236}">
                  <a16:creationId xmlns:a16="http://schemas.microsoft.com/office/drawing/2014/main" id="{00000000-0008-0000-0700-0000F6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285750</xdr:colOff>
          <xdr:row>0</xdr:row>
          <xdr:rowOff>85725</xdr:rowOff>
        </xdr:from>
        <xdr:to>
          <xdr:col>4</xdr:col>
          <xdr:colOff>390525</xdr:colOff>
          <xdr:row>1</xdr:row>
          <xdr:rowOff>0</xdr:rowOff>
        </xdr:to>
        <xdr:sp macro="" textlink="">
          <xdr:nvSpPr>
            <xdr:cNvPr id="326687" name="Button 1055" hidden="1">
              <a:extLst>
                <a:ext uri="{63B3BB69-23CF-44E3-9099-C40C66FF867C}">
                  <a14:compatExt spid="_x0000_s326687"/>
                </a:ext>
                <a:ext uri="{FF2B5EF4-FFF2-40B4-BE49-F238E27FC236}">
                  <a16:creationId xmlns:a16="http://schemas.microsoft.com/office/drawing/2014/main" id="{00000000-0008-0000-0700-00001FFC0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8000"/>
                  </a:solidFill>
                  <a:latin typeface="Arial"/>
                  <a:cs typeface="Arial"/>
                </a:rPr>
                <a:t>Save/Version Deal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261</xdr:row>
          <xdr:rowOff>0</xdr:rowOff>
        </xdr:from>
        <xdr:to>
          <xdr:col>1</xdr:col>
          <xdr:colOff>876300</xdr:colOff>
          <xdr:row>262</xdr:row>
          <xdr:rowOff>19050</xdr:rowOff>
        </xdr:to>
        <xdr:sp macro="" textlink="">
          <xdr:nvSpPr>
            <xdr:cNvPr id="326689" name="Check Box 1057" hidden="1">
              <a:extLst>
                <a:ext uri="{63B3BB69-23CF-44E3-9099-C40C66FF867C}">
                  <a14:compatExt spid="_x0000_s326689"/>
                </a:ext>
                <a:ext uri="{FF2B5EF4-FFF2-40B4-BE49-F238E27FC236}">
                  <a16:creationId xmlns:a16="http://schemas.microsoft.com/office/drawing/2014/main" id="{00000000-0008-0000-0700-000021F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267</xdr:row>
          <xdr:rowOff>0</xdr:rowOff>
        </xdr:from>
        <xdr:to>
          <xdr:col>2</xdr:col>
          <xdr:colOff>76200</xdr:colOff>
          <xdr:row>268</xdr:row>
          <xdr:rowOff>19050</xdr:rowOff>
        </xdr:to>
        <xdr:sp macro="" textlink="">
          <xdr:nvSpPr>
            <xdr:cNvPr id="326690" name="Check Box 1058" hidden="1">
              <a:extLst>
                <a:ext uri="{63B3BB69-23CF-44E3-9099-C40C66FF867C}">
                  <a14:compatExt spid="_x0000_s326690"/>
                </a:ext>
                <a:ext uri="{FF2B5EF4-FFF2-40B4-BE49-F238E27FC236}">
                  <a16:creationId xmlns:a16="http://schemas.microsoft.com/office/drawing/2014/main" id="{00000000-0008-0000-0700-000022F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263</xdr:row>
          <xdr:rowOff>0</xdr:rowOff>
        </xdr:from>
        <xdr:to>
          <xdr:col>1</xdr:col>
          <xdr:colOff>1514475</xdr:colOff>
          <xdr:row>264</xdr:row>
          <xdr:rowOff>57150</xdr:rowOff>
        </xdr:to>
        <xdr:sp macro="" textlink="">
          <xdr:nvSpPr>
            <xdr:cNvPr id="326691" name="Check Box 1059" hidden="1">
              <a:extLst>
                <a:ext uri="{63B3BB69-23CF-44E3-9099-C40C66FF867C}">
                  <a14:compatExt spid="_x0000_s326691"/>
                </a:ext>
                <a:ext uri="{FF2B5EF4-FFF2-40B4-BE49-F238E27FC236}">
                  <a16:creationId xmlns:a16="http://schemas.microsoft.com/office/drawing/2014/main" id="{00000000-0008-0000-0700-000023F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CoTerminous Addition?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262</xdr:row>
          <xdr:rowOff>123825</xdr:rowOff>
        </xdr:from>
        <xdr:to>
          <xdr:col>4</xdr:col>
          <xdr:colOff>257175</xdr:colOff>
          <xdr:row>264</xdr:row>
          <xdr:rowOff>19050</xdr:rowOff>
        </xdr:to>
        <xdr:sp macro="" textlink="">
          <xdr:nvSpPr>
            <xdr:cNvPr id="326694" name="Check Box 1062" hidden="1">
              <a:extLst>
                <a:ext uri="{63B3BB69-23CF-44E3-9099-C40C66FF867C}">
                  <a14:compatExt spid="_x0000_s326694"/>
                </a:ext>
                <a:ext uri="{FF2B5EF4-FFF2-40B4-BE49-F238E27FC236}">
                  <a16:creationId xmlns:a16="http://schemas.microsoft.com/office/drawing/2014/main" id="{00000000-0008-0000-0700-000026F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Supercede and Replace an existing contract number</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absolute">
    <xdr:from>
      <xdr:col>9</xdr:col>
      <xdr:colOff>74102</xdr:colOff>
      <xdr:row>1</xdr:row>
      <xdr:rowOff>42340</xdr:rowOff>
    </xdr:from>
    <xdr:to>
      <xdr:col>22</xdr:col>
      <xdr:colOff>0</xdr:colOff>
      <xdr:row>6</xdr:row>
      <xdr:rowOff>105840</xdr:rowOff>
    </xdr:to>
    <xdr:sp macro="" textlink="">
      <xdr:nvSpPr>
        <xdr:cNvPr id="2" name="Rectangle 1">
          <a:extLst>
            <a:ext uri="{FF2B5EF4-FFF2-40B4-BE49-F238E27FC236}">
              <a16:creationId xmlns:a16="http://schemas.microsoft.com/office/drawing/2014/main" id="{00000000-0008-0000-0800-000002000000}"/>
            </a:ext>
          </a:extLst>
        </xdr:cNvPr>
        <xdr:cNvSpPr/>
      </xdr:nvSpPr>
      <xdr:spPr>
        <a:xfrm>
          <a:off x="6582852" y="42340"/>
          <a:ext cx="4360315" cy="825500"/>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solidFill>
                <a:srgbClr val="FF0000"/>
              </a:solidFill>
              <a:latin typeface="Arial" pitchFamily="34" charset="0"/>
              <a:cs typeface="Arial" pitchFamily="34" charset="0"/>
            </a:rPr>
            <a:t>This Summary can't demonstrate any type of Migration at this time.</a:t>
          </a:r>
        </a:p>
      </xdr:txBody>
    </xdr:sp>
    <xdr:clientData/>
  </xdr:twoCellAnchor>
  <xdr:twoCellAnchor editAs="absolute">
    <xdr:from>
      <xdr:col>9</xdr:col>
      <xdr:colOff>84681</xdr:colOff>
      <xdr:row>7</xdr:row>
      <xdr:rowOff>27</xdr:rowOff>
    </xdr:from>
    <xdr:to>
      <xdr:col>24</xdr:col>
      <xdr:colOff>10585</xdr:colOff>
      <xdr:row>9</xdr:row>
      <xdr:rowOff>52935</xdr:rowOff>
    </xdr:to>
    <xdr:sp macro="" textlink="">
      <xdr:nvSpPr>
        <xdr:cNvPr id="3" name="Rectangle 2">
          <a:extLst>
            <a:ext uri="{FF2B5EF4-FFF2-40B4-BE49-F238E27FC236}">
              <a16:creationId xmlns:a16="http://schemas.microsoft.com/office/drawing/2014/main" id="{00000000-0008-0000-0800-000003000000}"/>
            </a:ext>
          </a:extLst>
        </xdr:cNvPr>
        <xdr:cNvSpPr/>
      </xdr:nvSpPr>
      <xdr:spPr>
        <a:xfrm>
          <a:off x="6593431" y="920777"/>
          <a:ext cx="4360321" cy="275158"/>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000" b="0" baseline="0">
              <a:solidFill>
                <a:sysClr val="windowText" lastClr="000000"/>
              </a:solidFill>
              <a:latin typeface="Arial" pitchFamily="34" charset="0"/>
              <a:cs typeface="Arial" pitchFamily="34" charset="0"/>
            </a:rPr>
            <a:t>Annual view is of first year / Monthly view is first month</a:t>
          </a:r>
        </a:p>
      </xdr:txBody>
    </xdr:sp>
    <xdr:clientData/>
  </xdr:twoCellAnchor>
  <xdr:twoCellAnchor>
    <xdr:from>
      <xdr:col>2</xdr:col>
      <xdr:colOff>285750</xdr:colOff>
      <xdr:row>5</xdr:row>
      <xdr:rowOff>84667</xdr:rowOff>
    </xdr:from>
    <xdr:to>
      <xdr:col>3</xdr:col>
      <xdr:colOff>0</xdr:colOff>
      <xdr:row>12</xdr:row>
      <xdr:rowOff>31750</xdr:rowOff>
    </xdr:to>
    <xdr:grpSp>
      <xdr:nvGrpSpPr>
        <xdr:cNvPr id="7" name="Group 6">
          <a:hlinkClick xmlns:r="http://schemas.openxmlformats.org/officeDocument/2006/relationships" r:id="rId1"/>
          <a:extLst>
            <a:ext uri="{FF2B5EF4-FFF2-40B4-BE49-F238E27FC236}">
              <a16:creationId xmlns:a16="http://schemas.microsoft.com/office/drawing/2014/main" id="{00000000-0008-0000-0800-000007000000}"/>
            </a:ext>
          </a:extLst>
        </xdr:cNvPr>
        <xdr:cNvGrpSpPr/>
      </xdr:nvGrpSpPr>
      <xdr:grpSpPr>
        <a:xfrm>
          <a:off x="476250" y="687917"/>
          <a:ext cx="560917" cy="772583"/>
          <a:chOff x="6173718" y="857250"/>
          <a:chExt cx="1166689" cy="1690953"/>
        </a:xfrm>
      </xdr:grpSpPr>
      <xdr:pic>
        <xdr:nvPicPr>
          <xdr:cNvPr id="9" name="Picture 8" descr="IMS2 Training v2.jpg">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embed="rId2" cstate="print"/>
          <a:srcRect l="16000" t="15349" r="17600" b="15983"/>
          <a:stretch>
            <a:fillRect/>
          </a:stretch>
        </xdr:blipFill>
        <xdr:spPr>
          <a:xfrm>
            <a:off x="6238875" y="857250"/>
            <a:ext cx="923925" cy="946188"/>
          </a:xfrm>
          <a:prstGeom prst="rect">
            <a:avLst/>
          </a:prstGeom>
          <a:noFill/>
          <a:ln>
            <a:noFill/>
          </a:ln>
        </xdr:spPr>
      </xdr:pic>
      <xdr:sp macro="" textlink="">
        <xdr:nvSpPr>
          <xdr:cNvPr id="10" name="Rectangle 9">
            <a:extLst>
              <a:ext uri="{FF2B5EF4-FFF2-40B4-BE49-F238E27FC236}">
                <a16:creationId xmlns:a16="http://schemas.microsoft.com/office/drawing/2014/main" id="{00000000-0008-0000-0800-00000A000000}"/>
              </a:ext>
            </a:extLst>
          </xdr:cNvPr>
          <xdr:cNvSpPr/>
        </xdr:nvSpPr>
        <xdr:spPr>
          <a:xfrm>
            <a:off x="6173718" y="1805526"/>
            <a:ext cx="1166689" cy="742677"/>
          </a:xfrm>
          <a:prstGeom prst="rect">
            <a:avLst/>
          </a:prstGeom>
          <a:noFill/>
        </xdr:spPr>
        <xdr:txBody>
          <a:bodyPr wrap="none" lIns="91440" tIns="45720" rIns="91440" bIns="45720">
            <a:spAutoFit/>
          </a:bodyPr>
          <a:lstStyle/>
          <a:p>
            <a:pPr algn="ctr"/>
            <a:r>
              <a:rPr lang="en-US" sz="1200" b="1" cap="none" spc="50">
                <a:ln w="12700" cmpd="sng">
                  <a:solidFill>
                    <a:schemeClr val="accent6">
                      <a:satMod val="120000"/>
                      <a:shade val="80000"/>
                    </a:schemeClr>
                  </a:solidFill>
                  <a:prstDash val="solid"/>
                </a:ln>
                <a:solidFill>
                  <a:srgbClr val="0070C0"/>
                </a:solidFill>
                <a:effectLst>
                  <a:glow rad="53100">
                    <a:schemeClr val="accent6">
                      <a:satMod val="180000"/>
                      <a:alpha val="30000"/>
                    </a:schemeClr>
                  </a:glow>
                </a:effectLst>
              </a:rPr>
              <a:t>Click For</a:t>
            </a:r>
          </a:p>
          <a:p>
            <a:pPr algn="ctr"/>
            <a:r>
              <a:rPr lang="en-US" sz="1200" b="1" cap="none" spc="50">
                <a:ln w="12700" cmpd="sng">
                  <a:solidFill>
                    <a:schemeClr val="accent6">
                      <a:satMod val="120000"/>
                      <a:shade val="80000"/>
                    </a:schemeClr>
                  </a:solidFill>
                  <a:prstDash val="solid"/>
                </a:ln>
                <a:solidFill>
                  <a:srgbClr val="0070C0"/>
                </a:solidFill>
                <a:effectLst>
                  <a:glow rad="53100">
                    <a:schemeClr val="accent6">
                      <a:satMod val="180000"/>
                      <a:alpha val="30000"/>
                    </a:schemeClr>
                  </a:glow>
                </a:effectLst>
              </a:rPr>
              <a:t> Training</a:t>
            </a:r>
          </a:p>
        </xdr:txBody>
      </xdr:sp>
    </xdr:grpSp>
    <xdr:clientData/>
  </xdr:twoCellAnchor>
  <mc:AlternateContent xmlns:mc="http://schemas.openxmlformats.org/markup-compatibility/2006">
    <mc:Choice xmlns:a14="http://schemas.microsoft.com/office/drawing/2010/main" Requires="a14">
      <xdr:twoCellAnchor editAs="oneCell">
        <xdr:from>
          <xdr:col>3</xdr:col>
          <xdr:colOff>371475</xdr:colOff>
          <xdr:row>10</xdr:row>
          <xdr:rowOff>57150</xdr:rowOff>
        </xdr:from>
        <xdr:to>
          <xdr:col>5</xdr:col>
          <xdr:colOff>66675</xdr:colOff>
          <xdr:row>12</xdr:row>
          <xdr:rowOff>123825</xdr:rowOff>
        </xdr:to>
        <xdr:sp macro="" textlink="">
          <xdr:nvSpPr>
            <xdr:cNvPr id="302223" name="Button 143" hidden="1">
              <a:extLst>
                <a:ext uri="{63B3BB69-23CF-44E3-9099-C40C66FF867C}">
                  <a14:compatExt spid="_x0000_s302223"/>
                </a:ext>
                <a:ext uri="{FF2B5EF4-FFF2-40B4-BE49-F238E27FC236}">
                  <a16:creationId xmlns:a16="http://schemas.microsoft.com/office/drawing/2014/main" id="{00000000-0008-0000-0800-00008F9C0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8000"/>
                  </a:solidFill>
                  <a:latin typeface="Arial"/>
                  <a:cs typeface="Arial"/>
                </a:rPr>
                <a:t>Save/Version Deal</a:t>
              </a:r>
            </a:p>
          </xdr:txBody>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7</xdr:col>
      <xdr:colOff>222249</xdr:colOff>
      <xdr:row>0</xdr:row>
      <xdr:rowOff>21166</xdr:rowOff>
    </xdr:from>
    <xdr:to>
      <xdr:col>9</xdr:col>
      <xdr:colOff>240243</xdr:colOff>
      <xdr:row>2</xdr:row>
      <xdr:rowOff>126999</xdr:rowOff>
    </xdr:to>
    <xdr:sp macro="" textlink="">
      <xdr:nvSpPr>
        <xdr:cNvPr id="35" name="btn.RedBox" hidden="1">
          <a:extLst>
            <a:ext uri="{FF2B5EF4-FFF2-40B4-BE49-F238E27FC236}">
              <a16:creationId xmlns:a16="http://schemas.microsoft.com/office/drawing/2014/main" id="{00000000-0008-0000-0900-000023000000}"/>
            </a:ext>
          </a:extLst>
        </xdr:cNvPr>
        <xdr:cNvSpPr/>
      </xdr:nvSpPr>
      <xdr:spPr>
        <a:xfrm>
          <a:off x="8985249" y="21166"/>
          <a:ext cx="1711327" cy="412750"/>
        </a:xfrm>
        <a:prstGeom prst="rect">
          <a:avLst/>
        </a:prstGeom>
        <a:solidFill>
          <a:srgbClr val="FF0000"/>
        </a:solidFill>
        <a:ln w="25400" cap="flat" cmpd="sng" algn="ctr">
          <a:noFill/>
          <a:prstDash val="solid"/>
        </a:ln>
        <a:effectLst/>
        <a:scene3d>
          <a:camera prst="orthographicFront"/>
          <a:lightRig rig="soft" dir="t"/>
        </a:scene3d>
      </xdr:spPr>
      <xdr:txBody>
        <a:bodyPr vert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a:ea typeface="+mn-ea"/>
            <a:cs typeface="+mn-cs"/>
          </a:endParaRPr>
        </a:p>
      </xdr:txBody>
    </xdr:sp>
    <xdr:clientData/>
  </xdr:twoCellAnchor>
  <xdr:twoCellAnchor editAs="oneCell">
    <xdr:from>
      <xdr:col>7</xdr:col>
      <xdr:colOff>225424</xdr:colOff>
      <xdr:row>3</xdr:row>
      <xdr:rowOff>31744</xdr:rowOff>
    </xdr:from>
    <xdr:to>
      <xdr:col>9</xdr:col>
      <xdr:colOff>243418</xdr:colOff>
      <xdr:row>15</xdr:row>
      <xdr:rowOff>145683</xdr:rowOff>
    </xdr:to>
    <xdr:sp macro="" textlink="">
      <xdr:nvSpPr>
        <xdr:cNvPr id="5" name="btn.GrnBox">
          <a:extLst>
            <a:ext uri="{FF2B5EF4-FFF2-40B4-BE49-F238E27FC236}">
              <a16:creationId xmlns:a16="http://schemas.microsoft.com/office/drawing/2014/main" id="{00000000-0008-0000-0900-000005000000}"/>
            </a:ext>
          </a:extLst>
        </xdr:cNvPr>
        <xdr:cNvSpPr/>
      </xdr:nvSpPr>
      <xdr:spPr>
        <a:xfrm>
          <a:off x="9902824" y="498469"/>
          <a:ext cx="1713444" cy="2123714"/>
        </a:xfrm>
        <a:prstGeom prst="rect">
          <a:avLst/>
        </a:prstGeom>
        <a:solidFill>
          <a:schemeClr val="accent3">
            <a:lumMod val="60000"/>
            <a:lumOff val="40000"/>
          </a:schemeClr>
        </a:solidFill>
        <a:ln>
          <a:solidFill>
            <a:schemeClr val="accent3">
              <a:lumMod val="60000"/>
              <a:lumOff val="40000"/>
            </a:schemeClr>
          </a:solidFill>
        </a:ln>
        <a:scene3d>
          <a:camera prst="orthographicFront"/>
          <a:lightRig rig="soft" dir="t"/>
        </a:scene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42</xdr:col>
      <xdr:colOff>155574</xdr:colOff>
      <xdr:row>5</xdr:row>
      <xdr:rowOff>4230</xdr:rowOff>
    </xdr:from>
    <xdr:to>
      <xdr:col>45</xdr:col>
      <xdr:colOff>42332</xdr:colOff>
      <xdr:row>6</xdr:row>
      <xdr:rowOff>169330</xdr:rowOff>
    </xdr:to>
    <xdr:sp macro="" textlink="">
      <xdr:nvSpPr>
        <xdr:cNvPr id="29" name="importOtherBackground">
          <a:extLst>
            <a:ext uri="{FF2B5EF4-FFF2-40B4-BE49-F238E27FC236}">
              <a16:creationId xmlns:a16="http://schemas.microsoft.com/office/drawing/2014/main" id="{00000000-0008-0000-0900-00001D000000}"/>
            </a:ext>
          </a:extLst>
        </xdr:cNvPr>
        <xdr:cNvSpPr/>
      </xdr:nvSpPr>
      <xdr:spPr>
        <a:xfrm>
          <a:off x="32402991" y="776813"/>
          <a:ext cx="1728258" cy="323850"/>
        </a:xfrm>
        <a:prstGeom prst="rect">
          <a:avLst/>
        </a:prstGeom>
        <a:solidFill>
          <a:srgbClr val="C3D69B"/>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editAs="oneCell">
    <xdr:from>
      <xdr:col>3</xdr:col>
      <xdr:colOff>2637365</xdr:colOff>
      <xdr:row>17</xdr:row>
      <xdr:rowOff>28575</xdr:rowOff>
    </xdr:from>
    <xdr:to>
      <xdr:col>4</xdr:col>
      <xdr:colOff>331359</xdr:colOff>
      <xdr:row>19</xdr:row>
      <xdr:rowOff>125941</xdr:rowOff>
    </xdr:to>
    <xdr:sp macro="[0]!btnLoadProducts" textlink="">
      <xdr:nvSpPr>
        <xdr:cNvPr id="3" name="loadProductsBackground">
          <a:extLst>
            <a:ext uri="{FF2B5EF4-FFF2-40B4-BE49-F238E27FC236}">
              <a16:creationId xmlns:a16="http://schemas.microsoft.com/office/drawing/2014/main" id="{00000000-0008-0000-0900-000003000000}"/>
            </a:ext>
          </a:extLst>
        </xdr:cNvPr>
        <xdr:cNvSpPr>
          <a:spLocks noChangeAspect="1"/>
        </xdr:cNvSpPr>
      </xdr:nvSpPr>
      <xdr:spPr>
        <a:xfrm>
          <a:off x="4904315" y="1857375"/>
          <a:ext cx="2140052" cy="421216"/>
        </a:xfrm>
        <a:prstGeom prst="rect">
          <a:avLst/>
        </a:prstGeom>
        <a:solidFill>
          <a:srgbClr val="F2F2F2"/>
        </a:solidFill>
        <a:ln w="12700">
          <a:solidFill>
            <a:schemeClr val="tx1"/>
          </a:solidFill>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600" b="1" i="0" baseline="0">
              <a:solidFill>
                <a:srgbClr xmlns:mc="http://schemas.openxmlformats.org/markup-compatibility/2006" xmlns:a14="http://schemas.microsoft.com/office/drawing/2010/main" val="008000" mc:Ignorable="a14" a14:legacySpreadsheetColorIndex="17"/>
              </a:solidFill>
              <a:latin typeface="Arial" pitchFamily="34" charset="0"/>
              <a:cs typeface="Arial" pitchFamily="34" charset="0"/>
            </a:rPr>
            <a:t>Load Products</a:t>
          </a:r>
        </a:p>
      </xdr:txBody>
    </xdr:sp>
    <xdr:clientData/>
  </xdr:twoCellAnchor>
  <xdr:twoCellAnchor editAs="oneCell">
    <xdr:from>
      <xdr:col>9</xdr:col>
      <xdr:colOff>742955</xdr:colOff>
      <xdr:row>1</xdr:row>
      <xdr:rowOff>0</xdr:rowOff>
    </xdr:from>
    <xdr:to>
      <xdr:col>10</xdr:col>
      <xdr:colOff>514356</xdr:colOff>
      <xdr:row>5</xdr:row>
      <xdr:rowOff>76200</xdr:rowOff>
    </xdr:to>
    <xdr:grpSp>
      <xdr:nvGrpSpPr>
        <xdr:cNvPr id="8" name="btnIms2TrainingStep1">
          <a:hlinkClick xmlns:r="http://schemas.openxmlformats.org/officeDocument/2006/relationships" r:id="rId1"/>
          <a:extLst>
            <a:ext uri="{FF2B5EF4-FFF2-40B4-BE49-F238E27FC236}">
              <a16:creationId xmlns:a16="http://schemas.microsoft.com/office/drawing/2014/main" id="{00000000-0008-0000-0900-000008000000}"/>
            </a:ext>
          </a:extLst>
        </xdr:cNvPr>
        <xdr:cNvGrpSpPr/>
      </xdr:nvGrpSpPr>
      <xdr:grpSpPr>
        <a:xfrm>
          <a:off x="12109455" y="158750"/>
          <a:ext cx="554568" cy="690033"/>
          <a:chOff x="6173718" y="857250"/>
          <a:chExt cx="1166689" cy="1690953"/>
        </a:xfrm>
      </xdr:grpSpPr>
      <xdr:pic>
        <xdr:nvPicPr>
          <xdr:cNvPr id="12" name="Picture 11" descr="IMS2 Training v2.jpg">
            <a:extLst>
              <a:ext uri="{FF2B5EF4-FFF2-40B4-BE49-F238E27FC236}">
                <a16:creationId xmlns:a16="http://schemas.microsoft.com/office/drawing/2014/main" id="{00000000-0008-0000-0900-00000C000000}"/>
              </a:ext>
            </a:extLst>
          </xdr:cNvPr>
          <xdr:cNvPicPr>
            <a:picLocks noChangeAspect="1"/>
          </xdr:cNvPicPr>
        </xdr:nvPicPr>
        <xdr:blipFill>
          <a:blip xmlns:r="http://schemas.openxmlformats.org/officeDocument/2006/relationships" r:embed="rId2" cstate="print"/>
          <a:srcRect l="16000" t="15349" r="17600" b="15983"/>
          <a:stretch>
            <a:fillRect/>
          </a:stretch>
        </xdr:blipFill>
        <xdr:spPr>
          <a:xfrm>
            <a:off x="6238869" y="857250"/>
            <a:ext cx="923925" cy="946188"/>
          </a:xfrm>
          <a:prstGeom prst="rect">
            <a:avLst/>
          </a:prstGeom>
          <a:noFill/>
          <a:ln>
            <a:noFill/>
          </a:ln>
        </xdr:spPr>
      </xdr:pic>
      <xdr:sp macro="" textlink="">
        <xdr:nvSpPr>
          <xdr:cNvPr id="13" name="Rectangle 12">
            <a:extLst>
              <a:ext uri="{FF2B5EF4-FFF2-40B4-BE49-F238E27FC236}">
                <a16:creationId xmlns:a16="http://schemas.microsoft.com/office/drawing/2014/main" id="{00000000-0008-0000-0900-00000D000000}"/>
              </a:ext>
            </a:extLst>
          </xdr:cNvPr>
          <xdr:cNvSpPr/>
        </xdr:nvSpPr>
        <xdr:spPr>
          <a:xfrm>
            <a:off x="6173718" y="1805526"/>
            <a:ext cx="1166689" cy="742677"/>
          </a:xfrm>
          <a:prstGeom prst="rect">
            <a:avLst/>
          </a:prstGeom>
          <a:noFill/>
        </xdr:spPr>
        <xdr:txBody>
          <a:bodyPr wrap="none" lIns="91440" tIns="45720" rIns="91440" bIns="45720">
            <a:spAutoFit/>
          </a:bodyPr>
          <a:lstStyle/>
          <a:p>
            <a:pPr algn="ctr"/>
            <a:r>
              <a:rPr lang="en-US" sz="1200" b="1" cap="none" spc="50">
                <a:ln w="12700" cmpd="sng">
                  <a:solidFill>
                    <a:schemeClr val="accent6">
                      <a:satMod val="120000"/>
                      <a:shade val="80000"/>
                    </a:schemeClr>
                  </a:solidFill>
                  <a:prstDash val="solid"/>
                </a:ln>
                <a:solidFill>
                  <a:srgbClr val="0070C0"/>
                </a:solidFill>
                <a:effectLst>
                  <a:glow rad="53100">
                    <a:schemeClr val="accent6">
                      <a:satMod val="180000"/>
                      <a:alpha val="30000"/>
                    </a:schemeClr>
                  </a:glow>
                </a:effectLst>
              </a:rPr>
              <a:t>Click For</a:t>
            </a:r>
          </a:p>
          <a:p>
            <a:pPr algn="ctr"/>
            <a:r>
              <a:rPr lang="en-US" sz="1200" b="1" cap="none" spc="50">
                <a:ln w="12700" cmpd="sng">
                  <a:solidFill>
                    <a:schemeClr val="accent6">
                      <a:satMod val="120000"/>
                      <a:shade val="80000"/>
                    </a:schemeClr>
                  </a:solidFill>
                  <a:prstDash val="solid"/>
                </a:ln>
                <a:solidFill>
                  <a:srgbClr val="0070C0"/>
                </a:solidFill>
                <a:effectLst>
                  <a:glow rad="53100">
                    <a:schemeClr val="accent6">
                      <a:satMod val="180000"/>
                      <a:alpha val="30000"/>
                    </a:schemeClr>
                  </a:glow>
                </a:effectLst>
              </a:rPr>
              <a:t> Training</a:t>
            </a:r>
          </a:p>
        </xdr:txBody>
      </xdr:sp>
    </xdr:grpSp>
    <xdr:clientData/>
  </xdr:twoCellAnchor>
  <mc:AlternateContent xmlns:mc="http://schemas.openxmlformats.org/markup-compatibility/2006">
    <mc:Choice xmlns:a14="http://schemas.microsoft.com/office/drawing/2010/main" Requires="a14">
      <xdr:twoCellAnchor editAs="oneCell">
        <xdr:from>
          <xdr:col>0</xdr:col>
          <xdr:colOff>161925</xdr:colOff>
          <xdr:row>0</xdr:row>
          <xdr:rowOff>76200</xdr:rowOff>
        </xdr:from>
        <xdr:to>
          <xdr:col>2</xdr:col>
          <xdr:colOff>876300</xdr:colOff>
          <xdr:row>2</xdr:row>
          <xdr:rowOff>57150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900-00000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 Back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1600200</xdr:colOff>
          <xdr:row>0</xdr:row>
          <xdr:rowOff>76200</xdr:rowOff>
        </xdr:from>
        <xdr:to>
          <xdr:col>3</xdr:col>
          <xdr:colOff>1362075</xdr:colOff>
          <xdr:row>2</xdr:row>
          <xdr:rowOff>57150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900-00001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Next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1600200</xdr:colOff>
          <xdr:row>2</xdr:row>
          <xdr:rowOff>123825</xdr:rowOff>
        </xdr:from>
        <xdr:to>
          <xdr:col>3</xdr:col>
          <xdr:colOff>1362075</xdr:colOff>
          <xdr:row>4</xdr:row>
          <xdr:rowOff>95250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9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993300"/>
                  </a:solidFill>
                  <a:latin typeface="Arial"/>
                  <a:cs typeface="Arial"/>
                </a:rPr>
                <a:t>Clear Data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2</xdr:row>
          <xdr:rowOff>133350</xdr:rowOff>
        </xdr:from>
        <xdr:to>
          <xdr:col>2</xdr:col>
          <xdr:colOff>876300</xdr:colOff>
          <xdr:row>4</xdr:row>
          <xdr:rowOff>114300</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900-00001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 Automation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381000</xdr:colOff>
          <xdr:row>5</xdr:row>
          <xdr:rowOff>142875</xdr:rowOff>
        </xdr:from>
        <xdr:to>
          <xdr:col>4</xdr:col>
          <xdr:colOff>685800</xdr:colOff>
          <xdr:row>6</xdr:row>
          <xdr:rowOff>200025</xdr:rowOff>
        </xdr:to>
        <xdr:sp macro="" textlink="">
          <xdr:nvSpPr>
            <xdr:cNvPr id="1045" name="Option Button 21" hidden="1">
              <a:extLst>
                <a:ext uri="{63B3BB69-23CF-44E3-9099-C40C66FF867C}">
                  <a14:compatExt spid="_x0000_s1045"/>
                </a:ext>
                <a:ext uri="{FF2B5EF4-FFF2-40B4-BE49-F238E27FC236}">
                  <a16:creationId xmlns:a16="http://schemas.microsoft.com/office/drawing/2014/main" id="{00000000-0008-0000-09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371475</xdr:colOff>
          <xdr:row>5</xdr:row>
          <xdr:rowOff>142875</xdr:rowOff>
        </xdr:from>
        <xdr:to>
          <xdr:col>5</xdr:col>
          <xdr:colOff>676275</xdr:colOff>
          <xdr:row>6</xdr:row>
          <xdr:rowOff>200025</xdr:rowOff>
        </xdr:to>
        <xdr:sp macro="" textlink="">
          <xdr:nvSpPr>
            <xdr:cNvPr id="1046" name="Option Button 22" hidden="1">
              <a:extLst>
                <a:ext uri="{63B3BB69-23CF-44E3-9099-C40C66FF867C}">
                  <a14:compatExt spid="_x0000_s1046"/>
                </a:ext>
                <a:ext uri="{FF2B5EF4-FFF2-40B4-BE49-F238E27FC236}">
                  <a16:creationId xmlns:a16="http://schemas.microsoft.com/office/drawing/2014/main" id="{00000000-0008-0000-09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5</xdr:row>
          <xdr:rowOff>142875</xdr:rowOff>
        </xdr:from>
        <xdr:to>
          <xdr:col>6</xdr:col>
          <xdr:colOff>571500</xdr:colOff>
          <xdr:row>6</xdr:row>
          <xdr:rowOff>200025</xdr:rowOff>
        </xdr:to>
        <xdr:sp macro="" textlink="">
          <xdr:nvSpPr>
            <xdr:cNvPr id="1047" name="Option Button 23" hidden="1">
              <a:extLst>
                <a:ext uri="{63B3BB69-23CF-44E3-9099-C40C66FF867C}">
                  <a14:compatExt spid="_x0000_s1047"/>
                </a:ext>
                <a:ext uri="{FF2B5EF4-FFF2-40B4-BE49-F238E27FC236}">
                  <a16:creationId xmlns:a16="http://schemas.microsoft.com/office/drawing/2014/main" id="{00000000-0008-0000-09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219075</xdr:colOff>
          <xdr:row>0</xdr:row>
          <xdr:rowOff>66675</xdr:rowOff>
        </xdr:from>
        <xdr:to>
          <xdr:col>4</xdr:col>
          <xdr:colOff>1047750</xdr:colOff>
          <xdr:row>2</xdr:row>
          <xdr:rowOff>76200</xdr:rowOff>
        </xdr:to>
        <xdr:sp macro="" textlink="">
          <xdr:nvSpPr>
            <xdr:cNvPr id="1264" name="cbErate" hidden="1">
              <a:extLst>
                <a:ext uri="{63B3BB69-23CF-44E3-9099-C40C66FF867C}">
                  <a14:compatExt spid="_x0000_s1264"/>
                </a:ext>
                <a:ext uri="{FF2B5EF4-FFF2-40B4-BE49-F238E27FC236}">
                  <a16:creationId xmlns:a16="http://schemas.microsoft.com/office/drawing/2014/main" id="{00000000-0008-0000-0900-0000F00400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E-Rate Deal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0</xdr:row>
          <xdr:rowOff>66675</xdr:rowOff>
        </xdr:from>
        <xdr:to>
          <xdr:col>6</xdr:col>
          <xdr:colOff>381000</xdr:colOff>
          <xdr:row>2</xdr:row>
          <xdr:rowOff>76200</xdr:rowOff>
        </xdr:to>
        <xdr:sp macro="" textlink="">
          <xdr:nvSpPr>
            <xdr:cNvPr id="1393" name="cbTXHB" hidden="1">
              <a:extLst>
                <a:ext uri="{63B3BB69-23CF-44E3-9099-C40C66FF867C}">
                  <a14:compatExt spid="_x0000_s1393"/>
                </a:ext>
                <a:ext uri="{FF2B5EF4-FFF2-40B4-BE49-F238E27FC236}">
                  <a16:creationId xmlns:a16="http://schemas.microsoft.com/office/drawing/2014/main" id="{00000000-0008-0000-0900-0000710500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TX House Bill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17</xdr:row>
          <xdr:rowOff>76200</xdr:rowOff>
        </xdr:from>
        <xdr:to>
          <xdr:col>3</xdr:col>
          <xdr:colOff>457200</xdr:colOff>
          <xdr:row>19</xdr:row>
          <xdr:rowOff>47625</xdr:rowOff>
        </xdr:to>
        <xdr:sp macro="" textlink="">
          <xdr:nvSpPr>
            <xdr:cNvPr id="1471" name="btnShowImsProducts" hidden="1">
              <a:extLst>
                <a:ext uri="{63B3BB69-23CF-44E3-9099-C40C66FF867C}">
                  <a14:compatExt spid="_x0000_s1471"/>
                </a:ext>
                <a:ext uri="{FF2B5EF4-FFF2-40B4-BE49-F238E27FC236}">
                  <a16:creationId xmlns:a16="http://schemas.microsoft.com/office/drawing/2014/main" id="{00000000-0008-0000-0900-0000BF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Show IMS2 Products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533400</xdr:colOff>
          <xdr:row>16</xdr:row>
          <xdr:rowOff>114300</xdr:rowOff>
        </xdr:from>
        <xdr:to>
          <xdr:col>3</xdr:col>
          <xdr:colOff>2562225</xdr:colOff>
          <xdr:row>18</xdr:row>
          <xdr:rowOff>19050</xdr:rowOff>
        </xdr:to>
        <xdr:sp macro="" textlink="">
          <xdr:nvSpPr>
            <xdr:cNvPr id="1481" name="btnGetAceCosts" hidden="1">
              <a:extLst>
                <a:ext uri="{63B3BB69-23CF-44E3-9099-C40C66FF867C}">
                  <a14:compatExt spid="_x0000_s1481"/>
                </a:ext>
                <a:ext uri="{FF2B5EF4-FFF2-40B4-BE49-F238E27FC236}">
                  <a16:creationId xmlns:a16="http://schemas.microsoft.com/office/drawing/2014/main" id="{00000000-0008-0000-0900-0000C9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Strategic Pricing:</a:t>
              </a:r>
              <a:r>
                <a:rPr lang="en-US" sz="1000" b="1" i="0" u="none" strike="noStrike" baseline="0">
                  <a:solidFill>
                    <a:srgbClr val="000000"/>
                  </a:solidFill>
                  <a:latin typeface="Arial"/>
                  <a:cs typeface="Arial"/>
                </a:rPr>
                <a:t> Get ACE Costs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533400</xdr:colOff>
          <xdr:row>18</xdr:row>
          <xdr:rowOff>66675</xdr:rowOff>
        </xdr:from>
        <xdr:to>
          <xdr:col>3</xdr:col>
          <xdr:colOff>2562225</xdr:colOff>
          <xdr:row>19</xdr:row>
          <xdr:rowOff>133350</xdr:rowOff>
        </xdr:to>
        <xdr:sp macro="" textlink="">
          <xdr:nvSpPr>
            <xdr:cNvPr id="1483" name="btnCreateCostbook" hidden="1">
              <a:extLst>
                <a:ext uri="{63B3BB69-23CF-44E3-9099-C40C66FF867C}">
                  <a14:compatExt spid="_x0000_s1483"/>
                </a:ext>
                <a:ext uri="{FF2B5EF4-FFF2-40B4-BE49-F238E27FC236}">
                  <a16:creationId xmlns:a16="http://schemas.microsoft.com/office/drawing/2014/main" id="{00000000-0008-0000-0900-0000CB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Strat.Pricing:</a:t>
              </a:r>
              <a:r>
                <a:rPr lang="en-US" sz="1000" b="1" i="0" u="none" strike="noStrike" baseline="0">
                  <a:solidFill>
                    <a:srgbClr val="000000"/>
                  </a:solidFill>
                  <a:latin typeface="Arial"/>
                  <a:cs typeface="Arial"/>
                </a:rPr>
                <a:t> Create Costbook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15</xdr:row>
          <xdr:rowOff>123825</xdr:rowOff>
        </xdr:from>
        <xdr:to>
          <xdr:col>9</xdr:col>
          <xdr:colOff>114300</xdr:colOff>
          <xdr:row>18</xdr:row>
          <xdr:rowOff>95250</xdr:rowOff>
        </xdr:to>
        <xdr:sp macro="" textlink="">
          <xdr:nvSpPr>
            <xdr:cNvPr id="1484" name="btn.versionLessNoMatch" hidden="1">
              <a:extLst>
                <a:ext uri="{63B3BB69-23CF-44E3-9099-C40C66FF867C}">
                  <a14:compatExt spid="_x0000_s1484"/>
                </a:ext>
                <a:ext uri="{FF2B5EF4-FFF2-40B4-BE49-F238E27FC236}">
                  <a16:creationId xmlns:a16="http://schemas.microsoft.com/office/drawing/2014/main" id="{00000000-0008-0000-0900-0000CC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Save &amp; Version without No-Match Tabs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361950</xdr:colOff>
          <xdr:row>4</xdr:row>
          <xdr:rowOff>28575</xdr:rowOff>
        </xdr:from>
        <xdr:to>
          <xdr:col>9</xdr:col>
          <xdr:colOff>133350</xdr:colOff>
          <xdr:row>6</xdr:row>
          <xdr:rowOff>76200</xdr:rowOff>
        </xdr:to>
        <xdr:sp macro="" textlink="">
          <xdr:nvSpPr>
            <xdr:cNvPr id="1489" name="btn.main.LoadCDT" hidden="1">
              <a:extLst>
                <a:ext uri="{63B3BB69-23CF-44E3-9099-C40C66FF867C}">
                  <a14:compatExt spid="_x0000_s1489"/>
                </a:ext>
                <a:ext uri="{FF2B5EF4-FFF2-40B4-BE49-F238E27FC236}">
                  <a16:creationId xmlns:a16="http://schemas.microsoft.com/office/drawing/2014/main" id="{00000000-0008-0000-0900-0000D1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Load Content Into CDT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361950</xdr:colOff>
          <xdr:row>6</xdr:row>
          <xdr:rowOff>200025</xdr:rowOff>
        </xdr:from>
        <xdr:to>
          <xdr:col>9</xdr:col>
          <xdr:colOff>152400</xdr:colOff>
          <xdr:row>9</xdr:row>
          <xdr:rowOff>9525</xdr:rowOff>
        </xdr:to>
        <xdr:sp macro="" textlink="">
          <xdr:nvSpPr>
            <xdr:cNvPr id="1490" name="btn.main.ManageCDT" hidden="1">
              <a:extLst>
                <a:ext uri="{63B3BB69-23CF-44E3-9099-C40C66FF867C}">
                  <a14:compatExt spid="_x0000_s1490"/>
                </a:ext>
                <a:ext uri="{FF2B5EF4-FFF2-40B4-BE49-F238E27FC236}">
                  <a16:creationId xmlns:a16="http://schemas.microsoft.com/office/drawing/2014/main" id="{00000000-0008-0000-0900-0000D2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Manage CDT Content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371475</xdr:colOff>
          <xdr:row>9</xdr:row>
          <xdr:rowOff>95250</xdr:rowOff>
        </xdr:from>
        <xdr:to>
          <xdr:col>9</xdr:col>
          <xdr:colOff>142875</xdr:colOff>
          <xdr:row>12</xdr:row>
          <xdr:rowOff>9525</xdr:rowOff>
        </xdr:to>
        <xdr:sp macro="" textlink="">
          <xdr:nvSpPr>
            <xdr:cNvPr id="1491" name="btn.main.FinalizeCDT" hidden="1">
              <a:extLst>
                <a:ext uri="{63B3BB69-23CF-44E3-9099-C40C66FF867C}">
                  <a14:compatExt spid="_x0000_s1491"/>
                </a:ext>
                <a:ext uri="{FF2B5EF4-FFF2-40B4-BE49-F238E27FC236}">
                  <a16:creationId xmlns:a16="http://schemas.microsoft.com/office/drawing/2014/main" id="{00000000-0008-0000-0900-0000D3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Finalize CDT Content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371475</xdr:colOff>
          <xdr:row>12</xdr:row>
          <xdr:rowOff>114300</xdr:rowOff>
        </xdr:from>
        <xdr:to>
          <xdr:col>9</xdr:col>
          <xdr:colOff>152400</xdr:colOff>
          <xdr:row>15</xdr:row>
          <xdr:rowOff>28575</xdr:rowOff>
        </xdr:to>
        <xdr:sp macro="" textlink="">
          <xdr:nvSpPr>
            <xdr:cNvPr id="1494" name="btn.main.OLExpress" hidden="1">
              <a:extLst>
                <a:ext uri="{63B3BB69-23CF-44E3-9099-C40C66FF867C}">
                  <a14:compatExt spid="_x0000_s1494"/>
                </a:ext>
                <a:ext uri="{FF2B5EF4-FFF2-40B4-BE49-F238E27FC236}">
                  <a16:creationId xmlns:a16="http://schemas.microsoft.com/office/drawing/2014/main" id="{00000000-0008-0000-0900-0000D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Online/Express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361950</xdr:colOff>
          <xdr:row>3</xdr:row>
          <xdr:rowOff>123825</xdr:rowOff>
        </xdr:from>
        <xdr:to>
          <xdr:col>9</xdr:col>
          <xdr:colOff>142875</xdr:colOff>
          <xdr:row>6</xdr:row>
          <xdr:rowOff>19050</xdr:rowOff>
        </xdr:to>
        <xdr:sp macro="" textlink="">
          <xdr:nvSpPr>
            <xdr:cNvPr id="1495" name="btn.FMR.CheckForErrors" hidden="1">
              <a:extLst>
                <a:ext uri="{63B3BB69-23CF-44E3-9099-C40C66FF867C}">
                  <a14:compatExt spid="_x0000_s1495"/>
                </a:ext>
                <a:ext uri="{FF2B5EF4-FFF2-40B4-BE49-F238E27FC236}">
                  <a16:creationId xmlns:a16="http://schemas.microsoft.com/office/drawing/2014/main" id="{00000000-0008-0000-0900-0000D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Check for Errors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390525</xdr:colOff>
          <xdr:row>6</xdr:row>
          <xdr:rowOff>142875</xdr:rowOff>
        </xdr:from>
        <xdr:to>
          <xdr:col>9</xdr:col>
          <xdr:colOff>161925</xdr:colOff>
          <xdr:row>8</xdr:row>
          <xdr:rowOff>104775</xdr:rowOff>
        </xdr:to>
        <xdr:sp macro="" textlink="">
          <xdr:nvSpPr>
            <xdr:cNvPr id="1497" name="btn.FMR.GenerateRL" hidden="1">
              <a:extLst>
                <a:ext uri="{63B3BB69-23CF-44E3-9099-C40C66FF867C}">
                  <a14:compatExt spid="_x0000_s1497"/>
                </a:ext>
                <a:ext uri="{FF2B5EF4-FFF2-40B4-BE49-F238E27FC236}">
                  <a16:creationId xmlns:a16="http://schemas.microsoft.com/office/drawing/2014/main" id="{00000000-0008-0000-0900-0000D905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8000"/>
                  </a:solidFill>
                  <a:latin typeface="Arial"/>
                  <a:cs typeface="Arial"/>
                </a:rPr>
                <a:t>Generate RL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381000</xdr:colOff>
          <xdr:row>15</xdr:row>
          <xdr:rowOff>57150</xdr:rowOff>
        </xdr:from>
        <xdr:to>
          <xdr:col>9</xdr:col>
          <xdr:colOff>161925</xdr:colOff>
          <xdr:row>16</xdr:row>
          <xdr:rowOff>152400</xdr:rowOff>
        </xdr:to>
        <xdr:sp macro="" textlink="">
          <xdr:nvSpPr>
            <xdr:cNvPr id="1499" name="btnImportInR" hidden="1">
              <a:extLst>
                <a:ext uri="{63B3BB69-23CF-44E3-9099-C40C66FF867C}">
                  <a14:compatExt spid="_x0000_s1499"/>
                </a:ext>
                <a:ext uri="{FF2B5EF4-FFF2-40B4-BE49-F238E27FC236}">
                  <a16:creationId xmlns:a16="http://schemas.microsoft.com/office/drawing/2014/main" id="{00000000-0008-0000-0900-0000DB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Import INR Landing Pad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352425</xdr:colOff>
          <xdr:row>0</xdr:row>
          <xdr:rowOff>38100</xdr:rowOff>
        </xdr:from>
        <xdr:to>
          <xdr:col>9</xdr:col>
          <xdr:colOff>123825</xdr:colOff>
          <xdr:row>2</xdr:row>
          <xdr:rowOff>95250</xdr:rowOff>
        </xdr:to>
        <xdr:sp macro="" textlink="">
          <xdr:nvSpPr>
            <xdr:cNvPr id="1501" name="btn.ImportComplete" hidden="1">
              <a:extLst>
                <a:ext uri="{63B3BB69-23CF-44E3-9099-C40C66FF867C}">
                  <a14:compatExt spid="_x0000_s1501"/>
                </a:ext>
                <a:ext uri="{FF2B5EF4-FFF2-40B4-BE49-F238E27FC236}">
                  <a16:creationId xmlns:a16="http://schemas.microsoft.com/office/drawing/2014/main" id="{00000000-0008-0000-0900-0000DD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Complete Import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57150</xdr:colOff>
          <xdr:row>1</xdr:row>
          <xdr:rowOff>104775</xdr:rowOff>
        </xdr:from>
        <xdr:to>
          <xdr:col>35</xdr:col>
          <xdr:colOff>457200</xdr:colOff>
          <xdr:row>3</xdr:row>
          <xdr:rowOff>38100</xdr:rowOff>
        </xdr:to>
        <xdr:sp macro="" textlink="">
          <xdr:nvSpPr>
            <xdr:cNvPr id="1502" name="cbAvpnCondenseNo" hidden="1">
              <a:extLst>
                <a:ext uri="{63B3BB69-23CF-44E3-9099-C40C66FF867C}">
                  <a14:compatExt spid="_x0000_s1502"/>
                </a:ext>
                <a:ext uri="{FF2B5EF4-FFF2-40B4-BE49-F238E27FC236}">
                  <a16:creationId xmlns:a16="http://schemas.microsoft.com/office/drawing/2014/main" id="{00000000-0008-0000-0900-0000DE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AVPN: Allow Condense=no</a:t>
              </a:r>
            </a:p>
          </xdr:txBody>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12</xdr:col>
      <xdr:colOff>133350</xdr:colOff>
      <xdr:row>2</xdr:row>
      <xdr:rowOff>0</xdr:rowOff>
    </xdr:from>
    <xdr:to>
      <xdr:col>12</xdr:col>
      <xdr:colOff>638175</xdr:colOff>
      <xdr:row>6</xdr:row>
      <xdr:rowOff>85725</xdr:rowOff>
    </xdr:to>
    <xdr:grpSp>
      <xdr:nvGrpSpPr>
        <xdr:cNvPr id="9" name="btnIms2TrainingProd">
          <a:hlinkClick xmlns:r="http://schemas.openxmlformats.org/officeDocument/2006/relationships" r:id="rId1"/>
          <a:extLst>
            <a:ext uri="{FF2B5EF4-FFF2-40B4-BE49-F238E27FC236}">
              <a16:creationId xmlns:a16="http://schemas.microsoft.com/office/drawing/2014/main" id="{00000000-0008-0000-0A00-000009000000}"/>
            </a:ext>
          </a:extLst>
        </xdr:cNvPr>
        <xdr:cNvGrpSpPr/>
      </xdr:nvGrpSpPr>
      <xdr:grpSpPr>
        <a:xfrm>
          <a:off x="7791450" y="161925"/>
          <a:ext cx="504825" cy="733425"/>
          <a:chOff x="6173718" y="857250"/>
          <a:chExt cx="1166689" cy="1690953"/>
        </a:xfrm>
      </xdr:grpSpPr>
      <xdr:pic>
        <xdr:nvPicPr>
          <xdr:cNvPr id="10" name="Picture 9" descr="IMS2 Training v2.jpg">
            <a:extLst>
              <a:ext uri="{FF2B5EF4-FFF2-40B4-BE49-F238E27FC236}">
                <a16:creationId xmlns:a16="http://schemas.microsoft.com/office/drawing/2014/main" id="{00000000-0008-0000-0A00-00000A000000}"/>
              </a:ext>
            </a:extLst>
          </xdr:cNvPr>
          <xdr:cNvPicPr>
            <a:picLocks noChangeAspect="1"/>
          </xdr:cNvPicPr>
        </xdr:nvPicPr>
        <xdr:blipFill>
          <a:blip xmlns:r="http://schemas.openxmlformats.org/officeDocument/2006/relationships" r:embed="rId2" cstate="print"/>
          <a:srcRect l="16000" t="15349" r="17600" b="15983"/>
          <a:stretch>
            <a:fillRect/>
          </a:stretch>
        </xdr:blipFill>
        <xdr:spPr>
          <a:xfrm>
            <a:off x="6238875" y="857250"/>
            <a:ext cx="923925" cy="946188"/>
          </a:xfrm>
          <a:prstGeom prst="rect">
            <a:avLst/>
          </a:prstGeom>
          <a:noFill/>
          <a:ln>
            <a:noFill/>
          </a:ln>
        </xdr:spPr>
      </xdr:pic>
      <xdr:sp macro="" textlink="">
        <xdr:nvSpPr>
          <xdr:cNvPr id="11" name="Rectangle 10">
            <a:extLst>
              <a:ext uri="{FF2B5EF4-FFF2-40B4-BE49-F238E27FC236}">
                <a16:creationId xmlns:a16="http://schemas.microsoft.com/office/drawing/2014/main" id="{00000000-0008-0000-0A00-00000B000000}"/>
              </a:ext>
            </a:extLst>
          </xdr:cNvPr>
          <xdr:cNvSpPr/>
        </xdr:nvSpPr>
        <xdr:spPr>
          <a:xfrm>
            <a:off x="6173718" y="1805526"/>
            <a:ext cx="1166689" cy="742677"/>
          </a:xfrm>
          <a:prstGeom prst="rect">
            <a:avLst/>
          </a:prstGeom>
          <a:noFill/>
        </xdr:spPr>
        <xdr:txBody>
          <a:bodyPr wrap="none" lIns="91440" tIns="45720" rIns="91440" bIns="45720">
            <a:spAutoFit/>
          </a:bodyPr>
          <a:lstStyle/>
          <a:p>
            <a:pPr algn="ctr"/>
            <a:r>
              <a:rPr lang="en-US" sz="1200" b="1" cap="none" spc="50">
                <a:ln w="12700" cmpd="sng">
                  <a:solidFill>
                    <a:schemeClr val="accent6">
                      <a:satMod val="120000"/>
                      <a:shade val="80000"/>
                    </a:schemeClr>
                  </a:solidFill>
                  <a:prstDash val="solid"/>
                </a:ln>
                <a:solidFill>
                  <a:srgbClr val="0070C0"/>
                </a:solidFill>
                <a:effectLst>
                  <a:glow rad="53100">
                    <a:schemeClr val="accent6">
                      <a:satMod val="180000"/>
                      <a:alpha val="30000"/>
                    </a:schemeClr>
                  </a:glow>
                </a:effectLst>
              </a:rPr>
              <a:t>Click For</a:t>
            </a:r>
          </a:p>
          <a:p>
            <a:pPr algn="ctr"/>
            <a:r>
              <a:rPr lang="en-US" sz="1200" b="1" cap="none" spc="50">
                <a:ln w="12700" cmpd="sng">
                  <a:solidFill>
                    <a:schemeClr val="accent6">
                      <a:satMod val="120000"/>
                      <a:shade val="80000"/>
                    </a:schemeClr>
                  </a:solidFill>
                  <a:prstDash val="solid"/>
                </a:ln>
                <a:solidFill>
                  <a:srgbClr val="0070C0"/>
                </a:solidFill>
                <a:effectLst>
                  <a:glow rad="53100">
                    <a:schemeClr val="accent6">
                      <a:satMod val="180000"/>
                      <a:alpha val="30000"/>
                    </a:schemeClr>
                  </a:glow>
                </a:effectLst>
              </a:rPr>
              <a:t> Training</a:t>
            </a:r>
          </a:p>
        </xdr:txBody>
      </xdr:sp>
    </xdr:grpSp>
    <xdr:clientData/>
  </xdr:twoCellAnchor>
  <mc:AlternateContent xmlns:mc="http://schemas.openxmlformats.org/markup-compatibility/2006">
    <mc:Choice xmlns:a14="http://schemas.microsoft.com/office/drawing/2010/main" Requires="a14">
      <xdr:twoCellAnchor editAs="oneCell">
        <xdr:from>
          <xdr:col>0</xdr:col>
          <xdr:colOff>161925</xdr:colOff>
          <xdr:row>1</xdr:row>
          <xdr:rowOff>66675</xdr:rowOff>
        </xdr:from>
        <xdr:to>
          <xdr:col>2</xdr:col>
          <xdr:colOff>285750</xdr:colOff>
          <xdr:row>2</xdr:row>
          <xdr:rowOff>133350</xdr:rowOff>
        </xdr:to>
        <xdr:sp macro="" textlink="">
          <xdr:nvSpPr>
            <xdr:cNvPr id="397313" name="btn.back" hidden="1">
              <a:extLst>
                <a:ext uri="{63B3BB69-23CF-44E3-9099-C40C66FF867C}">
                  <a14:compatExt spid="_x0000_s397313"/>
                </a:ext>
                <a:ext uri="{FF2B5EF4-FFF2-40B4-BE49-F238E27FC236}">
                  <a16:creationId xmlns:a16="http://schemas.microsoft.com/office/drawing/2014/main" id="{00000000-0008-0000-0A00-0000011006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 Back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371475</xdr:colOff>
          <xdr:row>1</xdr:row>
          <xdr:rowOff>66675</xdr:rowOff>
        </xdr:from>
        <xdr:to>
          <xdr:col>3</xdr:col>
          <xdr:colOff>295275</xdr:colOff>
          <xdr:row>2</xdr:row>
          <xdr:rowOff>133350</xdr:rowOff>
        </xdr:to>
        <xdr:sp macro="" textlink="">
          <xdr:nvSpPr>
            <xdr:cNvPr id="397314" name="btn.next" hidden="1">
              <a:extLst>
                <a:ext uri="{63B3BB69-23CF-44E3-9099-C40C66FF867C}">
                  <a14:compatExt spid="_x0000_s397314"/>
                </a:ext>
                <a:ext uri="{FF2B5EF4-FFF2-40B4-BE49-F238E27FC236}">
                  <a16:creationId xmlns:a16="http://schemas.microsoft.com/office/drawing/2014/main" id="{00000000-0008-0000-0A00-0000021006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Next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390525</xdr:colOff>
          <xdr:row>1</xdr:row>
          <xdr:rowOff>66675</xdr:rowOff>
        </xdr:from>
        <xdr:to>
          <xdr:col>5</xdr:col>
          <xdr:colOff>200025</xdr:colOff>
          <xdr:row>2</xdr:row>
          <xdr:rowOff>133350</xdr:rowOff>
        </xdr:to>
        <xdr:sp macro="" textlink="">
          <xdr:nvSpPr>
            <xdr:cNvPr id="397315" name="btn.reset" hidden="1">
              <a:extLst>
                <a:ext uri="{63B3BB69-23CF-44E3-9099-C40C66FF867C}">
                  <a14:compatExt spid="_x0000_s397315"/>
                </a:ext>
                <a:ext uri="{FF2B5EF4-FFF2-40B4-BE49-F238E27FC236}">
                  <a16:creationId xmlns:a16="http://schemas.microsoft.com/office/drawing/2014/main" id="{00000000-0008-0000-0A00-0000031006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 Automation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485775</xdr:colOff>
          <xdr:row>8</xdr:row>
          <xdr:rowOff>9525</xdr:rowOff>
        </xdr:from>
        <xdr:to>
          <xdr:col>14</xdr:col>
          <xdr:colOff>504825</xdr:colOff>
          <xdr:row>9</xdr:row>
          <xdr:rowOff>152400</xdr:rowOff>
        </xdr:to>
        <xdr:sp macro="" textlink="">
          <xdr:nvSpPr>
            <xdr:cNvPr id="397316" name="btn.addrows" hidden="1">
              <a:extLst>
                <a:ext uri="{63B3BB69-23CF-44E3-9099-C40C66FF867C}">
                  <a14:compatExt spid="_x0000_s397316"/>
                </a:ext>
                <a:ext uri="{FF2B5EF4-FFF2-40B4-BE49-F238E27FC236}">
                  <a16:creationId xmlns:a16="http://schemas.microsoft.com/office/drawing/2014/main" id="{00000000-0008-0000-0A00-0000041006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Add Rows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1</xdr:row>
          <xdr:rowOff>66675</xdr:rowOff>
        </xdr:from>
        <xdr:to>
          <xdr:col>10</xdr:col>
          <xdr:colOff>676275</xdr:colOff>
          <xdr:row>2</xdr:row>
          <xdr:rowOff>133350</xdr:rowOff>
        </xdr:to>
        <xdr:sp macro="" textlink="">
          <xdr:nvSpPr>
            <xdr:cNvPr id="397317" name="btnExprCert" hidden="1">
              <a:extLst>
                <a:ext uri="{63B3BB69-23CF-44E3-9099-C40C66FF867C}">
                  <a14:compatExt spid="_x0000_s397317"/>
                </a:ext>
                <a:ext uri="{FF2B5EF4-FFF2-40B4-BE49-F238E27FC236}">
                  <a16:creationId xmlns:a16="http://schemas.microsoft.com/office/drawing/2014/main" id="{00000000-0008-0000-0A00-0000051006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8000"/>
                  </a:solidFill>
                  <a:latin typeface="Arial"/>
                  <a:cs typeface="Arial"/>
                </a:rPr>
                <a:t>Check Express/Certified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628650</xdr:colOff>
          <xdr:row>8</xdr:row>
          <xdr:rowOff>9525</xdr:rowOff>
        </xdr:from>
        <xdr:to>
          <xdr:col>15</xdr:col>
          <xdr:colOff>523875</xdr:colOff>
          <xdr:row>9</xdr:row>
          <xdr:rowOff>152400</xdr:rowOff>
        </xdr:to>
        <xdr:sp macro="" textlink="">
          <xdr:nvSpPr>
            <xdr:cNvPr id="397318" name="ButtonAIS" hidden="1">
              <a:extLst>
                <a:ext uri="{63B3BB69-23CF-44E3-9099-C40C66FF867C}">
                  <a14:compatExt spid="_x0000_s397318"/>
                </a:ext>
                <a:ext uri="{FF2B5EF4-FFF2-40B4-BE49-F238E27FC236}">
                  <a16:creationId xmlns:a16="http://schemas.microsoft.com/office/drawing/2014/main" id="{00000000-0008-0000-0A00-0000061006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571500</xdr:colOff>
          <xdr:row>8</xdr:row>
          <xdr:rowOff>9525</xdr:rowOff>
        </xdr:from>
        <xdr:to>
          <xdr:col>11</xdr:col>
          <xdr:colOff>647700</xdr:colOff>
          <xdr:row>9</xdr:row>
          <xdr:rowOff>152400</xdr:rowOff>
        </xdr:to>
        <xdr:sp macro="" textlink="">
          <xdr:nvSpPr>
            <xdr:cNvPr id="397319" name="btn.sort" hidden="1">
              <a:extLst>
                <a:ext uri="{63B3BB69-23CF-44E3-9099-C40C66FF867C}">
                  <a14:compatExt spid="_x0000_s397319"/>
                </a:ext>
                <a:ext uri="{FF2B5EF4-FFF2-40B4-BE49-F238E27FC236}">
                  <a16:creationId xmlns:a16="http://schemas.microsoft.com/office/drawing/2014/main" id="{00000000-0008-0000-0A00-0000071006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Sort 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57150</xdr:colOff>
          <xdr:row>8</xdr:row>
          <xdr:rowOff>9525</xdr:rowOff>
        </xdr:from>
        <xdr:to>
          <xdr:col>13</xdr:col>
          <xdr:colOff>361950</xdr:colOff>
          <xdr:row>9</xdr:row>
          <xdr:rowOff>152400</xdr:rowOff>
        </xdr:to>
        <xdr:sp macro="" textlink="">
          <xdr:nvSpPr>
            <xdr:cNvPr id="397320" name="btn.condense" hidden="1">
              <a:extLst>
                <a:ext uri="{63B3BB69-23CF-44E3-9099-C40C66FF867C}">
                  <a14:compatExt spid="_x0000_s397320"/>
                </a:ext>
                <a:ext uri="{FF2B5EF4-FFF2-40B4-BE49-F238E27FC236}">
                  <a16:creationId xmlns:a16="http://schemas.microsoft.com/office/drawing/2014/main" id="{00000000-0008-0000-0A00-0000081006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Condense Rows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1</xdr:row>
          <xdr:rowOff>66675</xdr:rowOff>
        </xdr:from>
        <xdr:to>
          <xdr:col>7</xdr:col>
          <xdr:colOff>95250</xdr:colOff>
          <xdr:row>2</xdr:row>
          <xdr:rowOff>133350</xdr:rowOff>
        </xdr:to>
        <xdr:sp macro="" textlink="">
          <xdr:nvSpPr>
            <xdr:cNvPr id="397321" name="btn.save" hidden="1">
              <a:extLst>
                <a:ext uri="{63B3BB69-23CF-44E3-9099-C40C66FF867C}">
                  <a14:compatExt spid="_x0000_s397321"/>
                </a:ext>
                <a:ext uri="{FF2B5EF4-FFF2-40B4-BE49-F238E27FC236}">
                  <a16:creationId xmlns:a16="http://schemas.microsoft.com/office/drawing/2014/main" id="{00000000-0008-0000-0A00-0000091006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Save/Version Deal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1</xdr:row>
          <xdr:rowOff>66675</xdr:rowOff>
        </xdr:from>
        <xdr:to>
          <xdr:col>9</xdr:col>
          <xdr:colOff>76200</xdr:colOff>
          <xdr:row>2</xdr:row>
          <xdr:rowOff>133350</xdr:rowOff>
        </xdr:to>
        <xdr:sp macro="" textlink="">
          <xdr:nvSpPr>
            <xdr:cNvPr id="397322" name="btn.checkerr" hidden="1">
              <a:extLst>
                <a:ext uri="{63B3BB69-23CF-44E3-9099-C40C66FF867C}">
                  <a14:compatExt spid="_x0000_s397322"/>
                </a:ext>
                <a:ext uri="{FF2B5EF4-FFF2-40B4-BE49-F238E27FC236}">
                  <a16:creationId xmlns:a16="http://schemas.microsoft.com/office/drawing/2014/main" id="{00000000-0008-0000-0A00-00000A1006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Error Check This Tab</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647700</xdr:colOff>
          <xdr:row>8</xdr:row>
          <xdr:rowOff>9525</xdr:rowOff>
        </xdr:from>
        <xdr:to>
          <xdr:col>19</xdr:col>
          <xdr:colOff>57150</xdr:colOff>
          <xdr:row>9</xdr:row>
          <xdr:rowOff>152400</xdr:rowOff>
        </xdr:to>
        <xdr:sp macro="" textlink="">
          <xdr:nvSpPr>
            <xdr:cNvPr id="397325" name="btn.DiscOffExisting" hidden="1">
              <a:extLst>
                <a:ext uri="{63B3BB69-23CF-44E3-9099-C40C66FF867C}">
                  <a14:compatExt spid="_x0000_s397325"/>
                </a:ext>
                <a:ext uri="{FF2B5EF4-FFF2-40B4-BE49-F238E27FC236}">
                  <a16:creationId xmlns:a16="http://schemas.microsoft.com/office/drawing/2014/main" id="{00000000-0008-0000-0A00-00000D1006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Request Discount Off of Existing Rates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17</xdr:row>
          <xdr:rowOff>57150</xdr:rowOff>
        </xdr:from>
        <xdr:to>
          <xdr:col>10</xdr:col>
          <xdr:colOff>590550</xdr:colOff>
          <xdr:row>18</xdr:row>
          <xdr:rowOff>66675</xdr:rowOff>
        </xdr:to>
        <xdr:sp macro="" textlink="">
          <xdr:nvSpPr>
            <xdr:cNvPr id="397326" name="btn.ASEmoveAddresses" hidden="1">
              <a:extLst>
                <a:ext uri="{63B3BB69-23CF-44E3-9099-C40C66FF867C}">
                  <a14:compatExt spid="_x0000_s397326"/>
                </a:ext>
                <a:ext uri="{FF2B5EF4-FFF2-40B4-BE49-F238E27FC236}">
                  <a16:creationId xmlns:a16="http://schemas.microsoft.com/office/drawing/2014/main" id="{00000000-0008-0000-0A00-00000E1006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&lt;&lt; Move Addresses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533400</xdr:colOff>
          <xdr:row>17</xdr:row>
          <xdr:rowOff>47625</xdr:rowOff>
        </xdr:from>
        <xdr:to>
          <xdr:col>23</xdr:col>
          <xdr:colOff>447675</xdr:colOff>
          <xdr:row>18</xdr:row>
          <xdr:rowOff>85725</xdr:rowOff>
        </xdr:to>
        <xdr:sp macro="" textlink="">
          <xdr:nvSpPr>
            <xdr:cNvPr id="397327" name="btn.ASEcheckNSS" hidden="1">
              <a:extLst>
                <a:ext uri="{63B3BB69-23CF-44E3-9099-C40C66FF867C}">
                  <a14:compatExt spid="_x0000_s397327"/>
                </a:ext>
                <a:ext uri="{FF2B5EF4-FFF2-40B4-BE49-F238E27FC236}">
                  <a16:creationId xmlns:a16="http://schemas.microsoft.com/office/drawing/2014/main" id="{00000000-0008-0000-0A00-00000F1006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Arial"/>
                  <a:cs typeface="Arial"/>
                </a:rPr>
                <a:t>Download NSS Costs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323850</xdr:colOff>
          <xdr:row>4</xdr:row>
          <xdr:rowOff>57150</xdr:rowOff>
        </xdr:from>
        <xdr:to>
          <xdr:col>10</xdr:col>
          <xdr:colOff>409575</xdr:colOff>
          <xdr:row>9</xdr:row>
          <xdr:rowOff>161925</xdr:rowOff>
        </xdr:to>
        <xdr:sp macro="" textlink="">
          <xdr:nvSpPr>
            <xdr:cNvPr id="397328" name="btn.start3pa" hidden="1">
              <a:extLst>
                <a:ext uri="{63B3BB69-23CF-44E3-9099-C40C66FF867C}">
                  <a14:compatExt spid="_x0000_s397328"/>
                </a:ext>
                <a:ext uri="{FF2B5EF4-FFF2-40B4-BE49-F238E27FC236}">
                  <a16:creationId xmlns:a16="http://schemas.microsoft.com/office/drawing/2014/main" id="{00000000-0008-0000-0A00-0000101006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993366"/>
                  </a:solidFill>
                  <a:latin typeface="Arial"/>
                  <a:cs typeface="Arial"/>
                </a:rPr>
                <a:t>Start Pricing Process – Import SSSF file</a:t>
              </a:r>
            </a:p>
          </xdr:txBody>
        </xdr:sp>
        <xdr:clientData/>
      </xdr:twoCellAnchor>
    </mc:Choice>
    <mc:Fallback/>
  </mc:AlternateContent>
  <xdr:twoCellAnchor>
    <xdr:from>
      <xdr:col>7</xdr:col>
      <xdr:colOff>152400</xdr:colOff>
      <xdr:row>6</xdr:row>
      <xdr:rowOff>66675</xdr:rowOff>
    </xdr:from>
    <xdr:to>
      <xdr:col>8</xdr:col>
      <xdr:colOff>190501</xdr:colOff>
      <xdr:row>8</xdr:row>
      <xdr:rowOff>123826</xdr:rowOff>
    </xdr:to>
    <xdr:sp macro="" textlink="">
      <xdr:nvSpPr>
        <xdr:cNvPr id="2" name="shpArrow">
          <a:extLst>
            <a:ext uri="{FF2B5EF4-FFF2-40B4-BE49-F238E27FC236}">
              <a16:creationId xmlns:a16="http://schemas.microsoft.com/office/drawing/2014/main" id="{00000000-0008-0000-0A00-000002000000}"/>
            </a:ext>
          </a:extLst>
        </xdr:cNvPr>
        <xdr:cNvSpPr/>
      </xdr:nvSpPr>
      <xdr:spPr>
        <a:xfrm>
          <a:off x="4238625" y="876300"/>
          <a:ext cx="752476" cy="352426"/>
        </a:xfrm>
        <a:prstGeom prst="rightArrow">
          <a:avLst/>
        </a:prstGeom>
        <a:solidFill>
          <a:srgbClr val="FF0000"/>
        </a:solidFill>
        <a:ln>
          <a:solidFill>
            <a:srgbClr val="7030A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t"/>
        <a:lstStyle/>
        <a:p>
          <a:pPr algn="l"/>
          <a:r>
            <a:rPr lang="en-US" sz="1200" b="1"/>
            <a:t>STEP</a:t>
          </a:r>
          <a:r>
            <a:rPr lang="en-US" sz="1200" b="1" baseline="0"/>
            <a:t> 1</a:t>
          </a:r>
          <a:endParaRPr lang="en-US" sz="1200" b="1"/>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257174</xdr:colOff>
      <xdr:row>20</xdr:row>
      <xdr:rowOff>0</xdr:rowOff>
    </xdr:from>
    <xdr:to>
      <xdr:col>11</xdr:col>
      <xdr:colOff>371474</xdr:colOff>
      <xdr:row>31</xdr:row>
      <xdr:rowOff>9525</xdr:rowOff>
    </xdr:to>
    <xdr:sp macro="[0]!to_Nss_Tab" textlink="">
      <xdr:nvSpPr>
        <xdr:cNvPr id="2" name="shp.3paWarning">
          <a:extLst>
            <a:ext uri="{FF2B5EF4-FFF2-40B4-BE49-F238E27FC236}">
              <a16:creationId xmlns:a16="http://schemas.microsoft.com/office/drawing/2014/main" id="{00000000-0008-0000-0D00-000002000000}"/>
            </a:ext>
          </a:extLst>
        </xdr:cNvPr>
        <xdr:cNvSpPr/>
      </xdr:nvSpPr>
      <xdr:spPr>
        <a:xfrm>
          <a:off x="514349" y="3543300"/>
          <a:ext cx="5857875" cy="1790700"/>
        </a:xfrm>
        <a:prstGeom prst="round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800"/>
            <a:t>Import SSSF</a:t>
          </a:r>
        </a:p>
      </xdr:txBody>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619125</xdr:colOff>
          <xdr:row>0</xdr:row>
          <xdr:rowOff>47625</xdr:rowOff>
        </xdr:from>
        <xdr:to>
          <xdr:col>5</xdr:col>
          <xdr:colOff>1657350</xdr:colOff>
          <xdr:row>0</xdr:row>
          <xdr:rowOff>276225</xdr:rowOff>
        </xdr:to>
        <xdr:sp macro="" textlink="">
          <xdr:nvSpPr>
            <xdr:cNvPr id="450561" name="Button 1" hidden="1">
              <a:extLst>
                <a:ext uri="{63B3BB69-23CF-44E3-9099-C40C66FF867C}">
                  <a14:compatExt spid="_x0000_s450561"/>
                </a:ext>
                <a:ext uri="{FF2B5EF4-FFF2-40B4-BE49-F238E27FC236}">
                  <a16:creationId xmlns:a16="http://schemas.microsoft.com/office/drawing/2014/main" id="{00000000-0008-0000-0E00-000001E006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Simplify CDT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2000250</xdr:colOff>
          <xdr:row>0</xdr:row>
          <xdr:rowOff>47625</xdr:rowOff>
        </xdr:from>
        <xdr:to>
          <xdr:col>5</xdr:col>
          <xdr:colOff>3038475</xdr:colOff>
          <xdr:row>0</xdr:row>
          <xdr:rowOff>276225</xdr:rowOff>
        </xdr:to>
        <xdr:sp macro="" textlink="">
          <xdr:nvSpPr>
            <xdr:cNvPr id="450562" name="Button 2" hidden="1">
              <a:extLst>
                <a:ext uri="{63B3BB69-23CF-44E3-9099-C40C66FF867C}">
                  <a14:compatExt spid="_x0000_s450562"/>
                </a:ext>
                <a:ext uri="{FF2B5EF4-FFF2-40B4-BE49-F238E27FC236}">
                  <a16:creationId xmlns:a16="http://schemas.microsoft.com/office/drawing/2014/main" id="{00000000-0008-0000-0E00-000002E006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Un-Simplify CDT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38100</xdr:colOff>
          <xdr:row>1</xdr:row>
          <xdr:rowOff>28575</xdr:rowOff>
        </xdr:from>
        <xdr:to>
          <xdr:col>10</xdr:col>
          <xdr:colOff>1076325</xdr:colOff>
          <xdr:row>3</xdr:row>
          <xdr:rowOff>28575</xdr:rowOff>
        </xdr:to>
        <xdr:sp macro="" textlink="">
          <xdr:nvSpPr>
            <xdr:cNvPr id="247809" name="Button 1" hidden="1">
              <a:extLst>
                <a:ext uri="{63B3BB69-23CF-44E3-9099-C40C66FF867C}">
                  <a14:compatExt spid="_x0000_s247809"/>
                </a:ext>
                <a:ext uri="{FF2B5EF4-FFF2-40B4-BE49-F238E27FC236}">
                  <a16:creationId xmlns:a16="http://schemas.microsoft.com/office/drawing/2014/main" id="{00000000-0008-0000-1000-000001C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Unhide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5</xdr:row>
          <xdr:rowOff>28575</xdr:rowOff>
        </xdr:from>
        <xdr:to>
          <xdr:col>10</xdr:col>
          <xdr:colOff>1076325</xdr:colOff>
          <xdr:row>7</xdr:row>
          <xdr:rowOff>28575</xdr:rowOff>
        </xdr:to>
        <xdr:sp macro="" textlink="">
          <xdr:nvSpPr>
            <xdr:cNvPr id="247810" name="Button 2" hidden="1">
              <a:extLst>
                <a:ext uri="{63B3BB69-23CF-44E3-9099-C40C66FF867C}">
                  <a14:compatExt spid="_x0000_s247810"/>
                </a:ext>
                <a:ext uri="{FF2B5EF4-FFF2-40B4-BE49-F238E27FC236}">
                  <a16:creationId xmlns:a16="http://schemas.microsoft.com/office/drawing/2014/main" id="{00000000-0008-0000-1000-000002C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Hide All</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16</xdr:col>
      <xdr:colOff>295275</xdr:colOff>
      <xdr:row>4</xdr:row>
      <xdr:rowOff>95250</xdr:rowOff>
    </xdr:from>
    <xdr:to>
      <xdr:col>16</xdr:col>
      <xdr:colOff>432435</xdr:colOff>
      <xdr:row>5</xdr:row>
      <xdr:rowOff>70485</xdr:rowOff>
    </xdr:to>
    <xdr:sp macro="" textlink="">
      <xdr:nvSpPr>
        <xdr:cNvPr id="2" name="Rectangle 1">
          <a:extLst>
            <a:ext uri="{FF2B5EF4-FFF2-40B4-BE49-F238E27FC236}">
              <a16:creationId xmlns:a16="http://schemas.microsoft.com/office/drawing/2014/main" id="{00000000-0008-0000-1300-000002000000}"/>
            </a:ext>
          </a:extLst>
        </xdr:cNvPr>
        <xdr:cNvSpPr/>
      </xdr:nvSpPr>
      <xdr:spPr>
        <a:xfrm>
          <a:off x="10096500" y="581025"/>
          <a:ext cx="137160" cy="137160"/>
        </a:xfrm>
        <a:prstGeom prst="rect">
          <a:avLst/>
        </a:prstGeom>
        <a:solidFill>
          <a:srgbClr val="00FF00"/>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16</xdr:col>
      <xdr:colOff>295275</xdr:colOff>
      <xdr:row>5</xdr:row>
      <xdr:rowOff>133350</xdr:rowOff>
    </xdr:from>
    <xdr:to>
      <xdr:col>16</xdr:col>
      <xdr:colOff>432435</xdr:colOff>
      <xdr:row>6</xdr:row>
      <xdr:rowOff>108585</xdr:rowOff>
    </xdr:to>
    <xdr:sp macro="" textlink="">
      <xdr:nvSpPr>
        <xdr:cNvPr id="3" name="Rectangle 2">
          <a:extLst>
            <a:ext uri="{FF2B5EF4-FFF2-40B4-BE49-F238E27FC236}">
              <a16:creationId xmlns:a16="http://schemas.microsoft.com/office/drawing/2014/main" id="{00000000-0008-0000-1300-000003000000}"/>
            </a:ext>
          </a:extLst>
        </xdr:cNvPr>
        <xdr:cNvSpPr/>
      </xdr:nvSpPr>
      <xdr:spPr>
        <a:xfrm>
          <a:off x="10096500" y="781050"/>
          <a:ext cx="137160" cy="137160"/>
        </a:xfrm>
        <a:prstGeom prst="rect">
          <a:avLst/>
        </a:prstGeom>
        <a:solidFill>
          <a:schemeClr val="accent6">
            <a:lumMod val="75000"/>
          </a:schemeClr>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16</xdr:col>
      <xdr:colOff>438150</xdr:colOff>
      <xdr:row>4</xdr:row>
      <xdr:rowOff>28575</xdr:rowOff>
    </xdr:from>
    <xdr:to>
      <xdr:col>19</xdr:col>
      <xdr:colOff>504825</xdr:colOff>
      <xdr:row>5</xdr:row>
      <xdr:rowOff>104775</xdr:rowOff>
    </xdr:to>
    <xdr:sp macro="" textlink="">
      <xdr:nvSpPr>
        <xdr:cNvPr id="4" name="TextBox 3">
          <a:extLst>
            <a:ext uri="{FF2B5EF4-FFF2-40B4-BE49-F238E27FC236}">
              <a16:creationId xmlns:a16="http://schemas.microsoft.com/office/drawing/2014/main" id="{00000000-0008-0000-1300-000004000000}"/>
            </a:ext>
          </a:extLst>
        </xdr:cNvPr>
        <xdr:cNvSpPr txBox="1"/>
      </xdr:nvSpPr>
      <xdr:spPr>
        <a:xfrm>
          <a:off x="10239375" y="514350"/>
          <a:ext cx="2209800" cy="2381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000"/>
            <a:t>Port type</a:t>
          </a:r>
          <a:r>
            <a:rPr lang="en-US" sz="1000" baseline="0"/>
            <a:t> filled out in section below</a:t>
          </a:r>
          <a:endParaRPr lang="en-US" sz="1000"/>
        </a:p>
      </xdr:txBody>
    </xdr:sp>
    <xdr:clientData/>
  </xdr:twoCellAnchor>
  <xdr:twoCellAnchor>
    <xdr:from>
      <xdr:col>16</xdr:col>
      <xdr:colOff>438149</xdr:colOff>
      <xdr:row>5</xdr:row>
      <xdr:rowOff>66675</xdr:rowOff>
    </xdr:from>
    <xdr:to>
      <xdr:col>19</xdr:col>
      <xdr:colOff>485775</xdr:colOff>
      <xdr:row>6</xdr:row>
      <xdr:rowOff>142875</xdr:rowOff>
    </xdr:to>
    <xdr:sp macro="" textlink="">
      <xdr:nvSpPr>
        <xdr:cNvPr id="5" name="TextBox 4">
          <a:extLst>
            <a:ext uri="{FF2B5EF4-FFF2-40B4-BE49-F238E27FC236}">
              <a16:creationId xmlns:a16="http://schemas.microsoft.com/office/drawing/2014/main" id="{00000000-0008-0000-1300-000005000000}"/>
            </a:ext>
          </a:extLst>
        </xdr:cNvPr>
        <xdr:cNvSpPr txBox="1"/>
      </xdr:nvSpPr>
      <xdr:spPr>
        <a:xfrm>
          <a:off x="10239374" y="714375"/>
          <a:ext cx="2190751" cy="2381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000"/>
            <a:t>Port type still needed</a:t>
          </a:r>
          <a:r>
            <a:rPr lang="en-US" sz="1000" baseline="0"/>
            <a:t> in section below</a:t>
          </a:r>
          <a:endParaRPr lang="en-US" sz="1000"/>
        </a:p>
      </xdr:txBody>
    </xdr:sp>
    <xdr:clientData/>
  </xdr:twoCellAnchor>
  <mc:AlternateContent xmlns:mc="http://schemas.openxmlformats.org/markup-compatibility/2006">
    <mc:Choice xmlns:a14="http://schemas.microsoft.com/office/drawing/2010/main" Requires="a14">
      <xdr:twoCellAnchor editAs="oneCell">
        <xdr:from>
          <xdr:col>2</xdr:col>
          <xdr:colOff>76200</xdr:colOff>
          <xdr:row>1</xdr:row>
          <xdr:rowOff>66675</xdr:rowOff>
        </xdr:from>
        <xdr:to>
          <xdr:col>3</xdr:col>
          <xdr:colOff>638175</xdr:colOff>
          <xdr:row>2</xdr:row>
          <xdr:rowOff>104775</xdr:rowOff>
        </xdr:to>
        <xdr:sp macro="" textlink="">
          <xdr:nvSpPr>
            <xdr:cNvPr id="630787" name="btn.reset" hidden="1">
              <a:extLst>
                <a:ext uri="{63B3BB69-23CF-44E3-9099-C40C66FF867C}">
                  <a14:compatExt spid="_x0000_s630787"/>
                </a:ext>
                <a:ext uri="{FF2B5EF4-FFF2-40B4-BE49-F238E27FC236}">
                  <a16:creationId xmlns:a16="http://schemas.microsoft.com/office/drawing/2014/main" id="{00000000-0008-0000-1300-000003A0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 Automation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628650</xdr:colOff>
          <xdr:row>8</xdr:row>
          <xdr:rowOff>9525</xdr:rowOff>
        </xdr:from>
        <xdr:to>
          <xdr:col>15</xdr:col>
          <xdr:colOff>523875</xdr:colOff>
          <xdr:row>9</xdr:row>
          <xdr:rowOff>85725</xdr:rowOff>
        </xdr:to>
        <xdr:sp macro="" textlink="">
          <xdr:nvSpPr>
            <xdr:cNvPr id="630790" name="ButtonAIS" hidden="1">
              <a:extLst>
                <a:ext uri="{63B3BB69-23CF-44E3-9099-C40C66FF867C}">
                  <a14:compatExt spid="_x0000_s630790"/>
                </a:ext>
                <a:ext uri="{FF2B5EF4-FFF2-40B4-BE49-F238E27FC236}">
                  <a16:creationId xmlns:a16="http://schemas.microsoft.com/office/drawing/2014/main" id="{00000000-0008-0000-1300-000006A0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xdr:row>
          <xdr:rowOff>66675</xdr:rowOff>
        </xdr:from>
        <xdr:to>
          <xdr:col>5</xdr:col>
          <xdr:colOff>342900</xdr:colOff>
          <xdr:row>2</xdr:row>
          <xdr:rowOff>104775</xdr:rowOff>
        </xdr:to>
        <xdr:sp macro="" textlink="">
          <xdr:nvSpPr>
            <xdr:cNvPr id="630792" name="btn.condense" hidden="1">
              <a:extLst>
                <a:ext uri="{63B3BB69-23CF-44E3-9099-C40C66FF867C}">
                  <a14:compatExt spid="_x0000_s630792"/>
                </a:ext>
                <a:ext uri="{FF2B5EF4-FFF2-40B4-BE49-F238E27FC236}">
                  <a16:creationId xmlns:a16="http://schemas.microsoft.com/office/drawing/2014/main" id="{00000000-0008-0000-1300-000008A0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Condense Rows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438150</xdr:colOff>
          <xdr:row>1</xdr:row>
          <xdr:rowOff>66675</xdr:rowOff>
        </xdr:from>
        <xdr:to>
          <xdr:col>7</xdr:col>
          <xdr:colOff>28575</xdr:colOff>
          <xdr:row>2</xdr:row>
          <xdr:rowOff>104775</xdr:rowOff>
        </xdr:to>
        <xdr:sp macro="" textlink="">
          <xdr:nvSpPr>
            <xdr:cNvPr id="630803" name="btn.clearAll" hidden="1">
              <a:extLst>
                <a:ext uri="{63B3BB69-23CF-44E3-9099-C40C66FF867C}">
                  <a14:compatExt spid="_x0000_s630803"/>
                </a:ext>
                <a:ext uri="{FF2B5EF4-FFF2-40B4-BE49-F238E27FC236}">
                  <a16:creationId xmlns:a16="http://schemas.microsoft.com/office/drawing/2014/main" id="{00000000-0008-0000-1300-000013A0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Clear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152400</xdr:colOff>
          <xdr:row>6</xdr:row>
          <xdr:rowOff>9525</xdr:rowOff>
        </xdr:from>
        <xdr:to>
          <xdr:col>7</xdr:col>
          <xdr:colOff>47625</xdr:colOff>
          <xdr:row>8</xdr:row>
          <xdr:rowOff>123825</xdr:rowOff>
        </xdr:to>
        <xdr:sp macro="" textlink="">
          <xdr:nvSpPr>
            <xdr:cNvPr id="630804" name="btn.copyExpand" hidden="1">
              <a:extLst>
                <a:ext uri="{63B3BB69-23CF-44E3-9099-C40C66FF867C}">
                  <a14:compatExt spid="_x0000_s630804"/>
                </a:ext>
                <a:ext uri="{FF2B5EF4-FFF2-40B4-BE49-F238E27FC236}">
                  <a16:creationId xmlns:a16="http://schemas.microsoft.com/office/drawing/2014/main" id="{00000000-0008-0000-1300-000014A0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Copy and Expand </a:t>
              </a:r>
            </a:p>
            <a:p>
              <a:pPr algn="ctr" rtl="0">
                <a:defRPr sz="1000"/>
              </a:pPr>
              <a:r>
                <a:rPr lang="en-US" sz="1000" b="1" i="0" u="none" strike="noStrike" baseline="0">
                  <a:solidFill>
                    <a:srgbClr val="008000"/>
                  </a:solidFill>
                  <a:latin typeface="Arial"/>
                  <a:cs typeface="Arial"/>
                </a:rPr>
                <a:t>to Product Tab</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323850</xdr:colOff>
          <xdr:row>1</xdr:row>
          <xdr:rowOff>57150</xdr:rowOff>
        </xdr:from>
        <xdr:to>
          <xdr:col>13</xdr:col>
          <xdr:colOff>523875</xdr:colOff>
          <xdr:row>7</xdr:row>
          <xdr:rowOff>9525</xdr:rowOff>
        </xdr:to>
        <xdr:sp macro="" textlink="">
          <xdr:nvSpPr>
            <xdr:cNvPr id="630805" name="Group Box 21" hidden="1">
              <a:extLst>
                <a:ext uri="{63B3BB69-23CF-44E3-9099-C40C66FF867C}">
                  <a14:compatExt spid="_x0000_s630805"/>
                </a:ext>
                <a:ext uri="{FF2B5EF4-FFF2-40B4-BE49-F238E27FC236}">
                  <a16:creationId xmlns:a16="http://schemas.microsoft.com/office/drawing/2014/main" id="{00000000-0008-0000-1300-000015A009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438150</xdr:colOff>
          <xdr:row>2</xdr:row>
          <xdr:rowOff>28575</xdr:rowOff>
        </xdr:from>
        <xdr:to>
          <xdr:col>13</xdr:col>
          <xdr:colOff>104775</xdr:colOff>
          <xdr:row>3</xdr:row>
          <xdr:rowOff>85725</xdr:rowOff>
        </xdr:to>
        <xdr:sp macro="" textlink="">
          <xdr:nvSpPr>
            <xdr:cNvPr id="630806" name="Option Button 22" hidden="1">
              <a:extLst>
                <a:ext uri="{63B3BB69-23CF-44E3-9099-C40C66FF867C}">
                  <a14:compatExt spid="_x0000_s630806"/>
                </a:ext>
                <a:ext uri="{FF2B5EF4-FFF2-40B4-BE49-F238E27FC236}">
                  <a16:creationId xmlns:a16="http://schemas.microsoft.com/office/drawing/2014/main" id="{00000000-0008-0000-1300-000016A009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NEW START - customer has no existing ASE NoD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438150</xdr:colOff>
          <xdr:row>3</xdr:row>
          <xdr:rowOff>114300</xdr:rowOff>
        </xdr:from>
        <xdr:to>
          <xdr:col>13</xdr:col>
          <xdr:colOff>133350</xdr:colOff>
          <xdr:row>5</xdr:row>
          <xdr:rowOff>9525</xdr:rowOff>
        </xdr:to>
        <xdr:sp macro="" textlink="">
          <xdr:nvSpPr>
            <xdr:cNvPr id="630808" name="Option Button 24" hidden="1">
              <a:extLst>
                <a:ext uri="{63B3BB69-23CF-44E3-9099-C40C66FF867C}">
                  <a14:compatExt spid="_x0000_s630808"/>
                </a:ext>
                <a:ext uri="{FF2B5EF4-FFF2-40B4-BE49-F238E27FC236}">
                  <a16:creationId xmlns:a16="http://schemas.microsoft.com/office/drawing/2014/main" id="{00000000-0008-0000-1300-000018A009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ADDENDUM - keep same contracted price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438150</xdr:colOff>
          <xdr:row>5</xdr:row>
          <xdr:rowOff>38100</xdr:rowOff>
        </xdr:from>
        <xdr:to>
          <xdr:col>13</xdr:col>
          <xdr:colOff>28575</xdr:colOff>
          <xdr:row>6</xdr:row>
          <xdr:rowOff>95250</xdr:rowOff>
        </xdr:to>
        <xdr:sp macro="" textlink="">
          <xdr:nvSpPr>
            <xdr:cNvPr id="630809" name="Option Button 25" hidden="1">
              <a:extLst>
                <a:ext uri="{63B3BB69-23CF-44E3-9099-C40C66FF867C}">
                  <a14:compatExt spid="_x0000_s630809"/>
                </a:ext>
                <a:ext uri="{FF2B5EF4-FFF2-40B4-BE49-F238E27FC236}">
                  <a16:creationId xmlns:a16="http://schemas.microsoft.com/office/drawing/2014/main" id="{00000000-0008-0000-1300-000019A009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ADDENDUM - reprice</a:t>
              </a:r>
            </a:p>
          </xdr:txBody>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104775</xdr:colOff>
          <xdr:row>0</xdr:row>
          <xdr:rowOff>85725</xdr:rowOff>
        </xdr:from>
        <xdr:to>
          <xdr:col>9</xdr:col>
          <xdr:colOff>1000125</xdr:colOff>
          <xdr:row>2</xdr:row>
          <xdr:rowOff>85725</xdr:rowOff>
        </xdr:to>
        <xdr:sp macro="" textlink="">
          <xdr:nvSpPr>
            <xdr:cNvPr id="443398" name="Button 6" hidden="1">
              <a:extLst>
                <a:ext uri="{63B3BB69-23CF-44E3-9099-C40C66FF867C}">
                  <a14:compatExt spid="_x0000_s443398"/>
                </a:ext>
                <a:ext uri="{FF2B5EF4-FFF2-40B4-BE49-F238E27FC236}">
                  <a16:creationId xmlns:a16="http://schemas.microsoft.com/office/drawing/2014/main" id="{00000000-0008-0000-1800-000006C406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Compress Unused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15</xdr:col>
          <xdr:colOff>85725</xdr:colOff>
          <xdr:row>0</xdr:row>
          <xdr:rowOff>104775</xdr:rowOff>
        </xdr:from>
        <xdr:to>
          <xdr:col>16</xdr:col>
          <xdr:colOff>342900</xdr:colOff>
          <xdr:row>2</xdr:row>
          <xdr:rowOff>85725</xdr:rowOff>
        </xdr:to>
        <xdr:sp macro="" textlink="">
          <xdr:nvSpPr>
            <xdr:cNvPr id="443415" name="Button 23" hidden="1">
              <a:extLst>
                <a:ext uri="{63B3BB69-23CF-44E3-9099-C40C66FF867C}">
                  <a14:compatExt spid="_x0000_s443415"/>
                </a:ext>
                <a:ext uri="{FF2B5EF4-FFF2-40B4-BE49-F238E27FC236}">
                  <a16:creationId xmlns:a16="http://schemas.microsoft.com/office/drawing/2014/main" id="{00000000-0008-0000-1800-000017C406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Clear Prem </a:t>
              </a:r>
            </a:p>
            <a:p>
              <a:pPr algn="ctr" rtl="0">
                <a:defRPr sz="1000"/>
              </a:pPr>
              <a:r>
                <a:rPr lang="en-US" sz="1000" b="0" i="0" u="none" strike="noStrike" baseline="0">
                  <a:solidFill>
                    <a:srgbClr val="FF0000"/>
                  </a:solidFill>
                  <a:latin typeface="Arial"/>
                  <a:cs typeface="Arial"/>
                </a:rPr>
                <a:t>Calc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1104900</xdr:colOff>
          <xdr:row>58</xdr:row>
          <xdr:rowOff>9525</xdr:rowOff>
        </xdr:from>
        <xdr:to>
          <xdr:col>0</xdr:col>
          <xdr:colOff>2343150</xdr:colOff>
          <xdr:row>61</xdr:row>
          <xdr:rowOff>0</xdr:rowOff>
        </xdr:to>
        <xdr:sp macro="" textlink="">
          <xdr:nvSpPr>
            <xdr:cNvPr id="443417" name="Button 25" hidden="1">
              <a:extLst>
                <a:ext uri="{63B3BB69-23CF-44E3-9099-C40C66FF867C}">
                  <a14:compatExt spid="_x0000_s443417"/>
                </a:ext>
                <a:ext uri="{FF2B5EF4-FFF2-40B4-BE49-F238E27FC236}">
                  <a16:creationId xmlns:a16="http://schemas.microsoft.com/office/drawing/2014/main" id="{00000000-0008-0000-1800-000019C406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Unlock for Pricing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1200150</xdr:colOff>
          <xdr:row>0</xdr:row>
          <xdr:rowOff>85725</xdr:rowOff>
        </xdr:from>
        <xdr:to>
          <xdr:col>10</xdr:col>
          <xdr:colOff>723900</xdr:colOff>
          <xdr:row>2</xdr:row>
          <xdr:rowOff>57150</xdr:rowOff>
        </xdr:to>
        <xdr:sp macro="" textlink="">
          <xdr:nvSpPr>
            <xdr:cNvPr id="443420" name="btnSaveDeal" hidden="1">
              <a:extLst>
                <a:ext uri="{63B3BB69-23CF-44E3-9099-C40C66FF867C}">
                  <a14:compatExt spid="_x0000_s443420"/>
                </a:ext>
                <a:ext uri="{FF2B5EF4-FFF2-40B4-BE49-F238E27FC236}">
                  <a16:creationId xmlns:a16="http://schemas.microsoft.com/office/drawing/2014/main" id="{00000000-0008-0000-1800-00001CC4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8000"/>
                  </a:solidFill>
                  <a:latin typeface="Arial"/>
                  <a:cs typeface="Arial"/>
                </a:rPr>
                <a:t>Save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104775</xdr:colOff>
          <xdr:row>0</xdr:row>
          <xdr:rowOff>104775</xdr:rowOff>
        </xdr:from>
        <xdr:to>
          <xdr:col>12</xdr:col>
          <xdr:colOff>466725</xdr:colOff>
          <xdr:row>2</xdr:row>
          <xdr:rowOff>66675</xdr:rowOff>
        </xdr:to>
        <xdr:sp macro="" textlink="">
          <xdr:nvSpPr>
            <xdr:cNvPr id="443423" name="Button 31" hidden="1">
              <a:extLst>
                <a:ext uri="{63B3BB69-23CF-44E3-9099-C40C66FF867C}">
                  <a14:compatExt spid="_x0000_s443423"/>
                </a:ext>
                <a:ext uri="{FF2B5EF4-FFF2-40B4-BE49-F238E27FC236}">
                  <a16:creationId xmlns:a16="http://schemas.microsoft.com/office/drawing/2014/main" id="{00000000-0008-0000-1800-00001FC406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Split Screen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0</xdr:row>
          <xdr:rowOff>85725</xdr:rowOff>
        </xdr:from>
        <xdr:to>
          <xdr:col>14</xdr:col>
          <xdr:colOff>676275</xdr:colOff>
          <xdr:row>2</xdr:row>
          <xdr:rowOff>57150</xdr:rowOff>
        </xdr:to>
        <xdr:sp macro="" textlink="">
          <xdr:nvSpPr>
            <xdr:cNvPr id="443424" name="btn.reset" hidden="1">
              <a:extLst>
                <a:ext uri="{63B3BB69-23CF-44E3-9099-C40C66FF867C}">
                  <a14:compatExt spid="_x0000_s443424"/>
                </a:ext>
                <a:ext uri="{FF2B5EF4-FFF2-40B4-BE49-F238E27FC236}">
                  <a16:creationId xmlns:a16="http://schemas.microsoft.com/office/drawing/2014/main" id="{00000000-0008-0000-1800-000020C406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 Automation</a:t>
              </a:r>
            </a:p>
          </xdr:txBody>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66675</xdr:colOff>
          <xdr:row>0</xdr:row>
          <xdr:rowOff>57150</xdr:rowOff>
        </xdr:from>
        <xdr:to>
          <xdr:col>1</xdr:col>
          <xdr:colOff>1123950</xdr:colOff>
          <xdr:row>1</xdr:row>
          <xdr:rowOff>104775</xdr:rowOff>
        </xdr:to>
        <xdr:sp macro="" textlink="">
          <xdr:nvSpPr>
            <xdr:cNvPr id="445441" name="Button 1" descr="Do It" hidden="1">
              <a:extLst>
                <a:ext uri="{63B3BB69-23CF-44E3-9099-C40C66FF867C}">
                  <a14:compatExt spid="_x0000_s445441"/>
                </a:ext>
                <a:ext uri="{FF2B5EF4-FFF2-40B4-BE49-F238E27FC236}">
                  <a16:creationId xmlns:a16="http://schemas.microsoft.com/office/drawing/2014/main" id="{00000000-0008-0000-1A00-000001CC06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Mobility Tables</a:t>
              </a:r>
            </a:p>
          </xdr:txBody>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66675</xdr:colOff>
          <xdr:row>0</xdr:row>
          <xdr:rowOff>57150</xdr:rowOff>
        </xdr:from>
        <xdr:to>
          <xdr:col>4</xdr:col>
          <xdr:colOff>276225</xdr:colOff>
          <xdr:row>1</xdr:row>
          <xdr:rowOff>104775</xdr:rowOff>
        </xdr:to>
        <xdr:sp macro="" textlink="">
          <xdr:nvSpPr>
            <xdr:cNvPr id="581633" name="Button 1" descr="Do It" hidden="1">
              <a:extLst>
                <a:ext uri="{63B3BB69-23CF-44E3-9099-C40C66FF867C}">
                  <a14:compatExt spid="_x0000_s581633"/>
                </a:ext>
                <a:ext uri="{FF2B5EF4-FFF2-40B4-BE49-F238E27FC236}">
                  <a16:creationId xmlns:a16="http://schemas.microsoft.com/office/drawing/2014/main" id="{00000000-0008-0000-1B00-000001E0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Default Tables</a:t>
              </a:r>
            </a:p>
          </xdr:txBody>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66675</xdr:colOff>
          <xdr:row>0</xdr:row>
          <xdr:rowOff>57150</xdr:rowOff>
        </xdr:from>
        <xdr:to>
          <xdr:col>1</xdr:col>
          <xdr:colOff>504825</xdr:colOff>
          <xdr:row>1</xdr:row>
          <xdr:rowOff>85725</xdr:rowOff>
        </xdr:to>
        <xdr:sp macro="" textlink="">
          <xdr:nvSpPr>
            <xdr:cNvPr id="593923" name="Button 3" descr="Do It" hidden="1">
              <a:extLst>
                <a:ext uri="{63B3BB69-23CF-44E3-9099-C40C66FF867C}">
                  <a14:compatExt spid="_x0000_s593923"/>
                </a:ext>
                <a:ext uri="{FF2B5EF4-FFF2-40B4-BE49-F238E27FC236}">
                  <a16:creationId xmlns:a16="http://schemas.microsoft.com/office/drawing/2014/main" id="{00000000-0008-0000-1C00-00000310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Accelerator Tables</a:t>
              </a:r>
            </a:p>
          </xdr:txBody>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95250</xdr:colOff>
          <xdr:row>0</xdr:row>
          <xdr:rowOff>66675</xdr:rowOff>
        </xdr:from>
        <xdr:to>
          <xdr:col>2</xdr:col>
          <xdr:colOff>1152525</xdr:colOff>
          <xdr:row>2</xdr:row>
          <xdr:rowOff>57150</xdr:rowOff>
        </xdr:to>
        <xdr:sp macro="" textlink="">
          <xdr:nvSpPr>
            <xdr:cNvPr id="624641" name="Button 1" hidden="1">
              <a:extLst>
                <a:ext uri="{63B3BB69-23CF-44E3-9099-C40C66FF867C}">
                  <a14:compatExt spid="_x0000_s624641"/>
                </a:ext>
                <a:ext uri="{FF2B5EF4-FFF2-40B4-BE49-F238E27FC236}">
                  <a16:creationId xmlns:a16="http://schemas.microsoft.com/office/drawing/2014/main" id="{00000000-0008-0000-1D00-00000188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Unhide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1457325</xdr:colOff>
          <xdr:row>0</xdr:row>
          <xdr:rowOff>85725</xdr:rowOff>
        </xdr:from>
        <xdr:to>
          <xdr:col>3</xdr:col>
          <xdr:colOff>600075</xdr:colOff>
          <xdr:row>2</xdr:row>
          <xdr:rowOff>57150</xdr:rowOff>
        </xdr:to>
        <xdr:sp macro="" textlink="">
          <xdr:nvSpPr>
            <xdr:cNvPr id="624642" name="Button 2" hidden="1">
              <a:extLst>
                <a:ext uri="{63B3BB69-23CF-44E3-9099-C40C66FF867C}">
                  <a14:compatExt spid="_x0000_s624642"/>
                </a:ext>
                <a:ext uri="{FF2B5EF4-FFF2-40B4-BE49-F238E27FC236}">
                  <a16:creationId xmlns:a16="http://schemas.microsoft.com/office/drawing/2014/main" id="{00000000-0008-0000-1D00-00000288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Split Screen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142875</xdr:colOff>
          <xdr:row>0</xdr:row>
          <xdr:rowOff>38100</xdr:rowOff>
        </xdr:from>
        <xdr:to>
          <xdr:col>20</xdr:col>
          <xdr:colOff>1095375</xdr:colOff>
          <xdr:row>2</xdr:row>
          <xdr:rowOff>66675</xdr:rowOff>
        </xdr:to>
        <xdr:sp macro="" textlink="">
          <xdr:nvSpPr>
            <xdr:cNvPr id="624643" name="btn.reset" hidden="1">
              <a:extLst>
                <a:ext uri="{63B3BB69-23CF-44E3-9099-C40C66FF867C}">
                  <a14:compatExt spid="_x0000_s624643"/>
                </a:ext>
                <a:ext uri="{FF2B5EF4-FFF2-40B4-BE49-F238E27FC236}">
                  <a16:creationId xmlns:a16="http://schemas.microsoft.com/office/drawing/2014/main" id="{00000000-0008-0000-1D00-00000388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 Automation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0</xdr:row>
          <xdr:rowOff>85725</xdr:rowOff>
        </xdr:from>
        <xdr:to>
          <xdr:col>5</xdr:col>
          <xdr:colOff>9525</xdr:colOff>
          <xdr:row>2</xdr:row>
          <xdr:rowOff>47625</xdr:rowOff>
        </xdr:to>
        <xdr:sp macro="" textlink="">
          <xdr:nvSpPr>
            <xdr:cNvPr id="624838" name="Button 198" hidden="1">
              <a:extLst>
                <a:ext uri="{63B3BB69-23CF-44E3-9099-C40C66FF867C}">
                  <a14:compatExt spid="_x0000_s624838"/>
                </a:ext>
                <a:ext uri="{FF2B5EF4-FFF2-40B4-BE49-F238E27FC236}">
                  <a16:creationId xmlns:a16="http://schemas.microsoft.com/office/drawing/2014/main" id="{00000000-0008-0000-1D00-0000C688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Create Offer Template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123825</xdr:colOff>
          <xdr:row>0</xdr:row>
          <xdr:rowOff>57150</xdr:rowOff>
        </xdr:from>
        <xdr:to>
          <xdr:col>21</xdr:col>
          <xdr:colOff>1085850</xdr:colOff>
          <xdr:row>2</xdr:row>
          <xdr:rowOff>76200</xdr:rowOff>
        </xdr:to>
        <xdr:sp macro="" textlink="">
          <xdr:nvSpPr>
            <xdr:cNvPr id="624839" name="Button 199" hidden="1">
              <a:extLst>
                <a:ext uri="{63B3BB69-23CF-44E3-9099-C40C66FF867C}">
                  <a14:compatExt spid="_x0000_s624839"/>
                </a:ext>
                <a:ext uri="{FF2B5EF4-FFF2-40B4-BE49-F238E27FC236}">
                  <a16:creationId xmlns:a16="http://schemas.microsoft.com/office/drawing/2014/main" id="{00000000-0008-0000-1D00-0000C788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Unlock for Pricing</a:t>
              </a:r>
            </a:p>
          </xdr:txBody>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371475</xdr:colOff>
          <xdr:row>0</xdr:row>
          <xdr:rowOff>104775</xdr:rowOff>
        </xdr:from>
        <xdr:to>
          <xdr:col>1</xdr:col>
          <xdr:colOff>219075</xdr:colOff>
          <xdr:row>4</xdr:row>
          <xdr:rowOff>0</xdr:rowOff>
        </xdr:to>
        <xdr:sp macro="" textlink="">
          <xdr:nvSpPr>
            <xdr:cNvPr id="606209" name="Button 1" descr="Do It" hidden="1">
              <a:extLst>
                <a:ext uri="{63B3BB69-23CF-44E3-9099-C40C66FF867C}">
                  <a14:compatExt spid="_x0000_s606209"/>
                </a:ext>
                <a:ext uri="{FF2B5EF4-FFF2-40B4-BE49-F238E27FC236}">
                  <a16:creationId xmlns:a16="http://schemas.microsoft.com/office/drawing/2014/main" id="{00000000-0008-0000-1E00-00000140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Sites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609600</xdr:colOff>
          <xdr:row>0</xdr:row>
          <xdr:rowOff>104775</xdr:rowOff>
        </xdr:from>
        <xdr:to>
          <xdr:col>2</xdr:col>
          <xdr:colOff>876300</xdr:colOff>
          <xdr:row>4</xdr:row>
          <xdr:rowOff>0</xdr:rowOff>
        </xdr:to>
        <xdr:sp macro="" textlink="">
          <xdr:nvSpPr>
            <xdr:cNvPr id="606210" name="Button 2" descr="Do It" hidden="1">
              <a:extLst>
                <a:ext uri="{63B3BB69-23CF-44E3-9099-C40C66FF867C}">
                  <a14:compatExt spid="_x0000_s606210"/>
                </a:ext>
                <a:ext uri="{FF2B5EF4-FFF2-40B4-BE49-F238E27FC236}">
                  <a16:creationId xmlns:a16="http://schemas.microsoft.com/office/drawing/2014/main" id="{00000000-0008-0000-1E00-00000240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Sites</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92.168.0.101\disk2\Documents%20and%20Settings\rl8136\rjl\_pricing\_Models\_TransitionModels\BCRL\BCRL_090616.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92.168.0.101\disk2\sd1843\Desktop\IMS2_CDT_20120612.wSalesSearchv2.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92.168.0.101\disk2\E\documents\Engagements\Att.ROM\IMS2_CSM_2011-05-01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enarios"/>
      <sheetName val="RateLetter"/>
      <sheetName val="AccessDetail"/>
      <sheetName val="buildingBlocks"/>
      <sheetName val="tables"/>
      <sheetName val="GlobalVPN"/>
      <sheetName val="Indicators"/>
      <sheetName val="Cashflow"/>
      <sheetName val="Exhaustibility"/>
      <sheetName val="Inputs_CapEx"/>
      <sheetName val="1A"/>
      <sheetName val="1B"/>
      <sheetName val="1C"/>
      <sheetName val="1D"/>
      <sheetName val="1E"/>
      <sheetName val="1F"/>
      <sheetName val="1G"/>
      <sheetName val="1H"/>
      <sheetName val="1I"/>
      <sheetName val="1J"/>
      <sheetName val="2A"/>
      <sheetName val="2B"/>
      <sheetName val="2C"/>
      <sheetName val="2D"/>
      <sheetName val="2E"/>
      <sheetName val="2F"/>
      <sheetName val="2G"/>
      <sheetName val="2H"/>
      <sheetName val="2I"/>
      <sheetName val="2J"/>
      <sheetName val="BCRL_Import_Summary"/>
      <sheetName val="IMS2_Import_Summary"/>
    </sheetNames>
    <sheetDataSet>
      <sheetData sheetId="0" refreshError="1"/>
      <sheetData sheetId="1" refreshError="1">
        <row r="6">
          <cell r="G6" t="str">
            <v>Customer Name</v>
          </cell>
        </row>
      </sheetData>
      <sheetData sheetId="2" refreshError="1"/>
      <sheetData sheetId="3" refreshError="1"/>
      <sheetData sheetId="4" refreshError="1">
        <row r="4">
          <cell r="B4">
            <v>1000</v>
          </cell>
        </row>
        <row r="5">
          <cell r="B5" t="str">
            <v>US$</v>
          </cell>
        </row>
      </sheetData>
      <sheetData sheetId="5" refreshError="1"/>
      <sheetData sheetId="6" refreshError="1">
        <row r="12">
          <cell r="M12">
            <v>1</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croWarning"/>
      <sheetName val="TabRefs"/>
      <sheetName val="NSS_OEMAC"/>
      <sheetName val="ProductList"/>
      <sheetName val="Search Deals"/>
      <sheetName val="Sales Detail"/>
      <sheetName val="Step 0"/>
      <sheetName val="Customer_Opportunity"/>
      <sheetName val="Product_Summary"/>
      <sheetName val="Step 1"/>
      <sheetName val="Product 1"/>
      <sheetName val="Product 2"/>
      <sheetName val="Product 3"/>
      <sheetName val="TemplateProduct"/>
      <sheetName val="RLTemplate"/>
      <sheetName val="Templates"/>
      <sheetName val="Log"/>
      <sheetName val="SOAP"/>
      <sheetName val="ScratchPad"/>
      <sheetName val="AisFormatting"/>
      <sheetName val="Pulldowns"/>
      <sheetName val="SalesLinks"/>
      <sheetName val="PricerLinks"/>
      <sheetName val="--"/>
      <sheetName val="Mobility_Prem_Calc"/>
      <sheetName val="Mobility_WriteDown"/>
      <sheetName val="MobilityT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1">
          <cell r="R1" t="str">
            <v>dates</v>
          </cell>
        </row>
        <row r="2">
          <cell r="V2">
            <v>5</v>
          </cell>
          <cell r="Y2">
            <v>51</v>
          </cell>
          <cell r="AB2">
            <v>283</v>
          </cell>
        </row>
        <row r="4">
          <cell r="V4">
            <v>3</v>
          </cell>
          <cell r="Y4">
            <v>2</v>
          </cell>
          <cell r="AB4">
            <v>74</v>
          </cell>
        </row>
        <row r="5">
          <cell r="S5" t="e">
            <v>#NAME?</v>
          </cell>
          <cell r="V5" t="str">
            <v>Need Segment!</v>
          </cell>
          <cell r="Y5" t="str">
            <v>Need Sales Channel!</v>
          </cell>
          <cell r="AB5" t="str">
            <v>Need Sales Channel!</v>
          </cell>
        </row>
      </sheetData>
      <sheetData sheetId="21"/>
      <sheetData sheetId="22"/>
      <sheetData sheetId="23"/>
      <sheetData sheetId="24"/>
      <sheetData sheetId="25"/>
      <sheetData sheetId="2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AP"/>
      <sheetName val="MacroWarning"/>
      <sheetName val="Search Deals"/>
      <sheetName val="Begin Solution"/>
      <sheetName val="Network Sourcing Eval"/>
      <sheetName val="Network Sourcing"/>
      <sheetName val="NS Qualification Score"/>
      <sheetName val="Hidden Calcs"/>
      <sheetName val="Select Products"/>
      <sheetName val="drop downs"/>
      <sheetName val="Products Questionnaire"/>
      <sheetName val="templates"/>
      <sheetName val="productTemplate"/>
      <sheetName val="MLAN"/>
      <sheetName val="MLAN-NonStd"/>
      <sheetName val="Assumptions"/>
      <sheetName val="Deal Specific Assumptions"/>
      <sheetName val="externalTemplate"/>
      <sheetName val="Solution Summary"/>
      <sheetName val="ChangeLog"/>
    </sheetNames>
    <sheetDataSet>
      <sheetData sheetId="0">
        <row r="1">
          <cell r="B1" t="str">
            <v>2010-04-30T00:00:00-05:00</v>
          </cell>
        </row>
      </sheetData>
      <sheetData sheetId="1"/>
      <sheetData sheetId="2"/>
      <sheetData sheetId="3">
        <row r="11">
          <cell r="H11" t="str">
            <v>test</v>
          </cell>
        </row>
        <row r="12">
          <cell r="E12" t="str">
            <v>test</v>
          </cell>
        </row>
        <row r="19">
          <cell r="E19" t="str">
            <v>test</v>
          </cell>
        </row>
      </sheetData>
      <sheetData sheetId="4"/>
      <sheetData sheetId="5"/>
      <sheetData sheetId="6">
        <row r="7">
          <cell r="I7">
            <v>0</v>
          </cell>
        </row>
      </sheetData>
      <sheetData sheetId="7"/>
      <sheetData sheetId="8">
        <row r="10">
          <cell r="F10" t="str">
            <v>FCC</v>
          </cell>
        </row>
      </sheetData>
      <sheetData sheetId="9">
        <row r="2">
          <cell r="A2" t="str">
            <v>Yes</v>
          </cell>
        </row>
      </sheetData>
      <sheetData sheetId="10"/>
      <sheetData sheetId="11">
        <row r="2">
          <cell r="C2" t="str">
            <v>full</v>
          </cell>
        </row>
      </sheetData>
      <sheetData sheetId="12"/>
      <sheetData sheetId="13">
        <row r="22">
          <cell r="DQ22">
            <v>1</v>
          </cell>
        </row>
      </sheetData>
      <sheetData sheetId="14">
        <row r="14">
          <cell r="D14">
            <v>0.15</v>
          </cell>
        </row>
      </sheetData>
      <sheetData sheetId="15"/>
      <sheetData sheetId="16"/>
      <sheetData sheetId="17"/>
      <sheetData sheetId="18"/>
      <sheetData sheetId="1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1.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2.xml"/><Relationship Id="rId13" Type="http://schemas.openxmlformats.org/officeDocument/2006/relationships/ctrlProp" Target="../ctrlProps/ctrlProp17.xml"/><Relationship Id="rId18" Type="http://schemas.openxmlformats.org/officeDocument/2006/relationships/ctrlProp" Target="../ctrlProps/ctrlProp22.xml"/><Relationship Id="rId3" Type="http://schemas.openxmlformats.org/officeDocument/2006/relationships/vmlDrawing" Target="../drawings/vmlDrawing4.vml"/><Relationship Id="rId21" Type="http://schemas.openxmlformats.org/officeDocument/2006/relationships/ctrlProp" Target="../ctrlProps/ctrlProp25.xml"/><Relationship Id="rId7" Type="http://schemas.openxmlformats.org/officeDocument/2006/relationships/ctrlProp" Target="../ctrlProps/ctrlProp11.xml"/><Relationship Id="rId12" Type="http://schemas.openxmlformats.org/officeDocument/2006/relationships/ctrlProp" Target="../ctrlProps/ctrlProp16.xml"/><Relationship Id="rId17" Type="http://schemas.openxmlformats.org/officeDocument/2006/relationships/ctrlProp" Target="../ctrlProps/ctrlProp21.xml"/><Relationship Id="rId2" Type="http://schemas.openxmlformats.org/officeDocument/2006/relationships/drawing" Target="../drawings/drawing5.xml"/><Relationship Id="rId16" Type="http://schemas.openxmlformats.org/officeDocument/2006/relationships/ctrlProp" Target="../ctrlProps/ctrlProp20.xml"/><Relationship Id="rId20" Type="http://schemas.openxmlformats.org/officeDocument/2006/relationships/ctrlProp" Target="../ctrlProps/ctrlProp24.xml"/><Relationship Id="rId1" Type="http://schemas.openxmlformats.org/officeDocument/2006/relationships/printerSettings" Target="../printerSettings/printerSettings6.bin"/><Relationship Id="rId6" Type="http://schemas.openxmlformats.org/officeDocument/2006/relationships/ctrlProp" Target="../ctrlProps/ctrlProp10.xml"/><Relationship Id="rId11" Type="http://schemas.openxmlformats.org/officeDocument/2006/relationships/ctrlProp" Target="../ctrlProps/ctrlProp15.xml"/><Relationship Id="rId5" Type="http://schemas.openxmlformats.org/officeDocument/2006/relationships/ctrlProp" Target="../ctrlProps/ctrlProp9.xml"/><Relationship Id="rId15" Type="http://schemas.openxmlformats.org/officeDocument/2006/relationships/ctrlProp" Target="../ctrlProps/ctrlProp19.xml"/><Relationship Id="rId23" Type="http://schemas.openxmlformats.org/officeDocument/2006/relationships/comments" Target="../comments2.xml"/><Relationship Id="rId10" Type="http://schemas.openxmlformats.org/officeDocument/2006/relationships/ctrlProp" Target="../ctrlProps/ctrlProp14.xml"/><Relationship Id="rId19" Type="http://schemas.openxmlformats.org/officeDocument/2006/relationships/ctrlProp" Target="../ctrlProps/ctrlProp23.xml"/><Relationship Id="rId4" Type="http://schemas.openxmlformats.org/officeDocument/2006/relationships/ctrlProp" Target="../ctrlProps/ctrlProp8.xml"/><Relationship Id="rId9" Type="http://schemas.openxmlformats.org/officeDocument/2006/relationships/ctrlProp" Target="../ctrlProps/ctrlProp13.xml"/><Relationship Id="rId14" Type="http://schemas.openxmlformats.org/officeDocument/2006/relationships/ctrlProp" Target="../ctrlProps/ctrlProp18.xml"/><Relationship Id="rId22" Type="http://schemas.openxmlformats.org/officeDocument/2006/relationships/ctrlProp" Target="../ctrlProps/ctrlProp2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4.xml"/><Relationship Id="rId13" Type="http://schemas.openxmlformats.org/officeDocument/2006/relationships/ctrlProp" Target="../ctrlProps/ctrlProp39.xml"/><Relationship Id="rId18" Type="http://schemas.openxmlformats.org/officeDocument/2006/relationships/ctrlProp" Target="../ctrlProps/ctrlProp44.xml"/><Relationship Id="rId3" Type="http://schemas.openxmlformats.org/officeDocument/2006/relationships/vmlDrawing" Target="../drawings/vmlDrawing6.vml"/><Relationship Id="rId7" Type="http://schemas.openxmlformats.org/officeDocument/2006/relationships/ctrlProp" Target="../ctrlProps/ctrlProp33.xml"/><Relationship Id="rId12" Type="http://schemas.openxmlformats.org/officeDocument/2006/relationships/ctrlProp" Target="../ctrlProps/ctrlProp38.xml"/><Relationship Id="rId17" Type="http://schemas.openxmlformats.org/officeDocument/2006/relationships/ctrlProp" Target="../ctrlProps/ctrlProp43.xml"/><Relationship Id="rId2" Type="http://schemas.openxmlformats.org/officeDocument/2006/relationships/drawing" Target="../drawings/drawing7.xml"/><Relationship Id="rId16" Type="http://schemas.openxmlformats.org/officeDocument/2006/relationships/ctrlProp" Target="../ctrlProps/ctrlProp42.xml"/><Relationship Id="rId1" Type="http://schemas.openxmlformats.org/officeDocument/2006/relationships/printerSettings" Target="../printerSettings/printerSettings8.bin"/><Relationship Id="rId6" Type="http://schemas.openxmlformats.org/officeDocument/2006/relationships/ctrlProp" Target="../ctrlProps/ctrlProp32.xml"/><Relationship Id="rId11" Type="http://schemas.openxmlformats.org/officeDocument/2006/relationships/ctrlProp" Target="../ctrlProps/ctrlProp37.xml"/><Relationship Id="rId5" Type="http://schemas.openxmlformats.org/officeDocument/2006/relationships/ctrlProp" Target="../ctrlProps/ctrlProp31.xml"/><Relationship Id="rId15" Type="http://schemas.openxmlformats.org/officeDocument/2006/relationships/ctrlProp" Target="../ctrlProps/ctrlProp41.xml"/><Relationship Id="rId10" Type="http://schemas.openxmlformats.org/officeDocument/2006/relationships/ctrlProp" Target="../ctrlProps/ctrlProp36.xml"/><Relationship Id="rId19" Type="http://schemas.openxmlformats.org/officeDocument/2006/relationships/comments" Target="../comments3.xml"/><Relationship Id="rId4" Type="http://schemas.openxmlformats.org/officeDocument/2006/relationships/ctrlProp" Target="../ctrlProps/ctrlProp30.xml"/><Relationship Id="rId9" Type="http://schemas.openxmlformats.org/officeDocument/2006/relationships/ctrlProp" Target="../ctrlProps/ctrlProp35.xml"/><Relationship Id="rId14" Type="http://schemas.openxmlformats.org/officeDocument/2006/relationships/ctrlProp" Target="../ctrlProps/ctrlProp4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5" Type="http://schemas.openxmlformats.org/officeDocument/2006/relationships/comments" Target="../comments4.xml"/><Relationship Id="rId4" Type="http://schemas.openxmlformats.org/officeDocument/2006/relationships/ctrlProp" Target="../ctrlProps/ctrlProp45.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50.xml"/><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omments" Target="../comments5.xml"/><Relationship Id="rId3" Type="http://schemas.openxmlformats.org/officeDocument/2006/relationships/vmlDrawing" Target="../drawings/vmlDrawing8.vml"/><Relationship Id="rId21" Type="http://schemas.openxmlformats.org/officeDocument/2006/relationships/ctrlProp" Target="../ctrlProps/ctrlProp63.xml"/><Relationship Id="rId7" Type="http://schemas.openxmlformats.org/officeDocument/2006/relationships/ctrlProp" Target="../ctrlProps/ctrlProp49.x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2" Type="http://schemas.openxmlformats.org/officeDocument/2006/relationships/drawing" Target="../drawings/drawing9.xml"/><Relationship Id="rId16" Type="http://schemas.openxmlformats.org/officeDocument/2006/relationships/ctrlProp" Target="../ctrlProps/ctrlProp58.xml"/><Relationship Id="rId20" Type="http://schemas.openxmlformats.org/officeDocument/2006/relationships/ctrlProp" Target="../ctrlProps/ctrlProp62.xml"/><Relationship Id="rId1" Type="http://schemas.openxmlformats.org/officeDocument/2006/relationships/printerSettings" Target="../printerSettings/printerSettings10.bin"/><Relationship Id="rId6" Type="http://schemas.openxmlformats.org/officeDocument/2006/relationships/ctrlProp" Target="../ctrlProps/ctrlProp48.xml"/><Relationship Id="rId11" Type="http://schemas.openxmlformats.org/officeDocument/2006/relationships/ctrlProp" Target="../ctrlProps/ctrlProp53.xml"/><Relationship Id="rId24" Type="http://schemas.openxmlformats.org/officeDocument/2006/relationships/ctrlProp" Target="../ctrlProps/ctrlProp66.xml"/><Relationship Id="rId5" Type="http://schemas.openxmlformats.org/officeDocument/2006/relationships/ctrlProp" Target="../ctrlProps/ctrlProp47.xml"/><Relationship Id="rId15" Type="http://schemas.openxmlformats.org/officeDocument/2006/relationships/ctrlProp" Target="../ctrlProps/ctrlProp57.xml"/><Relationship Id="rId23" Type="http://schemas.openxmlformats.org/officeDocument/2006/relationships/ctrlProp" Target="../ctrlProps/ctrlProp65.xml"/><Relationship Id="rId10" Type="http://schemas.openxmlformats.org/officeDocument/2006/relationships/ctrlProp" Target="../ctrlProps/ctrlProp52.xml"/><Relationship Id="rId19" Type="http://schemas.openxmlformats.org/officeDocument/2006/relationships/ctrlProp" Target="../ctrlProps/ctrlProp61.xml"/><Relationship Id="rId4" Type="http://schemas.openxmlformats.org/officeDocument/2006/relationships/ctrlProp" Target="../ctrlProps/ctrlProp46.x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72.xml"/><Relationship Id="rId13" Type="http://schemas.openxmlformats.org/officeDocument/2006/relationships/ctrlProp" Target="../ctrlProps/ctrlProp77.xml"/><Relationship Id="rId3" Type="http://schemas.openxmlformats.org/officeDocument/2006/relationships/vmlDrawing" Target="../drawings/vmlDrawing9.vml"/><Relationship Id="rId7" Type="http://schemas.openxmlformats.org/officeDocument/2006/relationships/ctrlProp" Target="../ctrlProps/ctrlProp71.xml"/><Relationship Id="rId12" Type="http://schemas.openxmlformats.org/officeDocument/2006/relationships/ctrlProp" Target="../ctrlProps/ctrlProp76.xml"/><Relationship Id="rId17" Type="http://schemas.openxmlformats.org/officeDocument/2006/relationships/ctrlProp" Target="../ctrlProps/ctrlProp81.xml"/><Relationship Id="rId2" Type="http://schemas.openxmlformats.org/officeDocument/2006/relationships/drawing" Target="../drawings/drawing10.xml"/><Relationship Id="rId16" Type="http://schemas.openxmlformats.org/officeDocument/2006/relationships/ctrlProp" Target="../ctrlProps/ctrlProp80.xml"/><Relationship Id="rId1" Type="http://schemas.openxmlformats.org/officeDocument/2006/relationships/printerSettings" Target="../printerSettings/printerSettings11.bin"/><Relationship Id="rId6" Type="http://schemas.openxmlformats.org/officeDocument/2006/relationships/ctrlProp" Target="../ctrlProps/ctrlProp70.xml"/><Relationship Id="rId11" Type="http://schemas.openxmlformats.org/officeDocument/2006/relationships/ctrlProp" Target="../ctrlProps/ctrlProp75.xml"/><Relationship Id="rId5" Type="http://schemas.openxmlformats.org/officeDocument/2006/relationships/ctrlProp" Target="../ctrlProps/ctrlProp69.xml"/><Relationship Id="rId15" Type="http://schemas.openxmlformats.org/officeDocument/2006/relationships/ctrlProp" Target="../ctrlProps/ctrlProp79.xml"/><Relationship Id="rId10" Type="http://schemas.openxmlformats.org/officeDocument/2006/relationships/ctrlProp" Target="../ctrlProps/ctrlProp74.xml"/><Relationship Id="rId4" Type="http://schemas.openxmlformats.org/officeDocument/2006/relationships/ctrlProp" Target="../ctrlProps/ctrlProp68.xml"/><Relationship Id="rId9" Type="http://schemas.openxmlformats.org/officeDocument/2006/relationships/ctrlProp" Target="../ctrlProps/ctrlProp73.xml"/><Relationship Id="rId14" Type="http://schemas.openxmlformats.org/officeDocument/2006/relationships/ctrlProp" Target="../ctrlProps/ctrlProp78.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2.xml"/><Relationship Id="rId1" Type="http://schemas.openxmlformats.org/officeDocument/2006/relationships/printerSettings" Target="../printerSettings/printerSettings15.bin"/><Relationship Id="rId5" Type="http://schemas.openxmlformats.org/officeDocument/2006/relationships/ctrlProp" Target="../ctrlProps/ctrlProp83.xml"/><Relationship Id="rId4" Type="http://schemas.openxmlformats.org/officeDocument/2006/relationships/ctrlProp" Target="../ctrlProps/ctrlProp82.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3.xml"/><Relationship Id="rId1" Type="http://schemas.openxmlformats.org/officeDocument/2006/relationships/printerSettings" Target="../printerSettings/printerSettings17.bin"/><Relationship Id="rId5" Type="http://schemas.openxmlformats.org/officeDocument/2006/relationships/ctrlProp" Target="../ctrlProps/ctrlProp85.xml"/><Relationship Id="rId4" Type="http://schemas.openxmlformats.org/officeDocument/2006/relationships/ctrlProp" Target="../ctrlProps/ctrlProp84.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hyperlink" Target="http://salesone.web.att.com/site/?appl=aaas&amp;builder_cd=ERATE" TargetMode="External"/><Relationship Id="rId2" Type="http://schemas.openxmlformats.org/officeDocument/2006/relationships/hyperlink" Target="http://salesone.web.att.com/SalesOne_SharedScripts/dwnld_win_pop/index.cfm?fuseaction=pop_eportals&amp;vardwnld_id=20876&amp;portal_id=27&amp;page_id=244" TargetMode="External"/><Relationship Id="rId1" Type="http://schemas.openxmlformats.org/officeDocument/2006/relationships/hyperlink" Target="http://salesone.web.att.com/SalesOne_SharedScripts/dwnld_win_pop/index.cfm?fuseaction=pop_eportals&amp;vardwnld_id=21036&amp;portal_id=27&amp;page_id=244" TargetMode="External"/><Relationship Id="rId6" Type="http://schemas.openxmlformats.org/officeDocument/2006/relationships/comments" Target="../comments6.xml"/><Relationship Id="rId5" Type="http://schemas.openxmlformats.org/officeDocument/2006/relationships/vmlDrawing" Target="../drawings/vmlDrawing12.vml"/><Relationship Id="rId4"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90.xml"/><Relationship Id="rId13" Type="http://schemas.openxmlformats.org/officeDocument/2006/relationships/comments" Target="../comments7.xml"/><Relationship Id="rId3" Type="http://schemas.openxmlformats.org/officeDocument/2006/relationships/vmlDrawing" Target="../drawings/vmlDrawing13.vml"/><Relationship Id="rId7" Type="http://schemas.openxmlformats.org/officeDocument/2006/relationships/ctrlProp" Target="../ctrlProps/ctrlProp89.xml"/><Relationship Id="rId12" Type="http://schemas.openxmlformats.org/officeDocument/2006/relationships/ctrlProp" Target="../ctrlProps/ctrlProp94.xml"/><Relationship Id="rId2" Type="http://schemas.openxmlformats.org/officeDocument/2006/relationships/drawing" Target="../drawings/drawing14.xml"/><Relationship Id="rId1" Type="http://schemas.openxmlformats.org/officeDocument/2006/relationships/printerSettings" Target="../printerSettings/printerSettings20.bin"/><Relationship Id="rId6" Type="http://schemas.openxmlformats.org/officeDocument/2006/relationships/ctrlProp" Target="../ctrlProps/ctrlProp88.xml"/><Relationship Id="rId11" Type="http://schemas.openxmlformats.org/officeDocument/2006/relationships/ctrlProp" Target="../ctrlProps/ctrlProp93.xml"/><Relationship Id="rId5" Type="http://schemas.openxmlformats.org/officeDocument/2006/relationships/ctrlProp" Target="../ctrlProps/ctrlProp87.xml"/><Relationship Id="rId10" Type="http://schemas.openxmlformats.org/officeDocument/2006/relationships/ctrlProp" Target="../ctrlProps/ctrlProp92.xml"/><Relationship Id="rId4" Type="http://schemas.openxmlformats.org/officeDocument/2006/relationships/ctrlProp" Target="../ctrlProps/ctrlProp86.xml"/><Relationship Id="rId9" Type="http://schemas.openxmlformats.org/officeDocument/2006/relationships/ctrlProp" Target="../ctrlProps/ctrlProp9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22.bin"/><Relationship Id="rId2" Type="http://schemas.openxmlformats.org/officeDocument/2006/relationships/hyperlink" Target="http://tspace.web.att.com/communities/service/html/communityview?communityUuid=223b1e80-21d8-4975-94ec-5f12e3b31fcf" TargetMode="External"/><Relationship Id="rId1" Type="http://schemas.openxmlformats.org/officeDocument/2006/relationships/hyperlink" Target="http://salesone.web.att.com/SalesOne/sitemap/ePortals/index.cfm?portal_id=27&amp;page_id=244&amp;fuseaction=viewPage" TargetMode="External"/></Relationships>
</file>

<file path=xl/worksheets/_rels/sheet23.xml.rels><?xml version="1.0" encoding="UTF-8" standalone="yes"?>
<Relationships xmlns="http://schemas.openxmlformats.org/package/2006/relationships"><Relationship Id="rId3" Type="http://schemas.openxmlformats.org/officeDocument/2006/relationships/printerSettings" Target="../printerSettings/printerSettings23.bin"/><Relationship Id="rId2" Type="http://schemas.openxmlformats.org/officeDocument/2006/relationships/hyperlink" Target="http://tspace.web.att.com/communities/service/html/communityview?communityUuid=2a5f1cbf-a668-43db-96d5-185dd6491e21" TargetMode="External"/><Relationship Id="rId1" Type="http://schemas.openxmlformats.org/officeDocument/2006/relationships/hyperlink" Target="http://salesone.web.att.com/SalesOne/sitemap/ePortals/index.cfm?portal_id=217&amp;page_id=994&amp;fuseaction=viewPage" TargetMode="Externa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99.xml"/><Relationship Id="rId3" Type="http://schemas.openxmlformats.org/officeDocument/2006/relationships/vmlDrawing" Target="../drawings/vmlDrawing14.vml"/><Relationship Id="rId7" Type="http://schemas.openxmlformats.org/officeDocument/2006/relationships/ctrlProp" Target="../ctrlProps/ctrlProp98.xml"/><Relationship Id="rId2" Type="http://schemas.openxmlformats.org/officeDocument/2006/relationships/drawing" Target="../drawings/drawing15.xml"/><Relationship Id="rId1" Type="http://schemas.openxmlformats.org/officeDocument/2006/relationships/printerSettings" Target="../printerSettings/printerSettings25.bin"/><Relationship Id="rId6" Type="http://schemas.openxmlformats.org/officeDocument/2006/relationships/ctrlProp" Target="../ctrlProps/ctrlProp97.xml"/><Relationship Id="rId5" Type="http://schemas.openxmlformats.org/officeDocument/2006/relationships/ctrlProp" Target="../ctrlProps/ctrlProp96.xml"/><Relationship Id="rId4" Type="http://schemas.openxmlformats.org/officeDocument/2006/relationships/ctrlProp" Target="../ctrlProps/ctrlProp95.xml"/><Relationship Id="rId9" Type="http://schemas.openxmlformats.org/officeDocument/2006/relationships/ctrlProp" Target="../ctrlProps/ctrlProp100.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7.bin"/><Relationship Id="rId5" Type="http://schemas.openxmlformats.org/officeDocument/2006/relationships/comments" Target="../comments8.xml"/><Relationship Id="rId4" Type="http://schemas.openxmlformats.org/officeDocument/2006/relationships/ctrlProp" Target="../ctrlProps/ctrlProp101.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28.bin"/><Relationship Id="rId4" Type="http://schemas.openxmlformats.org/officeDocument/2006/relationships/ctrlProp" Target="../ctrlProps/ctrlProp102.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8.xml"/><Relationship Id="rId1" Type="http://schemas.openxmlformats.org/officeDocument/2006/relationships/printerSettings" Target="../printerSettings/printerSettings29.bin"/><Relationship Id="rId4" Type="http://schemas.openxmlformats.org/officeDocument/2006/relationships/ctrlProp" Target="../ctrlProps/ctrlProp103.xml"/></Relationships>
</file>

<file path=xl/worksheets/_rels/sheet30.xml.rels><?xml version="1.0" encoding="UTF-8" standalone="yes"?>
<Relationships xmlns="http://schemas.openxmlformats.org/package/2006/relationships"><Relationship Id="rId8" Type="http://schemas.openxmlformats.org/officeDocument/2006/relationships/ctrlProp" Target="../ctrlProps/ctrlProp108.xml"/><Relationship Id="rId3" Type="http://schemas.openxmlformats.org/officeDocument/2006/relationships/vmlDrawing" Target="../drawings/vmlDrawing18.vml"/><Relationship Id="rId7" Type="http://schemas.openxmlformats.org/officeDocument/2006/relationships/ctrlProp" Target="../ctrlProps/ctrlProp107.xml"/><Relationship Id="rId2" Type="http://schemas.openxmlformats.org/officeDocument/2006/relationships/drawing" Target="../drawings/drawing19.xml"/><Relationship Id="rId1" Type="http://schemas.openxmlformats.org/officeDocument/2006/relationships/printerSettings" Target="../printerSettings/printerSettings30.bin"/><Relationship Id="rId6" Type="http://schemas.openxmlformats.org/officeDocument/2006/relationships/ctrlProp" Target="../ctrlProps/ctrlProp106.xml"/><Relationship Id="rId5" Type="http://schemas.openxmlformats.org/officeDocument/2006/relationships/ctrlProp" Target="../ctrlProps/ctrlProp105.xml"/><Relationship Id="rId4" Type="http://schemas.openxmlformats.org/officeDocument/2006/relationships/ctrlProp" Target="../ctrlProps/ctrlProp104.xml"/><Relationship Id="rId9" Type="http://schemas.openxmlformats.org/officeDocument/2006/relationships/comments" Target="../comments9.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0.xml"/><Relationship Id="rId1" Type="http://schemas.openxmlformats.org/officeDocument/2006/relationships/printerSettings" Target="../printerSettings/printerSettings31.bin"/><Relationship Id="rId5" Type="http://schemas.openxmlformats.org/officeDocument/2006/relationships/ctrlProp" Target="../ctrlProps/ctrlProp110.xml"/><Relationship Id="rId4" Type="http://schemas.openxmlformats.org/officeDocument/2006/relationships/ctrlProp" Target="../ctrlProps/ctrlProp109.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sMacroWarning"/>
  <dimension ref="A1:L17"/>
  <sheetViews>
    <sheetView showGridLines="0" tabSelected="1" workbookViewId="0"/>
  </sheetViews>
  <sheetFormatPr defaultColWidth="9.140625" defaultRowHeight="12.75"/>
  <cols>
    <col min="1" max="16384" width="9.140625" style="654"/>
  </cols>
  <sheetData>
    <row r="1" spans="1:12" ht="6" customHeight="1">
      <c r="A1" s="849" t="s">
        <v>8045</v>
      </c>
    </row>
    <row r="2" spans="1:12" ht="15.75">
      <c r="B2" s="655" t="s">
        <v>8047</v>
      </c>
      <c r="C2" s="656"/>
      <c r="D2" s="656"/>
      <c r="E2" s="656"/>
      <c r="F2" s="656"/>
      <c r="G2" s="656"/>
      <c r="H2" s="656"/>
      <c r="I2" s="656"/>
      <c r="J2" s="656"/>
      <c r="K2" s="656"/>
      <c r="L2" s="656"/>
    </row>
    <row r="3" spans="1:12" ht="15">
      <c r="B3" s="656" t="s">
        <v>8048</v>
      </c>
      <c r="C3" s="656"/>
      <c r="D3" s="656"/>
      <c r="E3" s="656"/>
      <c r="F3" s="656"/>
      <c r="G3" s="656"/>
      <c r="H3" s="656"/>
      <c r="I3" s="656"/>
      <c r="J3" s="656"/>
      <c r="K3" s="656"/>
      <c r="L3" s="656"/>
    </row>
    <row r="5" spans="1:12">
      <c r="B5" s="657" t="s">
        <v>8049</v>
      </c>
    </row>
    <row r="6" spans="1:12">
      <c r="B6" s="657" t="s">
        <v>8050</v>
      </c>
    </row>
    <row r="17" spans="2:2">
      <c r="B17" s="654" t="s">
        <v>8051</v>
      </c>
    </row>
  </sheetData>
  <sheetProtection formatColumns="0" formatRows="0"/>
  <pageMargins left="0.75" right="0.75" top="1" bottom="1" header="0.5" footer="0.5"/>
  <pageSetup orientation="portrait" r:id="rId1"/>
  <headerFooter alignWithMargins="0">
    <oddFooter>&amp;CAT&amp;&amp;T Proprietary (Internal Use Only)</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sTabRefs">
    <tabColor theme="5" tint="-0.249977111117893"/>
  </sheetPr>
  <dimension ref="E1:F44"/>
  <sheetViews>
    <sheetView workbookViewId="0">
      <selection activeCell="E55" sqref="E55"/>
    </sheetView>
  </sheetViews>
  <sheetFormatPr defaultColWidth="9.140625" defaultRowHeight="12.75"/>
  <cols>
    <col min="1" max="1" width="2.85546875" style="155" customWidth="1"/>
    <col min="2" max="2" width="2.7109375" style="155" customWidth="1"/>
    <col min="3" max="3" width="2.28515625" style="155" customWidth="1"/>
    <col min="4" max="4" width="5.28515625" style="155" customWidth="1"/>
    <col min="5" max="5" width="40.5703125" style="155" customWidth="1"/>
    <col min="6" max="6" width="38.7109375" style="155" customWidth="1"/>
    <col min="7" max="7" width="58" style="155" customWidth="1"/>
    <col min="8" max="16384" width="9.140625" style="155"/>
  </cols>
  <sheetData>
    <row r="1" spans="5:6">
      <c r="E1" s="156" t="s">
        <v>7649</v>
      </c>
      <c r="F1" s="156" t="s">
        <v>7650</v>
      </c>
    </row>
    <row r="2" spans="5:6">
      <c r="E2" s="157" t="s">
        <v>9711</v>
      </c>
      <c r="F2" s="157" t="s">
        <v>7651</v>
      </c>
    </row>
    <row r="3" spans="5:6">
      <c r="E3" s="157" t="s">
        <v>7612</v>
      </c>
      <c r="F3" s="157" t="s">
        <v>7652</v>
      </c>
    </row>
    <row r="4" spans="5:6">
      <c r="E4" s="157" t="s">
        <v>7613</v>
      </c>
      <c r="F4" s="157" t="s">
        <v>7653</v>
      </c>
    </row>
    <row r="5" spans="5:6">
      <c r="E5" s="157" t="s">
        <v>7614</v>
      </c>
      <c r="F5" s="157" t="s">
        <v>7654</v>
      </c>
    </row>
    <row r="6" spans="5:6">
      <c r="E6" s="157" t="s">
        <v>7615</v>
      </c>
      <c r="F6" s="157" t="s">
        <v>7655</v>
      </c>
    </row>
    <row r="7" spans="5:6">
      <c r="E7" s="157" t="s">
        <v>7616</v>
      </c>
      <c r="F7" s="157" t="s">
        <v>7656</v>
      </c>
    </row>
    <row r="8" spans="5:6">
      <c r="E8" s="157" t="s">
        <v>7617</v>
      </c>
      <c r="F8" s="157" t="s">
        <v>7657</v>
      </c>
    </row>
    <row r="9" spans="5:6">
      <c r="E9" s="157" t="s">
        <v>7618</v>
      </c>
      <c r="F9" s="157" t="s">
        <v>7658</v>
      </c>
    </row>
    <row r="10" spans="5:6">
      <c r="E10" s="157" t="s">
        <v>7619</v>
      </c>
      <c r="F10" s="157" t="s">
        <v>7659</v>
      </c>
    </row>
    <row r="11" spans="5:6">
      <c r="E11" s="157" t="s">
        <v>7620</v>
      </c>
      <c r="F11" s="157" t="s">
        <v>7660</v>
      </c>
    </row>
    <row r="12" spans="5:6">
      <c r="E12" s="157" t="s">
        <v>7621</v>
      </c>
      <c r="F12" s="157" t="s">
        <v>7661</v>
      </c>
    </row>
    <row r="13" spans="5:6">
      <c r="E13" s="157" t="s">
        <v>7622</v>
      </c>
      <c r="F13" s="157" t="s">
        <v>7662</v>
      </c>
    </row>
    <row r="14" spans="5:6">
      <c r="E14" s="157" t="s">
        <v>7623</v>
      </c>
      <c r="F14" s="157" t="s">
        <v>7663</v>
      </c>
    </row>
    <row r="15" spans="5:6">
      <c r="E15" s="157" t="s">
        <v>7624</v>
      </c>
      <c r="F15" s="157" t="s">
        <v>7664</v>
      </c>
    </row>
    <row r="16" spans="5:6">
      <c r="E16" s="157" t="s">
        <v>45</v>
      </c>
      <c r="F16" s="157" t="s">
        <v>7665</v>
      </c>
    </row>
    <row r="17" spans="5:6">
      <c r="E17" s="157" t="s">
        <v>46</v>
      </c>
      <c r="F17" s="157" t="s">
        <v>7666</v>
      </c>
    </row>
    <row r="18" spans="5:6">
      <c r="E18" s="157" t="s">
        <v>7627</v>
      </c>
      <c r="F18" s="157" t="s">
        <v>7667</v>
      </c>
    </row>
    <row r="19" spans="5:6">
      <c r="E19" s="157" t="s">
        <v>7628</v>
      </c>
      <c r="F19" s="157" t="s">
        <v>7668</v>
      </c>
    </row>
    <row r="20" spans="5:6">
      <c r="E20" s="157" t="s">
        <v>7629</v>
      </c>
      <c r="F20" s="157" t="s">
        <v>7669</v>
      </c>
    </row>
    <row r="21" spans="5:6">
      <c r="E21" s="157" t="s">
        <v>7626</v>
      </c>
      <c r="F21" s="157" t="s">
        <v>7670</v>
      </c>
    </row>
    <row r="22" spans="5:6">
      <c r="E22" s="157" t="s">
        <v>7630</v>
      </c>
      <c r="F22" s="157" t="s">
        <v>7671</v>
      </c>
    </row>
    <row r="23" spans="5:6">
      <c r="E23" s="157" t="s">
        <v>7631</v>
      </c>
      <c r="F23" s="157" t="s">
        <v>7672</v>
      </c>
    </row>
    <row r="24" spans="5:6">
      <c r="E24" s="157" t="s">
        <v>7632</v>
      </c>
      <c r="F24" s="157" t="s">
        <v>7673</v>
      </c>
    </row>
    <row r="25" spans="5:6">
      <c r="E25" s="157" t="s">
        <v>7625</v>
      </c>
      <c r="F25" s="157" t="s">
        <v>7674</v>
      </c>
    </row>
    <row r="26" spans="5:6">
      <c r="E26" s="157" t="s">
        <v>7633</v>
      </c>
      <c r="F26" s="157" t="s">
        <v>7675</v>
      </c>
    </row>
    <row r="27" spans="5:6">
      <c r="E27" s="157" t="s">
        <v>7634</v>
      </c>
      <c r="F27" s="157" t="s">
        <v>7676</v>
      </c>
    </row>
    <row r="28" spans="5:6">
      <c r="E28" s="157" t="s">
        <v>7635</v>
      </c>
      <c r="F28" s="157" t="s">
        <v>7677</v>
      </c>
    </row>
    <row r="29" spans="5:6">
      <c r="E29" s="157" t="s">
        <v>7636</v>
      </c>
      <c r="F29" s="157" t="s">
        <v>7611</v>
      </c>
    </row>
    <row r="30" spans="5:6">
      <c r="E30" s="157" t="s">
        <v>7637</v>
      </c>
      <c r="F30" s="157" t="s">
        <v>7678</v>
      </c>
    </row>
    <row r="31" spans="5:6">
      <c r="E31" s="157" t="s">
        <v>7638</v>
      </c>
      <c r="F31" s="157" t="s">
        <v>7679</v>
      </c>
    </row>
    <row r="32" spans="5:6">
      <c r="E32" s="157" t="s">
        <v>7639</v>
      </c>
      <c r="F32" s="157" t="s">
        <v>7680</v>
      </c>
    </row>
    <row r="33" spans="5:6">
      <c r="E33" s="157" t="s">
        <v>7640</v>
      </c>
      <c r="F33" s="157" t="s">
        <v>7681</v>
      </c>
    </row>
    <row r="34" spans="5:6">
      <c r="E34" s="157" t="s">
        <v>7641</v>
      </c>
      <c r="F34" s="157" t="s">
        <v>7682</v>
      </c>
    </row>
    <row r="35" spans="5:6">
      <c r="E35" s="157" t="s">
        <v>7642</v>
      </c>
      <c r="F35" s="157" t="s">
        <v>7683</v>
      </c>
    </row>
    <row r="36" spans="5:6">
      <c r="E36" s="157" t="s">
        <v>7643</v>
      </c>
      <c r="F36" s="157" t="s">
        <v>7684</v>
      </c>
    </row>
    <row r="37" spans="5:6">
      <c r="E37" s="157" t="s">
        <v>7644</v>
      </c>
      <c r="F37" s="157" t="s">
        <v>7685</v>
      </c>
    </row>
    <row r="38" spans="5:6">
      <c r="E38" s="157" t="s">
        <v>7645</v>
      </c>
      <c r="F38" s="157" t="s">
        <v>7686</v>
      </c>
    </row>
    <row r="39" spans="5:6">
      <c r="E39" s="157" t="s">
        <v>7646</v>
      </c>
      <c r="F39" s="157" t="s">
        <v>7687</v>
      </c>
    </row>
    <row r="40" spans="5:6">
      <c r="E40" s="157" t="s">
        <v>10034</v>
      </c>
      <c r="F40" s="157" t="s">
        <v>7688</v>
      </c>
    </row>
    <row r="41" spans="5:6">
      <c r="E41" s="157" t="s">
        <v>7647</v>
      </c>
      <c r="F41" s="157" t="s">
        <v>7689</v>
      </c>
    </row>
    <row r="42" spans="5:6">
      <c r="E42" s="157" t="s">
        <v>7648</v>
      </c>
      <c r="F42" s="157" t="s">
        <v>10035</v>
      </c>
    </row>
    <row r="43" spans="5:6">
      <c r="E43" s="157" t="s">
        <v>10456</v>
      </c>
      <c r="F43" s="157" t="s">
        <v>10457</v>
      </c>
    </row>
    <row r="44" spans="5:6">
      <c r="E44" s="157" t="s">
        <v>10458</v>
      </c>
      <c r="F44" s="157" t="s">
        <v>10459</v>
      </c>
    </row>
  </sheetData>
  <sheetProtection formatColumns="0" formatRows="0"/>
  <pageMargins left="0.7" right="0.7" top="0.75" bottom="0.75" header="0.3" footer="0.3"/>
  <pageSetup paperSize="9" orientation="portrait" r:id="rId1"/>
  <headerFooter>
    <oddFooter>&amp;CAT&amp;&amp;T Proprietary (Internal Use Only)</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wsProductList"/>
  <dimension ref="A1:V668"/>
  <sheetViews>
    <sheetView showFormulas="1" showGridLines="0" workbookViewId="0">
      <selection activeCell="A2" sqref="A2"/>
    </sheetView>
  </sheetViews>
  <sheetFormatPr defaultColWidth="9.140625" defaultRowHeight="12.75"/>
  <cols>
    <col min="1" max="1" width="9.140625" style="154"/>
    <col min="2" max="2" width="23.7109375" style="154" customWidth="1"/>
    <col min="3" max="3" width="44" style="154" customWidth="1"/>
    <col min="4" max="16384" width="9.140625" style="154"/>
  </cols>
  <sheetData>
    <row r="1" spans="1:22" ht="6.75" customHeight="1">
      <c r="A1" s="241" t="s">
        <v>8045</v>
      </c>
    </row>
    <row r="2" spans="1:22" ht="20.25">
      <c r="B2" s="168" t="s">
        <v>7762</v>
      </c>
      <c r="V2" s="154">
        <v>28</v>
      </c>
    </row>
    <row r="3" spans="1:22" ht="3.2" customHeight="1">
      <c r="V3" s="169" t="s">
        <v>7763</v>
      </c>
    </row>
    <row r="4" spans="1:22">
      <c r="B4" s="170" t="s">
        <v>7764</v>
      </c>
      <c r="C4" s="171" t="s">
        <v>854</v>
      </c>
      <c r="V4" s="172" t="s">
        <v>7735</v>
      </c>
    </row>
    <row r="5" spans="1:22" ht="7.5" customHeight="1">
      <c r="V5" s="173" t="s">
        <v>8054</v>
      </c>
    </row>
    <row r="6" spans="1:22" ht="4.7" customHeight="1">
      <c r="V6" s="173" t="s">
        <v>911</v>
      </c>
    </row>
    <row r="7" spans="1:22">
      <c r="V7" s="173" t="s">
        <v>8055</v>
      </c>
    </row>
    <row r="8" spans="1:22">
      <c r="V8" s="173" t="s">
        <v>10939</v>
      </c>
    </row>
    <row r="9" spans="1:22" ht="3.2" customHeight="1">
      <c r="V9" s="173" t="s">
        <v>8056</v>
      </c>
    </row>
    <row r="10" spans="1:22">
      <c r="B10" s="174" t="s">
        <v>313</v>
      </c>
      <c r="C10" s="174" t="s">
        <v>477</v>
      </c>
      <c r="V10" s="173" t="s">
        <v>8057</v>
      </c>
    </row>
    <row r="11" spans="1:22">
      <c r="B11" s="175" t="s">
        <v>199</v>
      </c>
      <c r="C11" s="175" t="s">
        <v>11363</v>
      </c>
      <c r="V11" s="173" t="s">
        <v>854</v>
      </c>
    </row>
    <row r="12" spans="1:22">
      <c r="B12" s="175" t="s">
        <v>199</v>
      </c>
      <c r="C12" s="175" t="s">
        <v>11364</v>
      </c>
      <c r="V12" s="173" t="s">
        <v>8058</v>
      </c>
    </row>
    <row r="13" spans="1:22">
      <c r="B13" s="175" t="s">
        <v>199</v>
      </c>
      <c r="C13" s="175" t="s">
        <v>11365</v>
      </c>
      <c r="V13" s="173" t="s">
        <v>8059</v>
      </c>
    </row>
    <row r="14" spans="1:22">
      <c r="B14" s="175" t="s">
        <v>199</v>
      </c>
      <c r="C14" s="175" t="s">
        <v>11366</v>
      </c>
      <c r="V14" s="173" t="s">
        <v>10951</v>
      </c>
    </row>
    <row r="15" spans="1:22">
      <c r="B15" s="175" t="s">
        <v>199</v>
      </c>
      <c r="C15" s="175" t="s">
        <v>11367</v>
      </c>
      <c r="V15" s="173" t="s">
        <v>7975</v>
      </c>
    </row>
    <row r="16" spans="1:22">
      <c r="B16" s="175" t="s">
        <v>199</v>
      </c>
      <c r="C16" s="175" t="s">
        <v>11368</v>
      </c>
      <c r="V16" s="173" t="s">
        <v>7774</v>
      </c>
    </row>
    <row r="17" spans="2:22">
      <c r="B17" s="175" t="s">
        <v>199</v>
      </c>
      <c r="C17" s="175" t="s">
        <v>11369</v>
      </c>
      <c r="V17" s="173" t="s">
        <v>8060</v>
      </c>
    </row>
    <row r="18" spans="2:22">
      <c r="B18" s="175" t="s">
        <v>199</v>
      </c>
      <c r="C18" s="175" t="s">
        <v>11370</v>
      </c>
      <c r="V18" s="173" t="s">
        <v>10940</v>
      </c>
    </row>
    <row r="19" spans="2:22">
      <c r="B19" s="175" t="s">
        <v>199</v>
      </c>
      <c r="C19" s="175" t="s">
        <v>11371</v>
      </c>
      <c r="V19" s="173" t="s">
        <v>10941</v>
      </c>
    </row>
    <row r="20" spans="2:22">
      <c r="B20" s="175" t="s">
        <v>199</v>
      </c>
      <c r="C20" s="175" t="s">
        <v>11372</v>
      </c>
      <c r="V20" s="173" t="s">
        <v>10942</v>
      </c>
    </row>
    <row r="21" spans="2:22">
      <c r="B21" s="175" t="s">
        <v>199</v>
      </c>
      <c r="C21" s="175" t="s">
        <v>11373</v>
      </c>
      <c r="V21" s="173" t="s">
        <v>10943</v>
      </c>
    </row>
    <row r="22" spans="2:22">
      <c r="B22" s="175" t="s">
        <v>199</v>
      </c>
      <c r="C22" s="175" t="s">
        <v>11374</v>
      </c>
      <c r="V22" s="173" t="s">
        <v>10944</v>
      </c>
    </row>
    <row r="23" spans="2:22">
      <c r="B23" s="175" t="s">
        <v>199</v>
      </c>
      <c r="C23" s="175" t="s">
        <v>11375</v>
      </c>
      <c r="F23" s="167" t="s">
        <v>8046</v>
      </c>
      <c r="V23" s="173" t="s">
        <v>8061</v>
      </c>
    </row>
    <row r="24" spans="2:22">
      <c r="B24" s="175" t="s">
        <v>199</v>
      </c>
      <c r="C24" s="175" t="s">
        <v>11376</v>
      </c>
      <c r="V24" s="173" t="s">
        <v>8006</v>
      </c>
    </row>
    <row r="25" spans="2:22">
      <c r="B25" s="175" t="s">
        <v>199</v>
      </c>
      <c r="C25" s="175" t="s">
        <v>11377</v>
      </c>
      <c r="V25" s="173" t="s">
        <v>7819</v>
      </c>
    </row>
    <row r="26" spans="2:22">
      <c r="B26" s="175" t="s">
        <v>199</v>
      </c>
      <c r="C26" s="175" t="s">
        <v>11378</v>
      </c>
      <c r="V26" s="173" t="s">
        <v>10945</v>
      </c>
    </row>
    <row r="27" spans="2:22">
      <c r="B27" s="175" t="s">
        <v>199</v>
      </c>
      <c r="C27" s="175" t="s">
        <v>11379</v>
      </c>
      <c r="V27" s="173" t="s">
        <v>10946</v>
      </c>
    </row>
    <row r="28" spans="2:22">
      <c r="B28" s="175" t="s">
        <v>199</v>
      </c>
      <c r="C28" s="175" t="s">
        <v>11380</v>
      </c>
      <c r="V28" s="173" t="s">
        <v>10947</v>
      </c>
    </row>
    <row r="29" spans="2:22">
      <c r="B29" s="175" t="s">
        <v>199</v>
      </c>
      <c r="C29" s="175" t="s">
        <v>11381</v>
      </c>
      <c r="V29" s="173" t="s">
        <v>10948</v>
      </c>
    </row>
    <row r="30" spans="2:22">
      <c r="B30" s="175" t="s">
        <v>199</v>
      </c>
      <c r="C30" s="175" t="s">
        <v>11382</v>
      </c>
      <c r="V30" s="173" t="s">
        <v>10949</v>
      </c>
    </row>
    <row r="31" spans="2:22">
      <c r="B31" s="175" t="s">
        <v>199</v>
      </c>
      <c r="C31" s="175" t="s">
        <v>11383</v>
      </c>
      <c r="V31" s="173" t="s">
        <v>10176</v>
      </c>
    </row>
    <row r="32" spans="2:22">
      <c r="B32" s="175" t="s">
        <v>199</v>
      </c>
      <c r="C32" s="175" t="s">
        <v>11384</v>
      </c>
      <c r="V32" s="173"/>
    </row>
    <row r="33" spans="2:22">
      <c r="B33" s="175" t="s">
        <v>199</v>
      </c>
      <c r="C33" s="175" t="s">
        <v>11385</v>
      </c>
      <c r="V33" s="173"/>
    </row>
    <row r="34" spans="2:22">
      <c r="B34" s="175" t="s">
        <v>199</v>
      </c>
      <c r="C34" s="175" t="s">
        <v>11386</v>
      </c>
      <c r="V34" s="173"/>
    </row>
    <row r="35" spans="2:22">
      <c r="B35" s="175" t="s">
        <v>199</v>
      </c>
      <c r="C35" s="175" t="s">
        <v>11387</v>
      </c>
      <c r="V35" s="173"/>
    </row>
    <row r="36" spans="2:22">
      <c r="B36" s="175" t="s">
        <v>199</v>
      </c>
      <c r="C36" s="175" t="s">
        <v>11388</v>
      </c>
      <c r="V36" s="173"/>
    </row>
    <row r="37" spans="2:22">
      <c r="B37" s="175" t="s">
        <v>199</v>
      </c>
      <c r="C37" s="175" t="s">
        <v>11389</v>
      </c>
      <c r="V37" s="173"/>
    </row>
    <row r="38" spans="2:22">
      <c r="B38" s="175" t="s">
        <v>199</v>
      </c>
      <c r="C38" s="175" t="s">
        <v>11390</v>
      </c>
      <c r="V38" s="173"/>
    </row>
    <row r="39" spans="2:22">
      <c r="B39" s="175" t="s">
        <v>199</v>
      </c>
      <c r="C39" s="175" t="s">
        <v>11391</v>
      </c>
      <c r="V39" s="173"/>
    </row>
    <row r="40" spans="2:22">
      <c r="B40" s="175" t="s">
        <v>199</v>
      </c>
      <c r="C40" s="175" t="s">
        <v>11392</v>
      </c>
      <c r="V40" s="173"/>
    </row>
    <row r="41" spans="2:22">
      <c r="B41" s="175" t="s">
        <v>199</v>
      </c>
      <c r="C41" s="175" t="s">
        <v>11393</v>
      </c>
      <c r="V41" s="173"/>
    </row>
    <row r="42" spans="2:22">
      <c r="B42" s="175" t="s">
        <v>199</v>
      </c>
      <c r="C42" s="175" t="s">
        <v>11394</v>
      </c>
      <c r="V42" s="173"/>
    </row>
    <row r="43" spans="2:22">
      <c r="B43" s="175" t="s">
        <v>199</v>
      </c>
      <c r="C43" s="175" t="s">
        <v>11395</v>
      </c>
      <c r="V43" s="173"/>
    </row>
    <row r="44" spans="2:22">
      <c r="B44" s="175" t="s">
        <v>199</v>
      </c>
      <c r="C44" s="175" t="s">
        <v>11396</v>
      </c>
      <c r="V44" s="173"/>
    </row>
    <row r="45" spans="2:22">
      <c r="B45" s="175" t="s">
        <v>199</v>
      </c>
      <c r="C45" s="175" t="s">
        <v>11397</v>
      </c>
      <c r="V45" s="173"/>
    </row>
    <row r="46" spans="2:22">
      <c r="B46" s="175" t="s">
        <v>199</v>
      </c>
      <c r="C46" s="175" t="s">
        <v>11398</v>
      </c>
      <c r="V46" s="173"/>
    </row>
    <row r="47" spans="2:22">
      <c r="B47" s="175" t="s">
        <v>199</v>
      </c>
      <c r="C47" s="175" t="s">
        <v>11399</v>
      </c>
      <c r="V47" s="173"/>
    </row>
    <row r="48" spans="2:22">
      <c r="B48" s="175" t="s">
        <v>199</v>
      </c>
      <c r="C48" s="175" t="s">
        <v>11400</v>
      </c>
      <c r="V48" s="173"/>
    </row>
    <row r="49" spans="2:22">
      <c r="B49" s="175" t="s">
        <v>199</v>
      </c>
      <c r="C49" s="175" t="s">
        <v>11401</v>
      </c>
      <c r="V49" s="176"/>
    </row>
    <row r="50" spans="2:22">
      <c r="B50" s="175" t="s">
        <v>7774</v>
      </c>
      <c r="C50" s="175" t="s">
        <v>11402</v>
      </c>
    </row>
    <row r="51" spans="2:22">
      <c r="B51" s="175" t="s">
        <v>7774</v>
      </c>
      <c r="C51" s="175" t="s">
        <v>11403</v>
      </c>
    </row>
    <row r="52" spans="2:22">
      <c r="B52" s="175" t="s">
        <v>7774</v>
      </c>
      <c r="C52" s="175" t="s">
        <v>11404</v>
      </c>
    </row>
    <row r="53" spans="2:22">
      <c r="B53" s="175" t="s">
        <v>7774</v>
      </c>
      <c r="C53" s="175" t="s">
        <v>11405</v>
      </c>
    </row>
    <row r="54" spans="2:22">
      <c r="B54" s="175" t="s">
        <v>7774</v>
      </c>
      <c r="C54" s="175" t="s">
        <v>11406</v>
      </c>
    </row>
    <row r="55" spans="2:22">
      <c r="B55" s="175" t="s">
        <v>7774</v>
      </c>
      <c r="C55" s="175" t="s">
        <v>11407</v>
      </c>
    </row>
    <row r="56" spans="2:22">
      <c r="B56" s="175" t="s">
        <v>7774</v>
      </c>
      <c r="C56" s="175" t="s">
        <v>11408</v>
      </c>
    </row>
    <row r="57" spans="2:22">
      <c r="B57" s="175" t="s">
        <v>200</v>
      </c>
      <c r="C57" s="175" t="s">
        <v>11409</v>
      </c>
    </row>
    <row r="58" spans="2:22">
      <c r="B58" s="175" t="s">
        <v>200</v>
      </c>
      <c r="C58" s="175" t="s">
        <v>11410</v>
      </c>
    </row>
    <row r="59" spans="2:22">
      <c r="B59" s="175" t="s">
        <v>200</v>
      </c>
      <c r="C59" s="175" t="s">
        <v>11411</v>
      </c>
    </row>
    <row r="60" spans="2:22">
      <c r="B60" s="175" t="s">
        <v>200</v>
      </c>
      <c r="C60" s="175" t="s">
        <v>11412</v>
      </c>
    </row>
    <row r="61" spans="2:22">
      <c r="B61" s="175" t="s">
        <v>200</v>
      </c>
      <c r="C61" s="175" t="s">
        <v>11413</v>
      </c>
    </row>
    <row r="62" spans="2:22">
      <c r="B62" s="175" t="s">
        <v>200</v>
      </c>
      <c r="C62" s="175" t="s">
        <v>11414</v>
      </c>
    </row>
    <row r="63" spans="2:22">
      <c r="B63" s="175" t="s">
        <v>200</v>
      </c>
      <c r="C63" s="175" t="s">
        <v>11415</v>
      </c>
    </row>
    <row r="64" spans="2:22">
      <c r="B64" s="175" t="s">
        <v>200</v>
      </c>
      <c r="C64" s="175" t="s">
        <v>11416</v>
      </c>
    </row>
    <row r="65" spans="2:3">
      <c r="B65" s="175" t="s">
        <v>200</v>
      </c>
      <c r="C65" s="175" t="s">
        <v>11417</v>
      </c>
    </row>
    <row r="66" spans="2:3">
      <c r="B66" s="175" t="s">
        <v>200</v>
      </c>
      <c r="C66" s="175" t="s">
        <v>11418</v>
      </c>
    </row>
    <row r="67" spans="2:3">
      <c r="B67" s="175" t="s">
        <v>200</v>
      </c>
      <c r="C67" s="175" t="s">
        <v>11419</v>
      </c>
    </row>
    <row r="68" spans="2:3">
      <c r="B68" s="175" t="s">
        <v>200</v>
      </c>
      <c r="C68" s="175" t="s">
        <v>11420</v>
      </c>
    </row>
    <row r="69" spans="2:3">
      <c r="B69" s="175" t="s">
        <v>200</v>
      </c>
      <c r="C69" s="175" t="s">
        <v>11421</v>
      </c>
    </row>
    <row r="70" spans="2:3">
      <c r="B70" s="175" t="s">
        <v>200</v>
      </c>
      <c r="C70" s="175" t="s">
        <v>11422</v>
      </c>
    </row>
    <row r="71" spans="2:3">
      <c r="B71" s="175" t="s">
        <v>200</v>
      </c>
      <c r="C71" s="175" t="s">
        <v>11423</v>
      </c>
    </row>
    <row r="72" spans="2:3">
      <c r="B72" s="175" t="s">
        <v>200</v>
      </c>
      <c r="C72" s="175" t="s">
        <v>11424</v>
      </c>
    </row>
    <row r="73" spans="2:3">
      <c r="B73" s="175" t="s">
        <v>200</v>
      </c>
      <c r="C73" s="175" t="s">
        <v>11425</v>
      </c>
    </row>
    <row r="74" spans="2:3">
      <c r="B74" s="175" t="s">
        <v>200</v>
      </c>
      <c r="C74" s="175" t="s">
        <v>11426</v>
      </c>
    </row>
    <row r="75" spans="2:3">
      <c r="B75" s="175" t="s">
        <v>634</v>
      </c>
      <c r="C75" s="175" t="s">
        <v>11427</v>
      </c>
    </row>
    <row r="76" spans="2:3">
      <c r="B76" s="175" t="s">
        <v>634</v>
      </c>
      <c r="C76" s="175" t="s">
        <v>11376</v>
      </c>
    </row>
    <row r="77" spans="2:3">
      <c r="B77" s="175" t="s">
        <v>634</v>
      </c>
      <c r="C77" s="175" t="s">
        <v>11428</v>
      </c>
    </row>
    <row r="78" spans="2:3">
      <c r="B78" s="175" t="s">
        <v>634</v>
      </c>
      <c r="C78" s="175" t="s">
        <v>11429</v>
      </c>
    </row>
    <row r="79" spans="2:3">
      <c r="B79" s="175" t="s">
        <v>576</v>
      </c>
      <c r="C79" s="175" t="s">
        <v>11430</v>
      </c>
    </row>
    <row r="80" spans="2:3">
      <c r="B80" s="175" t="s">
        <v>576</v>
      </c>
      <c r="C80" s="175" t="s">
        <v>11431</v>
      </c>
    </row>
    <row r="81" spans="2:3">
      <c r="B81" s="175" t="s">
        <v>576</v>
      </c>
      <c r="C81" s="175" t="s">
        <v>11432</v>
      </c>
    </row>
    <row r="82" spans="2:3">
      <c r="B82" s="175"/>
      <c r="C82" s="175"/>
    </row>
    <row r="83" spans="2:3">
      <c r="B83" s="175"/>
      <c r="C83" s="175"/>
    </row>
    <row r="84" spans="2:3">
      <c r="B84" s="175"/>
      <c r="C84" s="175"/>
    </row>
    <row r="85" spans="2:3">
      <c r="B85" s="175"/>
      <c r="C85" s="175"/>
    </row>
    <row r="86" spans="2:3">
      <c r="B86" s="175"/>
      <c r="C86" s="175"/>
    </row>
    <row r="87" spans="2:3">
      <c r="B87" s="175"/>
      <c r="C87" s="175"/>
    </row>
    <row r="88" spans="2:3">
      <c r="B88" s="175"/>
      <c r="C88" s="175"/>
    </row>
    <row r="89" spans="2:3">
      <c r="B89" s="175"/>
      <c r="C89" s="175"/>
    </row>
    <row r="90" spans="2:3">
      <c r="B90" s="175"/>
      <c r="C90" s="175"/>
    </row>
    <row r="91" spans="2:3">
      <c r="B91" s="175"/>
      <c r="C91" s="175"/>
    </row>
    <row r="92" spans="2:3">
      <c r="B92" s="175"/>
      <c r="C92" s="175"/>
    </row>
    <row r="93" spans="2:3">
      <c r="B93" s="175"/>
      <c r="C93" s="175"/>
    </row>
    <row r="94" spans="2:3">
      <c r="B94" s="175"/>
      <c r="C94" s="175"/>
    </row>
    <row r="95" spans="2:3">
      <c r="B95" s="175"/>
      <c r="C95" s="175"/>
    </row>
    <row r="96" spans="2:3">
      <c r="B96" s="175"/>
      <c r="C96" s="175"/>
    </row>
    <row r="97" spans="2:3">
      <c r="B97" s="175"/>
      <c r="C97" s="175"/>
    </row>
    <row r="98" spans="2:3">
      <c r="B98" s="175"/>
      <c r="C98" s="175"/>
    </row>
    <row r="99" spans="2:3">
      <c r="B99" s="175"/>
      <c r="C99" s="175"/>
    </row>
    <row r="100" spans="2:3">
      <c r="B100" s="175"/>
      <c r="C100" s="175"/>
    </row>
    <row r="101" spans="2:3">
      <c r="B101" s="175"/>
      <c r="C101" s="175"/>
    </row>
    <row r="102" spans="2:3">
      <c r="B102" s="175"/>
      <c r="C102" s="175"/>
    </row>
    <row r="103" spans="2:3">
      <c r="B103" s="175"/>
      <c r="C103" s="175"/>
    </row>
    <row r="104" spans="2:3">
      <c r="B104" s="175"/>
      <c r="C104" s="175"/>
    </row>
    <row r="105" spans="2:3">
      <c r="B105" s="175"/>
      <c r="C105" s="175"/>
    </row>
    <row r="106" spans="2:3">
      <c r="B106" s="175"/>
      <c r="C106" s="175"/>
    </row>
    <row r="107" spans="2:3">
      <c r="B107" s="175"/>
      <c r="C107" s="175"/>
    </row>
    <row r="108" spans="2:3">
      <c r="B108" s="175"/>
      <c r="C108" s="175"/>
    </row>
    <row r="109" spans="2:3">
      <c r="B109" s="175"/>
      <c r="C109" s="175"/>
    </row>
    <row r="110" spans="2:3">
      <c r="B110" s="175"/>
      <c r="C110" s="175"/>
    </row>
    <row r="111" spans="2:3">
      <c r="B111" s="175"/>
      <c r="C111" s="175"/>
    </row>
    <row r="112" spans="2:3">
      <c r="B112" s="175"/>
      <c r="C112" s="175"/>
    </row>
    <row r="113" spans="2:3">
      <c r="B113" s="175"/>
      <c r="C113" s="175"/>
    </row>
    <row r="114" spans="2:3">
      <c r="B114" s="175"/>
      <c r="C114" s="175"/>
    </row>
    <row r="115" spans="2:3">
      <c r="B115" s="175"/>
      <c r="C115" s="175"/>
    </row>
    <row r="116" spans="2:3">
      <c r="B116" s="175"/>
      <c r="C116" s="175"/>
    </row>
    <row r="117" spans="2:3">
      <c r="B117" s="175"/>
      <c r="C117" s="175"/>
    </row>
    <row r="118" spans="2:3">
      <c r="B118" s="175"/>
      <c r="C118" s="175"/>
    </row>
    <row r="119" spans="2:3">
      <c r="B119" s="175"/>
      <c r="C119" s="175"/>
    </row>
    <row r="120" spans="2:3">
      <c r="B120" s="175"/>
      <c r="C120" s="175"/>
    </row>
    <row r="121" spans="2:3">
      <c r="B121" s="175"/>
      <c r="C121" s="175"/>
    </row>
    <row r="122" spans="2:3">
      <c r="B122" s="175"/>
      <c r="C122" s="175"/>
    </row>
    <row r="123" spans="2:3">
      <c r="B123" s="175"/>
      <c r="C123" s="175"/>
    </row>
    <row r="124" spans="2:3">
      <c r="B124" s="175"/>
      <c r="C124" s="175"/>
    </row>
    <row r="125" spans="2:3">
      <c r="B125" s="175"/>
      <c r="C125" s="175"/>
    </row>
    <row r="126" spans="2:3">
      <c r="B126" s="175"/>
      <c r="C126" s="175"/>
    </row>
    <row r="127" spans="2:3">
      <c r="B127" s="175"/>
      <c r="C127" s="175"/>
    </row>
    <row r="128" spans="2:3">
      <c r="B128" s="175"/>
      <c r="C128" s="175"/>
    </row>
    <row r="129" spans="2:3">
      <c r="B129" s="175"/>
      <c r="C129" s="175"/>
    </row>
    <row r="130" spans="2:3">
      <c r="B130" s="175"/>
      <c r="C130" s="175"/>
    </row>
    <row r="131" spans="2:3">
      <c r="B131" s="175"/>
      <c r="C131" s="175"/>
    </row>
    <row r="132" spans="2:3">
      <c r="B132" s="175"/>
      <c r="C132" s="175"/>
    </row>
    <row r="133" spans="2:3">
      <c r="B133" s="175"/>
      <c r="C133" s="175"/>
    </row>
    <row r="134" spans="2:3">
      <c r="B134" s="175"/>
      <c r="C134" s="175"/>
    </row>
    <row r="135" spans="2:3">
      <c r="B135" s="175"/>
      <c r="C135" s="175"/>
    </row>
    <row r="136" spans="2:3">
      <c r="B136" s="175"/>
      <c r="C136" s="175"/>
    </row>
    <row r="137" spans="2:3">
      <c r="B137" s="175"/>
      <c r="C137" s="175"/>
    </row>
    <row r="138" spans="2:3">
      <c r="B138" s="175"/>
      <c r="C138" s="175"/>
    </row>
    <row r="139" spans="2:3">
      <c r="B139" s="175"/>
      <c r="C139" s="175"/>
    </row>
    <row r="140" spans="2:3">
      <c r="B140" s="175"/>
      <c r="C140" s="175"/>
    </row>
    <row r="141" spans="2:3">
      <c r="B141" s="175"/>
      <c r="C141" s="175"/>
    </row>
    <row r="142" spans="2:3">
      <c r="B142" s="175"/>
      <c r="C142" s="175"/>
    </row>
    <row r="143" spans="2:3">
      <c r="B143" s="175"/>
      <c r="C143" s="175"/>
    </row>
    <row r="144" spans="2:3">
      <c r="B144" s="175"/>
      <c r="C144" s="175"/>
    </row>
    <row r="145" spans="2:3">
      <c r="B145" s="175"/>
      <c r="C145" s="175"/>
    </row>
    <row r="146" spans="2:3">
      <c r="B146" s="175"/>
      <c r="C146" s="175"/>
    </row>
    <row r="147" spans="2:3">
      <c r="B147" s="175"/>
      <c r="C147" s="175"/>
    </row>
    <row r="148" spans="2:3">
      <c r="B148" s="175"/>
      <c r="C148" s="175"/>
    </row>
    <row r="149" spans="2:3">
      <c r="B149" s="175"/>
      <c r="C149" s="175"/>
    </row>
    <row r="150" spans="2:3">
      <c r="B150" s="175"/>
      <c r="C150" s="175"/>
    </row>
    <row r="151" spans="2:3">
      <c r="B151" s="175"/>
      <c r="C151" s="175"/>
    </row>
    <row r="152" spans="2:3">
      <c r="B152" s="175"/>
      <c r="C152" s="175"/>
    </row>
    <row r="153" spans="2:3">
      <c r="B153" s="175"/>
      <c r="C153" s="175"/>
    </row>
    <row r="154" spans="2:3">
      <c r="B154" s="175"/>
      <c r="C154" s="175"/>
    </row>
    <row r="155" spans="2:3">
      <c r="B155" s="175"/>
      <c r="C155" s="175"/>
    </row>
    <row r="156" spans="2:3">
      <c r="B156" s="175"/>
      <c r="C156" s="175"/>
    </row>
    <row r="157" spans="2:3">
      <c r="B157" s="175"/>
      <c r="C157" s="175"/>
    </row>
    <row r="158" spans="2:3">
      <c r="B158" s="175"/>
      <c r="C158" s="175"/>
    </row>
    <row r="159" spans="2:3">
      <c r="B159" s="175"/>
      <c r="C159" s="175"/>
    </row>
    <row r="160" spans="2:3">
      <c r="B160" s="175"/>
      <c r="C160" s="175"/>
    </row>
    <row r="161" spans="2:3">
      <c r="B161" s="175"/>
      <c r="C161" s="175"/>
    </row>
    <row r="162" spans="2:3">
      <c r="B162" s="175"/>
      <c r="C162" s="175"/>
    </row>
    <row r="163" spans="2:3">
      <c r="B163" s="175"/>
      <c r="C163" s="175"/>
    </row>
    <row r="164" spans="2:3">
      <c r="B164" s="175"/>
      <c r="C164" s="175"/>
    </row>
    <row r="165" spans="2:3">
      <c r="B165" s="175"/>
      <c r="C165" s="175"/>
    </row>
    <row r="166" spans="2:3">
      <c r="B166" s="175"/>
      <c r="C166" s="175"/>
    </row>
    <row r="167" spans="2:3">
      <c r="B167" s="175"/>
      <c r="C167" s="175"/>
    </row>
    <row r="168" spans="2:3">
      <c r="B168" s="175"/>
      <c r="C168" s="175"/>
    </row>
    <row r="169" spans="2:3">
      <c r="B169" s="175"/>
      <c r="C169" s="175"/>
    </row>
    <row r="170" spans="2:3">
      <c r="B170" s="175"/>
      <c r="C170" s="175"/>
    </row>
    <row r="171" spans="2:3">
      <c r="B171" s="175"/>
      <c r="C171" s="175"/>
    </row>
    <row r="172" spans="2:3">
      <c r="B172" s="175"/>
      <c r="C172" s="175"/>
    </row>
    <row r="173" spans="2:3">
      <c r="B173" s="175"/>
      <c r="C173" s="175"/>
    </row>
    <row r="174" spans="2:3">
      <c r="B174" s="175"/>
      <c r="C174" s="175"/>
    </row>
    <row r="175" spans="2:3">
      <c r="B175" s="175"/>
      <c r="C175" s="175"/>
    </row>
    <row r="176" spans="2:3">
      <c r="B176" s="175"/>
      <c r="C176" s="175"/>
    </row>
    <row r="177" spans="2:3">
      <c r="B177" s="175"/>
      <c r="C177" s="175"/>
    </row>
    <row r="178" spans="2:3">
      <c r="B178" s="175"/>
      <c r="C178" s="175"/>
    </row>
    <row r="179" spans="2:3">
      <c r="B179" s="175"/>
      <c r="C179" s="175"/>
    </row>
    <row r="180" spans="2:3">
      <c r="B180" s="175"/>
      <c r="C180" s="175"/>
    </row>
    <row r="181" spans="2:3">
      <c r="B181" s="175"/>
      <c r="C181" s="175"/>
    </row>
    <row r="182" spans="2:3">
      <c r="B182" s="175"/>
      <c r="C182" s="175"/>
    </row>
    <row r="183" spans="2:3">
      <c r="B183" s="175"/>
      <c r="C183" s="175"/>
    </row>
    <row r="184" spans="2:3">
      <c r="B184" s="175"/>
      <c r="C184" s="175"/>
    </row>
    <row r="185" spans="2:3">
      <c r="B185" s="175"/>
      <c r="C185" s="175"/>
    </row>
    <row r="186" spans="2:3">
      <c r="B186" s="175"/>
      <c r="C186" s="175"/>
    </row>
    <row r="187" spans="2:3">
      <c r="B187" s="175"/>
      <c r="C187" s="175"/>
    </row>
    <row r="188" spans="2:3">
      <c r="B188" s="175"/>
      <c r="C188" s="175"/>
    </row>
    <row r="189" spans="2:3">
      <c r="B189" s="175"/>
      <c r="C189" s="175"/>
    </row>
    <row r="190" spans="2:3">
      <c r="B190" s="175"/>
      <c r="C190" s="175"/>
    </row>
    <row r="191" spans="2:3">
      <c r="B191" s="175"/>
      <c r="C191" s="175"/>
    </row>
    <row r="192" spans="2:3">
      <c r="B192" s="175"/>
      <c r="C192" s="175"/>
    </row>
    <row r="193" spans="2:3">
      <c r="B193" s="175"/>
      <c r="C193" s="175"/>
    </row>
    <row r="194" spans="2:3">
      <c r="B194" s="175"/>
      <c r="C194" s="175"/>
    </row>
    <row r="195" spans="2:3">
      <c r="B195" s="175"/>
      <c r="C195" s="175"/>
    </row>
    <row r="196" spans="2:3">
      <c r="B196" s="175"/>
      <c r="C196" s="175"/>
    </row>
    <row r="197" spans="2:3">
      <c r="B197" s="175"/>
      <c r="C197" s="175"/>
    </row>
    <row r="198" spans="2:3">
      <c r="B198" s="175"/>
      <c r="C198" s="175"/>
    </row>
    <row r="199" spans="2:3">
      <c r="B199" s="175"/>
      <c r="C199" s="175"/>
    </row>
    <row r="200" spans="2:3">
      <c r="B200" s="175"/>
      <c r="C200" s="175"/>
    </row>
    <row r="201" spans="2:3">
      <c r="B201" s="175"/>
      <c r="C201" s="175"/>
    </row>
    <row r="202" spans="2:3">
      <c r="B202" s="175"/>
      <c r="C202" s="175"/>
    </row>
    <row r="203" spans="2:3">
      <c r="B203" s="175"/>
      <c r="C203" s="175"/>
    </row>
    <row r="204" spans="2:3">
      <c r="B204" s="175"/>
      <c r="C204" s="175"/>
    </row>
    <row r="205" spans="2:3">
      <c r="B205" s="175"/>
      <c r="C205" s="175"/>
    </row>
    <row r="206" spans="2:3">
      <c r="B206" s="175"/>
      <c r="C206" s="175"/>
    </row>
    <row r="207" spans="2:3">
      <c r="B207" s="175"/>
      <c r="C207" s="175"/>
    </row>
    <row r="208" spans="2:3">
      <c r="B208" s="175"/>
      <c r="C208" s="175"/>
    </row>
    <row r="209" spans="2:3">
      <c r="B209" s="175"/>
      <c r="C209" s="175"/>
    </row>
    <row r="210" spans="2:3">
      <c r="B210" s="175"/>
      <c r="C210" s="175"/>
    </row>
    <row r="211" spans="2:3">
      <c r="B211" s="175"/>
      <c r="C211" s="175"/>
    </row>
    <row r="212" spans="2:3">
      <c r="B212" s="175"/>
      <c r="C212" s="175"/>
    </row>
    <row r="213" spans="2:3">
      <c r="B213" s="175"/>
      <c r="C213" s="175"/>
    </row>
    <row r="214" spans="2:3">
      <c r="B214" s="175"/>
      <c r="C214" s="175"/>
    </row>
    <row r="215" spans="2:3">
      <c r="B215" s="175"/>
      <c r="C215" s="175"/>
    </row>
    <row r="216" spans="2:3">
      <c r="B216" s="175"/>
      <c r="C216" s="175"/>
    </row>
    <row r="217" spans="2:3">
      <c r="B217" s="175"/>
      <c r="C217" s="175"/>
    </row>
    <row r="218" spans="2:3">
      <c r="B218" s="175"/>
      <c r="C218" s="175"/>
    </row>
    <row r="219" spans="2:3">
      <c r="B219" s="175"/>
      <c r="C219" s="175"/>
    </row>
    <row r="220" spans="2:3">
      <c r="B220" s="175"/>
      <c r="C220" s="175"/>
    </row>
    <row r="221" spans="2:3">
      <c r="B221" s="175"/>
      <c r="C221" s="175"/>
    </row>
    <row r="222" spans="2:3">
      <c r="B222" s="175"/>
      <c r="C222" s="175"/>
    </row>
    <row r="223" spans="2:3">
      <c r="B223" s="175"/>
      <c r="C223" s="175"/>
    </row>
    <row r="224" spans="2:3">
      <c r="B224" s="175"/>
      <c r="C224" s="175"/>
    </row>
    <row r="225" spans="2:3">
      <c r="B225" s="175"/>
      <c r="C225" s="175"/>
    </row>
    <row r="226" spans="2:3">
      <c r="B226" s="175"/>
      <c r="C226" s="175"/>
    </row>
    <row r="227" spans="2:3">
      <c r="B227" s="175"/>
      <c r="C227" s="175"/>
    </row>
    <row r="228" spans="2:3">
      <c r="B228" s="175"/>
      <c r="C228" s="175"/>
    </row>
    <row r="229" spans="2:3">
      <c r="B229" s="175"/>
      <c r="C229" s="175"/>
    </row>
    <row r="230" spans="2:3">
      <c r="B230" s="175"/>
      <c r="C230" s="175"/>
    </row>
    <row r="231" spans="2:3">
      <c r="B231" s="175"/>
      <c r="C231" s="175"/>
    </row>
    <row r="232" spans="2:3">
      <c r="B232" s="175"/>
      <c r="C232" s="175"/>
    </row>
    <row r="233" spans="2:3">
      <c r="B233" s="175"/>
      <c r="C233" s="175"/>
    </row>
    <row r="234" spans="2:3">
      <c r="B234" s="175"/>
      <c r="C234" s="175"/>
    </row>
    <row r="235" spans="2:3">
      <c r="B235" s="175"/>
      <c r="C235" s="175"/>
    </row>
    <row r="236" spans="2:3">
      <c r="B236" s="175"/>
      <c r="C236" s="175"/>
    </row>
    <row r="237" spans="2:3">
      <c r="B237" s="175"/>
      <c r="C237" s="175"/>
    </row>
    <row r="238" spans="2:3">
      <c r="B238" s="175"/>
      <c r="C238" s="175"/>
    </row>
    <row r="239" spans="2:3">
      <c r="B239" s="175"/>
      <c r="C239" s="175"/>
    </row>
    <row r="240" spans="2:3">
      <c r="B240" s="175"/>
      <c r="C240" s="175"/>
    </row>
    <row r="241" spans="2:3">
      <c r="B241" s="175"/>
      <c r="C241" s="175"/>
    </row>
    <row r="242" spans="2:3">
      <c r="B242" s="175"/>
      <c r="C242" s="175"/>
    </row>
    <row r="243" spans="2:3">
      <c r="B243" s="175"/>
      <c r="C243" s="175"/>
    </row>
    <row r="244" spans="2:3">
      <c r="B244" s="175"/>
      <c r="C244" s="175"/>
    </row>
    <row r="245" spans="2:3">
      <c r="B245" s="175"/>
      <c r="C245" s="175"/>
    </row>
    <row r="246" spans="2:3">
      <c r="B246" s="175"/>
      <c r="C246" s="175"/>
    </row>
    <row r="247" spans="2:3">
      <c r="B247" s="175"/>
      <c r="C247" s="175"/>
    </row>
    <row r="248" spans="2:3">
      <c r="B248" s="175"/>
      <c r="C248" s="175"/>
    </row>
    <row r="249" spans="2:3">
      <c r="B249" s="175"/>
      <c r="C249" s="175"/>
    </row>
    <row r="250" spans="2:3">
      <c r="B250" s="175"/>
      <c r="C250" s="175"/>
    </row>
    <row r="251" spans="2:3">
      <c r="B251" s="175"/>
      <c r="C251" s="175"/>
    </row>
    <row r="252" spans="2:3">
      <c r="B252" s="175"/>
      <c r="C252" s="175"/>
    </row>
    <row r="253" spans="2:3">
      <c r="B253" s="175"/>
      <c r="C253" s="175"/>
    </row>
    <row r="254" spans="2:3">
      <c r="B254" s="175"/>
      <c r="C254" s="175"/>
    </row>
    <row r="255" spans="2:3">
      <c r="B255" s="175"/>
      <c r="C255" s="175"/>
    </row>
    <row r="256" spans="2:3">
      <c r="B256" s="175"/>
      <c r="C256" s="175"/>
    </row>
    <row r="257" spans="2:3">
      <c r="B257" s="175"/>
      <c r="C257" s="175"/>
    </row>
    <row r="258" spans="2:3">
      <c r="B258" s="175"/>
      <c r="C258" s="175"/>
    </row>
    <row r="259" spans="2:3">
      <c r="B259" s="175"/>
      <c r="C259" s="175"/>
    </row>
    <row r="260" spans="2:3">
      <c r="B260" s="175"/>
      <c r="C260" s="175"/>
    </row>
    <row r="261" spans="2:3">
      <c r="B261" s="175"/>
      <c r="C261" s="175"/>
    </row>
    <row r="262" spans="2:3">
      <c r="B262" s="175"/>
      <c r="C262" s="175"/>
    </row>
    <row r="263" spans="2:3">
      <c r="B263" s="175"/>
      <c r="C263" s="175"/>
    </row>
    <row r="264" spans="2:3">
      <c r="B264" s="175"/>
      <c r="C264" s="175"/>
    </row>
    <row r="265" spans="2:3">
      <c r="B265" s="175"/>
      <c r="C265" s="175"/>
    </row>
    <row r="266" spans="2:3">
      <c r="B266" s="175"/>
      <c r="C266" s="175"/>
    </row>
    <row r="267" spans="2:3">
      <c r="B267" s="175"/>
      <c r="C267" s="175"/>
    </row>
    <row r="268" spans="2:3">
      <c r="B268" s="175"/>
      <c r="C268" s="175"/>
    </row>
    <row r="269" spans="2:3">
      <c r="B269" s="175"/>
      <c r="C269" s="175"/>
    </row>
    <row r="270" spans="2:3">
      <c r="B270" s="175"/>
      <c r="C270" s="175"/>
    </row>
    <row r="271" spans="2:3">
      <c r="B271" s="175"/>
      <c r="C271" s="175"/>
    </row>
    <row r="272" spans="2:3">
      <c r="B272" s="175"/>
      <c r="C272" s="175"/>
    </row>
    <row r="273" spans="2:3">
      <c r="B273" s="175"/>
      <c r="C273" s="175"/>
    </row>
    <row r="274" spans="2:3">
      <c r="B274" s="175"/>
      <c r="C274" s="175"/>
    </row>
    <row r="275" spans="2:3">
      <c r="B275" s="175"/>
      <c r="C275" s="175"/>
    </row>
    <row r="276" spans="2:3">
      <c r="B276" s="175"/>
      <c r="C276" s="175"/>
    </row>
    <row r="277" spans="2:3">
      <c r="B277" s="175"/>
      <c r="C277" s="175"/>
    </row>
    <row r="278" spans="2:3">
      <c r="B278" s="175"/>
      <c r="C278" s="175"/>
    </row>
    <row r="279" spans="2:3">
      <c r="B279" s="175"/>
      <c r="C279" s="175"/>
    </row>
    <row r="280" spans="2:3">
      <c r="B280" s="175"/>
      <c r="C280" s="175"/>
    </row>
    <row r="281" spans="2:3">
      <c r="B281" s="175"/>
      <c r="C281" s="175"/>
    </row>
    <row r="282" spans="2:3">
      <c r="B282" s="175"/>
      <c r="C282" s="175"/>
    </row>
    <row r="283" spans="2:3">
      <c r="B283" s="175"/>
      <c r="C283" s="175"/>
    </row>
    <row r="284" spans="2:3">
      <c r="B284" s="175"/>
      <c r="C284" s="175"/>
    </row>
    <row r="285" spans="2:3">
      <c r="B285" s="175"/>
      <c r="C285" s="175"/>
    </row>
    <row r="286" spans="2:3">
      <c r="B286" s="175"/>
      <c r="C286" s="175"/>
    </row>
    <row r="287" spans="2:3">
      <c r="B287" s="175"/>
      <c r="C287" s="175"/>
    </row>
    <row r="288" spans="2:3">
      <c r="B288" s="175"/>
      <c r="C288" s="175"/>
    </row>
    <row r="289" spans="2:3">
      <c r="B289" s="175"/>
      <c r="C289" s="175"/>
    </row>
    <row r="290" spans="2:3">
      <c r="B290" s="175"/>
      <c r="C290" s="175"/>
    </row>
    <row r="291" spans="2:3">
      <c r="B291" s="175"/>
      <c r="C291" s="175"/>
    </row>
    <row r="292" spans="2:3">
      <c r="B292" s="175"/>
      <c r="C292" s="175"/>
    </row>
    <row r="293" spans="2:3">
      <c r="B293" s="175"/>
      <c r="C293" s="175"/>
    </row>
    <row r="294" spans="2:3">
      <c r="B294" s="175"/>
      <c r="C294" s="175"/>
    </row>
    <row r="295" spans="2:3">
      <c r="B295" s="175"/>
      <c r="C295" s="175"/>
    </row>
    <row r="296" spans="2:3">
      <c r="B296" s="175"/>
      <c r="C296" s="175"/>
    </row>
    <row r="297" spans="2:3">
      <c r="B297" s="175"/>
      <c r="C297" s="175"/>
    </row>
    <row r="298" spans="2:3">
      <c r="B298" s="175"/>
      <c r="C298" s="175"/>
    </row>
    <row r="299" spans="2:3">
      <c r="B299" s="175"/>
      <c r="C299" s="175"/>
    </row>
    <row r="300" spans="2:3">
      <c r="B300" s="175"/>
      <c r="C300" s="175"/>
    </row>
    <row r="301" spans="2:3">
      <c r="B301" s="175"/>
      <c r="C301" s="175"/>
    </row>
    <row r="302" spans="2:3">
      <c r="B302" s="175"/>
      <c r="C302" s="175"/>
    </row>
    <row r="303" spans="2:3">
      <c r="B303" s="175"/>
      <c r="C303" s="175"/>
    </row>
    <row r="304" spans="2:3">
      <c r="B304" s="175"/>
      <c r="C304" s="175"/>
    </row>
    <row r="305" spans="2:3">
      <c r="B305" s="175"/>
      <c r="C305" s="175"/>
    </row>
    <row r="306" spans="2:3">
      <c r="B306" s="175"/>
      <c r="C306" s="175"/>
    </row>
    <row r="307" spans="2:3">
      <c r="B307" s="175"/>
      <c r="C307" s="175"/>
    </row>
    <row r="308" spans="2:3">
      <c r="B308" s="175"/>
      <c r="C308" s="175"/>
    </row>
    <row r="309" spans="2:3">
      <c r="B309" s="175"/>
      <c r="C309" s="175"/>
    </row>
    <row r="310" spans="2:3">
      <c r="B310" s="175"/>
      <c r="C310" s="175"/>
    </row>
    <row r="311" spans="2:3">
      <c r="B311" s="175"/>
      <c r="C311" s="175"/>
    </row>
    <row r="312" spans="2:3">
      <c r="B312" s="175"/>
      <c r="C312" s="175"/>
    </row>
    <row r="313" spans="2:3">
      <c r="B313" s="175"/>
      <c r="C313" s="175"/>
    </row>
    <row r="314" spans="2:3">
      <c r="B314" s="175"/>
      <c r="C314" s="175"/>
    </row>
    <row r="315" spans="2:3">
      <c r="B315" s="175"/>
      <c r="C315" s="175"/>
    </row>
    <row r="316" spans="2:3">
      <c r="B316" s="175"/>
      <c r="C316" s="175"/>
    </row>
    <row r="317" spans="2:3">
      <c r="B317" s="175"/>
      <c r="C317" s="175"/>
    </row>
    <row r="318" spans="2:3">
      <c r="B318" s="175"/>
      <c r="C318" s="175"/>
    </row>
    <row r="319" spans="2:3">
      <c r="B319" s="175"/>
      <c r="C319" s="175"/>
    </row>
    <row r="320" spans="2:3">
      <c r="B320" s="175"/>
      <c r="C320" s="175"/>
    </row>
    <row r="321" spans="2:3">
      <c r="B321" s="175"/>
      <c r="C321" s="175"/>
    </row>
    <row r="322" spans="2:3">
      <c r="B322" s="175"/>
      <c r="C322" s="175"/>
    </row>
    <row r="323" spans="2:3">
      <c r="B323" s="175"/>
      <c r="C323" s="175"/>
    </row>
    <row r="324" spans="2:3">
      <c r="B324" s="175"/>
      <c r="C324" s="175"/>
    </row>
    <row r="325" spans="2:3">
      <c r="B325" s="175"/>
      <c r="C325" s="175"/>
    </row>
    <row r="326" spans="2:3">
      <c r="B326" s="175"/>
      <c r="C326" s="175"/>
    </row>
    <row r="327" spans="2:3">
      <c r="B327" s="175"/>
      <c r="C327" s="175"/>
    </row>
    <row r="328" spans="2:3">
      <c r="B328" s="175"/>
      <c r="C328" s="175"/>
    </row>
    <row r="329" spans="2:3">
      <c r="B329" s="175"/>
      <c r="C329" s="175"/>
    </row>
    <row r="330" spans="2:3">
      <c r="B330" s="175"/>
      <c r="C330" s="175"/>
    </row>
    <row r="331" spans="2:3">
      <c r="B331" s="175"/>
      <c r="C331" s="175"/>
    </row>
    <row r="332" spans="2:3">
      <c r="B332" s="175"/>
      <c r="C332" s="175"/>
    </row>
    <row r="333" spans="2:3">
      <c r="B333" s="175"/>
      <c r="C333" s="175"/>
    </row>
    <row r="334" spans="2:3">
      <c r="B334" s="175"/>
      <c r="C334" s="175"/>
    </row>
    <row r="335" spans="2:3">
      <c r="B335" s="175"/>
      <c r="C335" s="175"/>
    </row>
    <row r="336" spans="2:3">
      <c r="B336" s="175"/>
      <c r="C336" s="175"/>
    </row>
    <row r="337" spans="2:3">
      <c r="B337" s="175"/>
      <c r="C337" s="175"/>
    </row>
    <row r="338" spans="2:3">
      <c r="B338" s="175"/>
      <c r="C338" s="175"/>
    </row>
    <row r="339" spans="2:3">
      <c r="B339" s="175"/>
      <c r="C339" s="175"/>
    </row>
    <row r="340" spans="2:3">
      <c r="B340" s="175"/>
      <c r="C340" s="175"/>
    </row>
    <row r="341" spans="2:3">
      <c r="B341" s="175"/>
      <c r="C341" s="175"/>
    </row>
    <row r="342" spans="2:3">
      <c r="B342" s="175"/>
      <c r="C342" s="175"/>
    </row>
    <row r="343" spans="2:3">
      <c r="B343" s="175"/>
      <c r="C343" s="175"/>
    </row>
    <row r="344" spans="2:3">
      <c r="B344" s="175"/>
      <c r="C344" s="175"/>
    </row>
    <row r="345" spans="2:3">
      <c r="B345" s="175"/>
      <c r="C345" s="175"/>
    </row>
    <row r="346" spans="2:3">
      <c r="B346" s="175"/>
      <c r="C346" s="175"/>
    </row>
    <row r="347" spans="2:3">
      <c r="B347" s="175"/>
      <c r="C347" s="175"/>
    </row>
    <row r="348" spans="2:3">
      <c r="B348" s="175"/>
      <c r="C348" s="175"/>
    </row>
    <row r="349" spans="2:3">
      <c r="B349" s="175"/>
      <c r="C349" s="175"/>
    </row>
    <row r="350" spans="2:3">
      <c r="B350" s="175"/>
      <c r="C350" s="175"/>
    </row>
    <row r="351" spans="2:3">
      <c r="B351" s="175"/>
      <c r="C351" s="175"/>
    </row>
    <row r="352" spans="2:3">
      <c r="B352" s="175"/>
      <c r="C352" s="175"/>
    </row>
    <row r="353" spans="2:3">
      <c r="B353" s="175"/>
      <c r="C353" s="175"/>
    </row>
    <row r="354" spans="2:3">
      <c r="B354" s="175"/>
      <c r="C354" s="175"/>
    </row>
    <row r="355" spans="2:3">
      <c r="B355" s="175"/>
      <c r="C355" s="175"/>
    </row>
    <row r="356" spans="2:3">
      <c r="B356" s="175"/>
      <c r="C356" s="175"/>
    </row>
    <row r="357" spans="2:3">
      <c r="B357" s="175"/>
      <c r="C357" s="175"/>
    </row>
    <row r="358" spans="2:3">
      <c r="B358" s="175"/>
      <c r="C358" s="175"/>
    </row>
    <row r="359" spans="2:3">
      <c r="B359" s="175"/>
      <c r="C359" s="175"/>
    </row>
    <row r="360" spans="2:3">
      <c r="B360" s="175"/>
      <c r="C360" s="175"/>
    </row>
    <row r="361" spans="2:3">
      <c r="B361" s="175"/>
      <c r="C361" s="175"/>
    </row>
    <row r="362" spans="2:3">
      <c r="B362" s="175"/>
      <c r="C362" s="175"/>
    </row>
    <row r="363" spans="2:3">
      <c r="B363" s="175"/>
      <c r="C363" s="175"/>
    </row>
    <row r="364" spans="2:3">
      <c r="B364" s="175"/>
      <c r="C364" s="175"/>
    </row>
    <row r="365" spans="2:3">
      <c r="B365" s="175"/>
      <c r="C365" s="175"/>
    </row>
    <row r="366" spans="2:3">
      <c r="B366" s="175"/>
      <c r="C366" s="175"/>
    </row>
    <row r="367" spans="2:3">
      <c r="B367" s="175"/>
      <c r="C367" s="175"/>
    </row>
    <row r="368" spans="2:3">
      <c r="B368" s="175"/>
      <c r="C368" s="175"/>
    </row>
    <row r="369" spans="2:3">
      <c r="B369" s="175"/>
      <c r="C369" s="175"/>
    </row>
    <row r="370" spans="2:3">
      <c r="B370" s="175"/>
      <c r="C370" s="175"/>
    </row>
    <row r="371" spans="2:3">
      <c r="B371" s="175"/>
      <c r="C371" s="175"/>
    </row>
    <row r="372" spans="2:3">
      <c r="B372" s="175"/>
      <c r="C372" s="175"/>
    </row>
    <row r="373" spans="2:3">
      <c r="B373" s="175"/>
      <c r="C373" s="175"/>
    </row>
    <row r="374" spans="2:3">
      <c r="B374" s="175"/>
      <c r="C374" s="175"/>
    </row>
    <row r="375" spans="2:3">
      <c r="B375" s="175"/>
      <c r="C375" s="175"/>
    </row>
    <row r="376" spans="2:3">
      <c r="B376" s="175"/>
      <c r="C376" s="175"/>
    </row>
    <row r="377" spans="2:3">
      <c r="B377" s="175"/>
      <c r="C377" s="175"/>
    </row>
    <row r="378" spans="2:3">
      <c r="B378" s="175"/>
      <c r="C378" s="175"/>
    </row>
    <row r="379" spans="2:3">
      <c r="B379" s="175"/>
      <c r="C379" s="175"/>
    </row>
    <row r="380" spans="2:3">
      <c r="B380" s="175"/>
      <c r="C380" s="175"/>
    </row>
    <row r="381" spans="2:3">
      <c r="B381" s="175"/>
      <c r="C381" s="175"/>
    </row>
    <row r="382" spans="2:3">
      <c r="B382" s="175"/>
      <c r="C382" s="175"/>
    </row>
    <row r="383" spans="2:3">
      <c r="B383" s="175"/>
      <c r="C383" s="175"/>
    </row>
    <row r="384" spans="2:3">
      <c r="B384" s="175"/>
      <c r="C384" s="175"/>
    </row>
    <row r="385" spans="2:3">
      <c r="B385" s="175"/>
      <c r="C385" s="175"/>
    </row>
    <row r="386" spans="2:3">
      <c r="B386" s="175"/>
      <c r="C386" s="175"/>
    </row>
    <row r="387" spans="2:3">
      <c r="B387" s="175"/>
      <c r="C387" s="175"/>
    </row>
    <row r="388" spans="2:3">
      <c r="B388" s="175"/>
      <c r="C388" s="175"/>
    </row>
    <row r="389" spans="2:3">
      <c r="B389" s="175"/>
      <c r="C389" s="175"/>
    </row>
    <row r="390" spans="2:3">
      <c r="B390" s="175"/>
      <c r="C390" s="175"/>
    </row>
    <row r="391" spans="2:3">
      <c r="B391" s="175"/>
      <c r="C391" s="175"/>
    </row>
    <row r="392" spans="2:3">
      <c r="B392" s="175"/>
      <c r="C392" s="175"/>
    </row>
    <row r="393" spans="2:3">
      <c r="B393" s="170"/>
      <c r="C393" s="170"/>
    </row>
    <row r="394" spans="2:3">
      <c r="B394" s="170"/>
      <c r="C394" s="170"/>
    </row>
    <row r="395" spans="2:3">
      <c r="B395" s="170"/>
      <c r="C395" s="170"/>
    </row>
    <row r="396" spans="2:3">
      <c r="B396" s="170"/>
      <c r="C396" s="170"/>
    </row>
    <row r="397" spans="2:3">
      <c r="B397" s="170"/>
      <c r="C397" s="170"/>
    </row>
    <row r="398" spans="2:3">
      <c r="B398" s="170"/>
      <c r="C398" s="170"/>
    </row>
    <row r="399" spans="2:3">
      <c r="B399" s="170"/>
      <c r="C399" s="170"/>
    </row>
    <row r="400" spans="2:3">
      <c r="B400" s="170"/>
      <c r="C400" s="170"/>
    </row>
    <row r="401" spans="2:3">
      <c r="B401" s="170"/>
      <c r="C401" s="170"/>
    </row>
    <row r="402" spans="2:3">
      <c r="B402" s="170"/>
      <c r="C402" s="170"/>
    </row>
    <row r="403" spans="2:3">
      <c r="B403" s="170"/>
      <c r="C403" s="170"/>
    </row>
    <row r="404" spans="2:3">
      <c r="B404" s="170"/>
      <c r="C404" s="170"/>
    </row>
    <row r="405" spans="2:3">
      <c r="B405" s="170"/>
      <c r="C405" s="170"/>
    </row>
    <row r="406" spans="2:3">
      <c r="B406" s="170"/>
      <c r="C406" s="170"/>
    </row>
    <row r="407" spans="2:3">
      <c r="B407" s="170"/>
      <c r="C407" s="170"/>
    </row>
    <row r="408" spans="2:3">
      <c r="B408" s="170"/>
      <c r="C408" s="170"/>
    </row>
    <row r="409" spans="2:3">
      <c r="B409" s="170"/>
      <c r="C409" s="170"/>
    </row>
    <row r="410" spans="2:3">
      <c r="B410" s="170"/>
      <c r="C410" s="170"/>
    </row>
    <row r="411" spans="2:3">
      <c r="B411" s="170"/>
      <c r="C411" s="170"/>
    </row>
    <row r="412" spans="2:3">
      <c r="B412" s="170"/>
      <c r="C412" s="170"/>
    </row>
    <row r="413" spans="2:3">
      <c r="B413" s="170"/>
      <c r="C413" s="170"/>
    </row>
    <row r="414" spans="2:3">
      <c r="B414" s="170"/>
      <c r="C414" s="170"/>
    </row>
    <row r="415" spans="2:3">
      <c r="B415" s="170"/>
      <c r="C415" s="170"/>
    </row>
    <row r="416" spans="2:3">
      <c r="B416" s="170"/>
      <c r="C416" s="170"/>
    </row>
    <row r="417" spans="2:3">
      <c r="B417" s="170"/>
      <c r="C417" s="170"/>
    </row>
    <row r="418" spans="2:3">
      <c r="B418" s="170"/>
      <c r="C418" s="170"/>
    </row>
    <row r="419" spans="2:3">
      <c r="B419" s="170"/>
      <c r="C419" s="170"/>
    </row>
    <row r="420" spans="2:3">
      <c r="B420" s="170"/>
      <c r="C420" s="170"/>
    </row>
    <row r="421" spans="2:3">
      <c r="B421" s="170"/>
      <c r="C421" s="170"/>
    </row>
    <row r="422" spans="2:3">
      <c r="B422" s="170"/>
      <c r="C422" s="170"/>
    </row>
    <row r="423" spans="2:3">
      <c r="B423" s="170"/>
      <c r="C423" s="170"/>
    </row>
    <row r="424" spans="2:3">
      <c r="B424" s="170"/>
      <c r="C424" s="170"/>
    </row>
    <row r="425" spans="2:3">
      <c r="B425" s="170"/>
      <c r="C425" s="170"/>
    </row>
    <row r="426" spans="2:3">
      <c r="B426" s="170"/>
      <c r="C426" s="170"/>
    </row>
    <row r="427" spans="2:3">
      <c r="B427" s="170"/>
      <c r="C427" s="170"/>
    </row>
    <row r="428" spans="2:3">
      <c r="B428" s="170"/>
      <c r="C428" s="170"/>
    </row>
    <row r="429" spans="2:3">
      <c r="B429" s="170"/>
      <c r="C429" s="170"/>
    </row>
    <row r="430" spans="2:3">
      <c r="B430" s="170"/>
      <c r="C430" s="170"/>
    </row>
    <row r="431" spans="2:3">
      <c r="B431" s="170"/>
      <c r="C431" s="170"/>
    </row>
    <row r="432" spans="2:3">
      <c r="B432" s="170"/>
      <c r="C432" s="170"/>
    </row>
    <row r="433" spans="2:3">
      <c r="B433" s="170"/>
      <c r="C433" s="170"/>
    </row>
    <row r="434" spans="2:3">
      <c r="B434" s="170"/>
      <c r="C434" s="170"/>
    </row>
    <row r="435" spans="2:3">
      <c r="B435" s="170"/>
      <c r="C435" s="170"/>
    </row>
    <row r="436" spans="2:3">
      <c r="B436" s="170"/>
      <c r="C436" s="170"/>
    </row>
    <row r="437" spans="2:3">
      <c r="B437" s="170"/>
      <c r="C437" s="170"/>
    </row>
    <row r="438" spans="2:3">
      <c r="B438" s="170"/>
      <c r="C438" s="170"/>
    </row>
    <row r="439" spans="2:3">
      <c r="B439" s="170"/>
      <c r="C439" s="170"/>
    </row>
    <row r="440" spans="2:3">
      <c r="B440" s="170"/>
      <c r="C440" s="170"/>
    </row>
    <row r="441" spans="2:3">
      <c r="B441" s="170"/>
      <c r="C441" s="170"/>
    </row>
    <row r="442" spans="2:3">
      <c r="B442" s="170"/>
      <c r="C442" s="170"/>
    </row>
    <row r="443" spans="2:3">
      <c r="B443" s="170"/>
      <c r="C443" s="170"/>
    </row>
    <row r="444" spans="2:3">
      <c r="B444" s="170"/>
      <c r="C444" s="170"/>
    </row>
    <row r="445" spans="2:3">
      <c r="B445" s="170"/>
      <c r="C445" s="170"/>
    </row>
    <row r="446" spans="2:3">
      <c r="B446" s="170"/>
      <c r="C446" s="170"/>
    </row>
    <row r="447" spans="2:3">
      <c r="B447" s="170"/>
      <c r="C447" s="170"/>
    </row>
    <row r="448" spans="2:3">
      <c r="B448" s="170"/>
      <c r="C448" s="170"/>
    </row>
    <row r="449" spans="2:3">
      <c r="B449" s="170"/>
      <c r="C449" s="170"/>
    </row>
    <row r="450" spans="2:3">
      <c r="B450" s="170"/>
      <c r="C450" s="170"/>
    </row>
    <row r="451" spans="2:3">
      <c r="B451" s="170"/>
      <c r="C451" s="170"/>
    </row>
    <row r="452" spans="2:3">
      <c r="B452" s="170"/>
      <c r="C452" s="170"/>
    </row>
    <row r="453" spans="2:3">
      <c r="B453" s="170"/>
      <c r="C453" s="170"/>
    </row>
    <row r="454" spans="2:3">
      <c r="B454" s="170"/>
      <c r="C454" s="170"/>
    </row>
    <row r="455" spans="2:3">
      <c r="B455" s="170"/>
      <c r="C455" s="170"/>
    </row>
    <row r="456" spans="2:3">
      <c r="B456" s="170"/>
      <c r="C456" s="170"/>
    </row>
    <row r="457" spans="2:3">
      <c r="B457" s="170"/>
      <c r="C457" s="170"/>
    </row>
    <row r="458" spans="2:3">
      <c r="B458" s="170"/>
      <c r="C458" s="170"/>
    </row>
    <row r="459" spans="2:3">
      <c r="B459" s="170"/>
      <c r="C459" s="170"/>
    </row>
    <row r="460" spans="2:3">
      <c r="B460" s="170"/>
      <c r="C460" s="170"/>
    </row>
    <row r="461" spans="2:3">
      <c r="B461" s="170"/>
      <c r="C461" s="170"/>
    </row>
    <row r="462" spans="2:3">
      <c r="B462" s="170"/>
      <c r="C462" s="170"/>
    </row>
    <row r="463" spans="2:3">
      <c r="B463" s="170"/>
      <c r="C463" s="170"/>
    </row>
    <row r="464" spans="2:3">
      <c r="B464" s="170"/>
      <c r="C464" s="170"/>
    </row>
    <row r="465" spans="2:3">
      <c r="B465" s="170"/>
      <c r="C465" s="170"/>
    </row>
    <row r="466" spans="2:3">
      <c r="B466" s="170"/>
      <c r="C466" s="170"/>
    </row>
    <row r="467" spans="2:3">
      <c r="B467" s="170"/>
      <c r="C467" s="170"/>
    </row>
    <row r="468" spans="2:3">
      <c r="B468" s="170"/>
      <c r="C468" s="170"/>
    </row>
    <row r="469" spans="2:3">
      <c r="B469" s="170"/>
      <c r="C469" s="170"/>
    </row>
    <row r="470" spans="2:3">
      <c r="B470" s="170"/>
      <c r="C470" s="170"/>
    </row>
    <row r="471" spans="2:3">
      <c r="B471" s="170"/>
      <c r="C471" s="170"/>
    </row>
    <row r="472" spans="2:3">
      <c r="B472" s="170"/>
      <c r="C472" s="170"/>
    </row>
    <row r="473" spans="2:3">
      <c r="B473" s="170"/>
      <c r="C473" s="170"/>
    </row>
    <row r="474" spans="2:3">
      <c r="B474" s="170"/>
      <c r="C474" s="170"/>
    </row>
    <row r="475" spans="2:3">
      <c r="B475" s="170"/>
      <c r="C475" s="170"/>
    </row>
    <row r="476" spans="2:3">
      <c r="B476" s="170"/>
      <c r="C476" s="170"/>
    </row>
    <row r="477" spans="2:3">
      <c r="B477" s="170"/>
      <c r="C477" s="170"/>
    </row>
    <row r="478" spans="2:3">
      <c r="B478" s="170"/>
      <c r="C478" s="170"/>
    </row>
    <row r="479" spans="2:3">
      <c r="B479" s="170"/>
      <c r="C479" s="170"/>
    </row>
    <row r="480" spans="2:3">
      <c r="B480" s="170"/>
      <c r="C480" s="170"/>
    </row>
    <row r="481" spans="2:3">
      <c r="B481" s="170"/>
      <c r="C481" s="170"/>
    </row>
    <row r="482" spans="2:3">
      <c r="B482" s="170"/>
      <c r="C482" s="170"/>
    </row>
    <row r="483" spans="2:3">
      <c r="B483" s="170"/>
      <c r="C483" s="170"/>
    </row>
    <row r="484" spans="2:3">
      <c r="B484" s="170"/>
      <c r="C484" s="170"/>
    </row>
    <row r="485" spans="2:3">
      <c r="B485" s="170"/>
      <c r="C485" s="170"/>
    </row>
    <row r="486" spans="2:3">
      <c r="B486" s="170"/>
      <c r="C486" s="170"/>
    </row>
    <row r="487" spans="2:3">
      <c r="B487" s="170"/>
      <c r="C487" s="170"/>
    </row>
    <row r="488" spans="2:3">
      <c r="B488" s="170"/>
      <c r="C488" s="170"/>
    </row>
    <row r="489" spans="2:3">
      <c r="B489" s="170"/>
      <c r="C489" s="170"/>
    </row>
    <row r="490" spans="2:3">
      <c r="B490" s="170"/>
      <c r="C490" s="170"/>
    </row>
    <row r="491" spans="2:3">
      <c r="B491" s="170"/>
      <c r="C491" s="170"/>
    </row>
    <row r="492" spans="2:3">
      <c r="B492" s="170"/>
      <c r="C492" s="170"/>
    </row>
    <row r="493" spans="2:3">
      <c r="B493" s="170"/>
      <c r="C493" s="170"/>
    </row>
    <row r="494" spans="2:3">
      <c r="B494" s="170"/>
      <c r="C494" s="170"/>
    </row>
    <row r="495" spans="2:3">
      <c r="B495" s="170"/>
      <c r="C495" s="170"/>
    </row>
    <row r="496" spans="2:3">
      <c r="B496" s="170"/>
      <c r="C496" s="170"/>
    </row>
    <row r="497" spans="2:3">
      <c r="B497" s="170"/>
      <c r="C497" s="170"/>
    </row>
    <row r="498" spans="2:3">
      <c r="B498" s="170"/>
      <c r="C498" s="170"/>
    </row>
    <row r="499" spans="2:3">
      <c r="B499" s="170"/>
      <c r="C499" s="170"/>
    </row>
    <row r="500" spans="2:3">
      <c r="B500" s="170"/>
      <c r="C500" s="170"/>
    </row>
    <row r="501" spans="2:3">
      <c r="B501" s="170"/>
      <c r="C501" s="170"/>
    </row>
    <row r="502" spans="2:3">
      <c r="B502" s="170"/>
      <c r="C502" s="170"/>
    </row>
    <row r="503" spans="2:3">
      <c r="B503" s="170"/>
      <c r="C503" s="170"/>
    </row>
    <row r="504" spans="2:3">
      <c r="B504" s="170"/>
      <c r="C504" s="170"/>
    </row>
    <row r="505" spans="2:3">
      <c r="B505" s="170"/>
      <c r="C505" s="170"/>
    </row>
    <row r="506" spans="2:3">
      <c r="B506" s="170"/>
      <c r="C506" s="170"/>
    </row>
    <row r="507" spans="2:3">
      <c r="B507" s="170"/>
      <c r="C507" s="170"/>
    </row>
    <row r="508" spans="2:3">
      <c r="B508" s="170"/>
      <c r="C508" s="170"/>
    </row>
    <row r="509" spans="2:3">
      <c r="B509" s="170"/>
      <c r="C509" s="170"/>
    </row>
    <row r="510" spans="2:3">
      <c r="B510" s="170"/>
      <c r="C510" s="170"/>
    </row>
    <row r="511" spans="2:3">
      <c r="B511" s="170"/>
      <c r="C511" s="170"/>
    </row>
    <row r="512" spans="2:3">
      <c r="B512" s="170"/>
      <c r="C512" s="170"/>
    </row>
    <row r="513" spans="2:3">
      <c r="B513" s="170"/>
      <c r="C513" s="170"/>
    </row>
    <row r="514" spans="2:3">
      <c r="B514" s="170"/>
      <c r="C514" s="170"/>
    </row>
    <row r="515" spans="2:3">
      <c r="B515" s="170"/>
      <c r="C515" s="170"/>
    </row>
    <row r="516" spans="2:3">
      <c r="B516" s="170"/>
      <c r="C516" s="170"/>
    </row>
    <row r="517" spans="2:3">
      <c r="B517" s="170"/>
      <c r="C517" s="170"/>
    </row>
    <row r="518" spans="2:3">
      <c r="B518" s="170"/>
      <c r="C518" s="170"/>
    </row>
    <row r="519" spans="2:3">
      <c r="B519" s="170"/>
      <c r="C519" s="170"/>
    </row>
    <row r="520" spans="2:3">
      <c r="B520" s="170"/>
      <c r="C520" s="170"/>
    </row>
    <row r="521" spans="2:3">
      <c r="B521" s="170"/>
      <c r="C521" s="170"/>
    </row>
    <row r="522" spans="2:3">
      <c r="B522" s="170"/>
      <c r="C522" s="170"/>
    </row>
    <row r="523" spans="2:3">
      <c r="B523" s="170"/>
      <c r="C523" s="170"/>
    </row>
    <row r="524" spans="2:3">
      <c r="B524" s="170"/>
      <c r="C524" s="170"/>
    </row>
    <row r="525" spans="2:3">
      <c r="B525" s="170"/>
      <c r="C525" s="170"/>
    </row>
    <row r="526" spans="2:3">
      <c r="B526" s="170"/>
      <c r="C526" s="170"/>
    </row>
    <row r="527" spans="2:3">
      <c r="B527" s="170"/>
      <c r="C527" s="170"/>
    </row>
    <row r="528" spans="2:3">
      <c r="B528" s="170"/>
      <c r="C528" s="170"/>
    </row>
    <row r="529" spans="2:3">
      <c r="B529" s="170"/>
      <c r="C529" s="170"/>
    </row>
    <row r="530" spans="2:3">
      <c r="B530" s="170"/>
      <c r="C530" s="170"/>
    </row>
    <row r="531" spans="2:3">
      <c r="B531" s="170"/>
      <c r="C531" s="170"/>
    </row>
    <row r="532" spans="2:3">
      <c r="B532" s="170"/>
      <c r="C532" s="170"/>
    </row>
    <row r="533" spans="2:3">
      <c r="B533" s="170"/>
      <c r="C533" s="170"/>
    </row>
    <row r="534" spans="2:3">
      <c r="B534" s="170"/>
      <c r="C534" s="170"/>
    </row>
    <row r="535" spans="2:3">
      <c r="B535" s="170"/>
      <c r="C535" s="170"/>
    </row>
    <row r="536" spans="2:3">
      <c r="B536" s="170"/>
      <c r="C536" s="170"/>
    </row>
    <row r="537" spans="2:3">
      <c r="B537" s="170"/>
      <c r="C537" s="170"/>
    </row>
    <row r="538" spans="2:3">
      <c r="B538" s="170"/>
      <c r="C538" s="170"/>
    </row>
    <row r="539" spans="2:3">
      <c r="B539" s="170"/>
      <c r="C539" s="170"/>
    </row>
    <row r="540" spans="2:3">
      <c r="B540" s="170"/>
      <c r="C540" s="170"/>
    </row>
    <row r="541" spans="2:3">
      <c r="B541" s="170"/>
      <c r="C541" s="170"/>
    </row>
    <row r="542" spans="2:3">
      <c r="B542" s="170"/>
      <c r="C542" s="170"/>
    </row>
    <row r="543" spans="2:3">
      <c r="B543" s="170"/>
      <c r="C543" s="170"/>
    </row>
    <row r="544" spans="2:3">
      <c r="B544" s="170"/>
      <c r="C544" s="170"/>
    </row>
    <row r="545" spans="2:3">
      <c r="B545" s="170"/>
      <c r="C545" s="170"/>
    </row>
    <row r="546" spans="2:3">
      <c r="B546" s="170"/>
      <c r="C546" s="170"/>
    </row>
    <row r="547" spans="2:3">
      <c r="B547" s="170"/>
      <c r="C547" s="170"/>
    </row>
    <row r="548" spans="2:3">
      <c r="B548" s="170"/>
      <c r="C548" s="170"/>
    </row>
    <row r="549" spans="2:3">
      <c r="B549" s="170"/>
      <c r="C549" s="170"/>
    </row>
    <row r="550" spans="2:3">
      <c r="B550" s="170"/>
      <c r="C550" s="170"/>
    </row>
    <row r="551" spans="2:3">
      <c r="B551" s="170"/>
      <c r="C551" s="170"/>
    </row>
    <row r="552" spans="2:3">
      <c r="B552" s="170"/>
      <c r="C552" s="170"/>
    </row>
    <row r="553" spans="2:3">
      <c r="B553" s="170"/>
      <c r="C553" s="170"/>
    </row>
    <row r="554" spans="2:3">
      <c r="B554" s="170"/>
      <c r="C554" s="170"/>
    </row>
    <row r="555" spans="2:3">
      <c r="B555" s="170"/>
      <c r="C555" s="170"/>
    </row>
    <row r="556" spans="2:3">
      <c r="B556" s="170"/>
      <c r="C556" s="170"/>
    </row>
    <row r="557" spans="2:3">
      <c r="B557" s="170"/>
      <c r="C557" s="170"/>
    </row>
    <row r="558" spans="2:3">
      <c r="B558" s="170"/>
      <c r="C558" s="170"/>
    </row>
    <row r="559" spans="2:3">
      <c r="B559" s="170"/>
      <c r="C559" s="170"/>
    </row>
    <row r="560" spans="2:3">
      <c r="B560" s="170"/>
      <c r="C560" s="170"/>
    </row>
    <row r="561" spans="2:3">
      <c r="B561" s="170"/>
      <c r="C561" s="170"/>
    </row>
    <row r="562" spans="2:3">
      <c r="B562" s="170"/>
      <c r="C562" s="170"/>
    </row>
    <row r="563" spans="2:3">
      <c r="B563" s="170"/>
      <c r="C563" s="170"/>
    </row>
    <row r="564" spans="2:3">
      <c r="B564" s="170"/>
      <c r="C564" s="170"/>
    </row>
    <row r="565" spans="2:3">
      <c r="B565" s="170"/>
      <c r="C565" s="170"/>
    </row>
    <row r="566" spans="2:3">
      <c r="B566" s="170"/>
      <c r="C566" s="170"/>
    </row>
    <row r="567" spans="2:3">
      <c r="B567" s="170"/>
      <c r="C567" s="170"/>
    </row>
    <row r="568" spans="2:3">
      <c r="B568" s="170"/>
      <c r="C568" s="170"/>
    </row>
    <row r="569" spans="2:3">
      <c r="B569" s="170"/>
      <c r="C569" s="170"/>
    </row>
    <row r="570" spans="2:3">
      <c r="B570" s="170"/>
      <c r="C570" s="170"/>
    </row>
    <row r="571" spans="2:3">
      <c r="B571" s="170"/>
      <c r="C571" s="170"/>
    </row>
    <row r="572" spans="2:3">
      <c r="B572" s="170"/>
      <c r="C572" s="170"/>
    </row>
    <row r="573" spans="2:3">
      <c r="B573" s="170"/>
      <c r="C573" s="170"/>
    </row>
    <row r="574" spans="2:3">
      <c r="B574" s="170"/>
      <c r="C574" s="170"/>
    </row>
    <row r="575" spans="2:3">
      <c r="B575" s="170"/>
      <c r="C575" s="170"/>
    </row>
    <row r="576" spans="2:3">
      <c r="B576" s="170"/>
      <c r="C576" s="170"/>
    </row>
    <row r="577" spans="2:3">
      <c r="B577" s="170"/>
      <c r="C577" s="170"/>
    </row>
    <row r="578" spans="2:3">
      <c r="B578" s="170"/>
      <c r="C578" s="170"/>
    </row>
    <row r="579" spans="2:3">
      <c r="B579" s="170"/>
      <c r="C579" s="170"/>
    </row>
    <row r="580" spans="2:3">
      <c r="B580" s="170"/>
      <c r="C580" s="170"/>
    </row>
    <row r="581" spans="2:3">
      <c r="B581" s="170"/>
      <c r="C581" s="170"/>
    </row>
    <row r="582" spans="2:3">
      <c r="B582" s="170"/>
      <c r="C582" s="170"/>
    </row>
    <row r="583" spans="2:3">
      <c r="B583" s="170"/>
      <c r="C583" s="170"/>
    </row>
    <row r="584" spans="2:3">
      <c r="B584" s="170"/>
      <c r="C584" s="170"/>
    </row>
    <row r="585" spans="2:3">
      <c r="B585" s="170"/>
      <c r="C585" s="170"/>
    </row>
    <row r="586" spans="2:3">
      <c r="B586" s="170"/>
      <c r="C586" s="170"/>
    </row>
    <row r="587" spans="2:3">
      <c r="B587" s="170"/>
      <c r="C587" s="170"/>
    </row>
    <row r="588" spans="2:3">
      <c r="B588" s="170"/>
      <c r="C588" s="170"/>
    </row>
    <row r="589" spans="2:3">
      <c r="B589" s="170"/>
      <c r="C589" s="170"/>
    </row>
    <row r="590" spans="2:3">
      <c r="B590" s="170"/>
      <c r="C590" s="170"/>
    </row>
    <row r="591" spans="2:3">
      <c r="B591" s="170"/>
      <c r="C591" s="170"/>
    </row>
    <row r="592" spans="2:3">
      <c r="B592" s="170"/>
      <c r="C592" s="170"/>
    </row>
    <row r="593" spans="2:3">
      <c r="B593" s="170"/>
      <c r="C593" s="170"/>
    </row>
    <row r="594" spans="2:3">
      <c r="B594" s="170"/>
      <c r="C594" s="170"/>
    </row>
    <row r="595" spans="2:3">
      <c r="B595" s="170"/>
      <c r="C595" s="170"/>
    </row>
    <row r="596" spans="2:3">
      <c r="B596" s="170"/>
      <c r="C596" s="170"/>
    </row>
    <row r="597" spans="2:3">
      <c r="B597" s="170"/>
      <c r="C597" s="170"/>
    </row>
    <row r="598" spans="2:3">
      <c r="B598" s="170"/>
      <c r="C598" s="170"/>
    </row>
    <row r="599" spans="2:3">
      <c r="B599" s="170"/>
      <c r="C599" s="170"/>
    </row>
    <row r="600" spans="2:3">
      <c r="B600" s="170"/>
      <c r="C600" s="170"/>
    </row>
    <row r="601" spans="2:3">
      <c r="B601" s="170"/>
      <c r="C601" s="170"/>
    </row>
    <row r="602" spans="2:3">
      <c r="B602" s="170"/>
      <c r="C602" s="170"/>
    </row>
    <row r="603" spans="2:3">
      <c r="B603" s="170"/>
      <c r="C603" s="170"/>
    </row>
    <row r="604" spans="2:3">
      <c r="B604" s="170"/>
      <c r="C604" s="170"/>
    </row>
    <row r="605" spans="2:3">
      <c r="B605" s="170"/>
      <c r="C605" s="170"/>
    </row>
    <row r="606" spans="2:3">
      <c r="B606" s="170"/>
      <c r="C606" s="170"/>
    </row>
    <row r="607" spans="2:3">
      <c r="B607" s="170"/>
      <c r="C607" s="170"/>
    </row>
    <row r="608" spans="2:3">
      <c r="B608" s="170"/>
      <c r="C608" s="170"/>
    </row>
    <row r="609" spans="2:3">
      <c r="B609" s="170"/>
      <c r="C609" s="170"/>
    </row>
    <row r="610" spans="2:3">
      <c r="B610" s="170"/>
      <c r="C610" s="170"/>
    </row>
    <row r="611" spans="2:3">
      <c r="B611" s="170"/>
      <c r="C611" s="170"/>
    </row>
    <row r="612" spans="2:3">
      <c r="B612" s="170"/>
      <c r="C612" s="170"/>
    </row>
    <row r="613" spans="2:3">
      <c r="B613" s="170"/>
      <c r="C613" s="170"/>
    </row>
    <row r="614" spans="2:3">
      <c r="B614" s="170"/>
      <c r="C614" s="170"/>
    </row>
    <row r="615" spans="2:3">
      <c r="B615" s="170"/>
      <c r="C615" s="170"/>
    </row>
    <row r="616" spans="2:3">
      <c r="B616" s="170"/>
      <c r="C616" s="170"/>
    </row>
    <row r="617" spans="2:3">
      <c r="B617" s="170"/>
      <c r="C617" s="170"/>
    </row>
    <row r="618" spans="2:3">
      <c r="B618" s="170"/>
      <c r="C618" s="170"/>
    </row>
    <row r="619" spans="2:3">
      <c r="B619" s="170"/>
      <c r="C619" s="170"/>
    </row>
    <row r="620" spans="2:3">
      <c r="B620" s="170"/>
      <c r="C620" s="170"/>
    </row>
    <row r="621" spans="2:3">
      <c r="B621" s="170"/>
      <c r="C621" s="170"/>
    </row>
    <row r="622" spans="2:3">
      <c r="B622" s="170"/>
      <c r="C622" s="170"/>
    </row>
    <row r="623" spans="2:3">
      <c r="B623" s="170"/>
      <c r="C623" s="170"/>
    </row>
    <row r="624" spans="2:3">
      <c r="B624" s="170"/>
      <c r="C624" s="170"/>
    </row>
    <row r="625" spans="2:3">
      <c r="B625" s="170"/>
      <c r="C625" s="170"/>
    </row>
    <row r="626" spans="2:3">
      <c r="B626" s="170"/>
      <c r="C626" s="170"/>
    </row>
    <row r="627" spans="2:3">
      <c r="B627" s="170"/>
      <c r="C627" s="170"/>
    </row>
    <row r="628" spans="2:3">
      <c r="B628" s="170"/>
      <c r="C628" s="170"/>
    </row>
    <row r="629" spans="2:3">
      <c r="B629" s="170"/>
      <c r="C629" s="170"/>
    </row>
    <row r="630" spans="2:3">
      <c r="B630" s="170"/>
      <c r="C630" s="170"/>
    </row>
    <row r="631" spans="2:3">
      <c r="B631" s="170"/>
      <c r="C631" s="170"/>
    </row>
    <row r="632" spans="2:3">
      <c r="B632" s="170"/>
      <c r="C632" s="170"/>
    </row>
    <row r="633" spans="2:3">
      <c r="B633" s="170"/>
      <c r="C633" s="170"/>
    </row>
    <row r="634" spans="2:3">
      <c r="B634" s="170"/>
      <c r="C634" s="170"/>
    </row>
    <row r="635" spans="2:3">
      <c r="B635" s="170"/>
      <c r="C635" s="170"/>
    </row>
    <row r="636" spans="2:3">
      <c r="B636" s="170"/>
      <c r="C636" s="170"/>
    </row>
    <row r="637" spans="2:3">
      <c r="B637" s="170"/>
      <c r="C637" s="170"/>
    </row>
    <row r="638" spans="2:3">
      <c r="B638" s="170"/>
      <c r="C638" s="170"/>
    </row>
    <row r="639" spans="2:3">
      <c r="B639" s="170"/>
      <c r="C639" s="170"/>
    </row>
    <row r="640" spans="2:3">
      <c r="B640" s="170"/>
      <c r="C640" s="170"/>
    </row>
    <row r="641" spans="2:3">
      <c r="B641" s="170"/>
      <c r="C641" s="170"/>
    </row>
    <row r="642" spans="2:3">
      <c r="B642" s="170"/>
      <c r="C642" s="170"/>
    </row>
    <row r="643" spans="2:3">
      <c r="B643" s="170"/>
      <c r="C643" s="170"/>
    </row>
    <row r="644" spans="2:3">
      <c r="B644" s="170"/>
      <c r="C644" s="170"/>
    </row>
    <row r="645" spans="2:3">
      <c r="B645" s="170"/>
      <c r="C645" s="170"/>
    </row>
    <row r="646" spans="2:3">
      <c r="B646" s="170"/>
      <c r="C646" s="170"/>
    </row>
    <row r="647" spans="2:3">
      <c r="B647" s="170"/>
      <c r="C647" s="170"/>
    </row>
    <row r="648" spans="2:3">
      <c r="B648" s="170"/>
      <c r="C648" s="170"/>
    </row>
    <row r="649" spans="2:3">
      <c r="B649" s="170"/>
      <c r="C649" s="170"/>
    </row>
    <row r="650" spans="2:3">
      <c r="B650" s="170"/>
      <c r="C650" s="170"/>
    </row>
    <row r="651" spans="2:3">
      <c r="B651" s="170"/>
      <c r="C651" s="170"/>
    </row>
    <row r="652" spans="2:3">
      <c r="B652" s="170"/>
      <c r="C652" s="170"/>
    </row>
    <row r="653" spans="2:3">
      <c r="B653" s="170"/>
      <c r="C653" s="170"/>
    </row>
    <row r="654" spans="2:3">
      <c r="B654" s="170"/>
      <c r="C654" s="170"/>
    </row>
    <row r="655" spans="2:3">
      <c r="B655" s="170"/>
      <c r="C655" s="170"/>
    </row>
    <row r="656" spans="2:3">
      <c r="B656" s="170"/>
      <c r="C656" s="170"/>
    </row>
    <row r="657" spans="2:3">
      <c r="B657" s="170"/>
      <c r="C657" s="170"/>
    </row>
    <row r="658" spans="2:3">
      <c r="B658" s="170"/>
      <c r="C658" s="170"/>
    </row>
    <row r="659" spans="2:3">
      <c r="B659" s="170"/>
      <c r="C659" s="170"/>
    </row>
    <row r="660" spans="2:3">
      <c r="B660" s="170"/>
      <c r="C660" s="170"/>
    </row>
    <row r="661" spans="2:3">
      <c r="B661" s="170"/>
      <c r="C661" s="170"/>
    </row>
    <row r="662" spans="2:3">
      <c r="B662" s="170"/>
      <c r="C662" s="170"/>
    </row>
    <row r="663" spans="2:3">
      <c r="B663" s="170"/>
      <c r="C663" s="170"/>
    </row>
    <row r="664" spans="2:3">
      <c r="B664" s="170"/>
      <c r="C664" s="170"/>
    </row>
    <row r="665" spans="2:3">
      <c r="B665" s="170"/>
      <c r="C665" s="170"/>
    </row>
    <row r="666" spans="2:3">
      <c r="B666" s="170"/>
      <c r="C666" s="170"/>
    </row>
    <row r="667" spans="2:3">
      <c r="B667" s="170"/>
      <c r="C667" s="170"/>
    </row>
    <row r="668" spans="2:3">
      <c r="B668" s="170"/>
      <c r="C668" s="170"/>
    </row>
  </sheetData>
  <sheetProtection formatColumns="0" formatRows="0"/>
  <dataValidations count="1">
    <dataValidation type="list" allowBlank="1" showInputMessage="1" showErrorMessage="1" sqref="C4" xr:uid="{00000000-0002-0000-0200-000000000000}">
      <formula1>OFFSET($V$3,1,0,$V$2,1)</formula1>
    </dataValidation>
  </dataValidations>
  <pageMargins left="0.7" right="0.7" top="0.75" bottom="0.75" header="0.3" footer="0.3"/>
  <pageSetup orientation="portrait" horizontalDpi="200" verticalDpi="200" r:id="rId1"/>
  <headerFooter>
    <oddFooter>&amp;CAT&amp;&amp;T Proprietary (Internal Use Only)</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49857" r:id="rId4" name="Button 1">
              <controlPr defaultSize="0" print="0" autoFill="0" autoPict="0" macro="[0]!wsProductList.ListProducts">
                <anchor moveWithCells="1" sizeWithCells="1">
                  <from>
                    <xdr:col>1</xdr:col>
                    <xdr:colOff>133350</xdr:colOff>
                    <xdr:row>6</xdr:row>
                    <xdr:rowOff>76200</xdr:rowOff>
                  </from>
                  <to>
                    <xdr:col>2</xdr:col>
                    <xdr:colOff>133350</xdr:colOff>
                    <xdr:row>7</xdr:row>
                    <xdr:rowOff>133350</xdr:rowOff>
                  </to>
                </anchor>
              </controlPr>
            </control>
          </mc:Choice>
        </mc:AlternateContent>
        <mc:AlternateContent xmlns:mc="http://schemas.openxmlformats.org/markup-compatibility/2006">
          <mc:Choice Requires="x14">
            <control shapeId="249858" r:id="rId5" name="Button 2">
              <controlPr defaultSize="0" print="0" autoFill="0" autoPict="0" macro="[0]!wsProductList.Clear_List">
                <anchor moveWithCells="1" sizeWithCells="1">
                  <from>
                    <xdr:col>2</xdr:col>
                    <xdr:colOff>371475</xdr:colOff>
                    <xdr:row>6</xdr:row>
                    <xdr:rowOff>76200</xdr:rowOff>
                  </from>
                  <to>
                    <xdr:col>2</xdr:col>
                    <xdr:colOff>1295400</xdr:colOff>
                    <xdr:row>7</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NSS_OEMAC"/>
  <dimension ref="A1:FJ25"/>
  <sheetViews>
    <sheetView showGridLines="0" workbookViewId="0">
      <selection activeCell="E30" sqref="E30"/>
    </sheetView>
  </sheetViews>
  <sheetFormatPr defaultColWidth="9.140625" defaultRowHeight="12.75"/>
  <cols>
    <col min="1" max="1" width="3.42578125" style="1065" customWidth="1"/>
    <col min="2" max="2" width="26.28515625" style="941" customWidth="1"/>
    <col min="3" max="4" width="9.140625" style="941"/>
    <col min="5" max="6" width="9.140625" style="1065"/>
    <col min="7" max="7" width="32.140625" style="941" customWidth="1"/>
    <col min="8" max="8" width="9.140625" style="941"/>
    <col min="9" max="9" width="15.28515625" style="941" customWidth="1"/>
    <col min="10" max="11" width="9.140625" style="941"/>
    <col min="12" max="14" width="9.140625" style="1065"/>
    <col min="15" max="17" width="9.140625" style="941"/>
    <col min="18" max="18" width="10.7109375" style="941" customWidth="1"/>
    <col min="19" max="20" width="9.140625" style="1065"/>
    <col min="21" max="21" width="11" style="941" customWidth="1"/>
    <col min="22" max="24" width="9.140625" style="941"/>
    <col min="25" max="25" width="13.28515625" style="941" customWidth="1"/>
    <col min="26" max="53" width="9.140625" style="941"/>
    <col min="54" max="54" width="16.5703125" style="941" customWidth="1"/>
    <col min="55" max="57" width="9.140625" style="941"/>
    <col min="58" max="62" width="9.140625" style="1065"/>
    <col min="63" max="63" width="10.7109375" style="941" customWidth="1"/>
    <col min="64" max="64" width="9.140625" style="941"/>
    <col min="65" max="65" width="11.7109375" style="941" customWidth="1"/>
    <col min="66" max="83" width="9.140625" style="941"/>
    <col min="84" max="85" width="9.140625" style="1065"/>
    <col min="86" max="130" width="9.140625" style="941"/>
    <col min="131" max="131" width="9.140625" style="1065" customWidth="1"/>
    <col min="132" max="132" width="41.28515625" style="941" customWidth="1"/>
    <col min="133" max="133" width="15.85546875" style="941" customWidth="1"/>
    <col min="134" max="135" width="10.5703125" style="941" customWidth="1"/>
    <col min="136" max="136" width="5.42578125" style="941" customWidth="1"/>
    <col min="137" max="137" width="6.7109375" style="941" customWidth="1"/>
    <col min="138" max="138" width="8.7109375" style="941" customWidth="1"/>
    <col min="139" max="139" width="16.28515625" style="941" customWidth="1"/>
    <col min="140" max="140" width="11.85546875" style="941" customWidth="1"/>
    <col min="141" max="141" width="11.7109375" style="941" customWidth="1"/>
    <col min="142" max="142" width="19.5703125" style="941" customWidth="1"/>
    <col min="143" max="143" width="11.42578125" style="941" customWidth="1"/>
    <col min="144" max="159" width="9.140625" style="941" customWidth="1"/>
    <col min="160" max="166" width="9.140625" style="941"/>
    <col min="167" max="172" width="0" style="941" hidden="1" customWidth="1"/>
    <col min="173" max="16384" width="9.140625" style="941"/>
  </cols>
  <sheetData>
    <row r="1" spans="2:166" s="1065" customFormat="1" ht="35.450000000000003" customHeight="1">
      <c r="EQ1" s="1655" t="s">
        <v>11284</v>
      </c>
      <c r="ER1" s="1655" t="s">
        <v>11563</v>
      </c>
      <c r="ES1" s="1655"/>
      <c r="ET1" s="1655" t="s">
        <v>11564</v>
      </c>
      <c r="EU1" s="1655"/>
      <c r="EV1" s="1655"/>
      <c r="EW1" s="1042"/>
      <c r="EX1" s="1042"/>
      <c r="EY1" s="1042"/>
      <c r="EZ1" s="1042"/>
      <c r="FA1" s="1042"/>
      <c r="FB1" s="1042"/>
      <c r="FC1" s="1042"/>
      <c r="FD1" s="1042"/>
      <c r="FE1" s="1042"/>
      <c r="FF1" s="1042"/>
    </row>
    <row r="2" spans="2:166" s="1065" customFormat="1" ht="17.45" customHeight="1">
      <c r="EQ2" s="1656" t="b">
        <f ca="1">IFERROR(OR(ASE_SalesExpress,RIGHT(INDIRECT("'Product "&amp;OEMACProdNum&amp;"'!Subprod_Name_2"),7)="2015-08",RIGHT(INDIRECT("'Product "&amp;OEMACProdNum&amp;"'!Subprod_Name_2"),7)="2015-09",RIGHT(INDIRECT("'Product "&amp;OEMACProdNum&amp;"'!Subprod_Name_2"),7)="2016-06"),FALSE)</f>
        <v>0</v>
      </c>
      <c r="ER2" s="1656" t="b">
        <f ca="1">IFERROR(OR(INDIRECT("'Product "&amp;OEMACProdNum&amp;"'!J1")=ES2),FALSE)</f>
        <v>0</v>
      </c>
      <c r="ES2" s="1657">
        <v>6090</v>
      </c>
      <c r="ET2" s="1656" t="b">
        <f ca="1">IFERROR(IF(INDIRECT("'Product "&amp;OEMACProdNum&amp;"'!DB1")=TRUE,TRUE,FALSE),FALSE)</f>
        <v>0</v>
      </c>
      <c r="EU2" s="1655"/>
      <c r="EV2" s="1655"/>
      <c r="EW2" s="1042"/>
      <c r="EX2" s="1042"/>
      <c r="EY2" s="1042"/>
      <c r="EZ2" s="1042"/>
      <c r="FA2" s="1042"/>
      <c r="FB2" s="1042"/>
      <c r="FC2" s="1042"/>
      <c r="FD2" s="1042"/>
      <c r="FE2" s="1042"/>
      <c r="FF2" s="1042"/>
    </row>
    <row r="3" spans="2:166" s="1065" customFormat="1">
      <c r="B3" s="141" t="s">
        <v>67</v>
      </c>
      <c r="C3" s="143"/>
      <c r="G3" s="141" t="s">
        <v>10655</v>
      </c>
      <c r="H3" s="143" t="s">
        <v>10656</v>
      </c>
      <c r="I3" s="397" t="s">
        <v>10654</v>
      </c>
      <c r="EQ3" s="1655"/>
      <c r="ER3" s="1655"/>
      <c r="ES3" s="1655"/>
      <c r="ET3" s="1655"/>
      <c r="EU3" s="1655"/>
      <c r="EV3" s="1655"/>
      <c r="EW3" s="1042"/>
      <c r="EX3" s="1042"/>
      <c r="EY3" s="1042"/>
      <c r="EZ3" s="1042"/>
      <c r="FA3" s="1042"/>
      <c r="FB3" s="1042"/>
      <c r="FC3" s="1042"/>
      <c r="FD3" s="1042"/>
      <c r="FE3" s="1042"/>
      <c r="FF3" s="1042"/>
    </row>
    <row r="4" spans="2:166" s="1065" customFormat="1">
      <c r="B4" s="141" t="s">
        <v>201</v>
      </c>
      <c r="C4" s="143"/>
      <c r="G4" s="141" t="s">
        <v>10653</v>
      </c>
      <c r="H4" s="143" t="s">
        <v>10656</v>
      </c>
      <c r="I4" s="397" t="s">
        <v>10654</v>
      </c>
      <c r="U4" s="1066" t="str">
        <f>IF(U16&amp;V16&amp;W16&lt;&gt;"","","**** PLEASE FILL OUT GREEN FIELDS BELOW ! ****")</f>
        <v>**** PLEASE FILL OUT GREEN FIELDS BELOW ! ****</v>
      </c>
      <c r="EQ4" s="1042"/>
      <c r="ER4" s="1042"/>
      <c r="ES4" s="1042"/>
      <c r="ET4" s="1042"/>
      <c r="EU4" s="1042"/>
      <c r="EV4" s="1042"/>
      <c r="EW4" s="1042"/>
      <c r="EX4" s="1042"/>
      <c r="EY4" s="1042"/>
      <c r="EZ4" s="1042"/>
      <c r="FA4" s="1042"/>
      <c r="FB4" s="1042"/>
      <c r="FC4" s="1042"/>
      <c r="FD4" s="1042"/>
      <c r="FE4" s="1042"/>
      <c r="FF4" s="1042"/>
    </row>
    <row r="5" spans="2:166" s="1065" customFormat="1">
      <c r="B5" s="141" t="s">
        <v>8068</v>
      </c>
      <c r="C5" s="137"/>
      <c r="D5" s="1066" t="str">
        <f>IF(oemacSupportRequestID&lt;&gt;"","","**** PLEASE FILL OUT SUPPORT REQUEST ID! ****")</f>
        <v>**** PLEASE FILL OUT SUPPORT REQUEST ID! ****</v>
      </c>
      <c r="EQ5" s="1042"/>
      <c r="ER5" s="1042"/>
      <c r="ES5" s="1042"/>
      <c r="ET5" s="1042"/>
      <c r="EU5" s="1042"/>
      <c r="EV5" s="1042"/>
      <c r="EW5" s="1042"/>
      <c r="EX5" s="1042"/>
      <c r="EY5" s="1042"/>
      <c r="EZ5" s="1042"/>
      <c r="FA5" s="1042"/>
      <c r="FB5" s="1042"/>
      <c r="FC5" s="1042"/>
      <c r="FD5" s="1042"/>
      <c r="FE5" s="1042"/>
      <c r="FF5" s="1042"/>
    </row>
    <row r="6" spans="2:166" s="1065" customFormat="1">
      <c r="EQ6" s="1042"/>
      <c r="ER6" s="1042"/>
      <c r="ES6" s="1042"/>
      <c r="ET6" s="1042"/>
      <c r="EU6" s="1042"/>
      <c r="EV6" s="1042"/>
      <c r="EW6" s="1042"/>
      <c r="EX6" s="1042"/>
      <c r="EY6" s="1042"/>
      <c r="EZ6" s="1042"/>
      <c r="FA6" s="1042"/>
      <c r="FB6" s="1042"/>
      <c r="FC6" s="1042"/>
      <c r="FD6" s="1042"/>
      <c r="FE6" s="1042"/>
      <c r="FF6" s="1042"/>
    </row>
    <row r="7" spans="2:166" s="1065" customFormat="1" hidden="1">
      <c r="B7" s="1067" t="s">
        <v>12663</v>
      </c>
      <c r="C7" s="1067"/>
      <c r="D7" s="1068"/>
      <c r="E7" s="1068"/>
      <c r="F7" s="1068"/>
      <c r="G7" s="1068"/>
      <c r="H7" s="1068"/>
      <c r="I7" s="1068"/>
      <c r="J7" s="1068"/>
      <c r="K7" s="1068"/>
      <c r="L7" s="1068"/>
      <c r="M7" s="1068"/>
      <c r="N7" s="1068"/>
      <c r="O7" s="1068"/>
      <c r="P7" s="1068"/>
      <c r="Q7" s="1068"/>
      <c r="R7" s="1068"/>
      <c r="S7" s="1068"/>
      <c r="T7" s="1068"/>
      <c r="U7" s="1068"/>
      <c r="V7" s="1068"/>
      <c r="W7" s="1068"/>
      <c r="X7" s="1068"/>
      <c r="Y7" s="1068"/>
      <c r="Z7" s="1068"/>
      <c r="AA7" s="1068"/>
      <c r="AB7" s="1068"/>
      <c r="AC7" s="1068"/>
      <c r="AD7" s="1068"/>
      <c r="AE7" s="1068"/>
      <c r="AF7" s="1068"/>
      <c r="AG7" s="1068"/>
      <c r="AH7" s="1068"/>
      <c r="AI7" s="1068"/>
      <c r="AJ7" s="1068"/>
      <c r="AK7" s="1068"/>
      <c r="AL7" s="1068"/>
      <c r="AM7" s="1068"/>
      <c r="AN7" s="1068"/>
      <c r="AO7" s="1068"/>
      <c r="AP7" s="1068"/>
      <c r="AQ7" s="1068"/>
      <c r="AR7" s="1068"/>
      <c r="AS7" s="1068"/>
      <c r="AT7" s="1068"/>
      <c r="AU7" s="1068"/>
      <c r="AV7" s="1068"/>
      <c r="AW7" s="1068"/>
      <c r="AX7" s="1068"/>
      <c r="AY7" s="1068"/>
      <c r="AZ7" s="1068"/>
      <c r="BA7" s="1068"/>
      <c r="BB7" s="1068"/>
      <c r="BC7" s="1068"/>
      <c r="BD7" s="1068"/>
      <c r="BE7" s="1068"/>
      <c r="BF7" s="1068"/>
      <c r="BG7" s="1068"/>
      <c r="BH7" s="1068"/>
      <c r="BI7" s="1068"/>
      <c r="BJ7" s="1068"/>
      <c r="BK7" s="1068"/>
      <c r="BL7" s="1068"/>
      <c r="BM7" s="1068"/>
      <c r="BN7" s="1068"/>
      <c r="BO7" s="1068"/>
      <c r="BP7" s="1068"/>
      <c r="BQ7" s="1068"/>
      <c r="BR7" s="1068"/>
      <c r="BS7" s="1068"/>
      <c r="BT7" s="1068"/>
      <c r="BU7" s="1068"/>
      <c r="BV7" s="1068"/>
      <c r="BW7" s="1068"/>
      <c r="BX7" s="1068"/>
      <c r="BY7" s="1068"/>
      <c r="BZ7" s="1068"/>
      <c r="CA7" s="1068"/>
      <c r="CB7" s="1068"/>
      <c r="CC7" s="1068"/>
      <c r="CD7" s="1068"/>
      <c r="CE7" s="1068"/>
      <c r="CF7" s="1068"/>
      <c r="CG7" s="1068"/>
      <c r="CH7" s="1068"/>
      <c r="CI7" s="1068"/>
      <c r="CJ7" s="1068"/>
      <c r="CK7" s="1068"/>
      <c r="CL7" s="1068"/>
      <c r="CM7" s="1068"/>
      <c r="CN7" s="1068"/>
      <c r="CO7" s="1068"/>
      <c r="CP7" s="1068"/>
      <c r="CQ7" s="1068"/>
      <c r="CR7" s="1068"/>
      <c r="CS7" s="1068"/>
      <c r="CT7" s="1068"/>
      <c r="CU7" s="1068"/>
      <c r="CV7" s="1068"/>
      <c r="CW7" s="1068"/>
      <c r="CX7" s="1068"/>
      <c r="CY7" s="1068"/>
      <c r="CZ7" s="1068"/>
      <c r="DA7" s="1068"/>
      <c r="DB7" s="1068"/>
      <c r="DC7" s="1068"/>
      <c r="DD7" s="1068"/>
      <c r="DE7" s="1068"/>
      <c r="DF7" s="1068"/>
      <c r="DG7" s="1068"/>
      <c r="DH7" s="1068"/>
      <c r="DI7" s="1068"/>
      <c r="DJ7" s="1068"/>
      <c r="DK7" s="1068"/>
      <c r="DL7" s="1068"/>
      <c r="DM7" s="1068"/>
      <c r="DN7" s="1068"/>
      <c r="DO7" s="1068"/>
      <c r="DP7" s="1068"/>
      <c r="DQ7" s="1068"/>
      <c r="DR7" s="1068"/>
      <c r="DS7" s="1068"/>
      <c r="DT7" s="1068"/>
      <c r="DU7" s="1068"/>
      <c r="DV7" s="1068"/>
      <c r="DW7" s="1068"/>
      <c r="DX7" s="1068"/>
      <c r="DY7" s="1068"/>
      <c r="DZ7" s="1068"/>
      <c r="EQ7" s="1042"/>
      <c r="ER7" s="1042"/>
      <c r="ES7" s="1042"/>
      <c r="ET7" s="1042"/>
      <c r="EU7" s="1042"/>
      <c r="EV7" s="1042"/>
      <c r="EW7" s="1042"/>
      <c r="EX7" s="1042"/>
      <c r="EY7" s="1042"/>
      <c r="EZ7" s="1042"/>
      <c r="FA7" s="1042"/>
      <c r="FB7" s="1042"/>
      <c r="FC7" s="1042"/>
      <c r="FD7" s="1042"/>
      <c r="FE7" s="1042"/>
      <c r="FF7" s="1042"/>
    </row>
    <row r="8" spans="2:166" s="1065" customFormat="1" hidden="1">
      <c r="B8" s="1070"/>
      <c r="C8" s="160"/>
      <c r="D8" s="1070"/>
      <c r="E8" s="1071"/>
      <c r="F8" s="1070"/>
      <c r="G8" s="161"/>
      <c r="H8" s="161"/>
      <c r="I8" s="1070"/>
      <c r="J8" s="1070">
        <v>6</v>
      </c>
      <c r="K8" s="161"/>
      <c r="L8" s="1071"/>
      <c r="M8" s="1071"/>
      <c r="N8" s="1071"/>
      <c r="O8" s="1070"/>
      <c r="P8" s="1070">
        <v>7</v>
      </c>
      <c r="Q8" s="1070">
        <v>8</v>
      </c>
      <c r="R8" s="1070">
        <v>9</v>
      </c>
      <c r="S8" s="1071"/>
      <c r="T8" s="1071"/>
      <c r="U8" s="1070"/>
      <c r="V8" s="1070"/>
      <c r="W8" s="161"/>
      <c r="X8" s="1070"/>
      <c r="Y8" s="161">
        <v>10</v>
      </c>
      <c r="Z8" s="1070"/>
      <c r="AA8" s="1070"/>
      <c r="AB8" s="161"/>
      <c r="AC8" s="161"/>
      <c r="AD8" s="1072"/>
      <c r="AE8" s="1072"/>
      <c r="AF8" s="1072"/>
      <c r="AG8" s="1070"/>
      <c r="AH8" s="1072"/>
      <c r="AI8" s="161">
        <v>5</v>
      </c>
      <c r="AJ8" s="1070"/>
      <c r="AK8" s="1073"/>
      <c r="AL8" s="161"/>
      <c r="AM8" s="161">
        <v>14</v>
      </c>
      <c r="AN8" s="161"/>
      <c r="AO8" s="161"/>
      <c r="AP8" s="1070"/>
      <c r="AQ8" s="160"/>
      <c r="AR8" s="161"/>
      <c r="AS8" s="161"/>
      <c r="AT8" s="161"/>
      <c r="AU8" s="1070"/>
      <c r="AV8" s="1070"/>
      <c r="AW8" s="1070"/>
      <c r="AX8" s="1070">
        <v>15</v>
      </c>
      <c r="AY8" s="1070"/>
      <c r="AZ8" s="1070"/>
      <c r="BA8" s="1070"/>
      <c r="BB8" s="1070"/>
      <c r="BC8" s="1070"/>
      <c r="BD8" s="1070"/>
      <c r="BE8" s="1070"/>
      <c r="BF8" s="1071"/>
      <c r="BG8" s="1071"/>
      <c r="BH8" s="1071"/>
      <c r="BI8" s="1071"/>
      <c r="BJ8" s="1071"/>
      <c r="BK8" s="1070"/>
      <c r="BL8" s="1070"/>
      <c r="BM8" s="1070"/>
      <c r="BN8" s="1070">
        <v>12</v>
      </c>
      <c r="BO8" s="1070"/>
      <c r="BP8" s="1070"/>
      <c r="BQ8" s="1070">
        <v>13</v>
      </c>
      <c r="BR8" s="1070">
        <v>20</v>
      </c>
      <c r="BS8" s="1070"/>
      <c r="BT8" s="1070"/>
      <c r="BU8" s="1070">
        <v>22</v>
      </c>
      <c r="BV8" s="1070"/>
      <c r="BW8" s="1070"/>
      <c r="BX8" s="1070"/>
      <c r="BY8" s="1070"/>
      <c r="BZ8" s="1070"/>
      <c r="CA8" s="1070"/>
      <c r="CB8" s="1070"/>
      <c r="CC8" s="1070"/>
      <c r="CD8" s="1070"/>
      <c r="CE8" s="1070"/>
      <c r="CF8" s="1071"/>
      <c r="CG8" s="1070"/>
      <c r="CH8" s="1070">
        <v>4</v>
      </c>
      <c r="CI8" s="1070">
        <v>16</v>
      </c>
      <c r="CJ8" s="1070">
        <v>11</v>
      </c>
      <c r="CK8" s="1070"/>
      <c r="CL8" s="1070">
        <v>18</v>
      </c>
      <c r="CM8" s="1070">
        <v>19</v>
      </c>
      <c r="CN8" s="1070">
        <v>17</v>
      </c>
      <c r="CO8" s="1070">
        <v>21</v>
      </c>
      <c r="CP8" s="1070"/>
      <c r="CQ8" s="1070"/>
      <c r="CR8" s="1070"/>
      <c r="CS8" s="1070"/>
      <c r="CT8" s="1070"/>
      <c r="CU8" s="1070"/>
      <c r="CV8" s="1070"/>
      <c r="CW8" s="1070"/>
      <c r="CX8" s="1070"/>
      <c r="CY8" s="1070"/>
      <c r="CZ8" s="1070"/>
      <c r="DA8" s="1070"/>
      <c r="DB8" s="1070"/>
      <c r="DC8" s="1070"/>
      <c r="DD8" s="1070"/>
      <c r="DE8" s="1070"/>
      <c r="DF8" s="1070"/>
      <c r="DG8" s="1070"/>
      <c r="DH8" s="1070"/>
      <c r="DI8" s="1070"/>
      <c r="DJ8" s="1070"/>
      <c r="DK8" s="1070"/>
      <c r="DL8" s="1070"/>
      <c r="DM8" s="1070"/>
      <c r="DN8" s="1070"/>
      <c r="DO8" s="1070"/>
      <c r="DP8" s="1070"/>
      <c r="DQ8" s="1070"/>
      <c r="DR8" s="1070"/>
      <c r="DS8" s="1070"/>
      <c r="DT8" s="1070"/>
      <c r="DU8" s="1070"/>
      <c r="DV8" s="1070"/>
      <c r="DW8" s="1070"/>
      <c r="DX8" s="1070"/>
      <c r="DY8" s="1070"/>
      <c r="DZ8" s="1070"/>
      <c r="EQ8" s="1042"/>
      <c r="ER8" s="1042"/>
      <c r="ES8" s="1042"/>
      <c r="ET8" s="1042"/>
      <c r="EU8" s="1042"/>
      <c r="EV8" s="1042"/>
      <c r="EW8" s="1042"/>
      <c r="EX8" s="1042"/>
      <c r="EY8" s="1042"/>
      <c r="EZ8" s="1042"/>
      <c r="FA8" s="1042"/>
      <c r="FB8" s="1042"/>
      <c r="FC8" s="1042"/>
      <c r="FD8" s="1042"/>
      <c r="FE8" s="1042"/>
      <c r="FF8" s="1042"/>
    </row>
    <row r="9" spans="2:166" s="1065" customFormat="1" hidden="1">
      <c r="B9" s="1067" t="s">
        <v>11130</v>
      </c>
      <c r="C9" s="1067"/>
      <c r="D9" s="1068"/>
      <c r="E9" s="1068"/>
      <c r="F9" s="1068"/>
      <c r="G9" s="1068"/>
      <c r="H9" s="1068"/>
      <c r="I9" s="1068"/>
      <c r="J9" s="1068"/>
      <c r="K9" s="1068"/>
      <c r="L9" s="1068"/>
      <c r="M9" s="1068"/>
      <c r="N9" s="1068"/>
      <c r="O9" s="1068"/>
      <c r="P9" s="1068"/>
      <c r="Q9" s="1068"/>
      <c r="R9" s="1068"/>
      <c r="S9" s="1068"/>
      <c r="T9" s="1068"/>
      <c r="U9" s="1068"/>
      <c r="V9" s="1068"/>
      <c r="W9" s="1068"/>
      <c r="X9" s="1068"/>
      <c r="Y9" s="1068"/>
      <c r="Z9" s="1068"/>
      <c r="AA9" s="1068"/>
      <c r="AB9" s="1068"/>
      <c r="AC9" s="1068"/>
      <c r="AD9" s="1068"/>
      <c r="AE9" s="1068"/>
      <c r="AF9" s="1068"/>
      <c r="AG9" s="1068"/>
      <c r="AH9" s="1068"/>
      <c r="AI9" s="1068"/>
      <c r="AJ9" s="1068"/>
      <c r="AK9" s="1068"/>
      <c r="AL9" s="1068"/>
      <c r="AM9" s="1068"/>
      <c r="AN9" s="1068"/>
      <c r="AO9" s="1068"/>
      <c r="AP9" s="1068"/>
      <c r="AQ9" s="1068"/>
      <c r="AR9" s="1068"/>
      <c r="AS9" s="1068"/>
      <c r="AT9" s="1068"/>
      <c r="AU9" s="1068"/>
      <c r="AV9" s="1068"/>
      <c r="AW9" s="1068"/>
      <c r="AX9" s="1068"/>
      <c r="AY9" s="1068"/>
      <c r="AZ9" s="1068"/>
      <c r="BA9" s="1068"/>
      <c r="BB9" s="1068"/>
      <c r="BC9" s="1068"/>
      <c r="BD9" s="1068"/>
      <c r="BE9" s="1068"/>
      <c r="BF9" s="1068"/>
      <c r="BG9" s="1068"/>
      <c r="BH9" s="1068"/>
      <c r="BI9" s="1068"/>
      <c r="BJ9" s="1068"/>
      <c r="BK9" s="1068"/>
      <c r="BL9" s="1068"/>
      <c r="BM9" s="1068"/>
      <c r="BN9" s="1068"/>
      <c r="BO9" s="1068"/>
      <c r="BP9" s="1068"/>
      <c r="BQ9" s="1068"/>
      <c r="BR9" s="1068"/>
      <c r="BS9" s="1068"/>
      <c r="BT9" s="1068"/>
      <c r="BU9" s="1068"/>
      <c r="BV9" s="1068"/>
      <c r="BW9" s="1068"/>
      <c r="BX9" s="1068"/>
      <c r="BY9" s="1068"/>
      <c r="BZ9" s="1068"/>
      <c r="CA9" s="1068"/>
      <c r="CB9" s="1068"/>
      <c r="CC9" s="1068"/>
      <c r="CD9" s="1068"/>
      <c r="CE9" s="1068"/>
      <c r="CF9" s="1068"/>
      <c r="CG9" s="1068"/>
      <c r="CH9" s="1068"/>
      <c r="CI9" s="1068"/>
      <c r="CJ9" s="1068"/>
      <c r="CK9" s="1068"/>
      <c r="CL9" s="1068"/>
      <c r="CM9" s="1068"/>
      <c r="CN9" s="1068"/>
      <c r="CO9" s="1068"/>
      <c r="CP9" s="1068"/>
      <c r="CQ9" s="1068"/>
      <c r="CR9" s="1068"/>
      <c r="CS9" s="1068"/>
      <c r="CT9" s="1068"/>
      <c r="CU9" s="1068"/>
      <c r="CV9" s="1068"/>
      <c r="CW9" s="1068"/>
      <c r="CX9" s="1068"/>
      <c r="CY9" s="1068"/>
      <c r="CZ9" s="1068"/>
      <c r="DA9" s="1068"/>
      <c r="DB9" s="1068"/>
      <c r="DC9" s="1068"/>
      <c r="DD9" s="1068"/>
      <c r="DE9" s="1068"/>
      <c r="DF9" s="1068"/>
      <c r="DG9" s="1068"/>
      <c r="DH9" s="1068"/>
      <c r="DI9" s="1068"/>
      <c r="DJ9" s="1068"/>
      <c r="DK9" s="1068"/>
      <c r="DL9" s="1068"/>
      <c r="DM9" s="1068"/>
      <c r="DN9" s="1068"/>
      <c r="DO9" s="1068"/>
      <c r="DP9" s="1068"/>
      <c r="DQ9" s="1068"/>
      <c r="DR9" s="1068"/>
      <c r="DS9" s="1068"/>
      <c r="DT9" s="1068"/>
      <c r="DU9" s="1068"/>
      <c r="DV9" s="1068"/>
      <c r="DW9" s="1068"/>
      <c r="DX9" s="1068"/>
      <c r="DY9" s="1068"/>
      <c r="DZ9" s="1068"/>
      <c r="EB9" s="1069"/>
      <c r="EC9" s="1069"/>
      <c r="ED9" s="1069"/>
      <c r="EE9" s="1069"/>
      <c r="EF9" s="1069"/>
      <c r="EG9" s="1069"/>
      <c r="EH9" s="1069"/>
      <c r="EI9" s="1069"/>
      <c r="EJ9" s="1069"/>
      <c r="EK9" s="1069"/>
      <c r="EL9" s="1069"/>
      <c r="EM9" s="1069"/>
      <c r="EQ9" s="1042"/>
      <c r="ER9" s="1042"/>
      <c r="ES9" s="1042"/>
      <c r="ET9" s="1042"/>
      <c r="EU9" s="1042"/>
      <c r="EV9" s="1042"/>
      <c r="EW9" s="1042"/>
      <c r="EX9" s="1042"/>
      <c r="EY9" s="1042"/>
      <c r="EZ9" s="1042"/>
      <c r="FA9" s="1042"/>
      <c r="FB9" s="1042"/>
      <c r="FC9" s="1042"/>
      <c r="FD9" s="1042"/>
      <c r="FE9" s="1042"/>
      <c r="FF9" s="1042"/>
    </row>
    <row r="10" spans="2:166" s="1065" customFormat="1" ht="38.25" hidden="1">
      <c r="B10" s="1070"/>
      <c r="C10" s="160" t="s">
        <v>618</v>
      </c>
      <c r="D10" s="1070"/>
      <c r="E10" s="1071"/>
      <c r="F10" s="1070"/>
      <c r="G10" s="161"/>
      <c r="H10" s="161"/>
      <c r="I10" s="1070"/>
      <c r="J10" s="1070" t="s">
        <v>68</v>
      </c>
      <c r="K10" s="161" t="s">
        <v>69</v>
      </c>
      <c r="L10" s="1071"/>
      <c r="M10" s="1071"/>
      <c r="N10" s="1071"/>
      <c r="O10" s="1070"/>
      <c r="P10" s="1070"/>
      <c r="Q10" s="1070"/>
      <c r="R10" s="1070" t="s">
        <v>70</v>
      </c>
      <c r="S10" s="1071"/>
      <c r="T10" s="1071"/>
      <c r="U10" s="1070"/>
      <c r="V10" s="1070"/>
      <c r="W10" s="161"/>
      <c r="X10" s="1070" t="s">
        <v>640</v>
      </c>
      <c r="Y10" s="161"/>
      <c r="Z10" s="1070" t="s">
        <v>651</v>
      </c>
      <c r="AA10" s="1070"/>
      <c r="AB10" s="161"/>
      <c r="AC10" s="161"/>
      <c r="AD10" s="1072" t="s">
        <v>652</v>
      </c>
      <c r="AE10" s="1072"/>
      <c r="AF10" s="1072"/>
      <c r="AG10" s="1070"/>
      <c r="AH10" s="1072"/>
      <c r="AI10" s="161"/>
      <c r="AJ10" s="1070"/>
      <c r="AK10" s="1073"/>
      <c r="AL10" s="161"/>
      <c r="AM10" s="161"/>
      <c r="AN10" s="161"/>
      <c r="AO10" s="161" t="s">
        <v>637</v>
      </c>
      <c r="AP10" s="1070"/>
      <c r="AQ10" s="160"/>
      <c r="AR10" s="161" t="s">
        <v>71</v>
      </c>
      <c r="AS10" s="161" t="s">
        <v>7741</v>
      </c>
      <c r="AT10" s="161" t="str">
        <f ca="1">IF($EQ$2,"data~Number of Copper Repeaters","")</f>
        <v/>
      </c>
      <c r="AU10" s="1070"/>
      <c r="AV10" s="1070"/>
      <c r="AW10" s="1070"/>
      <c r="AX10" s="1070"/>
      <c r="AY10" s="1070" t="s">
        <v>636</v>
      </c>
      <c r="AZ10" s="1070"/>
      <c r="BA10" s="1070"/>
      <c r="BB10" s="1070" t="s">
        <v>72</v>
      </c>
      <c r="BC10" s="1070" t="s">
        <v>73</v>
      </c>
      <c r="BD10" s="1070"/>
      <c r="BE10" s="1070"/>
      <c r="BF10" s="1071"/>
      <c r="BG10" s="1071"/>
      <c r="BH10" s="1071"/>
      <c r="BI10" s="1071"/>
      <c r="BJ10" s="1071"/>
      <c r="BK10" s="1070" t="s">
        <v>74</v>
      </c>
      <c r="BL10" s="1070" t="s">
        <v>615</v>
      </c>
      <c r="BM10" s="1070" t="s">
        <v>616</v>
      </c>
      <c r="BN10" s="1070"/>
      <c r="BO10" s="1070"/>
      <c r="BP10" s="1070"/>
      <c r="BQ10" s="1070"/>
      <c r="BR10" s="1070"/>
      <c r="BS10" s="1070"/>
      <c r="BT10" s="1070"/>
      <c r="BU10" s="1070"/>
      <c r="BV10" s="1070"/>
      <c r="BW10" s="1070"/>
      <c r="BX10" s="1070"/>
      <c r="BY10" s="1070"/>
      <c r="BZ10" s="1070"/>
      <c r="CA10" s="1070"/>
      <c r="CB10" s="1070"/>
      <c r="CC10" s="1070"/>
      <c r="CD10" s="1070"/>
      <c r="CE10" s="1070"/>
      <c r="CF10" s="1071"/>
      <c r="CG10" s="1070"/>
      <c r="CH10" s="1070"/>
      <c r="CI10" s="1070"/>
      <c r="CJ10" s="1070"/>
      <c r="CK10" s="1070"/>
      <c r="CL10" s="1070"/>
      <c r="CM10" s="1070"/>
      <c r="CN10" s="1070"/>
      <c r="CO10" s="1070"/>
      <c r="CP10" s="1070"/>
      <c r="CQ10" s="1070"/>
      <c r="CR10" s="1070"/>
      <c r="CS10" s="1070"/>
      <c r="CT10" s="1070"/>
      <c r="CU10" s="1070"/>
      <c r="CV10" s="1070"/>
      <c r="CW10" s="1070"/>
      <c r="CX10" s="1070"/>
      <c r="CY10" s="1070"/>
      <c r="CZ10" s="1070"/>
      <c r="DA10" s="1070"/>
      <c r="DB10" s="1070"/>
      <c r="DC10" s="1070"/>
      <c r="DD10" s="1070"/>
      <c r="DE10" s="1070"/>
      <c r="DF10" s="1070"/>
      <c r="DG10" s="1070"/>
      <c r="DH10" s="1070"/>
      <c r="DI10" s="1070"/>
      <c r="DJ10" s="1070"/>
      <c r="DK10" s="1070"/>
      <c r="DL10" s="1070"/>
      <c r="DM10" s="1070"/>
      <c r="DN10" s="1070"/>
      <c r="DO10" s="1070"/>
      <c r="DP10" s="1070"/>
      <c r="DQ10" s="1070"/>
      <c r="DR10" s="1070"/>
      <c r="DS10" s="1070"/>
      <c r="DT10" s="1070"/>
      <c r="DU10" s="1070"/>
      <c r="DV10" s="1070"/>
      <c r="DW10" s="1070"/>
      <c r="DX10" s="1070"/>
      <c r="DY10" s="1070"/>
      <c r="DZ10" s="1070"/>
      <c r="EB10" s="1069"/>
      <c r="EC10" s="1069"/>
      <c r="ED10" s="1069"/>
      <c r="EE10" s="1069"/>
      <c r="EF10" s="1069"/>
      <c r="EG10" s="1069"/>
      <c r="EH10" s="1069"/>
      <c r="EI10" s="1069"/>
      <c r="EJ10" s="1069"/>
      <c r="EK10" s="1069"/>
      <c r="EL10" s="1069"/>
      <c r="EM10" s="1069"/>
      <c r="EQ10" s="1042"/>
      <c r="ER10" s="1042"/>
      <c r="ES10" s="1042"/>
      <c r="ET10" s="1042"/>
      <c r="EU10" s="1042"/>
      <c r="EV10" s="1042"/>
      <c r="EW10" s="1042"/>
      <c r="EX10" s="1042"/>
      <c r="EY10" s="1042"/>
      <c r="EZ10" s="1042"/>
      <c r="FA10" s="1042"/>
      <c r="FB10" s="1042"/>
      <c r="FC10" s="1042"/>
      <c r="FD10" s="1042"/>
      <c r="FE10" s="1042"/>
      <c r="FF10" s="1042"/>
    </row>
    <row r="11" spans="2:166" s="1065" customFormat="1" hidden="1">
      <c r="B11" s="1067" t="s">
        <v>11131</v>
      </c>
      <c r="C11" s="1067"/>
      <c r="D11" s="1068"/>
      <c r="E11" s="1068"/>
      <c r="F11" s="1068"/>
      <c r="G11" s="1068"/>
      <c r="H11" s="1068"/>
      <c r="I11" s="1068"/>
      <c r="J11" s="1068"/>
      <c r="K11" s="1068"/>
      <c r="L11" s="1068"/>
      <c r="M11" s="1068"/>
      <c r="N11" s="1068"/>
      <c r="O11" s="1068"/>
      <c r="P11" s="1068"/>
      <c r="Q11" s="1068"/>
      <c r="R11" s="1068"/>
      <c r="S11" s="1068"/>
      <c r="T11" s="1068"/>
      <c r="U11" s="1068"/>
      <c r="V11" s="1068"/>
      <c r="W11" s="1068"/>
      <c r="X11" s="1068"/>
      <c r="Y11" s="1068"/>
      <c r="Z11" s="1068"/>
      <c r="AA11" s="1068"/>
      <c r="AB11" s="1068"/>
      <c r="AC11" s="1068"/>
      <c r="AD11" s="1068"/>
      <c r="AE11" s="1068"/>
      <c r="AF11" s="1068"/>
      <c r="AG11" s="1068"/>
      <c r="AH11" s="1068"/>
      <c r="AI11" s="1068"/>
      <c r="AJ11" s="1068"/>
      <c r="AK11" s="1068"/>
      <c r="AL11" s="1068"/>
      <c r="AM11" s="1068"/>
      <c r="AN11" s="1068"/>
      <c r="AO11" s="1068"/>
      <c r="AP11" s="1068"/>
      <c r="AQ11" s="1068"/>
      <c r="AR11" s="1068"/>
      <c r="AS11" s="1068"/>
      <c r="AT11" s="1068"/>
      <c r="AU11" s="1068"/>
      <c r="AV11" s="1068"/>
      <c r="AW11" s="1068"/>
      <c r="AX11" s="1068"/>
      <c r="AY11" s="1068"/>
      <c r="AZ11" s="1068"/>
      <c r="BA11" s="1068"/>
      <c r="BB11" s="1068"/>
      <c r="BC11" s="1068"/>
      <c r="BD11" s="1068"/>
      <c r="BE11" s="1068"/>
      <c r="BF11" s="1068"/>
      <c r="BG11" s="1068"/>
      <c r="BH11" s="1068"/>
      <c r="BI11" s="1068"/>
      <c r="BJ11" s="1068"/>
      <c r="BK11" s="1068"/>
      <c r="BL11" s="1068"/>
      <c r="BM11" s="1068"/>
      <c r="BN11" s="1068"/>
      <c r="BO11" s="1068"/>
      <c r="BP11" s="1068"/>
      <c r="BQ11" s="1068"/>
      <c r="BR11" s="1068"/>
      <c r="BS11" s="1068"/>
      <c r="BT11" s="1068"/>
      <c r="BU11" s="1068"/>
      <c r="BV11" s="1068"/>
      <c r="BW11" s="1068"/>
      <c r="BX11" s="1068"/>
      <c r="BY11" s="1068"/>
      <c r="BZ11" s="1068"/>
      <c r="CA11" s="1068"/>
      <c r="CB11" s="1068"/>
      <c r="CC11" s="1068"/>
      <c r="CD11" s="1068"/>
      <c r="CE11" s="1068"/>
      <c r="CF11" s="1068"/>
      <c r="CG11" s="1068"/>
      <c r="CH11" s="1068"/>
      <c r="CI11" s="1068"/>
      <c r="CJ11" s="1068"/>
      <c r="CK11" s="1068"/>
      <c r="CL11" s="1068"/>
      <c r="CM11" s="1068"/>
      <c r="CN11" s="1068"/>
      <c r="CO11" s="1068"/>
      <c r="CP11" s="1068"/>
      <c r="CQ11" s="1068"/>
      <c r="CR11" s="1068"/>
      <c r="CS11" s="1068"/>
      <c r="CT11" s="1068"/>
      <c r="CU11" s="1068"/>
      <c r="CV11" s="1068"/>
      <c r="CW11" s="1068"/>
      <c r="CX11" s="1068"/>
      <c r="CY11" s="1068"/>
      <c r="CZ11" s="1068"/>
      <c r="DA11" s="1068"/>
      <c r="DB11" s="1068"/>
      <c r="DC11" s="1068"/>
      <c r="DD11" s="1068"/>
      <c r="DE11" s="1068"/>
      <c r="DF11" s="1068"/>
      <c r="DG11" s="1068"/>
      <c r="DH11" s="1068"/>
      <c r="DI11" s="1068"/>
      <c r="DJ11" s="1068"/>
      <c r="DK11" s="1068"/>
      <c r="DL11" s="1068"/>
      <c r="DM11" s="1068"/>
      <c r="DN11" s="1068"/>
      <c r="DO11" s="1068"/>
      <c r="DP11" s="1068"/>
      <c r="DQ11" s="1068"/>
      <c r="DR11" s="1068"/>
      <c r="DS11" s="1068"/>
      <c r="DT11" s="1068"/>
      <c r="DU11" s="1068"/>
      <c r="DV11" s="1068"/>
      <c r="DW11" s="1068"/>
      <c r="DX11" s="1068"/>
      <c r="DY11" s="1068"/>
      <c r="DZ11" s="1068"/>
      <c r="EB11" s="1069"/>
      <c r="EC11" s="1069"/>
      <c r="ED11" s="1069"/>
      <c r="EE11" s="1069"/>
      <c r="EF11" s="1069"/>
      <c r="EG11" s="1069"/>
      <c r="EH11" s="1069"/>
      <c r="EI11" s="1069"/>
      <c r="EJ11" s="1069"/>
      <c r="EK11" s="1069"/>
      <c r="EL11" s="1069"/>
      <c r="EM11" s="1069"/>
      <c r="EQ11" s="1042"/>
      <c r="ER11" s="1042"/>
      <c r="ES11" s="1042"/>
      <c r="ET11" s="1042"/>
      <c r="EU11" s="1042"/>
      <c r="EV11" s="1042"/>
      <c r="EW11" s="1042"/>
      <c r="EX11" s="1042"/>
      <c r="EY11" s="1042"/>
      <c r="EZ11" s="1042"/>
      <c r="FA11" s="1042"/>
      <c r="FB11" s="1042"/>
      <c r="FC11" s="1042"/>
      <c r="FD11" s="1042"/>
      <c r="FE11" s="1042"/>
      <c r="FF11" s="1042"/>
    </row>
    <row r="12" spans="2:166" s="1065" customFormat="1" ht="76.5" hidden="1">
      <c r="B12" s="161" t="s">
        <v>75</v>
      </c>
      <c r="C12" s="161" t="s">
        <v>9822</v>
      </c>
      <c r="D12" s="1070"/>
      <c r="E12" s="1074" t="s">
        <v>10089</v>
      </c>
      <c r="F12" s="1074" t="s">
        <v>10645</v>
      </c>
      <c r="G12" s="161" t="s">
        <v>7736</v>
      </c>
      <c r="H12" s="161" t="s">
        <v>7737</v>
      </c>
      <c r="I12" s="161" t="s">
        <v>9823</v>
      </c>
      <c r="J12" s="161" t="s">
        <v>76</v>
      </c>
      <c r="K12" s="161" t="s">
        <v>77</v>
      </c>
      <c r="L12" s="1071" t="s">
        <v>7899</v>
      </c>
      <c r="M12" s="1071" t="s">
        <v>7901</v>
      </c>
      <c r="N12" s="1071" t="s">
        <v>7903</v>
      </c>
      <c r="O12" s="1071" t="s">
        <v>7897</v>
      </c>
      <c r="P12" s="1070" t="s">
        <v>78</v>
      </c>
      <c r="Q12" s="1070" t="s">
        <v>79</v>
      </c>
      <c r="R12" s="1070" t="s">
        <v>80</v>
      </c>
      <c r="S12" s="1074" t="s">
        <v>10075</v>
      </c>
      <c r="T12" s="1074" t="s">
        <v>10076</v>
      </c>
      <c r="U12" s="1070"/>
      <c r="V12" s="160"/>
      <c r="W12" s="161" t="s">
        <v>10077</v>
      </c>
      <c r="X12" s="161" t="s">
        <v>9824</v>
      </c>
      <c r="Y12" s="161" t="s">
        <v>9825</v>
      </c>
      <c r="Z12" s="161"/>
      <c r="AA12" s="161" t="s">
        <v>7738</v>
      </c>
      <c r="AB12" s="1072" t="s">
        <v>7742</v>
      </c>
      <c r="AC12" s="1070" t="s">
        <v>81</v>
      </c>
      <c r="AD12" s="1070"/>
      <c r="AE12" s="1070" t="s">
        <v>82</v>
      </c>
      <c r="AF12" s="1070" t="s">
        <v>7877</v>
      </c>
      <c r="AG12" s="1070" t="s">
        <v>7878</v>
      </c>
      <c r="AH12" s="161" t="s">
        <v>7879</v>
      </c>
      <c r="AI12" s="161" t="s">
        <v>10078</v>
      </c>
      <c r="AJ12" s="161" t="s">
        <v>7893</v>
      </c>
      <c r="AK12" s="1073" t="s">
        <v>7894</v>
      </c>
      <c r="AL12" s="1070"/>
      <c r="AM12" s="1073" t="s">
        <v>7895</v>
      </c>
      <c r="AN12" s="1071" t="s">
        <v>7739</v>
      </c>
      <c r="AO12" s="1071"/>
      <c r="AP12" s="1075" t="s">
        <v>7880</v>
      </c>
      <c r="AQ12" s="1076" t="s">
        <v>7881</v>
      </c>
      <c r="AR12" s="1070"/>
      <c r="AS12" s="1072"/>
      <c r="AT12" s="1072"/>
      <c r="AU12" s="162" t="s">
        <v>643</v>
      </c>
      <c r="AV12" s="1072" t="s">
        <v>617</v>
      </c>
      <c r="AW12" s="163" t="s">
        <v>657</v>
      </c>
      <c r="AX12" s="163" t="s">
        <v>9745</v>
      </c>
      <c r="AY12" s="161"/>
      <c r="AZ12" s="161" t="s">
        <v>7882</v>
      </c>
      <c r="BA12" s="161" t="s">
        <v>10454</v>
      </c>
      <c r="BB12" s="161"/>
      <c r="BC12" s="1070"/>
      <c r="BD12" s="161" t="s">
        <v>643</v>
      </c>
      <c r="BE12" s="161"/>
      <c r="BF12" s="1074" t="s">
        <v>10079</v>
      </c>
      <c r="BG12" s="1074" t="s">
        <v>10080</v>
      </c>
      <c r="BH12" s="1074" t="s">
        <v>10081</v>
      </c>
      <c r="BI12" s="1074" t="s">
        <v>10646</v>
      </c>
      <c r="BJ12" s="1074" t="s">
        <v>10647</v>
      </c>
      <c r="BK12" s="161"/>
      <c r="BL12" s="161"/>
      <c r="BM12" s="161"/>
      <c r="BN12" s="161" t="s">
        <v>84</v>
      </c>
      <c r="BO12" s="161" t="s">
        <v>663</v>
      </c>
      <c r="BP12" s="1077" t="s">
        <v>7740</v>
      </c>
      <c r="BQ12" s="1077" t="s">
        <v>85</v>
      </c>
      <c r="BR12" s="1071" t="s">
        <v>7896</v>
      </c>
      <c r="BS12" s="1071" t="s">
        <v>86</v>
      </c>
      <c r="BT12" s="1074" t="s">
        <v>10082</v>
      </c>
      <c r="BU12" s="1074" t="s">
        <v>10125</v>
      </c>
      <c r="BV12" s="1072" t="s">
        <v>11560</v>
      </c>
      <c r="BW12" s="1071"/>
      <c r="BX12" s="1071"/>
      <c r="BY12" s="1071"/>
      <c r="BZ12" s="1071"/>
      <c r="CA12" s="1071"/>
      <c r="CB12" s="1071"/>
      <c r="CC12" s="1071"/>
      <c r="CD12" s="1071"/>
      <c r="CE12" s="1070"/>
      <c r="CF12" s="1071"/>
      <c r="CG12" s="1071"/>
      <c r="CH12" s="1072" t="s">
        <v>12643</v>
      </c>
      <c r="CI12" s="1072" t="s">
        <v>12644</v>
      </c>
      <c r="CJ12" s="1072" t="s">
        <v>12645</v>
      </c>
      <c r="CK12" s="1072" t="s">
        <v>12646</v>
      </c>
      <c r="CL12" s="1072" t="s">
        <v>12647</v>
      </c>
      <c r="CM12" s="1072" t="s">
        <v>12648</v>
      </c>
      <c r="CN12" s="1072" t="s">
        <v>12649</v>
      </c>
      <c r="CO12" s="1072" t="s">
        <v>12650</v>
      </c>
      <c r="CP12" s="1072"/>
      <c r="CQ12" s="1072"/>
      <c r="CR12" s="1072"/>
      <c r="CS12" s="1072"/>
      <c r="CT12" s="1072"/>
      <c r="CU12" s="1072"/>
      <c r="CV12" s="1072"/>
      <c r="CW12" s="1072"/>
      <c r="CX12" s="1072"/>
      <c r="CY12" s="1072"/>
      <c r="CZ12" s="1072"/>
      <c r="DA12" s="1072"/>
      <c r="DB12" s="1072"/>
      <c r="DC12" s="1072"/>
      <c r="DD12" s="1072"/>
      <c r="DE12" s="1072"/>
      <c r="DF12" s="1072"/>
      <c r="DG12" s="1072"/>
      <c r="DH12" s="1072"/>
      <c r="DI12" s="1072"/>
      <c r="DJ12" s="1072"/>
      <c r="DK12" s="1072"/>
      <c r="DL12" s="1072"/>
      <c r="DM12" s="1072"/>
      <c r="DN12" s="1072"/>
      <c r="DO12" s="1072"/>
      <c r="DP12" s="1072"/>
      <c r="DQ12" s="1072"/>
      <c r="DR12" s="1072"/>
      <c r="DS12" s="1072"/>
      <c r="DT12" s="1072"/>
      <c r="DU12" s="1072"/>
      <c r="DV12" s="1072"/>
      <c r="DW12" s="1072"/>
      <c r="DX12" s="1072"/>
      <c r="DY12" s="1072"/>
      <c r="DZ12" s="1072"/>
      <c r="EB12" s="1069"/>
      <c r="EC12" s="1069"/>
      <c r="ED12" s="1069"/>
      <c r="EE12" s="1069"/>
      <c r="EF12" s="1069"/>
      <c r="EG12" s="1069"/>
      <c r="EH12" s="1069"/>
      <c r="EI12" s="1069"/>
      <c r="EJ12" s="1069"/>
      <c r="EK12" s="1069"/>
      <c r="EL12" s="1069"/>
      <c r="EM12" s="1069"/>
      <c r="EQ12" s="1042"/>
      <c r="ER12" s="1042"/>
      <c r="ES12" s="1042"/>
      <c r="ET12" s="1042"/>
      <c r="EU12" s="1042"/>
      <c r="EV12" s="1042"/>
      <c r="EW12" s="1042"/>
      <c r="EX12" s="1042"/>
      <c r="EY12" s="1042"/>
      <c r="EZ12" s="1042"/>
      <c r="FA12" s="670"/>
      <c r="FB12" s="670"/>
      <c r="FC12" s="670"/>
      <c r="FD12" s="670"/>
      <c r="FE12" s="670"/>
      <c r="FF12" s="670"/>
      <c r="FG12" s="941"/>
      <c r="FH12" s="941"/>
      <c r="FI12" s="941"/>
      <c r="FJ12" s="941"/>
    </row>
    <row r="13" spans="2:166" s="1065" customFormat="1" hidden="1">
      <c r="B13" s="1067" t="s">
        <v>87</v>
      </c>
      <c r="C13" s="1067"/>
      <c r="D13" s="1068"/>
      <c r="E13" s="1068"/>
      <c r="F13" s="1068"/>
      <c r="G13" s="1068"/>
      <c r="H13" s="1068"/>
      <c r="I13" s="1068"/>
      <c r="J13" s="1068"/>
      <c r="K13" s="1068"/>
      <c r="L13" s="1068"/>
      <c r="M13" s="1068"/>
      <c r="N13" s="1068"/>
      <c r="O13" s="1068"/>
      <c r="P13" s="1068"/>
      <c r="Q13" s="1068"/>
      <c r="R13" s="1068"/>
      <c r="S13" s="1068"/>
      <c r="T13" s="1068"/>
      <c r="U13" s="1068"/>
      <c r="V13" s="1068"/>
      <c r="W13" s="1068"/>
      <c r="X13" s="1068"/>
      <c r="Y13" s="1068"/>
      <c r="Z13" s="1068"/>
      <c r="AA13" s="1068"/>
      <c r="AB13" s="1068"/>
      <c r="AC13" s="1068"/>
      <c r="AD13" s="1068"/>
      <c r="AE13" s="1068"/>
      <c r="AF13" s="1068"/>
      <c r="AG13" s="1068"/>
      <c r="AH13" s="1068"/>
      <c r="AI13" s="1068"/>
      <c r="AJ13" s="1068"/>
      <c r="AK13" s="1068"/>
      <c r="AL13" s="1068"/>
      <c r="AM13" s="1068"/>
      <c r="AN13" s="1068"/>
      <c r="AO13" s="1068"/>
      <c r="AP13" s="1068"/>
      <c r="AQ13" s="1068"/>
      <c r="AR13" s="1068"/>
      <c r="AS13" s="1068"/>
      <c r="AT13" s="1068"/>
      <c r="AU13" s="1068"/>
      <c r="AV13" s="1068"/>
      <c r="AW13" s="1068"/>
      <c r="AX13" s="1068"/>
      <c r="AY13" s="1068"/>
      <c r="AZ13" s="1068"/>
      <c r="BA13" s="1068"/>
      <c r="BB13" s="1068"/>
      <c r="BC13" s="1068"/>
      <c r="BD13" s="1068"/>
      <c r="BE13" s="1068"/>
      <c r="BF13" s="1068"/>
      <c r="BG13" s="1068"/>
      <c r="BH13" s="1068"/>
      <c r="BI13" s="1068"/>
      <c r="BJ13" s="1068"/>
      <c r="BK13" s="1068"/>
      <c r="BL13" s="1068"/>
      <c r="BM13" s="1068"/>
      <c r="BN13" s="1068"/>
      <c r="BO13" s="1068"/>
      <c r="BP13" s="1068"/>
      <c r="BQ13" s="1068"/>
      <c r="BR13" s="1068"/>
      <c r="BS13" s="1068"/>
      <c r="BT13" s="1068"/>
      <c r="BU13" s="1068"/>
      <c r="BV13" s="1068"/>
      <c r="BW13" s="1068"/>
      <c r="BX13" s="1068"/>
      <c r="BY13" s="1068"/>
      <c r="BZ13" s="1068"/>
      <c r="CA13" s="1068"/>
      <c r="CB13" s="1068"/>
      <c r="CC13" s="1068"/>
      <c r="CD13" s="1068"/>
      <c r="CE13" s="1068"/>
      <c r="CF13" s="1068"/>
      <c r="CG13" s="1068"/>
      <c r="CH13" s="1068"/>
      <c r="CI13" s="1068"/>
      <c r="CJ13" s="1068"/>
      <c r="CK13" s="1068"/>
      <c r="CL13" s="1068"/>
      <c r="CM13" s="1068"/>
      <c r="CN13" s="1068"/>
      <c r="CO13" s="1068"/>
      <c r="CP13" s="1068"/>
      <c r="CQ13" s="1068"/>
      <c r="CR13" s="1068"/>
      <c r="CS13" s="1068"/>
      <c r="CT13" s="1068"/>
      <c r="CU13" s="1068"/>
      <c r="CV13" s="1068"/>
      <c r="CW13" s="1068"/>
      <c r="CX13" s="1068"/>
      <c r="CY13" s="1068"/>
      <c r="CZ13" s="1068"/>
      <c r="DA13" s="1068"/>
      <c r="DB13" s="1068"/>
      <c r="DC13" s="1068"/>
      <c r="DD13" s="1068"/>
      <c r="DE13" s="1068"/>
      <c r="DF13" s="1068"/>
      <c r="DG13" s="1068"/>
      <c r="DH13" s="1068"/>
      <c r="DI13" s="1068"/>
      <c r="DJ13" s="1068"/>
      <c r="DK13" s="1068"/>
      <c r="DL13" s="1068"/>
      <c r="DM13" s="1068"/>
      <c r="DN13" s="1068"/>
      <c r="DO13" s="1068"/>
      <c r="DP13" s="1068"/>
      <c r="DQ13" s="1068"/>
      <c r="DR13" s="1068"/>
      <c r="DS13" s="1068"/>
      <c r="DT13" s="1068"/>
      <c r="DU13" s="1068"/>
      <c r="DV13" s="1068"/>
      <c r="DW13" s="1068"/>
      <c r="DX13" s="1068"/>
      <c r="DY13" s="1068"/>
      <c r="DZ13" s="1068"/>
      <c r="EB13" s="1068"/>
      <c r="EC13" s="1067"/>
      <c r="ED13" s="1068"/>
      <c r="EE13" s="1068"/>
      <c r="EF13" s="1068"/>
      <c r="EG13" s="1068"/>
      <c r="EH13" s="1068"/>
      <c r="EI13" s="1068"/>
      <c r="EJ13" s="1068"/>
      <c r="EK13" s="1068"/>
      <c r="EL13" s="1068"/>
      <c r="EM13" s="1068"/>
      <c r="EQ13" s="1658"/>
      <c r="ER13" s="1658"/>
      <c r="ES13" s="1658"/>
      <c r="ET13" s="1658"/>
      <c r="EU13" s="1658"/>
      <c r="EV13" s="1658"/>
      <c r="EW13" s="1658"/>
      <c r="EX13" s="1658"/>
      <c r="EY13" s="1658"/>
      <c r="EZ13" s="1658"/>
      <c r="FA13" s="1658"/>
      <c r="FB13" s="1658"/>
      <c r="FC13" s="1658"/>
      <c r="FD13" s="1042"/>
      <c r="FE13" s="1042"/>
      <c r="FF13" s="1042"/>
    </row>
    <row r="14" spans="2:166" s="1065" customFormat="1" hidden="1">
      <c r="B14" s="1078" t="s">
        <v>88</v>
      </c>
      <c r="C14" s="1079" t="s">
        <v>644</v>
      </c>
      <c r="D14" s="1078" t="s">
        <v>89</v>
      </c>
      <c r="E14" s="1071" t="s">
        <v>9947</v>
      </c>
      <c r="F14" s="1071" t="s">
        <v>9948</v>
      </c>
      <c r="G14" s="1078" t="s">
        <v>7726</v>
      </c>
      <c r="H14" s="1078" t="s">
        <v>7727</v>
      </c>
      <c r="I14" s="1078" t="s">
        <v>7728</v>
      </c>
      <c r="J14" s="1078" t="s">
        <v>90</v>
      </c>
      <c r="K14" s="1078" t="s">
        <v>91</v>
      </c>
      <c r="L14" s="1071" t="s">
        <v>7898</v>
      </c>
      <c r="M14" s="1071" t="s">
        <v>7900</v>
      </c>
      <c r="N14" s="1071" t="s">
        <v>7902</v>
      </c>
      <c r="O14" s="1078" t="s">
        <v>92</v>
      </c>
      <c r="P14" s="1078" t="s">
        <v>93</v>
      </c>
      <c r="Q14" s="1078" t="s">
        <v>94</v>
      </c>
      <c r="R14" s="1078" t="s">
        <v>95</v>
      </c>
      <c r="S14" s="1071" t="s">
        <v>9945</v>
      </c>
      <c r="T14" s="1071" t="s">
        <v>9946</v>
      </c>
      <c r="U14" s="1078" t="s">
        <v>121</v>
      </c>
      <c r="V14" s="1078" t="s">
        <v>111</v>
      </c>
      <c r="W14" s="1080" t="s">
        <v>122</v>
      </c>
      <c r="X14" s="1078" t="s">
        <v>641</v>
      </c>
      <c r="Y14" s="1078" t="s">
        <v>107</v>
      </c>
      <c r="Z14" s="1079" t="s">
        <v>648</v>
      </c>
      <c r="AA14" s="1071" t="s">
        <v>7701</v>
      </c>
      <c r="AB14" s="1078" t="s">
        <v>7702</v>
      </c>
      <c r="AC14" s="1078" t="s">
        <v>104</v>
      </c>
      <c r="AD14" s="1080" t="s">
        <v>647</v>
      </c>
      <c r="AE14" s="1080" t="s">
        <v>105</v>
      </c>
      <c r="AF14" s="1078" t="s">
        <v>7703</v>
      </c>
      <c r="AG14" s="1079" t="s">
        <v>7704</v>
      </c>
      <c r="AH14" s="1079" t="s">
        <v>7705</v>
      </c>
      <c r="AI14" s="1078" t="s">
        <v>106</v>
      </c>
      <c r="AJ14" s="1079" t="s">
        <v>7706</v>
      </c>
      <c r="AK14" s="1078" t="s">
        <v>650</v>
      </c>
      <c r="AL14" s="1079" t="s">
        <v>7746</v>
      </c>
      <c r="AM14" s="1078" t="s">
        <v>110</v>
      </c>
      <c r="AN14" s="1078" t="s">
        <v>7707</v>
      </c>
      <c r="AO14" s="1079" t="s">
        <v>642</v>
      </c>
      <c r="AP14" s="1078" t="s">
        <v>7708</v>
      </c>
      <c r="AQ14" s="1078" t="s">
        <v>7709</v>
      </c>
      <c r="AR14" s="1078" t="s">
        <v>112</v>
      </c>
      <c r="AS14" s="1078" t="s">
        <v>7710</v>
      </c>
      <c r="AT14" s="1074" t="s">
        <v>11285</v>
      </c>
      <c r="AU14" s="1078" t="s">
        <v>113</v>
      </c>
      <c r="AV14" s="1078" t="s">
        <v>658</v>
      </c>
      <c r="AW14" s="1078" t="s">
        <v>659</v>
      </c>
      <c r="AX14" s="1079" t="s">
        <v>114</v>
      </c>
      <c r="AY14" s="1071" t="s">
        <v>115</v>
      </c>
      <c r="AZ14" s="1078" t="s">
        <v>7711</v>
      </c>
      <c r="BA14" s="1078" t="s">
        <v>7712</v>
      </c>
      <c r="BB14" s="1078" t="s">
        <v>116</v>
      </c>
      <c r="BC14" s="1078" t="s">
        <v>117</v>
      </c>
      <c r="BD14" s="1078" t="s">
        <v>506</v>
      </c>
      <c r="BE14" s="1078" t="s">
        <v>7713</v>
      </c>
      <c r="BF14" s="1071" t="s">
        <v>9942</v>
      </c>
      <c r="BG14" s="1071" t="s">
        <v>9943</v>
      </c>
      <c r="BH14" s="1071" t="s">
        <v>9944</v>
      </c>
      <c r="BI14" s="1071" t="s">
        <v>10648</v>
      </c>
      <c r="BJ14" s="1071" t="s">
        <v>10649</v>
      </c>
      <c r="BK14" s="1078" t="s">
        <v>118</v>
      </c>
      <c r="BL14" s="1078" t="s">
        <v>119</v>
      </c>
      <c r="BM14" s="1078" t="s">
        <v>120</v>
      </c>
      <c r="BN14" s="1078" t="s">
        <v>125</v>
      </c>
      <c r="BO14" s="1078" t="s">
        <v>662</v>
      </c>
      <c r="BP14" s="1078" t="s">
        <v>7714</v>
      </c>
      <c r="BQ14" s="1078" t="s">
        <v>126</v>
      </c>
      <c r="BR14" s="1079" t="s">
        <v>127</v>
      </c>
      <c r="BS14" s="1078" t="s">
        <v>128</v>
      </c>
      <c r="BT14" s="1078" t="s">
        <v>129</v>
      </c>
      <c r="BU14" s="1079" t="s">
        <v>10126</v>
      </c>
      <c r="BV14" s="1074" t="s">
        <v>11561</v>
      </c>
      <c r="BW14" s="1078" t="s">
        <v>96</v>
      </c>
      <c r="BX14" s="1078" t="s">
        <v>97</v>
      </c>
      <c r="BY14" s="1078" t="s">
        <v>98</v>
      </c>
      <c r="BZ14" s="1078" t="s">
        <v>99</v>
      </c>
      <c r="CA14" s="1078" t="s">
        <v>100</v>
      </c>
      <c r="CB14" s="1078" t="s">
        <v>101</v>
      </c>
      <c r="CC14" s="1078" t="s">
        <v>102</v>
      </c>
      <c r="CD14" s="1078" t="s">
        <v>103</v>
      </c>
      <c r="CE14" s="1078" t="s">
        <v>123</v>
      </c>
      <c r="CF14" s="1078" t="s">
        <v>124</v>
      </c>
      <c r="CG14" s="1078" t="s">
        <v>666</v>
      </c>
      <c r="CH14" s="1074" t="s">
        <v>12651</v>
      </c>
      <c r="CI14" s="1074" t="s">
        <v>12652</v>
      </c>
      <c r="CJ14" s="1074" t="s">
        <v>12654</v>
      </c>
      <c r="CK14" s="1074" t="s">
        <v>12653</v>
      </c>
      <c r="CL14" s="1074" t="s">
        <v>12655</v>
      </c>
      <c r="CM14" s="1074" t="s">
        <v>12656</v>
      </c>
      <c r="CN14" s="1074" t="s">
        <v>12657</v>
      </c>
      <c r="CO14" s="1074" t="s">
        <v>12658</v>
      </c>
      <c r="CP14" s="1074"/>
      <c r="CQ14" s="1074"/>
      <c r="CR14" s="1074"/>
      <c r="CS14" s="1074"/>
      <c r="CT14" s="1074"/>
      <c r="CU14" s="1074"/>
      <c r="CV14" s="1074"/>
      <c r="CW14" s="1074"/>
      <c r="CX14" s="1074"/>
      <c r="CY14" s="1074"/>
      <c r="CZ14" s="1074"/>
      <c r="DA14" s="1074"/>
      <c r="DB14" s="1074"/>
      <c r="DC14" s="1074"/>
      <c r="DD14" s="1074"/>
      <c r="DE14" s="1074"/>
      <c r="DF14" s="1074"/>
      <c r="DG14" s="1074"/>
      <c r="DH14" s="1074"/>
      <c r="DI14" s="1074"/>
      <c r="DJ14" s="1074"/>
      <c r="DK14" s="1074"/>
      <c r="DL14" s="1074"/>
      <c r="DM14" s="1074"/>
      <c r="DN14" s="1074"/>
      <c r="DO14" s="1074"/>
      <c r="DP14" s="1074"/>
      <c r="DQ14" s="1074"/>
      <c r="DR14" s="1074"/>
      <c r="DS14" s="1074"/>
      <c r="DT14" s="1074"/>
      <c r="DU14" s="1074"/>
      <c r="DV14" s="1074"/>
      <c r="DW14" s="1074"/>
      <c r="DX14" s="1074"/>
      <c r="DY14" s="1074"/>
      <c r="DZ14" s="1074"/>
      <c r="EA14" s="1069"/>
      <c r="EB14" s="1078" t="s">
        <v>88</v>
      </c>
      <c r="EC14" s="1078" t="s">
        <v>125</v>
      </c>
      <c r="ED14" s="1078" t="s">
        <v>90</v>
      </c>
      <c r="EE14" s="1078" t="s">
        <v>91</v>
      </c>
      <c r="EF14" s="1078" t="s">
        <v>93</v>
      </c>
      <c r="EG14" s="1078" t="s">
        <v>94</v>
      </c>
      <c r="EH14" s="1078" t="s">
        <v>95</v>
      </c>
      <c r="EI14" s="1078" t="s">
        <v>106</v>
      </c>
      <c r="EJ14" s="1078" t="s">
        <v>107</v>
      </c>
      <c r="EK14" s="1078" t="s">
        <v>110</v>
      </c>
      <c r="EL14" s="1078" t="s">
        <v>108</v>
      </c>
      <c r="EM14" s="1078" t="s">
        <v>109</v>
      </c>
      <c r="EQ14" s="1658">
        <v>1</v>
      </c>
      <c r="ER14" s="1658">
        <v>2</v>
      </c>
      <c r="ES14" s="1658">
        <v>3</v>
      </c>
      <c r="ET14" s="1658">
        <v>4</v>
      </c>
      <c r="EU14" s="1658">
        <v>5</v>
      </c>
      <c r="EV14" s="1658">
        <v>6</v>
      </c>
      <c r="EW14" s="1658" t="s">
        <v>10213</v>
      </c>
      <c r="EX14" s="1658" t="s">
        <v>10139</v>
      </c>
      <c r="EY14" s="1658" t="s">
        <v>10184</v>
      </c>
      <c r="EZ14" s="1658" t="s">
        <v>10139</v>
      </c>
      <c r="FA14" s="1659" t="str">
        <f ca="1">IF($EQ$2,"7","*skip*")</f>
        <v>*skip*</v>
      </c>
      <c r="FB14" s="1659" t="str">
        <f ca="1">IF(AND($EQ$2,$ET$2=FALSE),"8","*skipCompare*CALC*")</f>
        <v>*skipCompare*CALC*</v>
      </c>
      <c r="FC14" s="1659" t="str">
        <f ca="1">IF(AND($EQ$2,$ET$2=FALSE),"9","*oor*")</f>
        <v>*oor*</v>
      </c>
      <c r="FD14" s="1659" t="str">
        <f ca="1">IF($EQ$2,IF($ET$2,"7*CALC*","*skipCompare*CALC*"),"*skip*")</f>
        <v>*skip*</v>
      </c>
      <c r="FE14" s="1659" t="str">
        <f ca="1">IF(AND($EQ$2,$ET$2=FALSE),"*oor*","*skip*")</f>
        <v>*skip*</v>
      </c>
      <c r="FF14" s="1659" t="str">
        <f ca="1">IF(AND($EQ$2,$ET$2=FALSE),"7*CALC*","*skip*")</f>
        <v>*skip*</v>
      </c>
      <c r="FG14" s="1659" t="s">
        <v>10139</v>
      </c>
      <c r="FH14" s="1659" t="str">
        <f ca="1">IF(AND($ER$2,$ET$2=TRUE),"8","*skip*")</f>
        <v>*skip*</v>
      </c>
      <c r="FI14" s="1659" t="s">
        <v>10139</v>
      </c>
      <c r="FJ14" s="1659" t="str">
        <f ca="1">IF(AND($ER$2,$ET$2=FALSE),"8","*skip*")</f>
        <v>*skip*</v>
      </c>
    </row>
    <row r="15" spans="2:166" s="1065" customFormat="1" ht="67.5">
      <c r="B15" s="139" t="s">
        <v>130</v>
      </c>
      <c r="C15" s="140" t="s">
        <v>131</v>
      </c>
      <c r="D15" s="140" t="s">
        <v>623</v>
      </c>
      <c r="E15" s="140" t="s">
        <v>9954</v>
      </c>
      <c r="F15" s="140" t="s">
        <v>10652</v>
      </c>
      <c r="G15" s="140" t="s">
        <v>7729</v>
      </c>
      <c r="H15" s="140" t="s">
        <v>7730</v>
      </c>
      <c r="I15" s="140" t="s">
        <v>7731</v>
      </c>
      <c r="J15" s="140" t="s">
        <v>132</v>
      </c>
      <c r="K15" s="140" t="s">
        <v>133</v>
      </c>
      <c r="L15" s="140" t="s">
        <v>7904</v>
      </c>
      <c r="M15" s="140" t="s">
        <v>7905</v>
      </c>
      <c r="N15" s="140" t="s">
        <v>7906</v>
      </c>
      <c r="O15" s="140" t="s">
        <v>134</v>
      </c>
      <c r="P15" s="140" t="s">
        <v>135</v>
      </c>
      <c r="Q15" s="140" t="s">
        <v>136</v>
      </c>
      <c r="R15" s="140" t="s">
        <v>137</v>
      </c>
      <c r="S15" s="140" t="s">
        <v>9952</v>
      </c>
      <c r="T15" s="140" t="s">
        <v>9953</v>
      </c>
      <c r="U15" s="140" t="s">
        <v>161</v>
      </c>
      <c r="V15" s="140" t="s">
        <v>152</v>
      </c>
      <c r="W15" s="140" t="s">
        <v>162</v>
      </c>
      <c r="X15" s="140" t="s">
        <v>639</v>
      </c>
      <c r="Y15" s="140" t="s">
        <v>149</v>
      </c>
      <c r="Z15" s="140" t="s">
        <v>645</v>
      </c>
      <c r="AA15" s="140" t="s">
        <v>7715</v>
      </c>
      <c r="AB15" s="140" t="s">
        <v>7716</v>
      </c>
      <c r="AC15" s="140" t="s">
        <v>146</v>
      </c>
      <c r="AD15" s="140" t="s">
        <v>646</v>
      </c>
      <c r="AE15" s="140" t="s">
        <v>147</v>
      </c>
      <c r="AF15" s="140" t="s">
        <v>7717</v>
      </c>
      <c r="AG15" s="140" t="s">
        <v>7718</v>
      </c>
      <c r="AH15" s="140" t="s">
        <v>7719</v>
      </c>
      <c r="AI15" s="140" t="s">
        <v>148</v>
      </c>
      <c r="AJ15" s="140" t="s">
        <v>10083</v>
      </c>
      <c r="AK15" s="140" t="s">
        <v>649</v>
      </c>
      <c r="AL15" s="140" t="s">
        <v>7745</v>
      </c>
      <c r="AM15" s="140" t="s">
        <v>151</v>
      </c>
      <c r="AN15" s="140" t="s">
        <v>7720</v>
      </c>
      <c r="AO15" s="140" t="s">
        <v>638</v>
      </c>
      <c r="AP15" s="140" t="s">
        <v>7721</v>
      </c>
      <c r="AQ15" s="140" t="s">
        <v>7722</v>
      </c>
      <c r="AR15" s="140" t="s">
        <v>153</v>
      </c>
      <c r="AS15" s="140" t="s">
        <v>7723</v>
      </c>
      <c r="AT15" s="140" t="s">
        <v>11280</v>
      </c>
      <c r="AU15" s="140" t="s">
        <v>154</v>
      </c>
      <c r="AV15" s="140" t="s">
        <v>660</v>
      </c>
      <c r="AW15" s="140" t="s">
        <v>661</v>
      </c>
      <c r="AX15" s="140" t="s">
        <v>155</v>
      </c>
      <c r="AY15" s="140" t="s">
        <v>653</v>
      </c>
      <c r="AZ15" s="140" t="s">
        <v>7724</v>
      </c>
      <c r="BA15" s="140" t="s">
        <v>10359</v>
      </c>
      <c r="BB15" s="140" t="s">
        <v>156</v>
      </c>
      <c r="BC15" s="140" t="s">
        <v>157</v>
      </c>
      <c r="BD15" s="140" t="s">
        <v>83</v>
      </c>
      <c r="BE15" s="140" t="s">
        <v>7725</v>
      </c>
      <c r="BF15" s="140" t="s">
        <v>9950</v>
      </c>
      <c r="BG15" s="140" t="s">
        <v>9949</v>
      </c>
      <c r="BH15" s="140" t="s">
        <v>9951</v>
      </c>
      <c r="BI15" s="140" t="s">
        <v>10650</v>
      </c>
      <c r="BJ15" s="140" t="s">
        <v>10651</v>
      </c>
      <c r="BK15" s="140" t="s">
        <v>158</v>
      </c>
      <c r="BL15" s="140" t="s">
        <v>159</v>
      </c>
      <c r="BM15" s="140" t="s">
        <v>160</v>
      </c>
      <c r="BN15" s="140" t="s">
        <v>165</v>
      </c>
      <c r="BO15" s="140" t="s">
        <v>7698</v>
      </c>
      <c r="BP15" s="140" t="s">
        <v>664</v>
      </c>
      <c r="BQ15" s="140" t="s">
        <v>7732</v>
      </c>
      <c r="BR15" s="140" t="s">
        <v>166</v>
      </c>
      <c r="BS15" s="140" t="s">
        <v>167</v>
      </c>
      <c r="BT15" s="140" t="s">
        <v>168</v>
      </c>
      <c r="BU15" s="140" t="s">
        <v>10124</v>
      </c>
      <c r="BV15" s="140" t="s">
        <v>11562</v>
      </c>
      <c r="BW15" s="140" t="s">
        <v>138</v>
      </c>
      <c r="BX15" s="140" t="s">
        <v>139</v>
      </c>
      <c r="BY15" s="140" t="s">
        <v>140</v>
      </c>
      <c r="BZ15" s="140" t="s">
        <v>141</v>
      </c>
      <c r="CA15" s="140" t="s">
        <v>142</v>
      </c>
      <c r="CB15" s="140" t="s">
        <v>143</v>
      </c>
      <c r="CC15" s="140" t="s">
        <v>144</v>
      </c>
      <c r="CD15" s="140" t="s">
        <v>145</v>
      </c>
      <c r="CE15" s="140" t="s">
        <v>163</v>
      </c>
      <c r="CF15" s="140" t="s">
        <v>164</v>
      </c>
      <c r="CG15" s="140" t="s">
        <v>665</v>
      </c>
      <c r="CH15" s="1756" t="s">
        <v>12637</v>
      </c>
      <c r="CI15" s="1756" t="s">
        <v>12228</v>
      </c>
      <c r="CJ15" s="1756" t="s">
        <v>12638</v>
      </c>
      <c r="CK15" s="1756" t="s">
        <v>12639</v>
      </c>
      <c r="CL15" s="1756" t="s">
        <v>12640</v>
      </c>
      <c r="CM15" s="1756" t="s">
        <v>12641</v>
      </c>
      <c r="CN15" s="1756" t="s">
        <v>12642</v>
      </c>
      <c r="CO15" s="1756" t="s">
        <v>12634</v>
      </c>
      <c r="CP15" s="1757"/>
      <c r="CQ15" s="1757"/>
      <c r="CR15" s="1757"/>
      <c r="CS15" s="1757"/>
      <c r="CT15" s="1757"/>
      <c r="CU15" s="1757"/>
      <c r="CV15" s="1757"/>
      <c r="CW15" s="1757"/>
      <c r="CX15" s="1757"/>
      <c r="CY15" s="1757"/>
      <c r="CZ15" s="1757"/>
      <c r="DA15" s="1757"/>
      <c r="DB15" s="1757"/>
      <c r="DC15" s="1757"/>
      <c r="DD15" s="1757"/>
      <c r="DE15" s="1757"/>
      <c r="DF15" s="1757"/>
      <c r="DG15" s="1757"/>
      <c r="DH15" s="1757"/>
      <c r="DI15" s="1757"/>
      <c r="DJ15" s="1757"/>
      <c r="DK15" s="1757"/>
      <c r="DL15" s="1757"/>
      <c r="DM15" s="1757"/>
      <c r="DN15" s="1757"/>
      <c r="DO15" s="1757"/>
      <c r="DP15" s="1757"/>
      <c r="DQ15" s="1757"/>
      <c r="DR15" s="1757"/>
      <c r="DS15" s="1757"/>
      <c r="DT15" s="1757"/>
      <c r="DU15" s="1757"/>
      <c r="DV15" s="1757"/>
      <c r="DW15" s="1757"/>
      <c r="DX15" s="1757"/>
      <c r="DY15" s="1757"/>
      <c r="DZ15" s="1757"/>
      <c r="EA15" s="1069"/>
      <c r="EB15" s="140" t="s">
        <v>130</v>
      </c>
      <c r="EC15" s="140" t="s">
        <v>165</v>
      </c>
      <c r="ED15" s="140" t="s">
        <v>169</v>
      </c>
      <c r="EE15" s="140" t="s">
        <v>170</v>
      </c>
      <c r="EF15" s="140" t="s">
        <v>135</v>
      </c>
      <c r="EG15" s="140" t="s">
        <v>136</v>
      </c>
      <c r="EH15" s="140" t="s">
        <v>137</v>
      </c>
      <c r="EI15" s="140" t="s">
        <v>171</v>
      </c>
      <c r="EJ15" s="140" t="s">
        <v>149</v>
      </c>
      <c r="EK15" s="140" t="s">
        <v>151</v>
      </c>
      <c r="EL15" s="140" t="s">
        <v>614</v>
      </c>
      <c r="EM15" s="140" t="s">
        <v>150</v>
      </c>
      <c r="EO15" s="140" t="s">
        <v>7748</v>
      </c>
      <c r="EQ15" s="1650" t="s">
        <v>10118</v>
      </c>
      <c r="ER15" s="1650" t="s">
        <v>165</v>
      </c>
      <c r="ES15" s="1650" t="s">
        <v>10119</v>
      </c>
      <c r="ET15" s="1650" t="s">
        <v>10120</v>
      </c>
      <c r="EU15" s="1650" t="s">
        <v>10121</v>
      </c>
      <c r="EV15" s="1650" t="s">
        <v>149</v>
      </c>
      <c r="EW15" s="1650" t="s">
        <v>10123</v>
      </c>
      <c r="EX15" s="1650" t="s">
        <v>10211</v>
      </c>
      <c r="EY15" s="1650" t="s">
        <v>11098</v>
      </c>
      <c r="EZ15" s="1650"/>
      <c r="FA15" s="1650" t="s">
        <v>10122</v>
      </c>
      <c r="FB15" s="1650" t="str">
        <f ca="1">IF(AND($EQ$2,$ET$2=FALSE),"Copper Pairs","Facilities Exist?")</f>
        <v>Facilities Exist?</v>
      </c>
      <c r="FC15" s="1650" t="str">
        <f ca="1">IF(AND($EQ$2,$ET$2=FALSE),"Copper Repeaters","OOR?")</f>
        <v>OOR?</v>
      </c>
      <c r="FD15" s="1650" t="str">
        <f ca="1">IF($EQ$2,IF($ET$2,"Diversity?","Facilities Exist?"),"")</f>
        <v/>
      </c>
      <c r="FE15" s="1650" t="str">
        <f ca="1">IF(AND($EQ$2,$ET$2=FALSE),"OOR?","")</f>
        <v/>
      </c>
      <c r="FF15" s="1650" t="str">
        <f ca="1">IF(AND($EQ$2,$ET$2=FALSE),"Diversity?","")</f>
        <v/>
      </c>
      <c r="FG15" s="1650"/>
      <c r="FH15" s="1650" t="str">
        <f ca="1">IF(AND($ER$2,$ET$2=TRUE),"ASR Item ID","")</f>
        <v/>
      </c>
      <c r="FI15" s="1650"/>
      <c r="FJ15" s="1650" t="str">
        <f ca="1">IF(AND($ER$2,$ET$2=FALSE),"ASR Item ID","")</f>
        <v/>
      </c>
    </row>
    <row r="16" spans="2:166" s="1065" customFormat="1">
      <c r="B16" s="144"/>
      <c r="C16" s="144"/>
      <c r="D16" s="144"/>
      <c r="E16" s="144"/>
      <c r="F16" s="1236"/>
      <c r="G16" s="1236"/>
      <c r="H16" s="1236"/>
      <c r="I16" s="1236"/>
      <c r="J16" s="1236"/>
      <c r="K16" s="144"/>
      <c r="L16" s="144"/>
      <c r="M16" s="144"/>
      <c r="N16" s="144"/>
      <c r="O16" s="144"/>
      <c r="P16" s="1236"/>
      <c r="Q16" s="1236"/>
      <c r="R16" s="1257"/>
      <c r="S16" s="1236"/>
      <c r="T16" s="144"/>
      <c r="U16" s="138"/>
      <c r="V16" s="138"/>
      <c r="W16" s="145"/>
      <c r="X16" s="145"/>
      <c r="Y16" s="145"/>
      <c r="Z16" s="145"/>
      <c r="AA16" s="144"/>
      <c r="AB16" s="144"/>
      <c r="AC16" s="144"/>
      <c r="AD16" s="144"/>
      <c r="AE16" s="144"/>
      <c r="AF16" s="145"/>
      <c r="AG16" s="144"/>
      <c r="AH16" s="145"/>
      <c r="AI16" s="1235"/>
      <c r="AJ16" s="1235"/>
      <c r="AK16" s="1235"/>
      <c r="AL16" s="1236"/>
      <c r="AM16" s="1236"/>
      <c r="AN16" s="144"/>
      <c r="AO16" s="144"/>
      <c r="AP16" s="151"/>
      <c r="AQ16" s="145"/>
      <c r="AR16" s="145"/>
      <c r="AS16" s="165"/>
      <c r="AT16" s="165"/>
      <c r="AU16" s="151"/>
      <c r="AV16" s="145"/>
      <c r="AW16" s="145"/>
      <c r="AX16" s="145"/>
      <c r="AY16" s="145"/>
      <c r="AZ16" s="145"/>
      <c r="BA16" s="145"/>
      <c r="BB16" s="145"/>
      <c r="BC16" s="145"/>
      <c r="BD16" s="151"/>
      <c r="BE16" s="145"/>
      <c r="BF16" s="144"/>
      <c r="BG16" s="144"/>
      <c r="BH16" s="144"/>
      <c r="BI16" s="144"/>
      <c r="BJ16" s="144"/>
      <c r="BK16" s="145"/>
      <c r="BL16" s="145"/>
      <c r="BM16" s="1235"/>
      <c r="BN16" s="1235"/>
      <c r="BO16" s="1235"/>
      <c r="BP16" s="1235"/>
      <c r="BQ16" s="1235"/>
      <c r="BR16" s="1235"/>
      <c r="BS16" s="1235"/>
      <c r="BT16" s="1235"/>
      <c r="BU16" s="1235"/>
      <c r="BV16" s="1588"/>
      <c r="BW16" s="1759"/>
      <c r="BX16" s="1759"/>
      <c r="BY16" s="1759"/>
      <c r="BZ16" s="1759"/>
      <c r="CA16" s="1759"/>
      <c r="CB16" s="1759"/>
      <c r="CC16" s="1759"/>
      <c r="CD16" s="1759"/>
      <c r="CE16" s="1759"/>
      <c r="CF16" s="1759"/>
      <c r="CG16" s="1759"/>
      <c r="CH16" s="1588"/>
      <c r="CI16" s="1588"/>
      <c r="CJ16" s="1588"/>
      <c r="CK16" s="1588"/>
      <c r="CL16" s="1588"/>
      <c r="CM16" s="1588"/>
      <c r="CN16" s="1588"/>
      <c r="CO16" s="1588"/>
      <c r="CP16" s="1588"/>
      <c r="CQ16" s="1588"/>
      <c r="CR16" s="1588"/>
      <c r="CS16" s="1588"/>
      <c r="CT16" s="1588"/>
      <c r="CU16" s="1588"/>
      <c r="CV16" s="1588"/>
      <c r="CW16" s="1588"/>
      <c r="CX16" s="1588"/>
      <c r="CY16" s="1588"/>
      <c r="CZ16" s="1588"/>
      <c r="DA16" s="1588"/>
      <c r="DB16" s="1588"/>
      <c r="DC16" s="1588"/>
      <c r="DD16" s="1588"/>
      <c r="DE16" s="1588"/>
      <c r="DF16" s="1588"/>
      <c r="DG16" s="1588"/>
      <c r="DH16" s="1588"/>
      <c r="DI16" s="1588"/>
      <c r="DJ16" s="1588"/>
      <c r="DK16" s="1588"/>
      <c r="DL16" s="1588"/>
      <c r="DM16" s="1588"/>
      <c r="DN16" s="1588"/>
      <c r="DO16" s="1588"/>
      <c r="DP16" s="1588"/>
      <c r="DQ16" s="1588"/>
      <c r="DR16" s="1588"/>
      <c r="DS16" s="1588"/>
      <c r="DT16" s="1588"/>
      <c r="DU16" s="1588"/>
      <c r="DV16" s="1588"/>
      <c r="DW16" s="1588"/>
      <c r="DX16" s="1588"/>
      <c r="DY16" s="1588"/>
      <c r="DZ16" s="1588"/>
      <c r="EB16" s="146"/>
      <c r="EC16" s="146"/>
      <c r="ED16" s="146"/>
      <c r="EE16" s="146"/>
      <c r="EF16" s="146"/>
      <c r="EG16" s="146"/>
      <c r="EH16" s="146"/>
      <c r="EI16" s="146"/>
      <c r="EJ16" s="146"/>
      <c r="EK16" s="146"/>
      <c r="EL16" s="146"/>
      <c r="EM16" s="146"/>
      <c r="EO16" s="146"/>
      <c r="EQ16" s="1651" t="str">
        <f>IF(BU16="New","New",IF(BU16="Existing","Existing-Change",IF(BU16="Renewal","Existing-No Change","")))</f>
        <v/>
      </c>
      <c r="ER16" s="1652" t="str">
        <f ca="1">BN16&amp;IF(AND($EQ$2,BN16&lt;&gt;"Broadband"),IF(BV16="Copper"," Copper"," Fiber"),"")</f>
        <v/>
      </c>
      <c r="ES16" s="1652">
        <f>BQ16</f>
        <v>0</v>
      </c>
      <c r="ET16" s="1651">
        <f>BR16</f>
        <v>0</v>
      </c>
      <c r="EU16" s="1652" t="str">
        <f>IF(AI16="","NOTFOUND",LEFT(AI16,8))</f>
        <v>NOTFOUND</v>
      </c>
      <c r="EV16" s="1651" t="str">
        <f>LEFT(Y16,8)</f>
        <v/>
      </c>
      <c r="EW16" s="1652" t="str">
        <f>IF(AM16="","NOTFOUND",LEFT(AM16,8))</f>
        <v>NOTFOUND</v>
      </c>
      <c r="EX16" s="1652"/>
      <c r="EY16" s="1652" t="str">
        <f>J16&amp;", "&amp;P16&amp;", "&amp;Q16&amp;" "&amp;R16</f>
        <v xml:space="preserve">, ,  </v>
      </c>
      <c r="EZ16" s="1653"/>
      <c r="FA16" s="1653" t="str">
        <f ca="1">IF($EQ$2,IF(BV16="Copper",IF(ISERROR(FIND("K",AS16)),"Enter Manually",ROUND(LEFT(AS16,FIND("K",AS16)-1)/5.28,4)),"*skip*"),"")</f>
        <v/>
      </c>
      <c r="FB16" s="1651" t="str">
        <f ca="1">IF(AND($EQ$2,$ET$2=FALSE),IF(BV16="Copper",AY16,"NA"),IF(BN16="Broadband","Y",IF(F16="Fully Qualified","Y","N")))</f>
        <v>N</v>
      </c>
      <c r="FC16" s="1651" t="str">
        <f ca="1">IF(AND($EQ$2,$ET$2=FALSE),IF(BV16="Copper",AT16,"NA"),IF(OR(X16="N",X16="O"),"Yes","No"))</f>
        <v>No</v>
      </c>
      <c r="FD16" s="1651" t="str">
        <f ca="1">IF($EQ$2,IF($ET$2,IF(OR(W16="Yes",AF16="DA",AF16="AAF"),"Yes","No"),IF(BN16="Broadband","Y",IF(F16="Fully Qualified","Y","N"))),"")</f>
        <v/>
      </c>
      <c r="FE16" s="1651" t="str">
        <f ca="1">IF(AND($EQ$2,$ET$2=FALSE),IF(OR(X16="N",X16="O"),"Yes","No"),"")</f>
        <v/>
      </c>
      <c r="FF16" s="1651" t="str">
        <f ca="1">IF(AND($EQ$2,$ET$2=FALSE),IF(OR(W16="Yes",AF16="DA",AF16="AAF"),"Yes","No"),"")</f>
        <v/>
      </c>
      <c r="FG16" s="1651"/>
      <c r="FH16" s="1651" t="str">
        <f ca="1">IF(AND($ER$2,$ET$2=TRUE),I16,"")</f>
        <v/>
      </c>
      <c r="FI16" s="1651"/>
      <c r="FJ16" s="1651" t="str">
        <f ca="1">IF(AND($ER$2,$ET$2=FALSE),I16,"")</f>
        <v/>
      </c>
    </row>
    <row r="17" spans="1:166" customFormat="1">
      <c r="BV17" s="941"/>
      <c r="CH17" s="941"/>
      <c r="CI17" s="941"/>
      <c r="CJ17" s="941"/>
      <c r="CK17" s="941"/>
      <c r="CL17" s="941"/>
      <c r="CM17" s="941"/>
      <c r="CN17" s="941"/>
      <c r="CO17" s="941"/>
      <c r="CP17" s="941"/>
      <c r="CQ17" s="941"/>
      <c r="CR17" s="941"/>
      <c r="CS17" s="941"/>
      <c r="CT17" s="941"/>
      <c r="CU17" s="941"/>
      <c r="CV17" s="941"/>
      <c r="CW17" s="941"/>
      <c r="CX17" s="941"/>
      <c r="CY17" s="941"/>
      <c r="CZ17" s="941"/>
      <c r="DA17" s="941"/>
      <c r="DB17" s="941"/>
      <c r="DC17" s="941"/>
      <c r="DD17" s="941"/>
      <c r="DE17" s="941"/>
      <c r="DF17" s="941"/>
      <c r="DG17" s="941"/>
      <c r="DH17" s="941"/>
      <c r="DI17" s="941"/>
      <c r="DJ17" s="941"/>
      <c r="DK17" s="941"/>
      <c r="DL17" s="941"/>
      <c r="DM17" s="941"/>
      <c r="DN17" s="941"/>
      <c r="DO17" s="941"/>
      <c r="DP17" s="941"/>
      <c r="DQ17" s="941"/>
      <c r="DR17" s="941"/>
      <c r="DS17" s="941"/>
      <c r="DT17" s="941"/>
      <c r="DU17" s="941"/>
      <c r="DV17" s="941"/>
      <c r="DW17" s="941"/>
      <c r="DX17" s="941"/>
      <c r="DY17" s="941"/>
      <c r="DZ17" s="941"/>
      <c r="EQ17" s="1654"/>
      <c r="ER17" s="1654"/>
      <c r="ES17" s="1654"/>
      <c r="ET17" s="1654"/>
      <c r="EU17" s="1654"/>
      <c r="EV17" s="1654"/>
      <c r="EW17" s="1654"/>
      <c r="EX17" s="1654"/>
      <c r="EY17" s="1654"/>
      <c r="EZ17" s="1654"/>
      <c r="FA17" s="1654"/>
      <c r="FB17" s="1654"/>
      <c r="FC17" s="1654"/>
      <c r="FD17" s="1654"/>
      <c r="FE17" s="1654"/>
      <c r="FF17" s="1654"/>
      <c r="FG17" s="1654"/>
      <c r="FH17" s="1654"/>
      <c r="FI17" s="1654"/>
      <c r="FJ17" s="1654"/>
    </row>
    <row r="18" spans="1:166">
      <c r="A18" s="941"/>
      <c r="E18" s="941"/>
      <c r="F18" s="941"/>
      <c r="L18" s="941"/>
      <c r="M18" s="941"/>
      <c r="N18" s="941"/>
      <c r="S18" s="941"/>
      <c r="T18" s="941"/>
      <c r="BF18" s="941"/>
      <c r="BG18" s="941"/>
      <c r="BH18" s="941"/>
      <c r="BI18" s="941"/>
      <c r="BJ18" s="941"/>
      <c r="CF18" s="941"/>
      <c r="CG18" s="941"/>
      <c r="EA18" s="941"/>
      <c r="EQ18" s="670"/>
      <c r="ER18" s="670"/>
      <c r="ES18" s="670"/>
      <c r="ET18" s="670"/>
      <c r="EU18" s="670"/>
      <c r="EV18" s="670"/>
      <c r="EW18" s="670"/>
      <c r="EX18" s="670"/>
      <c r="EY18" s="670"/>
      <c r="EZ18" s="670"/>
      <c r="FA18" s="670"/>
      <c r="FB18" s="670"/>
      <c r="FC18" s="670"/>
      <c r="FD18" s="670"/>
      <c r="FE18" s="670"/>
      <c r="FF18" s="670"/>
    </row>
    <row r="19" spans="1:166">
      <c r="EQ19" s="670"/>
      <c r="ER19" s="670"/>
      <c r="ES19" s="670"/>
      <c r="ET19" s="670"/>
      <c r="EU19" s="670"/>
      <c r="EV19" s="670"/>
      <c r="EW19" s="670"/>
      <c r="EX19" s="670"/>
      <c r="EY19" s="670"/>
      <c r="EZ19" s="670"/>
      <c r="FA19" s="670"/>
      <c r="FB19" s="670"/>
      <c r="FC19" s="670"/>
      <c r="FD19" s="670"/>
      <c r="FE19" s="670"/>
      <c r="FF19" s="670"/>
    </row>
    <row r="20" spans="1:166">
      <c r="EQ20" s="670"/>
      <c r="ER20" s="670"/>
      <c r="ES20" s="670"/>
      <c r="ET20" s="670"/>
      <c r="EU20" s="670"/>
      <c r="EV20" s="670"/>
      <c r="EW20" s="670"/>
      <c r="EX20" s="670"/>
      <c r="EY20" s="670"/>
      <c r="EZ20" s="670"/>
      <c r="FA20" s="670"/>
      <c r="FB20" s="670"/>
      <c r="FC20" s="670"/>
      <c r="FD20" s="670"/>
      <c r="FE20" s="670"/>
      <c r="FF20" s="670"/>
    </row>
    <row r="21" spans="1:166">
      <c r="EQ21" s="670"/>
      <c r="ER21" s="670"/>
      <c r="ES21" s="670"/>
      <c r="ET21" s="670"/>
      <c r="EU21" s="670"/>
      <c r="EV21" s="670"/>
      <c r="EW21" s="670"/>
      <c r="EX21" s="670"/>
      <c r="EY21" s="670"/>
      <c r="EZ21" s="670"/>
      <c r="FA21" s="670"/>
      <c r="FB21" s="670"/>
      <c r="FC21" s="670"/>
      <c r="FD21" s="670"/>
      <c r="FE21" s="670"/>
      <c r="FF21" s="670"/>
    </row>
    <row r="22" spans="1:166">
      <c r="EQ22" s="670"/>
      <c r="ER22" s="670"/>
      <c r="ES22" s="670"/>
      <c r="ET22" s="670"/>
      <c r="EU22" s="670"/>
      <c r="EV22" s="670"/>
      <c r="EW22" s="670"/>
      <c r="EX22" s="670"/>
      <c r="EY22" s="670"/>
      <c r="EZ22" s="670"/>
      <c r="FA22" s="670"/>
      <c r="FB22" s="670"/>
      <c r="FC22" s="670"/>
      <c r="FD22" s="670"/>
      <c r="FE22" s="670"/>
      <c r="FF22" s="670"/>
    </row>
    <row r="23" spans="1:166">
      <c r="EQ23" s="670"/>
      <c r="ER23" s="670"/>
      <c r="ES23" s="670"/>
      <c r="ET23" s="670"/>
      <c r="EU23" s="670"/>
      <c r="EV23" s="670"/>
      <c r="EW23" s="670"/>
      <c r="EX23" s="670"/>
      <c r="EY23" s="670"/>
      <c r="EZ23" s="670"/>
      <c r="FA23" s="670"/>
      <c r="FB23" s="670"/>
      <c r="FC23" s="670"/>
      <c r="FD23" s="670"/>
      <c r="FE23" s="670"/>
      <c r="FF23" s="670"/>
    </row>
    <row r="24" spans="1:166">
      <c r="EQ24" s="670"/>
      <c r="ER24" s="670"/>
      <c r="ES24" s="670"/>
      <c r="ET24" s="670"/>
      <c r="EU24" s="670"/>
      <c r="EV24" s="670"/>
      <c r="EW24" s="670"/>
      <c r="EX24" s="670"/>
      <c r="EY24" s="670"/>
      <c r="EZ24" s="670"/>
      <c r="FA24" s="670"/>
      <c r="FB24" s="670"/>
      <c r="FC24" s="670"/>
      <c r="FD24" s="670"/>
      <c r="FE24" s="670"/>
      <c r="FF24" s="670"/>
    </row>
    <row r="25" spans="1:166">
      <c r="EQ25" s="670"/>
      <c r="ER25" s="670"/>
      <c r="ES25" s="670"/>
      <c r="ET25" s="670"/>
      <c r="EU25" s="670"/>
      <c r="EV25" s="670"/>
      <c r="EW25" s="670"/>
      <c r="EX25" s="670"/>
      <c r="EY25" s="670"/>
      <c r="EZ25" s="670"/>
      <c r="FA25" s="670"/>
      <c r="FB25" s="670"/>
      <c r="FC25" s="670"/>
      <c r="FD25" s="670"/>
      <c r="FE25" s="670"/>
      <c r="FF25" s="670"/>
    </row>
  </sheetData>
  <sheetProtection formatColumns="0" formatRows="0" selectLockedCells="1"/>
  <conditionalFormatting sqref="BK16">
    <cfRule type="expression" dxfId="112" priority="9" stopIfTrue="1">
      <formula>($BE16="Y")</formula>
    </cfRule>
  </conditionalFormatting>
  <conditionalFormatting sqref="BL16:BV16 CH16:DZ16">
    <cfRule type="expression" dxfId="111" priority="8" stopIfTrue="1">
      <formula>($BE16="N")</formula>
    </cfRule>
  </conditionalFormatting>
  <conditionalFormatting sqref="X16:Y16">
    <cfRule type="cellIs" dxfId="110" priority="7" operator="equal">
      <formula>""</formula>
    </cfRule>
  </conditionalFormatting>
  <conditionalFormatting sqref="B16">
    <cfRule type="expression" dxfId="109" priority="6" stopIfTrue="1">
      <formula>AND(Y16="",X16="")</formula>
    </cfRule>
  </conditionalFormatting>
  <conditionalFormatting sqref="L16:O16">
    <cfRule type="expression" dxfId="108" priority="5" stopIfTrue="1">
      <formula>($BE16="N")</formula>
    </cfRule>
  </conditionalFormatting>
  <conditionalFormatting sqref="O16">
    <cfRule type="expression" dxfId="107" priority="4" stopIfTrue="1">
      <formula>($BE16="N")</formula>
    </cfRule>
  </conditionalFormatting>
  <conditionalFormatting sqref="BF16:BJ16">
    <cfRule type="expression" dxfId="106" priority="3" stopIfTrue="1">
      <formula>($BE16="N")</formula>
    </cfRule>
  </conditionalFormatting>
  <conditionalFormatting sqref="S16:T16">
    <cfRule type="expression" dxfId="105" priority="2" stopIfTrue="1">
      <formula>($BE16="N")</formula>
    </cfRule>
  </conditionalFormatting>
  <conditionalFormatting sqref="E16:F16">
    <cfRule type="expression" dxfId="104" priority="1" stopIfTrue="1">
      <formula>($BE16="N")</formula>
    </cfRule>
  </conditionalFormatting>
  <dataValidations count="4">
    <dataValidation type="custom" allowBlank="1" showInputMessage="1" showErrorMessage="1" sqref="EQ16 BN16 BQ16:BR16 ES16:FJ16 AM16 AI16 Y16 F16 P16:R16 J16 BU16:BV16 CH16:DZ16" xr:uid="{00000000-0002-0000-0300-000000000000}">
      <formula1>"="</formula1>
    </dataValidation>
    <dataValidation type="list" allowBlank="1" showInputMessage="1" showErrorMessage="1" sqref="BW16:CE16" xr:uid="{00000000-0002-0000-0300-000001000000}">
      <formula1>"Y,N,"</formula1>
    </dataValidation>
    <dataValidation type="list" allowBlank="1" showInputMessage="1" showErrorMessage="1" sqref="U16:V16" xr:uid="{00000000-0002-0000-0300-000002000000}">
      <formula1>"Yes,No"</formula1>
    </dataValidation>
    <dataValidation type="list" allowBlank="1" showInputMessage="1" showErrorMessage="1" sqref="X16" xr:uid="{00000000-0002-0000-0300-000003000000}">
      <formula1>"Y,N,O"</formula1>
    </dataValidation>
  </dataValidations>
  <pageMargins left="0.75" right="0.75" top="1" bottom="1" header="0.5" footer="0.5"/>
  <pageSetup orientation="portrait" horizontalDpi="200" verticalDpi="200" r:id="rId1"/>
  <headerFooter alignWithMargins="0">
    <oddFooter>&amp;CAT&amp;&amp;T Proprietary (Internal Use Only)</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90497" r:id="rId4" name="Button 1">
              <controlPr defaultSize="0" print="0" autoFill="0" autoPict="0" macro="[0]!OEMAC_clearSheet1">
                <anchor moveWithCells="1" sizeWithCells="1">
                  <from>
                    <xdr:col>1</xdr:col>
                    <xdr:colOff>28575</xdr:colOff>
                    <xdr:row>0</xdr:row>
                    <xdr:rowOff>57150</xdr:rowOff>
                  </from>
                  <to>
                    <xdr:col>1</xdr:col>
                    <xdr:colOff>1400175</xdr:colOff>
                    <xdr:row>0</xdr:row>
                    <xdr:rowOff>419100</xdr:rowOff>
                  </to>
                </anchor>
              </controlPr>
            </control>
          </mc:Choice>
        </mc:AlternateContent>
        <mc:AlternateContent xmlns:mc="http://schemas.openxmlformats.org/markup-compatibility/2006">
          <mc:Choice Requires="x14">
            <control shapeId="490498" r:id="rId5" name="Button 2">
              <controlPr defaultSize="0" print="0" autoFill="0" autoPict="0" macro="[0]!OEMAC_ImportPcGlobesData1">
                <anchor>
                  <from>
                    <xdr:col>1</xdr:col>
                    <xdr:colOff>1695450</xdr:colOff>
                    <xdr:row>0</xdr:row>
                    <xdr:rowOff>57150</xdr:rowOff>
                  </from>
                  <to>
                    <xdr:col>4</xdr:col>
                    <xdr:colOff>171450</xdr:colOff>
                    <xdr:row>0</xdr:row>
                    <xdr:rowOff>419100</xdr:rowOff>
                  </to>
                </anchor>
              </controlPr>
            </control>
          </mc:Choice>
        </mc:AlternateContent>
        <mc:AlternateContent xmlns:mc="http://schemas.openxmlformats.org/markup-compatibility/2006">
          <mc:Choice Requires="x14">
            <control shapeId="490499" r:id="rId6" name="Button 3">
              <controlPr defaultSize="0" print="0" autoFill="0" autoPict="0" macro="[0]!OEMAC_copyOEMACData1">
                <anchor>
                  <from>
                    <xdr:col>4</xdr:col>
                    <xdr:colOff>457200</xdr:colOff>
                    <xdr:row>0</xdr:row>
                    <xdr:rowOff>66675</xdr:rowOff>
                  </from>
                  <to>
                    <xdr:col>6</xdr:col>
                    <xdr:colOff>1276350</xdr:colOff>
                    <xdr:row>0</xdr:row>
                    <xdr:rowOff>428625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wsInvReport"/>
  <dimension ref="A1:AL404"/>
  <sheetViews>
    <sheetView showGridLines="0" workbookViewId="0">
      <selection activeCell="A29" sqref="A29"/>
    </sheetView>
  </sheetViews>
  <sheetFormatPr defaultColWidth="9.140625" defaultRowHeight="11.25"/>
  <cols>
    <col min="1" max="1" width="11.7109375" style="1061" customWidth="1"/>
    <col min="2" max="2" width="7.5703125" style="1061" customWidth="1"/>
    <col min="3" max="3" width="8.28515625" style="1061" bestFit="1" customWidth="1"/>
    <col min="4" max="4" width="4.5703125" style="1061" bestFit="1" customWidth="1"/>
    <col min="5" max="5" width="6.28515625" style="1061" bestFit="1" customWidth="1"/>
    <col min="6" max="6" width="27.42578125" style="1061" bestFit="1" customWidth="1"/>
    <col min="7" max="7" width="34.140625" style="1061" bestFit="1" customWidth="1"/>
    <col min="8" max="8" width="20.140625" style="1061" bestFit="1" customWidth="1"/>
    <col min="9" max="9" width="23" style="1061" bestFit="1" customWidth="1"/>
    <col min="10" max="10" width="21.85546875" style="1061" bestFit="1" customWidth="1"/>
    <col min="11" max="11" width="18.7109375" style="1061" bestFit="1" customWidth="1"/>
    <col min="12" max="12" width="19.42578125" style="1061" bestFit="1" customWidth="1"/>
    <col min="13" max="13" width="20.28515625" style="1061" bestFit="1" customWidth="1"/>
    <col min="14" max="14" width="12.28515625" style="1061" bestFit="1" customWidth="1"/>
    <col min="15" max="15" width="31" style="1061" bestFit="1" customWidth="1"/>
    <col min="16" max="16" width="19.85546875" style="1061" bestFit="1" customWidth="1"/>
    <col min="17" max="18" width="21.85546875" style="1061" bestFit="1" customWidth="1"/>
    <col min="19" max="19" width="15.5703125" style="1061" bestFit="1" customWidth="1"/>
    <col min="20" max="20" width="12.7109375" style="1061" customWidth="1"/>
    <col min="21" max="21" width="15.85546875" style="1061" bestFit="1" customWidth="1"/>
    <col min="22" max="22" width="38.5703125" style="1061" bestFit="1" customWidth="1"/>
    <col min="23" max="23" width="12.7109375" style="1061" customWidth="1"/>
    <col min="24" max="24" width="50" style="1061" bestFit="1" customWidth="1"/>
    <col min="25" max="25" width="36.28515625" style="1061" bestFit="1" customWidth="1"/>
    <col min="26" max="26" width="11.85546875" style="1061" bestFit="1" customWidth="1"/>
    <col min="27" max="27" width="6" style="1061" bestFit="1" customWidth="1"/>
    <col min="28" max="28" width="4.42578125" style="1061" bestFit="1" customWidth="1"/>
    <col min="29" max="29" width="8.5703125" style="1061" bestFit="1" customWidth="1"/>
    <col min="30" max="30" width="8.7109375" style="1061" bestFit="1" customWidth="1"/>
    <col min="31" max="31" width="7.140625" style="1061" bestFit="1" customWidth="1"/>
    <col min="32" max="32" width="8.7109375" style="1061" bestFit="1" customWidth="1"/>
    <col min="33" max="33" width="7.5703125" style="1061" bestFit="1" customWidth="1"/>
    <col min="34" max="34" width="8.140625" style="1061" bestFit="1" customWidth="1"/>
    <col min="35" max="35" width="7.7109375" style="1061" bestFit="1" customWidth="1"/>
    <col min="36" max="36" width="8.28515625" style="1061" bestFit="1" customWidth="1"/>
    <col min="37" max="37" width="4.42578125" style="1061" bestFit="1" customWidth="1"/>
    <col min="38" max="38" width="7.85546875" style="1061" bestFit="1" customWidth="1"/>
    <col min="39" max="53" width="12.7109375" style="1061" customWidth="1"/>
    <col min="54" max="16384" width="9.140625" style="1061"/>
  </cols>
  <sheetData>
    <row r="1" spans="1:17" ht="16.5" thickBot="1">
      <c r="F1" s="1230" t="s">
        <v>12311</v>
      </c>
      <c r="G1" s="1231"/>
      <c r="H1" s="1231"/>
      <c r="I1" s="1231"/>
      <c r="J1" s="1231"/>
      <c r="K1" s="1231"/>
    </row>
    <row r="2" spans="1:17" ht="12" thickBot="1">
      <c r="A2" s="1061" t="s">
        <v>8045</v>
      </c>
      <c r="C2" s="1062" t="s">
        <v>9602</v>
      </c>
      <c r="D2" s="1063">
        <v>1</v>
      </c>
      <c r="F2" s="1231"/>
      <c r="G2" s="1231" t="s">
        <v>12307</v>
      </c>
      <c r="H2" s="1232">
        <v>42761.500925925924</v>
      </c>
      <c r="I2" s="1233">
        <v>42761.500925925924</v>
      </c>
      <c r="J2" s="1231"/>
      <c r="K2" s="1234" t="s">
        <v>12308</v>
      </c>
    </row>
    <row r="3" spans="1:17" ht="12" thickBot="1">
      <c r="F3" s="1234"/>
      <c r="G3" s="1231" t="s">
        <v>12310</v>
      </c>
      <c r="H3" s="1231"/>
      <c r="I3" s="1231"/>
      <c r="J3" s="1231"/>
      <c r="K3" s="1234" t="s">
        <v>12309</v>
      </c>
    </row>
    <row r="4" spans="1:17" ht="12" thickBot="1">
      <c r="F4" s="1062" t="s">
        <v>11689</v>
      </c>
      <c r="G4" s="1062" t="s">
        <v>11690</v>
      </c>
      <c r="H4" s="1062" t="s">
        <v>11691</v>
      </c>
      <c r="I4" s="1062" t="s">
        <v>11692</v>
      </c>
      <c r="J4" s="1062" t="s">
        <v>11693</v>
      </c>
      <c r="K4" s="1062" t="s">
        <v>11694</v>
      </c>
      <c r="L4" s="1062" t="s">
        <v>11695</v>
      </c>
      <c r="M4" s="1062" t="s">
        <v>11696</v>
      </c>
      <c r="N4" s="1062" t="s">
        <v>11697</v>
      </c>
      <c r="O4" s="1062" t="s">
        <v>11698</v>
      </c>
      <c r="P4" s="1062" t="s">
        <v>11699</v>
      </c>
      <c r="Q4" s="1062" t="s">
        <v>11700</v>
      </c>
    </row>
    <row r="5" spans="1:17">
      <c r="F5" s="1666" t="s">
        <v>11376</v>
      </c>
      <c r="G5" s="1663">
        <v>36</v>
      </c>
      <c r="H5" s="1664"/>
      <c r="I5" s="1664"/>
      <c r="J5" s="1664"/>
      <c r="K5" s="1664"/>
      <c r="L5" s="1664">
        <f t="shared" ref="L5:L17" si="0">H5-K5</f>
        <v>0</v>
      </c>
      <c r="M5" s="1664">
        <f t="shared" ref="M5:M17" si="1">L5*12</f>
        <v>0</v>
      </c>
      <c r="N5" s="1665" t="str">
        <f t="shared" ref="N5:N17" si="2">IFERROR((L5)/H5,"--")</f>
        <v>--</v>
      </c>
      <c r="O5" s="1664"/>
      <c r="P5" s="1664">
        <v>0</v>
      </c>
      <c r="Q5" s="1671">
        <v>0</v>
      </c>
    </row>
    <row r="6" spans="1:17">
      <c r="F6" s="1666" t="s">
        <v>11378</v>
      </c>
      <c r="G6" s="1663">
        <v>36</v>
      </c>
      <c r="H6" s="1664"/>
      <c r="I6" s="1664"/>
      <c r="J6" s="1664"/>
      <c r="K6" s="1664"/>
      <c r="L6" s="1664">
        <f t="shared" si="0"/>
        <v>0</v>
      </c>
      <c r="M6" s="1664">
        <f t="shared" si="1"/>
        <v>0</v>
      </c>
      <c r="N6" s="1665" t="str">
        <f t="shared" si="2"/>
        <v>--</v>
      </c>
      <c r="O6" s="1664"/>
      <c r="P6" s="1664">
        <v>0</v>
      </c>
      <c r="Q6" s="1671">
        <v>0</v>
      </c>
    </row>
    <row r="7" spans="1:17">
      <c r="F7" s="1666" t="s">
        <v>11701</v>
      </c>
      <c r="G7" s="1663">
        <v>36</v>
      </c>
      <c r="H7" s="1664"/>
      <c r="I7" s="1664"/>
      <c r="J7" s="1664"/>
      <c r="K7" s="1664"/>
      <c r="L7" s="1664">
        <f t="shared" si="0"/>
        <v>0</v>
      </c>
      <c r="M7" s="1664">
        <f t="shared" si="1"/>
        <v>0</v>
      </c>
      <c r="N7" s="1665" t="str">
        <f t="shared" si="2"/>
        <v>--</v>
      </c>
      <c r="O7" s="1664"/>
      <c r="P7" s="1664">
        <v>0</v>
      </c>
      <c r="Q7" s="1671">
        <v>0</v>
      </c>
    </row>
    <row r="8" spans="1:17">
      <c r="F8" s="1666" t="s">
        <v>11366</v>
      </c>
      <c r="G8" s="1663">
        <v>36</v>
      </c>
      <c r="H8" s="1664"/>
      <c r="I8" s="1664"/>
      <c r="J8" s="1664"/>
      <c r="K8" s="1664"/>
      <c r="L8" s="1664">
        <f t="shared" si="0"/>
        <v>0</v>
      </c>
      <c r="M8" s="1664">
        <f t="shared" si="1"/>
        <v>0</v>
      </c>
      <c r="N8" s="1665" t="str">
        <f t="shared" si="2"/>
        <v>--</v>
      </c>
      <c r="O8" s="1664"/>
      <c r="P8" s="1664">
        <v>0</v>
      </c>
      <c r="Q8" s="1671">
        <v>0</v>
      </c>
    </row>
    <row r="9" spans="1:17">
      <c r="F9" s="1666" t="s">
        <v>11702</v>
      </c>
      <c r="G9" s="1663">
        <v>36</v>
      </c>
      <c r="H9" s="1664"/>
      <c r="I9" s="1664"/>
      <c r="J9" s="1664"/>
      <c r="K9" s="1664"/>
      <c r="L9" s="1664">
        <f t="shared" si="0"/>
        <v>0</v>
      </c>
      <c r="M9" s="1664">
        <f t="shared" si="1"/>
        <v>0</v>
      </c>
      <c r="N9" s="1665" t="str">
        <f t="shared" si="2"/>
        <v>--</v>
      </c>
      <c r="O9" s="1664"/>
      <c r="P9" s="1664">
        <v>0</v>
      </c>
      <c r="Q9" s="1671">
        <v>0</v>
      </c>
    </row>
    <row r="10" spans="1:17">
      <c r="F10" s="1666" t="s">
        <v>11367</v>
      </c>
      <c r="G10" s="1663">
        <v>36</v>
      </c>
      <c r="H10" s="1664"/>
      <c r="I10" s="1664"/>
      <c r="J10" s="1664"/>
      <c r="K10" s="1664"/>
      <c r="L10" s="1664">
        <f t="shared" si="0"/>
        <v>0</v>
      </c>
      <c r="M10" s="1664">
        <f t="shared" si="1"/>
        <v>0</v>
      </c>
      <c r="N10" s="1665" t="str">
        <f t="shared" si="2"/>
        <v>--</v>
      </c>
      <c r="O10" s="1664"/>
      <c r="P10" s="1664">
        <v>0</v>
      </c>
      <c r="Q10" s="1671">
        <v>0</v>
      </c>
    </row>
    <row r="11" spans="1:17">
      <c r="F11" s="1666" t="s">
        <v>11370</v>
      </c>
      <c r="G11" s="1663">
        <v>36</v>
      </c>
      <c r="H11" s="1664"/>
      <c r="I11" s="1664"/>
      <c r="J11" s="1664"/>
      <c r="K11" s="1664"/>
      <c r="L11" s="1664">
        <f t="shared" si="0"/>
        <v>0</v>
      </c>
      <c r="M11" s="1664">
        <f t="shared" si="1"/>
        <v>0</v>
      </c>
      <c r="N11" s="1665" t="str">
        <f t="shared" si="2"/>
        <v>--</v>
      </c>
      <c r="O11" s="1664"/>
      <c r="P11" s="1664">
        <v>0</v>
      </c>
      <c r="Q11" s="1671">
        <v>0</v>
      </c>
    </row>
    <row r="12" spans="1:17">
      <c r="F12" s="1666" t="s">
        <v>11376</v>
      </c>
      <c r="G12" s="1663">
        <v>36</v>
      </c>
      <c r="H12" s="1664"/>
      <c r="I12" s="1664"/>
      <c r="J12" s="1664"/>
      <c r="K12" s="1664"/>
      <c r="L12" s="1664">
        <f t="shared" si="0"/>
        <v>0</v>
      </c>
      <c r="M12" s="1664">
        <f t="shared" si="1"/>
        <v>0</v>
      </c>
      <c r="N12" s="1665" t="str">
        <f t="shared" si="2"/>
        <v>--</v>
      </c>
      <c r="O12" s="1664"/>
      <c r="P12" s="1664">
        <v>0</v>
      </c>
      <c r="Q12" s="1671">
        <v>0</v>
      </c>
    </row>
    <row r="13" spans="1:17">
      <c r="F13" s="1666" t="s">
        <v>11378</v>
      </c>
      <c r="G13" s="1663">
        <v>36</v>
      </c>
      <c r="H13" s="1664"/>
      <c r="I13" s="1664"/>
      <c r="J13" s="1664"/>
      <c r="K13" s="1664"/>
      <c r="L13" s="1664">
        <f t="shared" si="0"/>
        <v>0</v>
      </c>
      <c r="M13" s="1664">
        <f t="shared" si="1"/>
        <v>0</v>
      </c>
      <c r="N13" s="1665" t="str">
        <f t="shared" si="2"/>
        <v>--</v>
      </c>
      <c r="O13" s="1664"/>
      <c r="P13" s="1664">
        <v>0</v>
      </c>
      <c r="Q13" s="1671">
        <v>0</v>
      </c>
    </row>
    <row r="14" spans="1:17">
      <c r="F14" s="1666" t="s">
        <v>11701</v>
      </c>
      <c r="G14" s="1663">
        <v>36</v>
      </c>
      <c r="H14" s="1664"/>
      <c r="I14" s="1664"/>
      <c r="J14" s="1664"/>
      <c r="K14" s="1664"/>
      <c r="L14" s="1664">
        <f t="shared" si="0"/>
        <v>0</v>
      </c>
      <c r="M14" s="1664">
        <f t="shared" si="1"/>
        <v>0</v>
      </c>
      <c r="N14" s="1665" t="str">
        <f t="shared" si="2"/>
        <v>--</v>
      </c>
      <c r="O14" s="1664"/>
      <c r="P14" s="1664">
        <v>0</v>
      </c>
      <c r="Q14" s="1671">
        <v>0</v>
      </c>
    </row>
    <row r="15" spans="1:17">
      <c r="F15" s="1666" t="s">
        <v>11381</v>
      </c>
      <c r="G15" s="1663">
        <v>36</v>
      </c>
      <c r="H15" s="1664"/>
      <c r="I15" s="1664"/>
      <c r="J15" s="1664"/>
      <c r="K15" s="1664"/>
      <c r="L15" s="1664">
        <f t="shared" si="0"/>
        <v>0</v>
      </c>
      <c r="M15" s="1664">
        <f t="shared" si="1"/>
        <v>0</v>
      </c>
      <c r="N15" s="1665" t="str">
        <f t="shared" si="2"/>
        <v>--</v>
      </c>
      <c r="O15" s="1664"/>
      <c r="P15" s="1664">
        <v>0</v>
      </c>
      <c r="Q15" s="1671">
        <v>0</v>
      </c>
    </row>
    <row r="16" spans="1:17">
      <c r="F16" s="1666" t="s">
        <v>11702</v>
      </c>
      <c r="G16" s="1663">
        <v>36</v>
      </c>
      <c r="H16" s="1664"/>
      <c r="I16" s="1664"/>
      <c r="J16" s="1664"/>
      <c r="K16" s="1664"/>
      <c r="L16" s="1664">
        <f t="shared" si="0"/>
        <v>0</v>
      </c>
      <c r="M16" s="1664">
        <f t="shared" si="1"/>
        <v>0</v>
      </c>
      <c r="N16" s="1665" t="str">
        <f t="shared" si="2"/>
        <v>--</v>
      </c>
      <c r="O16" s="1664"/>
      <c r="P16" s="1664">
        <v>0</v>
      </c>
      <c r="Q16" s="1671">
        <v>0</v>
      </c>
    </row>
    <row r="17" spans="2:38">
      <c r="F17" s="1667" t="s">
        <v>11703</v>
      </c>
      <c r="G17" s="1668">
        <v>36</v>
      </c>
      <c r="H17" s="1669"/>
      <c r="I17" s="1669"/>
      <c r="J17" s="1669"/>
      <c r="K17" s="1669"/>
      <c r="L17" s="1669">
        <f t="shared" si="0"/>
        <v>0</v>
      </c>
      <c r="M17" s="1669">
        <f t="shared" si="1"/>
        <v>0</v>
      </c>
      <c r="N17" s="1670" t="str">
        <f t="shared" si="2"/>
        <v>--</v>
      </c>
      <c r="O17" s="1669"/>
      <c r="P17" s="1669">
        <v>0</v>
      </c>
      <c r="Q17" s="1672">
        <v>0</v>
      </c>
    </row>
    <row r="18" spans="2:38">
      <c r="H18" s="1661">
        <f t="shared" ref="H18:Q18" si="3">SUM(H4:H17)</f>
        <v>0</v>
      </c>
      <c r="I18" s="1661">
        <f t="shared" si="3"/>
        <v>0</v>
      </c>
      <c r="J18" s="1661">
        <f t="shared" si="3"/>
        <v>0</v>
      </c>
      <c r="K18" s="1661">
        <f t="shared" si="3"/>
        <v>0</v>
      </c>
      <c r="L18" s="1661">
        <f t="shared" si="3"/>
        <v>0</v>
      </c>
      <c r="M18" s="1661">
        <f t="shared" si="3"/>
        <v>0</v>
      </c>
      <c r="N18" s="1662">
        <f t="shared" si="3"/>
        <v>0</v>
      </c>
      <c r="O18" s="1661">
        <f t="shared" si="3"/>
        <v>0</v>
      </c>
      <c r="P18" s="1661">
        <f t="shared" si="3"/>
        <v>0</v>
      </c>
      <c r="Q18" s="1661">
        <f t="shared" si="3"/>
        <v>0</v>
      </c>
    </row>
    <row r="20" spans="2:38" ht="12.75" thickBot="1">
      <c r="B20" s="1673" t="s">
        <v>11704</v>
      </c>
    </row>
    <row r="21" spans="2:38" ht="34.5" thickBot="1">
      <c r="B21" s="1676" t="s">
        <v>11705</v>
      </c>
      <c r="C21" s="1676" t="s">
        <v>11706</v>
      </c>
      <c r="D21" s="1676" t="s">
        <v>11707</v>
      </c>
      <c r="E21" s="1676" t="s">
        <v>11708</v>
      </c>
      <c r="F21" s="1676" t="s">
        <v>477</v>
      </c>
      <c r="G21" s="1676" t="s">
        <v>11709</v>
      </c>
      <c r="H21" s="1676" t="s">
        <v>623</v>
      </c>
      <c r="I21" s="1676" t="s">
        <v>11710</v>
      </c>
      <c r="J21" s="1676" t="s">
        <v>11659</v>
      </c>
      <c r="K21" s="1676" t="s">
        <v>11711</v>
      </c>
      <c r="L21" s="1676" t="s">
        <v>11712</v>
      </c>
      <c r="M21" s="1676" t="s">
        <v>11713</v>
      </c>
      <c r="N21" s="1676" t="s">
        <v>11714</v>
      </c>
      <c r="O21" s="1676" t="s">
        <v>11715</v>
      </c>
      <c r="P21" s="1676" t="s">
        <v>11716</v>
      </c>
      <c r="Q21" s="1676" t="s">
        <v>11717</v>
      </c>
      <c r="R21" s="1676" t="s">
        <v>11718</v>
      </c>
      <c r="S21" s="1676"/>
      <c r="T21" s="1676"/>
      <c r="U21" s="1676"/>
      <c r="V21" s="1676"/>
      <c r="W21" s="1676"/>
      <c r="X21" s="1676"/>
      <c r="Y21" s="1676"/>
      <c r="Z21" s="1676"/>
      <c r="AA21" s="1676" t="s">
        <v>9628</v>
      </c>
      <c r="AB21" s="1676" t="s">
        <v>11719</v>
      </c>
      <c r="AC21" s="1676" t="s">
        <v>11691</v>
      </c>
      <c r="AD21" s="1676" t="s">
        <v>11692</v>
      </c>
      <c r="AE21" s="1676" t="s">
        <v>11720</v>
      </c>
      <c r="AF21" s="1676" t="s">
        <v>11693</v>
      </c>
      <c r="AG21" s="1676" t="s">
        <v>11721</v>
      </c>
      <c r="AH21" s="1676" t="s">
        <v>11694</v>
      </c>
      <c r="AI21" s="1676" t="s">
        <v>11722</v>
      </c>
      <c r="AJ21" s="1676" t="s">
        <v>10358</v>
      </c>
      <c r="AK21" s="1676" t="s">
        <v>11723</v>
      </c>
      <c r="AL21" s="1676" t="s">
        <v>11724</v>
      </c>
    </row>
    <row r="22" spans="2:38">
      <c r="B22" s="1675">
        <v>1</v>
      </c>
      <c r="C22" s="1674">
        <v>1</v>
      </c>
      <c r="D22" s="1674">
        <v>1</v>
      </c>
      <c r="E22" s="1674" t="s">
        <v>9594</v>
      </c>
      <c r="F22" s="1674" t="s">
        <v>11376</v>
      </c>
      <c r="G22" s="1674" t="s">
        <v>11726</v>
      </c>
      <c r="H22" s="1674" t="s">
        <v>11727</v>
      </c>
      <c r="I22" s="1674" t="s">
        <v>11728</v>
      </c>
      <c r="J22" s="1674">
        <v>640</v>
      </c>
      <c r="K22" s="1674" t="s">
        <v>11729</v>
      </c>
      <c r="L22" s="1674" t="s">
        <v>11730</v>
      </c>
      <c r="M22" s="1674">
        <v>307643</v>
      </c>
      <c r="N22" s="1674" t="s">
        <v>11731</v>
      </c>
      <c r="O22" s="1674" t="s">
        <v>11732</v>
      </c>
      <c r="P22" s="1674" t="s">
        <v>11733</v>
      </c>
      <c r="Q22" s="1674" t="s">
        <v>11734</v>
      </c>
      <c r="R22" s="1674" t="s">
        <v>11735</v>
      </c>
      <c r="S22" s="1674"/>
      <c r="T22" s="1674"/>
      <c r="U22" s="1674"/>
      <c r="V22" s="1674"/>
      <c r="W22" s="1674"/>
      <c r="X22" s="1674"/>
      <c r="Y22" s="1674"/>
      <c r="Z22" s="1674"/>
      <c r="AA22" s="1674">
        <v>0</v>
      </c>
      <c r="AB22" s="1674">
        <v>4</v>
      </c>
      <c r="AC22" s="1674">
        <v>330</v>
      </c>
      <c r="AD22" s="1674">
        <v>660</v>
      </c>
      <c r="AE22" s="1674">
        <v>0</v>
      </c>
      <c r="AF22" s="1674">
        <v>330</v>
      </c>
      <c r="AG22" s="1674">
        <v>0</v>
      </c>
      <c r="AH22" s="1674"/>
      <c r="AI22" s="1674"/>
      <c r="AJ22" s="1674"/>
      <c r="AK22" s="1674">
        <v>1</v>
      </c>
      <c r="AL22" s="1677">
        <v>17523418</v>
      </c>
    </row>
    <row r="23" spans="2:38">
      <c r="B23" s="1667">
        <v>1</v>
      </c>
      <c r="C23" s="1668">
        <v>1</v>
      </c>
      <c r="D23" s="1668">
        <v>1</v>
      </c>
      <c r="E23" s="1668" t="s">
        <v>9594</v>
      </c>
      <c r="F23" s="1668" t="s">
        <v>11376</v>
      </c>
      <c r="G23" s="1668" t="s">
        <v>11726</v>
      </c>
      <c r="H23" s="1668" t="s">
        <v>11727</v>
      </c>
      <c r="I23" s="1668" t="s">
        <v>11728</v>
      </c>
      <c r="J23" s="1668">
        <v>640</v>
      </c>
      <c r="K23" s="1668" t="s">
        <v>11729</v>
      </c>
      <c r="L23" s="1668" t="s">
        <v>11730</v>
      </c>
      <c r="M23" s="1668">
        <v>307643</v>
      </c>
      <c r="N23" s="1668" t="s">
        <v>11731</v>
      </c>
      <c r="O23" s="1668" t="s">
        <v>11732</v>
      </c>
      <c r="P23" s="1668" t="s">
        <v>11733</v>
      </c>
      <c r="Q23" s="1668" t="s">
        <v>11736</v>
      </c>
      <c r="R23" s="1668" t="s">
        <v>11735</v>
      </c>
      <c r="S23" s="1668"/>
      <c r="T23" s="1668"/>
      <c r="U23" s="1668"/>
      <c r="V23" s="1668"/>
      <c r="W23" s="1668"/>
      <c r="X23" s="1668"/>
      <c r="Y23" s="1668"/>
      <c r="Z23" s="1668"/>
      <c r="AA23" s="1668">
        <v>0</v>
      </c>
      <c r="AB23" s="1668">
        <v>172</v>
      </c>
      <c r="AC23" s="1668">
        <v>0</v>
      </c>
      <c r="AD23" s="1668">
        <v>0</v>
      </c>
      <c r="AE23" s="1668">
        <v>0</v>
      </c>
      <c r="AF23" s="1668">
        <v>0</v>
      </c>
      <c r="AG23" s="1668">
        <v>0</v>
      </c>
      <c r="AH23" s="1668"/>
      <c r="AI23" s="1668"/>
      <c r="AJ23" s="1668"/>
      <c r="AK23" s="1668">
        <v>1</v>
      </c>
      <c r="AL23" s="1672">
        <v>17523418</v>
      </c>
    </row>
    <row r="26" spans="2:38" ht="12.75" thickBot="1">
      <c r="B26" s="1673" t="s">
        <v>11737</v>
      </c>
    </row>
    <row r="27" spans="2:38" ht="34.5" thickBot="1">
      <c r="B27" s="1676" t="s">
        <v>11705</v>
      </c>
      <c r="C27" s="1676" t="s">
        <v>11706</v>
      </c>
      <c r="D27" s="1676" t="s">
        <v>11707</v>
      </c>
      <c r="E27" s="1676" t="s">
        <v>11708</v>
      </c>
      <c r="F27" s="1676" t="s">
        <v>477</v>
      </c>
      <c r="G27" s="1676" t="s">
        <v>11709</v>
      </c>
      <c r="H27" s="1676" t="s">
        <v>623</v>
      </c>
      <c r="I27" s="1676" t="s">
        <v>11710</v>
      </c>
      <c r="J27" s="1676" t="s">
        <v>11659</v>
      </c>
      <c r="K27" s="1676" t="s">
        <v>11711</v>
      </c>
      <c r="L27" s="1676" t="s">
        <v>11712</v>
      </c>
      <c r="M27" s="1676" t="s">
        <v>11713</v>
      </c>
      <c r="N27" s="1676" t="s">
        <v>11714</v>
      </c>
      <c r="O27" s="1676" t="s">
        <v>11738</v>
      </c>
      <c r="P27" s="1676" t="s">
        <v>11717</v>
      </c>
      <c r="Q27" s="1676" t="s">
        <v>11739</v>
      </c>
      <c r="R27" s="1676"/>
      <c r="S27" s="1676"/>
      <c r="T27" s="1676"/>
      <c r="U27" s="1676"/>
      <c r="V27" s="1676"/>
      <c r="W27" s="1676"/>
      <c r="X27" s="1676"/>
      <c r="Y27" s="1676"/>
      <c r="Z27" s="1676"/>
      <c r="AA27" s="1676" t="s">
        <v>9628</v>
      </c>
      <c r="AB27" s="1676" t="s">
        <v>11719</v>
      </c>
      <c r="AC27" s="1676" t="s">
        <v>11691</v>
      </c>
      <c r="AD27" s="1676" t="s">
        <v>11692</v>
      </c>
      <c r="AE27" s="1676" t="s">
        <v>11720</v>
      </c>
      <c r="AF27" s="1676" t="s">
        <v>11693</v>
      </c>
      <c r="AG27" s="1676" t="s">
        <v>11721</v>
      </c>
      <c r="AH27" s="1676" t="s">
        <v>11694</v>
      </c>
      <c r="AI27" s="1676" t="s">
        <v>11722</v>
      </c>
      <c r="AJ27" s="1676" t="s">
        <v>10358</v>
      </c>
      <c r="AK27" s="1676" t="s">
        <v>11723</v>
      </c>
      <c r="AL27" s="1676" t="s">
        <v>11724</v>
      </c>
    </row>
    <row r="28" spans="2:38">
      <c r="B28" s="1678" t="s">
        <v>11725</v>
      </c>
      <c r="C28" s="1679"/>
      <c r="D28" s="1679"/>
      <c r="E28" s="1679"/>
      <c r="F28" s="1679"/>
      <c r="G28" s="1679"/>
      <c r="H28" s="1679"/>
      <c r="I28" s="1679"/>
      <c r="J28" s="1679"/>
      <c r="K28" s="1679"/>
      <c r="L28" s="1679"/>
      <c r="M28" s="1679"/>
      <c r="N28" s="1679"/>
      <c r="O28" s="1679"/>
      <c r="P28" s="1679"/>
      <c r="Q28" s="1679"/>
      <c r="R28" s="1679"/>
      <c r="S28" s="1679"/>
      <c r="T28" s="1679"/>
      <c r="U28" s="1679"/>
      <c r="V28" s="1679"/>
      <c r="W28" s="1679"/>
      <c r="X28" s="1679"/>
      <c r="Y28" s="1679"/>
      <c r="Z28" s="1679"/>
      <c r="AA28" s="1679"/>
      <c r="AB28" s="1679"/>
      <c r="AC28" s="1679"/>
      <c r="AD28" s="1679"/>
      <c r="AE28" s="1679"/>
      <c r="AF28" s="1679"/>
      <c r="AG28" s="1679"/>
      <c r="AH28" s="1679"/>
      <c r="AI28" s="1679"/>
      <c r="AJ28" s="1679"/>
      <c r="AK28" s="1679"/>
      <c r="AL28" s="1680"/>
    </row>
    <row r="31" spans="2:38" ht="12.75" thickBot="1">
      <c r="B31" s="1673" t="s">
        <v>11740</v>
      </c>
    </row>
    <row r="32" spans="2:38" ht="34.5" thickBot="1">
      <c r="B32" s="1676" t="s">
        <v>11705</v>
      </c>
      <c r="C32" s="1676" t="s">
        <v>11706</v>
      </c>
      <c r="D32" s="1676" t="s">
        <v>11707</v>
      </c>
      <c r="E32" s="1676" t="s">
        <v>11708</v>
      </c>
      <c r="F32" s="1676" t="s">
        <v>477</v>
      </c>
      <c r="G32" s="1676" t="s">
        <v>11709</v>
      </c>
      <c r="H32" s="1676" t="s">
        <v>11741</v>
      </c>
      <c r="I32" s="1676"/>
      <c r="J32" s="1676"/>
      <c r="K32" s="1676"/>
      <c r="L32" s="1676"/>
      <c r="M32" s="1676"/>
      <c r="N32" s="1676"/>
      <c r="O32" s="1676"/>
      <c r="P32" s="1676"/>
      <c r="Q32" s="1676"/>
      <c r="R32" s="1676"/>
      <c r="S32" s="1676"/>
      <c r="T32" s="1676"/>
      <c r="U32" s="1676"/>
      <c r="V32" s="1676"/>
      <c r="W32" s="1676"/>
      <c r="X32" s="1676"/>
      <c r="Y32" s="1676"/>
      <c r="Z32" s="1676"/>
      <c r="AA32" s="1676" t="s">
        <v>9628</v>
      </c>
      <c r="AB32" s="1676" t="s">
        <v>11719</v>
      </c>
      <c r="AC32" s="1676" t="s">
        <v>11691</v>
      </c>
      <c r="AD32" s="1676" t="s">
        <v>11692</v>
      </c>
      <c r="AE32" s="1676" t="s">
        <v>11720</v>
      </c>
      <c r="AF32" s="1676" t="s">
        <v>11693</v>
      </c>
      <c r="AG32" s="1676" t="s">
        <v>11721</v>
      </c>
      <c r="AH32" s="1676" t="s">
        <v>11694</v>
      </c>
      <c r="AI32" s="1676" t="s">
        <v>11722</v>
      </c>
      <c r="AJ32" s="1676" t="s">
        <v>10358</v>
      </c>
      <c r="AK32" s="1676" t="s">
        <v>11723</v>
      </c>
      <c r="AL32" s="1676" t="s">
        <v>11724</v>
      </c>
    </row>
    <row r="33" spans="2:38">
      <c r="B33" s="1678" t="s">
        <v>11725</v>
      </c>
      <c r="C33" s="1679"/>
      <c r="D33" s="1679"/>
      <c r="E33" s="1679"/>
      <c r="F33" s="1679"/>
      <c r="G33" s="1679"/>
      <c r="H33" s="1679"/>
      <c r="I33" s="1679"/>
      <c r="J33" s="1679"/>
      <c r="K33" s="1679"/>
      <c r="L33" s="1679"/>
      <c r="M33" s="1679"/>
      <c r="N33" s="1679"/>
      <c r="O33" s="1679"/>
      <c r="P33" s="1679"/>
      <c r="Q33" s="1679"/>
      <c r="R33" s="1679"/>
      <c r="S33" s="1679"/>
      <c r="T33" s="1679"/>
      <c r="U33" s="1679"/>
      <c r="V33" s="1679"/>
      <c r="W33" s="1679"/>
      <c r="X33" s="1679"/>
      <c r="Y33" s="1679"/>
      <c r="Z33" s="1679"/>
      <c r="AA33" s="1679"/>
      <c r="AB33" s="1679"/>
      <c r="AC33" s="1679"/>
      <c r="AD33" s="1679"/>
      <c r="AE33" s="1679"/>
      <c r="AF33" s="1679"/>
      <c r="AG33" s="1679"/>
      <c r="AH33" s="1679"/>
      <c r="AI33" s="1679"/>
      <c r="AJ33" s="1679"/>
      <c r="AK33" s="1679"/>
      <c r="AL33" s="1680"/>
    </row>
    <row r="36" spans="2:38" ht="12.75" thickBot="1">
      <c r="B36" s="1673" t="s">
        <v>11742</v>
      </c>
    </row>
    <row r="37" spans="2:38" ht="34.5" thickBot="1">
      <c r="B37" s="1676" t="s">
        <v>11705</v>
      </c>
      <c r="C37" s="1676" t="s">
        <v>11706</v>
      </c>
      <c r="D37" s="1676" t="s">
        <v>11707</v>
      </c>
      <c r="E37" s="1676" t="s">
        <v>11708</v>
      </c>
      <c r="F37" s="1676" t="s">
        <v>477</v>
      </c>
      <c r="G37" s="1676" t="s">
        <v>11709</v>
      </c>
      <c r="H37" s="1676" t="s">
        <v>11743</v>
      </c>
      <c r="I37" s="1676" t="s">
        <v>623</v>
      </c>
      <c r="J37" s="1676" t="s">
        <v>11744</v>
      </c>
      <c r="K37" s="1676" t="s">
        <v>11710</v>
      </c>
      <c r="L37" s="1676" t="s">
        <v>11659</v>
      </c>
      <c r="M37" s="1676" t="s">
        <v>11712</v>
      </c>
      <c r="N37" s="1676" t="s">
        <v>11745</v>
      </c>
      <c r="O37" s="1676" t="s">
        <v>11713</v>
      </c>
      <c r="P37" s="1676" t="s">
        <v>11746</v>
      </c>
      <c r="Q37" s="1676" t="s">
        <v>11747</v>
      </c>
      <c r="R37" s="1676" t="s">
        <v>11748</v>
      </c>
      <c r="S37" s="1676" t="s">
        <v>11749</v>
      </c>
      <c r="T37" s="1676" t="s">
        <v>11718</v>
      </c>
      <c r="U37" s="1676"/>
      <c r="V37" s="1676"/>
      <c r="W37" s="1676"/>
      <c r="X37" s="1676"/>
      <c r="Y37" s="1676"/>
      <c r="Z37" s="1676"/>
      <c r="AA37" s="1676" t="s">
        <v>9628</v>
      </c>
      <c r="AB37" s="1676" t="s">
        <v>11719</v>
      </c>
      <c r="AC37" s="1676" t="s">
        <v>11691</v>
      </c>
      <c r="AD37" s="1676" t="s">
        <v>11692</v>
      </c>
      <c r="AE37" s="1676" t="s">
        <v>11720</v>
      </c>
      <c r="AF37" s="1676" t="s">
        <v>11693</v>
      </c>
      <c r="AG37" s="1676" t="s">
        <v>11721</v>
      </c>
      <c r="AH37" s="1676" t="s">
        <v>11694</v>
      </c>
      <c r="AI37" s="1676" t="s">
        <v>11722</v>
      </c>
      <c r="AJ37" s="1676" t="s">
        <v>10358</v>
      </c>
      <c r="AK37" s="1676" t="s">
        <v>11723</v>
      </c>
      <c r="AL37" s="1676" t="s">
        <v>11724</v>
      </c>
    </row>
    <row r="38" spans="2:38">
      <c r="B38" s="1675">
        <v>2</v>
      </c>
      <c r="C38" s="1674">
        <v>1</v>
      </c>
      <c r="D38" s="1674">
        <v>1</v>
      </c>
      <c r="E38" s="1674" t="s">
        <v>9594</v>
      </c>
      <c r="F38" s="1674" t="s">
        <v>11378</v>
      </c>
      <c r="G38" s="1674" t="s">
        <v>11750</v>
      </c>
      <c r="H38" s="1674" t="s">
        <v>11751</v>
      </c>
      <c r="I38" s="1674" t="s">
        <v>11752</v>
      </c>
      <c r="J38" s="1674" t="s">
        <v>11663</v>
      </c>
      <c r="K38" s="1674" t="s">
        <v>11753</v>
      </c>
      <c r="L38" s="1674">
        <v>328</v>
      </c>
      <c r="M38" s="1674" t="s">
        <v>11730</v>
      </c>
      <c r="N38" s="1674" t="s">
        <v>190</v>
      </c>
      <c r="O38" s="1674">
        <v>937382</v>
      </c>
      <c r="P38" s="1674" t="s">
        <v>11754</v>
      </c>
      <c r="Q38" s="1674"/>
      <c r="R38" s="1674"/>
      <c r="S38" s="1674" t="s">
        <v>11755</v>
      </c>
      <c r="T38" s="1674" t="s">
        <v>11735</v>
      </c>
      <c r="U38" s="1674"/>
      <c r="V38" s="1674"/>
      <c r="W38" s="1674"/>
      <c r="X38" s="1674"/>
      <c r="Y38" s="1674"/>
      <c r="Z38" s="1674"/>
      <c r="AA38" s="1674">
        <v>0</v>
      </c>
      <c r="AB38" s="1674">
        <v>1</v>
      </c>
      <c r="AC38" s="1674">
        <v>5335.94</v>
      </c>
      <c r="AD38" s="1674">
        <v>5457.2129999999997</v>
      </c>
      <c r="AE38" s="1674">
        <v>0</v>
      </c>
      <c r="AF38" s="1674">
        <v>2182.8852000000002</v>
      </c>
      <c r="AG38" s="1674">
        <v>0</v>
      </c>
      <c r="AH38" s="1674"/>
      <c r="AI38" s="1674"/>
      <c r="AJ38" s="1674"/>
      <c r="AK38" s="1674">
        <v>1</v>
      </c>
      <c r="AL38" s="1677">
        <v>17523419</v>
      </c>
    </row>
    <row r="39" spans="2:38">
      <c r="B39" s="1666">
        <v>2</v>
      </c>
      <c r="C39" s="1663">
        <v>1</v>
      </c>
      <c r="D39" s="1663">
        <v>2</v>
      </c>
      <c r="E39" s="1663" t="s">
        <v>9594</v>
      </c>
      <c r="F39" s="1663" t="s">
        <v>11378</v>
      </c>
      <c r="G39" s="1663" t="s">
        <v>11750</v>
      </c>
      <c r="H39" s="1663" t="s">
        <v>11751</v>
      </c>
      <c r="I39" s="1663" t="s">
        <v>11752</v>
      </c>
      <c r="J39" s="1663" t="s">
        <v>11663</v>
      </c>
      <c r="K39" s="1663" t="s">
        <v>11756</v>
      </c>
      <c r="L39" s="1663">
        <v>352</v>
      </c>
      <c r="M39" s="1663" t="s">
        <v>11730</v>
      </c>
      <c r="N39" s="1663" t="s">
        <v>245</v>
      </c>
      <c r="O39" s="1663">
        <v>715294</v>
      </c>
      <c r="P39" s="1663" t="s">
        <v>11757</v>
      </c>
      <c r="Q39" s="1663"/>
      <c r="R39" s="1663"/>
      <c r="S39" s="1663" t="s">
        <v>11755</v>
      </c>
      <c r="T39" s="1663" t="s">
        <v>11735</v>
      </c>
      <c r="U39" s="1663"/>
      <c r="V39" s="1663"/>
      <c r="W39" s="1663"/>
      <c r="X39" s="1663"/>
      <c r="Y39" s="1663"/>
      <c r="Z39" s="1663"/>
      <c r="AA39" s="1663">
        <v>0</v>
      </c>
      <c r="AB39" s="1663">
        <v>1</v>
      </c>
      <c r="AC39" s="1663">
        <v>5179.92</v>
      </c>
      <c r="AD39" s="1663">
        <v>9376</v>
      </c>
      <c r="AE39" s="1663">
        <v>0</v>
      </c>
      <c r="AF39" s="1663">
        <v>3750.4</v>
      </c>
      <c r="AG39" s="1663">
        <v>0</v>
      </c>
      <c r="AH39" s="1663"/>
      <c r="AI39" s="1663"/>
      <c r="AJ39" s="1663"/>
      <c r="AK39" s="1663">
        <v>1</v>
      </c>
      <c r="AL39" s="1671">
        <v>17523419</v>
      </c>
    </row>
    <row r="40" spans="2:38">
      <c r="B40" s="1666">
        <v>2</v>
      </c>
      <c r="C40" s="1663">
        <v>1</v>
      </c>
      <c r="D40" s="1663">
        <v>3</v>
      </c>
      <c r="E40" s="1663" t="s">
        <v>9594</v>
      </c>
      <c r="F40" s="1663" t="s">
        <v>11378</v>
      </c>
      <c r="G40" s="1663" t="s">
        <v>11750</v>
      </c>
      <c r="H40" s="1663" t="s">
        <v>11751</v>
      </c>
      <c r="I40" s="1663" t="s">
        <v>11752</v>
      </c>
      <c r="J40" s="1663" t="s">
        <v>11663</v>
      </c>
      <c r="K40" s="1663" t="s">
        <v>11758</v>
      </c>
      <c r="L40" s="1663">
        <v>630</v>
      </c>
      <c r="M40" s="1663" t="s">
        <v>11730</v>
      </c>
      <c r="N40" s="1663" t="s">
        <v>258</v>
      </c>
      <c r="O40" s="1663">
        <v>712336</v>
      </c>
      <c r="P40" s="1663" t="s">
        <v>11759</v>
      </c>
      <c r="Q40" s="1663"/>
      <c r="R40" s="1663"/>
      <c r="S40" s="1663" t="s">
        <v>11732</v>
      </c>
      <c r="T40" s="1663" t="s">
        <v>11735</v>
      </c>
      <c r="U40" s="1663"/>
      <c r="V40" s="1663"/>
      <c r="W40" s="1663"/>
      <c r="X40" s="1663"/>
      <c r="Y40" s="1663"/>
      <c r="Z40" s="1663"/>
      <c r="AA40" s="1663">
        <v>0</v>
      </c>
      <c r="AB40" s="1663">
        <v>1</v>
      </c>
      <c r="AC40" s="1663">
        <v>4133.18</v>
      </c>
      <c r="AD40" s="1663">
        <v>6714.5909000000001</v>
      </c>
      <c r="AE40" s="1663">
        <v>0</v>
      </c>
      <c r="AF40" s="1663">
        <v>2954.42</v>
      </c>
      <c r="AG40" s="1663">
        <v>0</v>
      </c>
      <c r="AH40" s="1663"/>
      <c r="AI40" s="1663"/>
      <c r="AJ40" s="1663"/>
      <c r="AK40" s="1663">
        <v>1</v>
      </c>
      <c r="AL40" s="1671">
        <v>17523419</v>
      </c>
    </row>
    <row r="41" spans="2:38">
      <c r="B41" s="1667">
        <v>2</v>
      </c>
      <c r="C41" s="1668">
        <v>1</v>
      </c>
      <c r="D41" s="1668">
        <v>4</v>
      </c>
      <c r="E41" s="1668" t="s">
        <v>9594</v>
      </c>
      <c r="F41" s="1668" t="s">
        <v>11378</v>
      </c>
      <c r="G41" s="1668" t="s">
        <v>11750</v>
      </c>
      <c r="H41" s="1668" t="s">
        <v>11751</v>
      </c>
      <c r="I41" s="1668" t="s">
        <v>11752</v>
      </c>
      <c r="J41" s="1668" t="s">
        <v>11663</v>
      </c>
      <c r="K41" s="1668" t="s">
        <v>11760</v>
      </c>
      <c r="L41" s="1668">
        <v>640</v>
      </c>
      <c r="M41" s="1668" t="s">
        <v>11730</v>
      </c>
      <c r="N41" s="1668" t="s">
        <v>556</v>
      </c>
      <c r="O41" s="1668">
        <v>605624</v>
      </c>
      <c r="P41" s="1668" t="s">
        <v>11761</v>
      </c>
      <c r="Q41" s="1668"/>
      <c r="R41" s="1668"/>
      <c r="S41" s="1668" t="s">
        <v>11732</v>
      </c>
      <c r="T41" s="1668" t="s">
        <v>11735</v>
      </c>
      <c r="U41" s="1668"/>
      <c r="V41" s="1668"/>
      <c r="W41" s="1668"/>
      <c r="X41" s="1668"/>
      <c r="Y41" s="1668"/>
      <c r="Z41" s="1668"/>
      <c r="AA41" s="1668">
        <v>0</v>
      </c>
      <c r="AB41" s="1668">
        <v>1</v>
      </c>
      <c r="AC41" s="1668">
        <v>3938.42</v>
      </c>
      <c r="AD41" s="1668">
        <v>4927.7044999999998</v>
      </c>
      <c r="AE41" s="1668">
        <v>0</v>
      </c>
      <c r="AF41" s="1668">
        <v>2168.19</v>
      </c>
      <c r="AG41" s="1668">
        <v>0</v>
      </c>
      <c r="AH41" s="1668"/>
      <c r="AI41" s="1668"/>
      <c r="AJ41" s="1668"/>
      <c r="AK41" s="1668">
        <v>1</v>
      </c>
      <c r="AL41" s="1672">
        <v>17523419</v>
      </c>
    </row>
    <row r="44" spans="2:38" ht="12.75" thickBot="1">
      <c r="B44" s="1673" t="s">
        <v>11762</v>
      </c>
    </row>
    <row r="45" spans="2:38" ht="34.5" thickBot="1">
      <c r="B45" s="1676" t="s">
        <v>11705</v>
      </c>
      <c r="C45" s="1676" t="s">
        <v>11706</v>
      </c>
      <c r="D45" s="1676" t="s">
        <v>11707</v>
      </c>
      <c r="E45" s="1676" t="s">
        <v>11708</v>
      </c>
      <c r="F45" s="1676" t="s">
        <v>477</v>
      </c>
      <c r="G45" s="1676" t="s">
        <v>11709</v>
      </c>
      <c r="H45" s="1676" t="s">
        <v>11741</v>
      </c>
      <c r="I45" s="1676"/>
      <c r="J45" s="1676"/>
      <c r="K45" s="1676"/>
      <c r="L45" s="1676"/>
      <c r="M45" s="1676"/>
      <c r="N45" s="1676"/>
      <c r="O45" s="1676"/>
      <c r="P45" s="1676"/>
      <c r="Q45" s="1676"/>
      <c r="R45" s="1676"/>
      <c r="S45" s="1676"/>
      <c r="T45" s="1676"/>
      <c r="U45" s="1676"/>
      <c r="V45" s="1676"/>
      <c r="W45" s="1676"/>
      <c r="X45" s="1676"/>
      <c r="Y45" s="1676"/>
      <c r="Z45" s="1676"/>
      <c r="AA45" s="1676" t="s">
        <v>9628</v>
      </c>
      <c r="AB45" s="1676" t="s">
        <v>11719</v>
      </c>
      <c r="AC45" s="1676" t="s">
        <v>11691</v>
      </c>
      <c r="AD45" s="1676" t="s">
        <v>11692</v>
      </c>
      <c r="AE45" s="1676" t="s">
        <v>11720</v>
      </c>
      <c r="AF45" s="1676" t="s">
        <v>11693</v>
      </c>
      <c r="AG45" s="1676" t="s">
        <v>11721</v>
      </c>
      <c r="AH45" s="1676" t="s">
        <v>11694</v>
      </c>
      <c r="AI45" s="1676" t="s">
        <v>11722</v>
      </c>
      <c r="AJ45" s="1676" t="s">
        <v>10358</v>
      </c>
      <c r="AK45" s="1676" t="s">
        <v>11723</v>
      </c>
      <c r="AL45" s="1676" t="s">
        <v>11724</v>
      </c>
    </row>
    <row r="46" spans="2:38">
      <c r="B46" s="1678" t="s">
        <v>11725</v>
      </c>
      <c r="C46" s="1679"/>
      <c r="D46" s="1679"/>
      <c r="E46" s="1679"/>
      <c r="F46" s="1679"/>
      <c r="G46" s="1679"/>
      <c r="H46" s="1679"/>
      <c r="I46" s="1679"/>
      <c r="J46" s="1679"/>
      <c r="K46" s="1679"/>
      <c r="L46" s="1679"/>
      <c r="M46" s="1679"/>
      <c r="N46" s="1679"/>
      <c r="O46" s="1679"/>
      <c r="P46" s="1679"/>
      <c r="Q46" s="1679"/>
      <c r="R46" s="1679"/>
      <c r="S46" s="1679"/>
      <c r="T46" s="1679"/>
      <c r="U46" s="1679"/>
      <c r="V46" s="1679"/>
      <c r="W46" s="1679"/>
      <c r="X46" s="1679"/>
      <c r="Y46" s="1679"/>
      <c r="Z46" s="1679"/>
      <c r="AA46" s="1679"/>
      <c r="AB46" s="1679"/>
      <c r="AC46" s="1679"/>
      <c r="AD46" s="1679"/>
      <c r="AE46" s="1679"/>
      <c r="AF46" s="1679"/>
      <c r="AG46" s="1679"/>
      <c r="AH46" s="1679"/>
      <c r="AI46" s="1679"/>
      <c r="AJ46" s="1679"/>
      <c r="AK46" s="1679"/>
      <c r="AL46" s="1680"/>
    </row>
    <row r="49" spans="2:38" ht="12.75" thickBot="1">
      <c r="B49" s="1673" t="s">
        <v>11763</v>
      </c>
    </row>
    <row r="50" spans="2:38" ht="34.5" thickBot="1">
      <c r="B50" s="1676" t="s">
        <v>11705</v>
      </c>
      <c r="C50" s="1676" t="s">
        <v>11706</v>
      </c>
      <c r="D50" s="1676" t="s">
        <v>11707</v>
      </c>
      <c r="E50" s="1676" t="s">
        <v>11708</v>
      </c>
      <c r="F50" s="1676" t="s">
        <v>477</v>
      </c>
      <c r="G50" s="1676" t="s">
        <v>11709</v>
      </c>
      <c r="H50" s="1676" t="s">
        <v>11764</v>
      </c>
      <c r="I50" s="1676" t="s">
        <v>11765</v>
      </c>
      <c r="J50" s="1676" t="s">
        <v>11766</v>
      </c>
      <c r="K50" s="1676" t="s">
        <v>11767</v>
      </c>
      <c r="L50" s="1676" t="s">
        <v>11768</v>
      </c>
      <c r="M50" s="1676" t="s">
        <v>11583</v>
      </c>
      <c r="N50" s="1676" t="s">
        <v>11769</v>
      </c>
      <c r="O50" s="1676" t="s">
        <v>11770</v>
      </c>
      <c r="P50" s="1676" t="s">
        <v>11771</v>
      </c>
      <c r="Q50" s="1676" t="s">
        <v>11772</v>
      </c>
      <c r="R50" s="1676" t="s">
        <v>11773</v>
      </c>
      <c r="S50" s="1676" t="s">
        <v>11774</v>
      </c>
      <c r="T50" s="1676" t="s">
        <v>11775</v>
      </c>
      <c r="U50" s="1676" t="s">
        <v>11776</v>
      </c>
      <c r="V50" s="1676" t="s">
        <v>11777</v>
      </c>
      <c r="W50" s="1676"/>
      <c r="X50" s="1676"/>
      <c r="Y50" s="1676"/>
      <c r="Z50" s="1676"/>
      <c r="AA50" s="1676" t="s">
        <v>9628</v>
      </c>
      <c r="AB50" s="1676" t="s">
        <v>11719</v>
      </c>
      <c r="AC50" s="1676" t="s">
        <v>11691</v>
      </c>
      <c r="AD50" s="1676" t="s">
        <v>11692</v>
      </c>
      <c r="AE50" s="1676" t="s">
        <v>11720</v>
      </c>
      <c r="AF50" s="1676" t="s">
        <v>11693</v>
      </c>
      <c r="AG50" s="1676" t="s">
        <v>11721</v>
      </c>
      <c r="AH50" s="1676" t="s">
        <v>11694</v>
      </c>
      <c r="AI50" s="1676" t="s">
        <v>11722</v>
      </c>
      <c r="AJ50" s="1676" t="s">
        <v>10358</v>
      </c>
      <c r="AK50" s="1676" t="s">
        <v>11723</v>
      </c>
      <c r="AL50" s="1676" t="s">
        <v>11724</v>
      </c>
    </row>
    <row r="51" spans="2:38">
      <c r="B51" s="1675">
        <v>3</v>
      </c>
      <c r="C51" s="1674">
        <v>1</v>
      </c>
      <c r="D51" s="1674">
        <v>1</v>
      </c>
      <c r="E51" s="1674" t="s">
        <v>9594</v>
      </c>
      <c r="F51" s="1674" t="s">
        <v>11701</v>
      </c>
      <c r="G51" s="1674" t="s">
        <v>11778</v>
      </c>
      <c r="H51" s="1674" t="s">
        <v>11779</v>
      </c>
      <c r="I51" s="1674" t="s">
        <v>11780</v>
      </c>
      <c r="J51" s="1674" t="s">
        <v>11781</v>
      </c>
      <c r="K51" s="1674" t="s">
        <v>11782</v>
      </c>
      <c r="L51" s="1674" t="s">
        <v>11783</v>
      </c>
      <c r="M51" s="1674" t="s">
        <v>10027</v>
      </c>
      <c r="N51" s="1674" t="s">
        <v>11784</v>
      </c>
      <c r="O51" s="1674" t="s">
        <v>11785</v>
      </c>
      <c r="P51" s="1674" t="s">
        <v>11735</v>
      </c>
      <c r="Q51" s="1674">
        <v>21</v>
      </c>
      <c r="R51" s="1674" t="s">
        <v>11786</v>
      </c>
      <c r="S51" s="1674" t="s">
        <v>11787</v>
      </c>
      <c r="T51" s="1674">
        <v>1000</v>
      </c>
      <c r="U51" s="1674" t="s">
        <v>11788</v>
      </c>
      <c r="V51" s="1674" t="s">
        <v>11789</v>
      </c>
      <c r="W51" s="1674"/>
      <c r="X51" s="1674"/>
      <c r="Y51" s="1674"/>
      <c r="Z51" s="1674"/>
      <c r="AA51" s="1674">
        <v>0</v>
      </c>
      <c r="AB51" s="1674">
        <v>1</v>
      </c>
      <c r="AC51" s="1674">
        <v>3438</v>
      </c>
      <c r="AD51" s="1674">
        <v>4225</v>
      </c>
      <c r="AE51" s="1674">
        <v>750</v>
      </c>
      <c r="AF51" s="1674">
        <v>2999.75</v>
      </c>
      <c r="AG51" s="1674">
        <v>0</v>
      </c>
      <c r="AH51" s="1674"/>
      <c r="AI51" s="1674"/>
      <c r="AJ51" s="1674"/>
      <c r="AK51" s="1674">
        <v>1</v>
      </c>
      <c r="AL51" s="1677">
        <v>17523420</v>
      </c>
    </row>
    <row r="52" spans="2:38">
      <c r="B52" s="1666">
        <v>3</v>
      </c>
      <c r="C52" s="1663">
        <v>1</v>
      </c>
      <c r="D52" s="1663">
        <v>2</v>
      </c>
      <c r="E52" s="1663" t="s">
        <v>9594</v>
      </c>
      <c r="F52" s="1663" t="s">
        <v>11701</v>
      </c>
      <c r="G52" s="1663" t="s">
        <v>11778</v>
      </c>
      <c r="H52" s="1663" t="s">
        <v>11779</v>
      </c>
      <c r="I52" s="1663" t="s">
        <v>9982</v>
      </c>
      <c r="J52" s="1663" t="s">
        <v>11790</v>
      </c>
      <c r="K52" s="1663" t="s">
        <v>11782</v>
      </c>
      <c r="L52" s="1663" t="s">
        <v>11783</v>
      </c>
      <c r="M52" s="1663" t="s">
        <v>10027</v>
      </c>
      <c r="N52" s="1663" t="s">
        <v>11791</v>
      </c>
      <c r="O52" s="1663" t="s">
        <v>11792</v>
      </c>
      <c r="P52" s="1663" t="s">
        <v>11735</v>
      </c>
      <c r="Q52" s="1663">
        <v>14</v>
      </c>
      <c r="R52" s="1663" t="s">
        <v>11793</v>
      </c>
      <c r="S52" s="1663" t="s">
        <v>11794</v>
      </c>
      <c r="T52" s="1663">
        <v>1000</v>
      </c>
      <c r="U52" s="1663" t="s">
        <v>11795</v>
      </c>
      <c r="V52" s="1663" t="s">
        <v>11796</v>
      </c>
      <c r="W52" s="1663"/>
      <c r="X52" s="1663"/>
      <c r="Y52" s="1663"/>
      <c r="Z52" s="1663"/>
      <c r="AA52" s="1663">
        <v>0</v>
      </c>
      <c r="AB52" s="1663">
        <v>1</v>
      </c>
      <c r="AC52" s="1663">
        <v>2333</v>
      </c>
      <c r="AD52" s="1663">
        <v>4225</v>
      </c>
      <c r="AE52" s="1663">
        <v>0</v>
      </c>
      <c r="AF52" s="1663">
        <v>2333</v>
      </c>
      <c r="AG52" s="1663">
        <v>0</v>
      </c>
      <c r="AH52" s="1663"/>
      <c r="AI52" s="1663"/>
      <c r="AJ52" s="1663"/>
      <c r="AK52" s="1663">
        <v>1</v>
      </c>
      <c r="AL52" s="1671">
        <v>17523420</v>
      </c>
    </row>
    <row r="53" spans="2:38">
      <c r="B53" s="1666">
        <v>3</v>
      </c>
      <c r="C53" s="1663">
        <v>1</v>
      </c>
      <c r="D53" s="1663">
        <v>3</v>
      </c>
      <c r="E53" s="1663" t="s">
        <v>9594</v>
      </c>
      <c r="F53" s="1663" t="s">
        <v>11701</v>
      </c>
      <c r="G53" s="1663" t="s">
        <v>11778</v>
      </c>
      <c r="H53" s="1663" t="s">
        <v>11779</v>
      </c>
      <c r="I53" s="1663" t="s">
        <v>9982</v>
      </c>
      <c r="J53" s="1663" t="s">
        <v>11790</v>
      </c>
      <c r="K53" s="1663" t="s">
        <v>11782</v>
      </c>
      <c r="L53" s="1663" t="s">
        <v>11783</v>
      </c>
      <c r="M53" s="1663" t="s">
        <v>10027</v>
      </c>
      <c r="N53" s="1663" t="s">
        <v>11791</v>
      </c>
      <c r="O53" s="1663" t="s">
        <v>11792</v>
      </c>
      <c r="P53" s="1663" t="s">
        <v>11735</v>
      </c>
      <c r="Q53" s="1663">
        <v>11</v>
      </c>
      <c r="R53" s="1663" t="s">
        <v>11793</v>
      </c>
      <c r="S53" s="1663" t="s">
        <v>11797</v>
      </c>
      <c r="T53" s="1663">
        <v>1000</v>
      </c>
      <c r="U53" s="1663" t="s">
        <v>11798</v>
      </c>
      <c r="V53" s="1663" t="s">
        <v>11799</v>
      </c>
      <c r="W53" s="1663"/>
      <c r="X53" s="1663"/>
      <c r="Y53" s="1663"/>
      <c r="Z53" s="1663"/>
      <c r="AA53" s="1663">
        <v>0</v>
      </c>
      <c r="AB53" s="1663">
        <v>1</v>
      </c>
      <c r="AC53" s="1663">
        <v>3000</v>
      </c>
      <c r="AD53" s="1663">
        <v>4225</v>
      </c>
      <c r="AE53" s="1663">
        <v>0</v>
      </c>
      <c r="AF53" s="1663">
        <v>2746.25</v>
      </c>
      <c r="AG53" s="1663">
        <v>0</v>
      </c>
      <c r="AH53" s="1663"/>
      <c r="AI53" s="1663"/>
      <c r="AJ53" s="1663"/>
      <c r="AK53" s="1663">
        <v>1</v>
      </c>
      <c r="AL53" s="1671">
        <v>17523420</v>
      </c>
    </row>
    <row r="54" spans="2:38">
      <c r="B54" s="1666">
        <v>3</v>
      </c>
      <c r="C54" s="1663">
        <v>1</v>
      </c>
      <c r="D54" s="1663">
        <v>4</v>
      </c>
      <c r="E54" s="1663" t="s">
        <v>9594</v>
      </c>
      <c r="F54" s="1663" t="s">
        <v>11701</v>
      </c>
      <c r="G54" s="1663" t="s">
        <v>11778</v>
      </c>
      <c r="H54" s="1663" t="s">
        <v>11800</v>
      </c>
      <c r="I54" s="1663" t="s">
        <v>11801</v>
      </c>
      <c r="J54" s="1663" t="s">
        <v>11802</v>
      </c>
      <c r="K54" s="1663" t="s">
        <v>10656</v>
      </c>
      <c r="L54" s="1663" t="s">
        <v>11783</v>
      </c>
      <c r="M54" s="1663" t="s">
        <v>10027</v>
      </c>
      <c r="N54" s="1663" t="s">
        <v>11803</v>
      </c>
      <c r="O54" s="1663" t="s">
        <v>11804</v>
      </c>
      <c r="P54" s="1663" t="s">
        <v>11735</v>
      </c>
      <c r="Q54" s="1663">
        <v>25</v>
      </c>
      <c r="R54" s="1663" t="s">
        <v>11793</v>
      </c>
      <c r="S54" s="1663" t="s">
        <v>11805</v>
      </c>
      <c r="T54" s="1663">
        <v>500</v>
      </c>
      <c r="U54" s="1663" t="s">
        <v>11806</v>
      </c>
      <c r="V54" s="1663" t="s">
        <v>11807</v>
      </c>
      <c r="W54" s="1663"/>
      <c r="X54" s="1663"/>
      <c r="Y54" s="1663"/>
      <c r="Z54" s="1663"/>
      <c r="AA54" s="1663">
        <v>0</v>
      </c>
      <c r="AB54" s="1663">
        <v>1</v>
      </c>
      <c r="AC54" s="1663">
        <v>1491.55</v>
      </c>
      <c r="AD54" s="1663">
        <v>3990.54</v>
      </c>
      <c r="AE54" s="1663">
        <v>0</v>
      </c>
      <c r="AF54" s="1663">
        <v>1491.55</v>
      </c>
      <c r="AG54" s="1663">
        <v>0</v>
      </c>
      <c r="AH54" s="1663"/>
      <c r="AI54" s="1663"/>
      <c r="AJ54" s="1663"/>
      <c r="AK54" s="1663">
        <v>1</v>
      </c>
      <c r="AL54" s="1671">
        <v>17523420</v>
      </c>
    </row>
    <row r="55" spans="2:38">
      <c r="B55" s="1666">
        <v>3</v>
      </c>
      <c r="C55" s="1663">
        <v>1</v>
      </c>
      <c r="D55" s="1663">
        <v>5</v>
      </c>
      <c r="E55" s="1663" t="s">
        <v>9594</v>
      </c>
      <c r="F55" s="1663" t="s">
        <v>11701</v>
      </c>
      <c r="G55" s="1663" t="s">
        <v>11778</v>
      </c>
      <c r="H55" s="1663" t="s">
        <v>11800</v>
      </c>
      <c r="I55" s="1663" t="s">
        <v>11801</v>
      </c>
      <c r="J55" s="1663" t="s">
        <v>11808</v>
      </c>
      <c r="K55" s="1663" t="s">
        <v>10656</v>
      </c>
      <c r="L55" s="1663" t="s">
        <v>11783</v>
      </c>
      <c r="M55" s="1663" t="s">
        <v>10027</v>
      </c>
      <c r="N55" s="1663" t="s">
        <v>11803</v>
      </c>
      <c r="O55" s="1663" t="s">
        <v>11809</v>
      </c>
      <c r="P55" s="1663" t="s">
        <v>11810</v>
      </c>
      <c r="Q55" s="1663" t="s">
        <v>10656</v>
      </c>
      <c r="R55" s="1663" t="s">
        <v>11786</v>
      </c>
      <c r="S55" s="1663" t="s">
        <v>11811</v>
      </c>
      <c r="T55" s="1663">
        <v>1000</v>
      </c>
      <c r="U55" s="1663" t="s">
        <v>11812</v>
      </c>
      <c r="V55" s="1663" t="s">
        <v>11813</v>
      </c>
      <c r="W55" s="1663"/>
      <c r="X55" s="1663"/>
      <c r="Y55" s="1663"/>
      <c r="Z55" s="1663"/>
      <c r="AA55" s="1663">
        <v>1</v>
      </c>
      <c r="AB55" s="1663">
        <v>0</v>
      </c>
      <c r="AC55" s="1663">
        <v>0</v>
      </c>
      <c r="AD55" s="1663">
        <v>4647.53</v>
      </c>
      <c r="AE55" s="1663">
        <v>0</v>
      </c>
      <c r="AF55" s="1663">
        <v>1626.6355000000001</v>
      </c>
      <c r="AG55" s="1663">
        <v>0</v>
      </c>
      <c r="AH55" s="1663"/>
      <c r="AI55" s="1663"/>
      <c r="AJ55" s="1663"/>
      <c r="AK55" s="1663">
        <v>1</v>
      </c>
      <c r="AL55" s="1671">
        <v>17523420</v>
      </c>
    </row>
    <row r="56" spans="2:38">
      <c r="B56" s="1666">
        <v>3</v>
      </c>
      <c r="C56" s="1663">
        <v>1</v>
      </c>
      <c r="D56" s="1663">
        <v>6</v>
      </c>
      <c r="E56" s="1663" t="s">
        <v>9594</v>
      </c>
      <c r="F56" s="1663" t="s">
        <v>11701</v>
      </c>
      <c r="G56" s="1663" t="s">
        <v>11778</v>
      </c>
      <c r="H56" s="1663" t="s">
        <v>11779</v>
      </c>
      <c r="I56" s="1663" t="s">
        <v>9982</v>
      </c>
      <c r="J56" s="1663" t="s">
        <v>9982</v>
      </c>
      <c r="K56" s="1663" t="s">
        <v>10656</v>
      </c>
      <c r="L56" s="1663" t="s">
        <v>11783</v>
      </c>
      <c r="M56" s="1663" t="s">
        <v>11814</v>
      </c>
      <c r="N56" s="1663" t="s">
        <v>11815</v>
      </c>
      <c r="O56" s="1663" t="s">
        <v>11816</v>
      </c>
      <c r="P56" s="1663" t="s">
        <v>11735</v>
      </c>
      <c r="Q56" s="1663">
        <v>14</v>
      </c>
      <c r="R56" s="1663" t="s">
        <v>11817</v>
      </c>
      <c r="S56" s="1663" t="s">
        <v>11794</v>
      </c>
      <c r="T56" s="1663">
        <v>50</v>
      </c>
      <c r="U56" s="1663" t="s">
        <v>11818</v>
      </c>
      <c r="V56" s="1663" t="s">
        <v>11796</v>
      </c>
      <c r="W56" s="1663"/>
      <c r="X56" s="1663"/>
      <c r="Y56" s="1663"/>
      <c r="Z56" s="1663"/>
      <c r="AA56" s="1663">
        <v>0</v>
      </c>
      <c r="AB56" s="1663">
        <v>1</v>
      </c>
      <c r="AC56" s="1663">
        <v>1721.75</v>
      </c>
      <c r="AD56" s="1663">
        <v>1134</v>
      </c>
      <c r="AE56" s="1663">
        <v>0</v>
      </c>
      <c r="AF56" s="1663">
        <v>737.1</v>
      </c>
      <c r="AG56" s="1663">
        <v>0</v>
      </c>
      <c r="AH56" s="1663"/>
      <c r="AI56" s="1663"/>
      <c r="AJ56" s="1663"/>
      <c r="AK56" s="1663">
        <v>1</v>
      </c>
      <c r="AL56" s="1671">
        <v>17523420</v>
      </c>
    </row>
    <row r="57" spans="2:38">
      <c r="B57" s="1666">
        <v>3</v>
      </c>
      <c r="C57" s="1663">
        <v>1</v>
      </c>
      <c r="D57" s="1663">
        <v>7</v>
      </c>
      <c r="E57" s="1663" t="s">
        <v>9594</v>
      </c>
      <c r="F57" s="1663" t="s">
        <v>11701</v>
      </c>
      <c r="G57" s="1663" t="s">
        <v>11778</v>
      </c>
      <c r="H57" s="1663" t="s">
        <v>11819</v>
      </c>
      <c r="I57" s="1663" t="s">
        <v>9982</v>
      </c>
      <c r="J57" s="1663" t="s">
        <v>11820</v>
      </c>
      <c r="K57" s="1663" t="s">
        <v>10656</v>
      </c>
      <c r="L57" s="1663" t="s">
        <v>11783</v>
      </c>
      <c r="M57" s="1663" t="s">
        <v>11814</v>
      </c>
      <c r="N57" s="1663" t="s">
        <v>11815</v>
      </c>
      <c r="O57" s="1663" t="s">
        <v>11821</v>
      </c>
      <c r="P57" s="1663" t="s">
        <v>11735</v>
      </c>
      <c r="Q57" s="1663">
        <v>85</v>
      </c>
      <c r="R57" s="1663" t="s">
        <v>11817</v>
      </c>
      <c r="S57" s="1663" t="s">
        <v>11822</v>
      </c>
      <c r="T57" s="1663">
        <v>100</v>
      </c>
      <c r="U57" s="1663" t="s">
        <v>11823</v>
      </c>
      <c r="V57" s="1663" t="s">
        <v>11824</v>
      </c>
      <c r="W57" s="1663"/>
      <c r="X57" s="1663"/>
      <c r="Y57" s="1663"/>
      <c r="Z57" s="1663"/>
      <c r="AA57" s="1663">
        <v>0</v>
      </c>
      <c r="AB57" s="1663">
        <v>1</v>
      </c>
      <c r="AC57" s="1663">
        <v>2557</v>
      </c>
      <c r="AD57" s="1663">
        <v>1620</v>
      </c>
      <c r="AE57" s="1663">
        <v>0</v>
      </c>
      <c r="AF57" s="1663">
        <v>1053</v>
      </c>
      <c r="AG57" s="1663">
        <v>0</v>
      </c>
      <c r="AH57" s="1663"/>
      <c r="AI57" s="1663"/>
      <c r="AJ57" s="1663"/>
      <c r="AK57" s="1663">
        <v>1</v>
      </c>
      <c r="AL57" s="1671">
        <v>17523420</v>
      </c>
    </row>
    <row r="58" spans="2:38">
      <c r="B58" s="1666">
        <v>3</v>
      </c>
      <c r="C58" s="1663">
        <v>1</v>
      </c>
      <c r="D58" s="1663">
        <v>8</v>
      </c>
      <c r="E58" s="1663" t="s">
        <v>9594</v>
      </c>
      <c r="F58" s="1663" t="s">
        <v>11701</v>
      </c>
      <c r="G58" s="1663" t="s">
        <v>11778</v>
      </c>
      <c r="H58" s="1663" t="s">
        <v>11825</v>
      </c>
      <c r="I58" s="1663" t="s">
        <v>9982</v>
      </c>
      <c r="J58" s="1663" t="s">
        <v>11808</v>
      </c>
      <c r="K58" s="1663" t="s">
        <v>10656</v>
      </c>
      <c r="L58" s="1663" t="s">
        <v>11783</v>
      </c>
      <c r="M58" s="1663" t="s">
        <v>11814</v>
      </c>
      <c r="N58" s="1663" t="s">
        <v>11815</v>
      </c>
      <c r="O58" s="1663" t="s">
        <v>11826</v>
      </c>
      <c r="P58" s="1663" t="s">
        <v>11735</v>
      </c>
      <c r="Q58" s="1663" t="s">
        <v>10656</v>
      </c>
      <c r="R58" s="1663" t="s">
        <v>11786</v>
      </c>
      <c r="S58" s="1663" t="s">
        <v>11825</v>
      </c>
      <c r="T58" s="1663">
        <v>1000</v>
      </c>
      <c r="U58" s="1663" t="s">
        <v>11827</v>
      </c>
      <c r="V58" s="1663" t="s">
        <v>11828</v>
      </c>
      <c r="W58" s="1663"/>
      <c r="X58" s="1663"/>
      <c r="Y58" s="1663"/>
      <c r="Z58" s="1663"/>
      <c r="AA58" s="1663">
        <v>0</v>
      </c>
      <c r="AB58" s="1663">
        <v>1</v>
      </c>
      <c r="AC58" s="1663">
        <v>2999.75</v>
      </c>
      <c r="AD58" s="1663">
        <v>4225</v>
      </c>
      <c r="AE58" s="1663">
        <v>0</v>
      </c>
      <c r="AF58" s="1663">
        <v>2746.25</v>
      </c>
      <c r="AG58" s="1663">
        <v>0</v>
      </c>
      <c r="AH58" s="1663"/>
      <c r="AI58" s="1663"/>
      <c r="AJ58" s="1663"/>
      <c r="AK58" s="1663">
        <v>1</v>
      </c>
      <c r="AL58" s="1671">
        <v>17523420</v>
      </c>
    </row>
    <row r="59" spans="2:38">
      <c r="B59" s="1666">
        <v>3</v>
      </c>
      <c r="C59" s="1663">
        <v>1</v>
      </c>
      <c r="D59" s="1663">
        <v>9</v>
      </c>
      <c r="E59" s="1663" t="s">
        <v>9594</v>
      </c>
      <c r="F59" s="1663" t="s">
        <v>11701</v>
      </c>
      <c r="G59" s="1663" t="s">
        <v>11778</v>
      </c>
      <c r="H59" s="1663" t="s">
        <v>11779</v>
      </c>
      <c r="I59" s="1663" t="s">
        <v>9982</v>
      </c>
      <c r="J59" s="1663" t="s">
        <v>11808</v>
      </c>
      <c r="K59" s="1663" t="s">
        <v>10656</v>
      </c>
      <c r="L59" s="1663" t="s">
        <v>11783</v>
      </c>
      <c r="M59" s="1663" t="s">
        <v>11814</v>
      </c>
      <c r="N59" s="1663" t="s">
        <v>11815</v>
      </c>
      <c r="O59" s="1663" t="s">
        <v>11826</v>
      </c>
      <c r="P59" s="1663" t="s">
        <v>11735</v>
      </c>
      <c r="Q59" s="1663" t="s">
        <v>10656</v>
      </c>
      <c r="R59" s="1663" t="s">
        <v>11786</v>
      </c>
      <c r="S59" s="1663" t="s">
        <v>11779</v>
      </c>
      <c r="T59" s="1663">
        <v>1000</v>
      </c>
      <c r="U59" s="1663" t="s">
        <v>11829</v>
      </c>
      <c r="V59" s="1663" t="s">
        <v>11830</v>
      </c>
      <c r="W59" s="1663"/>
      <c r="X59" s="1663"/>
      <c r="Y59" s="1663"/>
      <c r="Z59" s="1663"/>
      <c r="AA59" s="1663">
        <v>0</v>
      </c>
      <c r="AB59" s="1663">
        <v>1</v>
      </c>
      <c r="AC59" s="1663">
        <v>2999.75</v>
      </c>
      <c r="AD59" s="1663">
        <v>4225</v>
      </c>
      <c r="AE59" s="1663">
        <v>0</v>
      </c>
      <c r="AF59" s="1663">
        <v>2746.25</v>
      </c>
      <c r="AG59" s="1663">
        <v>0</v>
      </c>
      <c r="AH59" s="1663"/>
      <c r="AI59" s="1663"/>
      <c r="AJ59" s="1663"/>
      <c r="AK59" s="1663">
        <v>1</v>
      </c>
      <c r="AL59" s="1671">
        <v>17523420</v>
      </c>
    </row>
    <row r="60" spans="2:38">
      <c r="B60" s="1666">
        <v>3</v>
      </c>
      <c r="C60" s="1663">
        <v>1</v>
      </c>
      <c r="D60" s="1663">
        <v>10</v>
      </c>
      <c r="E60" s="1663" t="s">
        <v>9594</v>
      </c>
      <c r="F60" s="1663" t="s">
        <v>11701</v>
      </c>
      <c r="G60" s="1663" t="s">
        <v>11778</v>
      </c>
      <c r="H60" s="1663" t="s">
        <v>11779</v>
      </c>
      <c r="I60" s="1663" t="s">
        <v>9982</v>
      </c>
      <c r="J60" s="1663" t="s">
        <v>11808</v>
      </c>
      <c r="K60" s="1663" t="s">
        <v>10656</v>
      </c>
      <c r="L60" s="1663" t="s">
        <v>11783</v>
      </c>
      <c r="M60" s="1663" t="s">
        <v>11814</v>
      </c>
      <c r="N60" s="1663" t="s">
        <v>11815</v>
      </c>
      <c r="O60" s="1663" t="s">
        <v>11826</v>
      </c>
      <c r="P60" s="1663" t="s">
        <v>11735</v>
      </c>
      <c r="Q60" s="1663" t="s">
        <v>10656</v>
      </c>
      <c r="R60" s="1663" t="s">
        <v>11793</v>
      </c>
      <c r="S60" s="1663" t="s">
        <v>11794</v>
      </c>
      <c r="T60" s="1663">
        <v>1000</v>
      </c>
      <c r="U60" s="1663" t="s">
        <v>11831</v>
      </c>
      <c r="V60" s="1663" t="s">
        <v>11832</v>
      </c>
      <c r="W60" s="1663"/>
      <c r="X60" s="1663"/>
      <c r="Y60" s="1663"/>
      <c r="Z60" s="1663"/>
      <c r="AA60" s="1663">
        <v>0</v>
      </c>
      <c r="AB60" s="1663">
        <v>1</v>
      </c>
      <c r="AC60" s="1663">
        <v>2999.75</v>
      </c>
      <c r="AD60" s="1663">
        <v>4225</v>
      </c>
      <c r="AE60" s="1663">
        <v>0</v>
      </c>
      <c r="AF60" s="1663">
        <v>2746.25</v>
      </c>
      <c r="AG60" s="1663">
        <v>0</v>
      </c>
      <c r="AH60" s="1663"/>
      <c r="AI60" s="1663"/>
      <c r="AJ60" s="1663"/>
      <c r="AK60" s="1663">
        <v>1</v>
      </c>
      <c r="AL60" s="1671">
        <v>17523420</v>
      </c>
    </row>
    <row r="61" spans="2:38">
      <c r="B61" s="1666">
        <v>3</v>
      </c>
      <c r="C61" s="1663">
        <v>1</v>
      </c>
      <c r="D61" s="1663">
        <v>11</v>
      </c>
      <c r="E61" s="1663" t="s">
        <v>9594</v>
      </c>
      <c r="F61" s="1663" t="s">
        <v>11701</v>
      </c>
      <c r="G61" s="1663" t="s">
        <v>11778</v>
      </c>
      <c r="H61" s="1663" t="s">
        <v>11833</v>
      </c>
      <c r="I61" s="1663" t="s">
        <v>9982</v>
      </c>
      <c r="J61" s="1663" t="s">
        <v>11834</v>
      </c>
      <c r="K61" s="1663" t="s">
        <v>11782</v>
      </c>
      <c r="L61" s="1663" t="s">
        <v>11783</v>
      </c>
      <c r="M61" s="1663" t="s">
        <v>10027</v>
      </c>
      <c r="N61" s="1663" t="s">
        <v>11835</v>
      </c>
      <c r="O61" s="1663" t="s">
        <v>11836</v>
      </c>
      <c r="P61" s="1663" t="s">
        <v>11810</v>
      </c>
      <c r="Q61" s="1663" t="s">
        <v>10656</v>
      </c>
      <c r="R61" s="1663" t="s">
        <v>11817</v>
      </c>
      <c r="S61" s="1663" t="s">
        <v>11837</v>
      </c>
      <c r="T61" s="1663">
        <v>50</v>
      </c>
      <c r="U61" s="1663" t="s">
        <v>11838</v>
      </c>
      <c r="V61" s="1663" t="s">
        <v>11839</v>
      </c>
      <c r="W61" s="1663"/>
      <c r="X61" s="1663"/>
      <c r="Y61" s="1663"/>
      <c r="Z61" s="1663"/>
      <c r="AA61" s="1663">
        <v>1</v>
      </c>
      <c r="AB61" s="1663">
        <v>0</v>
      </c>
      <c r="AC61" s="1663">
        <v>0</v>
      </c>
      <c r="AD61" s="1663">
        <v>1134</v>
      </c>
      <c r="AE61" s="1663">
        <v>0</v>
      </c>
      <c r="AF61" s="1663">
        <v>737.1</v>
      </c>
      <c r="AG61" s="1663">
        <v>0</v>
      </c>
      <c r="AH61" s="1663"/>
      <c r="AI61" s="1663"/>
      <c r="AJ61" s="1663"/>
      <c r="AK61" s="1663">
        <v>1</v>
      </c>
      <c r="AL61" s="1671">
        <v>17523420</v>
      </c>
    </row>
    <row r="62" spans="2:38">
      <c r="B62" s="1667">
        <v>3</v>
      </c>
      <c r="C62" s="1668">
        <v>1</v>
      </c>
      <c r="D62" s="1668">
        <v>12</v>
      </c>
      <c r="E62" s="1668" t="s">
        <v>9594</v>
      </c>
      <c r="F62" s="1668" t="s">
        <v>11701</v>
      </c>
      <c r="G62" s="1668" t="s">
        <v>11778</v>
      </c>
      <c r="H62" s="1668" t="s">
        <v>11833</v>
      </c>
      <c r="I62" s="1668" t="s">
        <v>9982</v>
      </c>
      <c r="J62" s="1668" t="s">
        <v>11834</v>
      </c>
      <c r="K62" s="1668" t="s">
        <v>11782</v>
      </c>
      <c r="L62" s="1668" t="s">
        <v>11783</v>
      </c>
      <c r="M62" s="1668" t="s">
        <v>10027</v>
      </c>
      <c r="N62" s="1668" t="s">
        <v>11835</v>
      </c>
      <c r="O62" s="1668" t="s">
        <v>11840</v>
      </c>
      <c r="P62" s="1668" t="s">
        <v>11810</v>
      </c>
      <c r="Q62" s="1668" t="s">
        <v>10656</v>
      </c>
      <c r="R62" s="1668" t="s">
        <v>11817</v>
      </c>
      <c r="S62" s="1668" t="s">
        <v>11837</v>
      </c>
      <c r="T62" s="1668">
        <v>100</v>
      </c>
      <c r="U62" s="1668" t="s">
        <v>11841</v>
      </c>
      <c r="V62" s="1668" t="s">
        <v>11839</v>
      </c>
      <c r="W62" s="1668"/>
      <c r="X62" s="1668"/>
      <c r="Y62" s="1668"/>
      <c r="Z62" s="1668"/>
      <c r="AA62" s="1668">
        <v>0</v>
      </c>
      <c r="AB62" s="1668">
        <v>0</v>
      </c>
      <c r="AC62" s="1668">
        <v>0</v>
      </c>
      <c r="AD62" s="1668">
        <v>1430</v>
      </c>
      <c r="AE62" s="1668">
        <v>0</v>
      </c>
      <c r="AF62" s="1668">
        <v>929.5</v>
      </c>
      <c r="AG62" s="1668">
        <v>0</v>
      </c>
      <c r="AH62" s="1668"/>
      <c r="AI62" s="1668"/>
      <c r="AJ62" s="1668"/>
      <c r="AK62" s="1668">
        <v>1</v>
      </c>
      <c r="AL62" s="1672">
        <v>17523420</v>
      </c>
    </row>
    <row r="65" spans="2:38" ht="12.75" thickBot="1">
      <c r="B65" s="1673" t="s">
        <v>11842</v>
      </c>
    </row>
    <row r="66" spans="2:38" ht="34.5" thickBot="1">
      <c r="B66" s="1676" t="s">
        <v>11705</v>
      </c>
      <c r="C66" s="1676" t="s">
        <v>11706</v>
      </c>
      <c r="D66" s="1676" t="s">
        <v>11707</v>
      </c>
      <c r="E66" s="1676" t="s">
        <v>11708</v>
      </c>
      <c r="F66" s="1676" t="s">
        <v>477</v>
      </c>
      <c r="G66" s="1676" t="s">
        <v>11709</v>
      </c>
      <c r="H66" s="1676" t="s">
        <v>11765</v>
      </c>
      <c r="I66" s="1676" t="s">
        <v>11766</v>
      </c>
      <c r="J66" s="1676" t="s">
        <v>11767</v>
      </c>
      <c r="K66" s="1676" t="s">
        <v>11768</v>
      </c>
      <c r="L66" s="1676" t="s">
        <v>11583</v>
      </c>
      <c r="M66" s="1676" t="s">
        <v>11769</v>
      </c>
      <c r="N66" s="1676" t="s">
        <v>11770</v>
      </c>
      <c r="O66" s="1676" t="s">
        <v>11764</v>
      </c>
      <c r="P66" s="1676" t="s">
        <v>11773</v>
      </c>
      <c r="Q66" s="1676" t="s">
        <v>11774</v>
      </c>
      <c r="R66" s="1676" t="s">
        <v>11771</v>
      </c>
      <c r="S66" s="1676" t="s">
        <v>11775</v>
      </c>
      <c r="T66" s="1676" t="s">
        <v>11772</v>
      </c>
      <c r="U66" s="1676" t="s">
        <v>11776</v>
      </c>
      <c r="V66" s="1676" t="s">
        <v>11777</v>
      </c>
      <c r="W66" s="1676"/>
      <c r="X66" s="1676"/>
      <c r="Y66" s="1676"/>
      <c r="Z66" s="1676"/>
      <c r="AA66" s="1676" t="s">
        <v>9628</v>
      </c>
      <c r="AB66" s="1676" t="s">
        <v>11719</v>
      </c>
      <c r="AC66" s="1676" t="s">
        <v>11691</v>
      </c>
      <c r="AD66" s="1676" t="s">
        <v>11692</v>
      </c>
      <c r="AE66" s="1676" t="s">
        <v>11720</v>
      </c>
      <c r="AF66" s="1676" t="s">
        <v>11693</v>
      </c>
      <c r="AG66" s="1676" t="s">
        <v>11721</v>
      </c>
      <c r="AH66" s="1676" t="s">
        <v>11694</v>
      </c>
      <c r="AI66" s="1676" t="s">
        <v>11722</v>
      </c>
      <c r="AJ66" s="1676" t="s">
        <v>10358</v>
      </c>
      <c r="AK66" s="1676" t="s">
        <v>11723</v>
      </c>
      <c r="AL66" s="1676" t="s">
        <v>11724</v>
      </c>
    </row>
    <row r="67" spans="2:38">
      <c r="B67" s="1678" t="s">
        <v>11725</v>
      </c>
      <c r="C67" s="1679"/>
      <c r="D67" s="1679"/>
      <c r="E67" s="1679"/>
      <c r="F67" s="1679"/>
      <c r="G67" s="1679"/>
      <c r="H67" s="1679"/>
      <c r="I67" s="1679"/>
      <c r="J67" s="1679"/>
      <c r="K67" s="1679"/>
      <c r="L67" s="1679"/>
      <c r="M67" s="1679"/>
      <c r="N67" s="1679"/>
      <c r="O67" s="1679"/>
      <c r="P67" s="1679"/>
      <c r="Q67" s="1679"/>
      <c r="R67" s="1679"/>
      <c r="S67" s="1679"/>
      <c r="T67" s="1679"/>
      <c r="U67" s="1679"/>
      <c r="V67" s="1679"/>
      <c r="W67" s="1679"/>
      <c r="X67" s="1679"/>
      <c r="Y67" s="1679"/>
      <c r="Z67" s="1679"/>
      <c r="AA67" s="1679"/>
      <c r="AB67" s="1679"/>
      <c r="AC67" s="1679"/>
      <c r="AD67" s="1679"/>
      <c r="AE67" s="1679"/>
      <c r="AF67" s="1679"/>
      <c r="AG67" s="1679"/>
      <c r="AH67" s="1679"/>
      <c r="AI67" s="1679"/>
      <c r="AJ67" s="1679"/>
      <c r="AK67" s="1679"/>
      <c r="AL67" s="1680"/>
    </row>
    <row r="70" spans="2:38" ht="12.75" thickBot="1">
      <c r="B70" s="1673" t="s">
        <v>11843</v>
      </c>
    </row>
    <row r="71" spans="2:38" ht="34.5" thickBot="1">
      <c r="B71" s="1676" t="s">
        <v>11705</v>
      </c>
      <c r="C71" s="1676" t="s">
        <v>11706</v>
      </c>
      <c r="D71" s="1676" t="s">
        <v>11707</v>
      </c>
      <c r="E71" s="1676" t="s">
        <v>11708</v>
      </c>
      <c r="F71" s="1676" t="s">
        <v>477</v>
      </c>
      <c r="G71" s="1676" t="s">
        <v>11709</v>
      </c>
      <c r="H71" s="1676" t="s">
        <v>11743</v>
      </c>
      <c r="I71" s="1676" t="s">
        <v>9595</v>
      </c>
      <c r="J71" s="1676" t="s">
        <v>11844</v>
      </c>
      <c r="K71" s="1676" t="s">
        <v>623</v>
      </c>
      <c r="L71" s="1676" t="s">
        <v>11717</v>
      </c>
      <c r="M71" s="1676" t="s">
        <v>10477</v>
      </c>
      <c r="N71" s="1676" t="s">
        <v>11714</v>
      </c>
      <c r="O71" s="1676" t="s">
        <v>11769</v>
      </c>
      <c r="P71" s="1676" t="s">
        <v>11845</v>
      </c>
      <c r="Q71" s="1676" t="s">
        <v>10478</v>
      </c>
      <c r="R71" s="1676" t="s">
        <v>11846</v>
      </c>
      <c r="S71" s="1676" t="s">
        <v>11847</v>
      </c>
      <c r="T71" s="1676" t="s">
        <v>11848</v>
      </c>
      <c r="U71" s="1676" t="s">
        <v>11849</v>
      </c>
      <c r="V71" s="1676" t="s">
        <v>11850</v>
      </c>
      <c r="W71" s="1676"/>
      <c r="X71" s="1676"/>
      <c r="Y71" s="1676"/>
      <c r="Z71" s="1676"/>
      <c r="AA71" s="1676" t="s">
        <v>9628</v>
      </c>
      <c r="AB71" s="1676" t="s">
        <v>11719</v>
      </c>
      <c r="AC71" s="1676" t="s">
        <v>11691</v>
      </c>
      <c r="AD71" s="1676" t="s">
        <v>11692</v>
      </c>
      <c r="AE71" s="1676" t="s">
        <v>11720</v>
      </c>
      <c r="AF71" s="1676" t="s">
        <v>11693</v>
      </c>
      <c r="AG71" s="1676" t="s">
        <v>11721</v>
      </c>
      <c r="AH71" s="1676" t="s">
        <v>11694</v>
      </c>
      <c r="AI71" s="1676" t="s">
        <v>11722</v>
      </c>
      <c r="AJ71" s="1676" t="s">
        <v>10358</v>
      </c>
      <c r="AK71" s="1676" t="s">
        <v>11723</v>
      </c>
      <c r="AL71" s="1676" t="s">
        <v>11724</v>
      </c>
    </row>
    <row r="72" spans="2:38">
      <c r="B72" s="1675">
        <v>4</v>
      </c>
      <c r="C72" s="1674">
        <v>1</v>
      </c>
      <c r="D72" s="1674">
        <v>1</v>
      </c>
      <c r="E72" s="1674" t="s">
        <v>9594</v>
      </c>
      <c r="F72" s="1674" t="s">
        <v>11366</v>
      </c>
      <c r="G72" s="1674" t="s">
        <v>11851</v>
      </c>
      <c r="H72" s="1674" t="s">
        <v>11852</v>
      </c>
      <c r="I72" s="1674" t="s">
        <v>11851</v>
      </c>
      <c r="J72" s="1674" t="s">
        <v>11853</v>
      </c>
      <c r="K72" s="1674" t="s">
        <v>11854</v>
      </c>
      <c r="L72" s="1674" t="s">
        <v>11855</v>
      </c>
      <c r="M72" s="1674" t="s">
        <v>11856</v>
      </c>
      <c r="N72" s="1674" t="s">
        <v>11857</v>
      </c>
      <c r="O72" s="1674" t="s">
        <v>11858</v>
      </c>
      <c r="P72" s="1674" t="s">
        <v>11859</v>
      </c>
      <c r="Q72" s="1674" t="s">
        <v>10027</v>
      </c>
      <c r="R72" s="1674" t="s">
        <v>11860</v>
      </c>
      <c r="S72" s="1674" t="s">
        <v>11861</v>
      </c>
      <c r="T72" s="1674">
        <v>17994</v>
      </c>
      <c r="U72" s="1674">
        <v>18030</v>
      </c>
      <c r="V72" s="1674" t="s">
        <v>11862</v>
      </c>
      <c r="W72" s="1674"/>
      <c r="X72" s="1674"/>
      <c r="Y72" s="1674"/>
      <c r="Z72" s="1674"/>
      <c r="AA72" s="1674">
        <v>0</v>
      </c>
      <c r="AB72" s="1674">
        <v>1</v>
      </c>
      <c r="AC72" s="1674">
        <v>333</v>
      </c>
      <c r="AD72" s="1674">
        <v>645</v>
      </c>
      <c r="AE72" s="1674">
        <v>1000</v>
      </c>
      <c r="AF72" s="1674">
        <v>322.5</v>
      </c>
      <c r="AG72" s="1674">
        <v>0</v>
      </c>
      <c r="AH72" s="1674"/>
      <c r="AI72" s="1674"/>
      <c r="AJ72" s="1674"/>
      <c r="AK72" s="1674">
        <v>1</v>
      </c>
      <c r="AL72" s="1677">
        <v>17523421</v>
      </c>
    </row>
    <row r="73" spans="2:38">
      <c r="B73" s="1666">
        <v>4</v>
      </c>
      <c r="C73" s="1663">
        <v>1</v>
      </c>
      <c r="D73" s="1663">
        <v>2</v>
      </c>
      <c r="E73" s="1663" t="s">
        <v>9594</v>
      </c>
      <c r="F73" s="1663" t="s">
        <v>11366</v>
      </c>
      <c r="G73" s="1663" t="s">
        <v>11851</v>
      </c>
      <c r="H73" s="1663" t="s">
        <v>11852</v>
      </c>
      <c r="I73" s="1663" t="s">
        <v>11851</v>
      </c>
      <c r="J73" s="1663" t="s">
        <v>11853</v>
      </c>
      <c r="K73" s="1663" t="s">
        <v>11863</v>
      </c>
      <c r="L73" s="1663" t="s">
        <v>11855</v>
      </c>
      <c r="M73" s="1663" t="s">
        <v>11856</v>
      </c>
      <c r="N73" s="1663" t="s">
        <v>11864</v>
      </c>
      <c r="O73" s="1663" t="s">
        <v>11858</v>
      </c>
      <c r="P73" s="1663" t="s">
        <v>11859</v>
      </c>
      <c r="Q73" s="1663" t="s">
        <v>10027</v>
      </c>
      <c r="R73" s="1663" t="s">
        <v>11860</v>
      </c>
      <c r="S73" s="1663" t="s">
        <v>11865</v>
      </c>
      <c r="T73" s="1663">
        <v>17999</v>
      </c>
      <c r="U73" s="1663">
        <v>18030</v>
      </c>
      <c r="V73" s="1663" t="s">
        <v>11862</v>
      </c>
      <c r="W73" s="1663"/>
      <c r="X73" s="1663"/>
      <c r="Y73" s="1663"/>
      <c r="Z73" s="1663"/>
      <c r="AA73" s="1663">
        <v>0</v>
      </c>
      <c r="AB73" s="1663">
        <v>1</v>
      </c>
      <c r="AC73" s="1663">
        <v>435</v>
      </c>
      <c r="AD73" s="1663">
        <v>595</v>
      </c>
      <c r="AE73" s="1663">
        <v>1000</v>
      </c>
      <c r="AF73" s="1663">
        <v>416.5</v>
      </c>
      <c r="AG73" s="1663">
        <v>0</v>
      </c>
      <c r="AH73" s="1663"/>
      <c r="AI73" s="1663"/>
      <c r="AJ73" s="1663"/>
      <c r="AK73" s="1663">
        <v>1</v>
      </c>
      <c r="AL73" s="1671">
        <v>17523421</v>
      </c>
    </row>
    <row r="74" spans="2:38">
      <c r="B74" s="1666">
        <v>4</v>
      </c>
      <c r="C74" s="1663">
        <v>1</v>
      </c>
      <c r="D74" s="1663">
        <v>3</v>
      </c>
      <c r="E74" s="1663" t="s">
        <v>9594</v>
      </c>
      <c r="F74" s="1663" t="s">
        <v>11366</v>
      </c>
      <c r="G74" s="1663" t="s">
        <v>11851</v>
      </c>
      <c r="H74" s="1663" t="s">
        <v>11866</v>
      </c>
      <c r="I74" s="1663" t="s">
        <v>11851</v>
      </c>
      <c r="J74" s="1663" t="s">
        <v>11867</v>
      </c>
      <c r="K74" s="1663" t="s">
        <v>11863</v>
      </c>
      <c r="L74" s="1663" t="s">
        <v>11855</v>
      </c>
      <c r="M74" s="1663" t="s">
        <v>11856</v>
      </c>
      <c r="N74" s="1663" t="s">
        <v>11868</v>
      </c>
      <c r="O74" s="1663" t="s">
        <v>11858</v>
      </c>
      <c r="P74" s="1663" t="s">
        <v>11859</v>
      </c>
      <c r="Q74" s="1663" t="s">
        <v>11869</v>
      </c>
      <c r="R74" s="1663" t="s">
        <v>11860</v>
      </c>
      <c r="S74" s="1663" t="s">
        <v>11856</v>
      </c>
      <c r="T74" s="1663">
        <v>19388</v>
      </c>
      <c r="U74" s="1663">
        <v>18030</v>
      </c>
      <c r="V74" s="1663" t="s">
        <v>11862</v>
      </c>
      <c r="W74" s="1663"/>
      <c r="X74" s="1663"/>
      <c r="Y74" s="1663"/>
      <c r="Z74" s="1663"/>
      <c r="AA74" s="1663">
        <v>0</v>
      </c>
      <c r="AB74" s="1663">
        <v>3</v>
      </c>
      <c r="AC74" s="1663">
        <v>560.5</v>
      </c>
      <c r="AD74" s="1663">
        <v>1106</v>
      </c>
      <c r="AE74" s="1663">
        <v>1000</v>
      </c>
      <c r="AF74" s="1663">
        <v>553</v>
      </c>
      <c r="AG74" s="1663">
        <v>0</v>
      </c>
      <c r="AH74" s="1663"/>
      <c r="AI74" s="1663"/>
      <c r="AJ74" s="1663"/>
      <c r="AK74" s="1663">
        <v>1</v>
      </c>
      <c r="AL74" s="1671">
        <v>17523421</v>
      </c>
    </row>
    <row r="75" spans="2:38">
      <c r="B75" s="1666">
        <v>4</v>
      </c>
      <c r="C75" s="1663">
        <v>1</v>
      </c>
      <c r="D75" s="1663">
        <v>4</v>
      </c>
      <c r="E75" s="1663" t="s">
        <v>9594</v>
      </c>
      <c r="F75" s="1663" t="s">
        <v>11366</v>
      </c>
      <c r="G75" s="1663" t="s">
        <v>11851</v>
      </c>
      <c r="H75" s="1663" t="s">
        <v>11852</v>
      </c>
      <c r="I75" s="1663" t="s">
        <v>11851</v>
      </c>
      <c r="J75" s="1663" t="s">
        <v>11853</v>
      </c>
      <c r="K75" s="1663" t="s">
        <v>11870</v>
      </c>
      <c r="L75" s="1663" t="s">
        <v>11855</v>
      </c>
      <c r="M75" s="1663" t="s">
        <v>11871</v>
      </c>
      <c r="N75" s="1663" t="s">
        <v>11871</v>
      </c>
      <c r="O75" s="1663" t="s">
        <v>11858</v>
      </c>
      <c r="P75" s="1663" t="s">
        <v>11859</v>
      </c>
      <c r="Q75" s="1663" t="s">
        <v>10027</v>
      </c>
      <c r="R75" s="1663" t="s">
        <v>11860</v>
      </c>
      <c r="S75" s="1663" t="s">
        <v>11871</v>
      </c>
      <c r="T75" s="1663">
        <v>19624</v>
      </c>
      <c r="U75" s="1663">
        <v>18030</v>
      </c>
      <c r="V75" s="1663" t="s">
        <v>11862</v>
      </c>
      <c r="W75" s="1663"/>
      <c r="X75" s="1663"/>
      <c r="Y75" s="1663"/>
      <c r="Z75" s="1663"/>
      <c r="AA75" s="1663">
        <v>0</v>
      </c>
      <c r="AB75" s="1663">
        <v>1</v>
      </c>
      <c r="AC75" s="1663">
        <v>957.5</v>
      </c>
      <c r="AD75" s="1663">
        <v>1250</v>
      </c>
      <c r="AE75" s="1663">
        <v>1000</v>
      </c>
      <c r="AF75" s="1663">
        <v>625</v>
      </c>
      <c r="AG75" s="1663">
        <v>0</v>
      </c>
      <c r="AH75" s="1663"/>
      <c r="AI75" s="1663"/>
      <c r="AJ75" s="1663"/>
      <c r="AK75" s="1663">
        <v>1</v>
      </c>
      <c r="AL75" s="1671">
        <v>17523421</v>
      </c>
    </row>
    <row r="76" spans="2:38">
      <c r="B76" s="1666">
        <v>4</v>
      </c>
      <c r="C76" s="1663">
        <v>1</v>
      </c>
      <c r="D76" s="1663">
        <v>5</v>
      </c>
      <c r="E76" s="1663" t="s">
        <v>9594</v>
      </c>
      <c r="F76" s="1663" t="s">
        <v>11366</v>
      </c>
      <c r="G76" s="1663" t="s">
        <v>11851</v>
      </c>
      <c r="H76" s="1663" t="s">
        <v>11852</v>
      </c>
      <c r="I76" s="1663" t="s">
        <v>11851</v>
      </c>
      <c r="J76" s="1663" t="s">
        <v>11853</v>
      </c>
      <c r="K76" s="1663" t="s">
        <v>11872</v>
      </c>
      <c r="L76" s="1663" t="s">
        <v>11855</v>
      </c>
      <c r="M76" s="1663" t="s">
        <v>11871</v>
      </c>
      <c r="N76" s="1663" t="s">
        <v>11873</v>
      </c>
      <c r="O76" s="1663" t="s">
        <v>11858</v>
      </c>
      <c r="P76" s="1663" t="s">
        <v>11859</v>
      </c>
      <c r="Q76" s="1663" t="s">
        <v>10027</v>
      </c>
      <c r="R76" s="1663" t="s">
        <v>11860</v>
      </c>
      <c r="S76" s="1663" t="s">
        <v>11874</v>
      </c>
      <c r="T76" s="1663">
        <v>18014</v>
      </c>
      <c r="U76" s="1663">
        <v>18030</v>
      </c>
      <c r="V76" s="1663" t="s">
        <v>11862</v>
      </c>
      <c r="W76" s="1663"/>
      <c r="X76" s="1663"/>
      <c r="Y76" s="1663"/>
      <c r="Z76" s="1663"/>
      <c r="AA76" s="1663">
        <v>0</v>
      </c>
      <c r="AB76" s="1663">
        <v>3</v>
      </c>
      <c r="AC76" s="1663">
        <v>1911.5</v>
      </c>
      <c r="AD76" s="1663">
        <v>1355</v>
      </c>
      <c r="AE76" s="1663">
        <v>1000</v>
      </c>
      <c r="AF76" s="1663">
        <v>948.5</v>
      </c>
      <c r="AG76" s="1663">
        <v>0</v>
      </c>
      <c r="AH76" s="1663"/>
      <c r="AI76" s="1663"/>
      <c r="AJ76" s="1663"/>
      <c r="AK76" s="1663">
        <v>1</v>
      </c>
      <c r="AL76" s="1671">
        <v>17523421</v>
      </c>
    </row>
    <row r="77" spans="2:38">
      <c r="B77" s="1666">
        <v>4</v>
      </c>
      <c r="C77" s="1663">
        <v>1</v>
      </c>
      <c r="D77" s="1663">
        <v>6</v>
      </c>
      <c r="E77" s="1663" t="s">
        <v>9594</v>
      </c>
      <c r="F77" s="1663" t="s">
        <v>11366</v>
      </c>
      <c r="G77" s="1663" t="s">
        <v>11851</v>
      </c>
      <c r="H77" s="1663" t="s">
        <v>11852</v>
      </c>
      <c r="I77" s="1663" t="s">
        <v>11851</v>
      </c>
      <c r="J77" s="1663" t="s">
        <v>11853</v>
      </c>
      <c r="K77" s="1663" t="s">
        <v>11875</v>
      </c>
      <c r="L77" s="1663" t="s">
        <v>11855</v>
      </c>
      <c r="M77" s="1663" t="s">
        <v>11871</v>
      </c>
      <c r="N77" s="1663" t="s">
        <v>11876</v>
      </c>
      <c r="O77" s="1663" t="s">
        <v>11858</v>
      </c>
      <c r="P77" s="1663" t="s">
        <v>11859</v>
      </c>
      <c r="Q77" s="1663" t="s">
        <v>10027</v>
      </c>
      <c r="R77" s="1663" t="s">
        <v>11860</v>
      </c>
      <c r="S77" s="1663" t="s">
        <v>11877</v>
      </c>
      <c r="T77" s="1663">
        <v>18017</v>
      </c>
      <c r="U77" s="1663">
        <v>18030</v>
      </c>
      <c r="V77" s="1663" t="s">
        <v>11862</v>
      </c>
      <c r="W77" s="1663"/>
      <c r="X77" s="1663"/>
      <c r="Y77" s="1663"/>
      <c r="Z77" s="1663"/>
      <c r="AA77" s="1663">
        <v>0</v>
      </c>
      <c r="AB77" s="1663">
        <v>2</v>
      </c>
      <c r="AC77" s="1663">
        <v>4745.5</v>
      </c>
      <c r="AD77" s="1663">
        <v>2830</v>
      </c>
      <c r="AE77" s="1663">
        <v>1000</v>
      </c>
      <c r="AF77" s="1663">
        <v>1981</v>
      </c>
      <c r="AG77" s="1663">
        <v>0</v>
      </c>
      <c r="AH77" s="1663"/>
      <c r="AI77" s="1663"/>
      <c r="AJ77" s="1663"/>
      <c r="AK77" s="1663">
        <v>1</v>
      </c>
      <c r="AL77" s="1671">
        <v>17523421</v>
      </c>
    </row>
    <row r="78" spans="2:38">
      <c r="B78" s="1666">
        <v>4</v>
      </c>
      <c r="C78" s="1663">
        <v>1</v>
      </c>
      <c r="D78" s="1663">
        <v>7</v>
      </c>
      <c r="E78" s="1663" t="s">
        <v>9594</v>
      </c>
      <c r="F78" s="1663" t="s">
        <v>11366</v>
      </c>
      <c r="G78" s="1663" t="s">
        <v>11851</v>
      </c>
      <c r="H78" s="1663" t="s">
        <v>11852</v>
      </c>
      <c r="I78" s="1663" t="s">
        <v>11851</v>
      </c>
      <c r="J78" s="1663" t="s">
        <v>11853</v>
      </c>
      <c r="K78" s="1663" t="s">
        <v>11878</v>
      </c>
      <c r="L78" s="1663" t="s">
        <v>11855</v>
      </c>
      <c r="M78" s="1663" t="s">
        <v>11871</v>
      </c>
      <c r="N78" s="1663" t="s">
        <v>11876</v>
      </c>
      <c r="O78" s="1663" t="s">
        <v>11858</v>
      </c>
      <c r="P78" s="1663" t="s">
        <v>11859</v>
      </c>
      <c r="Q78" s="1663" t="s">
        <v>10027</v>
      </c>
      <c r="R78" s="1663" t="s">
        <v>11860</v>
      </c>
      <c r="S78" s="1663" t="s">
        <v>11877</v>
      </c>
      <c r="T78" s="1663">
        <v>18018</v>
      </c>
      <c r="U78" s="1663">
        <v>18030</v>
      </c>
      <c r="V78" s="1663" t="s">
        <v>11862</v>
      </c>
      <c r="W78" s="1663"/>
      <c r="X78" s="1663"/>
      <c r="Y78" s="1663"/>
      <c r="Z78" s="1663"/>
      <c r="AA78" s="1663">
        <v>0</v>
      </c>
      <c r="AB78" s="1663">
        <v>2</v>
      </c>
      <c r="AC78" s="1663">
        <v>5618.75</v>
      </c>
      <c r="AD78" s="1663">
        <v>2830</v>
      </c>
      <c r="AE78" s="1663">
        <v>1000</v>
      </c>
      <c r="AF78" s="1663">
        <v>1981</v>
      </c>
      <c r="AG78" s="1663">
        <v>0</v>
      </c>
      <c r="AH78" s="1663"/>
      <c r="AI78" s="1663"/>
      <c r="AJ78" s="1663"/>
      <c r="AK78" s="1663">
        <v>1</v>
      </c>
      <c r="AL78" s="1671">
        <v>17523421</v>
      </c>
    </row>
    <row r="79" spans="2:38">
      <c r="B79" s="1666">
        <v>4</v>
      </c>
      <c r="C79" s="1663">
        <v>1</v>
      </c>
      <c r="D79" s="1663">
        <v>8</v>
      </c>
      <c r="E79" s="1663" t="s">
        <v>9594</v>
      </c>
      <c r="F79" s="1663" t="s">
        <v>11366</v>
      </c>
      <c r="G79" s="1663" t="s">
        <v>11851</v>
      </c>
      <c r="H79" s="1663" t="s">
        <v>11879</v>
      </c>
      <c r="I79" s="1663" t="s">
        <v>11851</v>
      </c>
      <c r="J79" s="1663" t="s">
        <v>11867</v>
      </c>
      <c r="K79" s="1663" t="s">
        <v>11863</v>
      </c>
      <c r="L79" s="1663" t="s">
        <v>11855</v>
      </c>
      <c r="M79" s="1663" t="s">
        <v>11871</v>
      </c>
      <c r="N79" s="1663" t="s">
        <v>11871</v>
      </c>
      <c r="O79" s="1663" t="s">
        <v>11858</v>
      </c>
      <c r="P79" s="1663" t="s">
        <v>11859</v>
      </c>
      <c r="Q79" s="1663" t="s">
        <v>11880</v>
      </c>
      <c r="R79" s="1663" t="s">
        <v>11860</v>
      </c>
      <c r="S79" s="1663" t="s">
        <v>11881</v>
      </c>
      <c r="T79" s="1663">
        <v>19536</v>
      </c>
      <c r="U79" s="1663">
        <v>18030</v>
      </c>
      <c r="V79" s="1663" t="s">
        <v>11862</v>
      </c>
      <c r="W79" s="1663"/>
      <c r="X79" s="1663"/>
      <c r="Y79" s="1663"/>
      <c r="Z79" s="1663"/>
      <c r="AA79" s="1663">
        <v>0</v>
      </c>
      <c r="AB79" s="1663">
        <v>1</v>
      </c>
      <c r="AC79" s="1663">
        <v>579.25</v>
      </c>
      <c r="AD79" s="1663">
        <v>1106</v>
      </c>
      <c r="AE79" s="1663">
        <v>1000</v>
      </c>
      <c r="AF79" s="1663">
        <v>553</v>
      </c>
      <c r="AG79" s="1663">
        <v>0</v>
      </c>
      <c r="AH79" s="1663"/>
      <c r="AI79" s="1663"/>
      <c r="AJ79" s="1663"/>
      <c r="AK79" s="1663">
        <v>1</v>
      </c>
      <c r="AL79" s="1671">
        <v>17523421</v>
      </c>
    </row>
    <row r="80" spans="2:38">
      <c r="B80" s="1666">
        <v>4</v>
      </c>
      <c r="C80" s="1663">
        <v>1</v>
      </c>
      <c r="D80" s="1663">
        <v>9</v>
      </c>
      <c r="E80" s="1663" t="s">
        <v>9594</v>
      </c>
      <c r="F80" s="1663" t="s">
        <v>11366</v>
      </c>
      <c r="G80" s="1663" t="s">
        <v>11851</v>
      </c>
      <c r="H80" s="1663" t="s">
        <v>11852</v>
      </c>
      <c r="I80" s="1663" t="s">
        <v>11851</v>
      </c>
      <c r="J80" s="1663" t="s">
        <v>11853</v>
      </c>
      <c r="K80" s="1663" t="s">
        <v>11880</v>
      </c>
      <c r="L80" s="1663" t="s">
        <v>11855</v>
      </c>
      <c r="M80" s="1663" t="s">
        <v>11871</v>
      </c>
      <c r="N80" s="1663" t="s">
        <v>11873</v>
      </c>
      <c r="O80" s="1663" t="s">
        <v>11858</v>
      </c>
      <c r="P80" s="1663" t="s">
        <v>11859</v>
      </c>
      <c r="Q80" s="1663" t="s">
        <v>10027</v>
      </c>
      <c r="R80" s="1663" t="s">
        <v>11860</v>
      </c>
      <c r="S80" s="1663" t="s">
        <v>11874</v>
      </c>
      <c r="T80" s="1663">
        <v>18010</v>
      </c>
      <c r="U80" s="1663">
        <v>18030</v>
      </c>
      <c r="V80" s="1663" t="s">
        <v>11862</v>
      </c>
      <c r="W80" s="1663"/>
      <c r="X80" s="1663"/>
      <c r="Y80" s="1663"/>
      <c r="Z80" s="1663"/>
      <c r="AA80" s="1663">
        <v>1</v>
      </c>
      <c r="AB80" s="1663">
        <v>0</v>
      </c>
      <c r="AC80" s="1663">
        <v>0</v>
      </c>
      <c r="AD80" s="1663">
        <v>1250</v>
      </c>
      <c r="AE80" s="1663">
        <v>1000</v>
      </c>
      <c r="AF80" s="1663">
        <v>750</v>
      </c>
      <c r="AG80" s="1663">
        <v>0</v>
      </c>
      <c r="AH80" s="1663"/>
      <c r="AI80" s="1663"/>
      <c r="AJ80" s="1663"/>
      <c r="AK80" s="1663">
        <v>1</v>
      </c>
      <c r="AL80" s="1671">
        <v>17523421</v>
      </c>
    </row>
    <row r="81" spans="2:38">
      <c r="B81" s="1667">
        <v>4</v>
      </c>
      <c r="C81" s="1668">
        <v>1</v>
      </c>
      <c r="D81" s="1668">
        <v>10</v>
      </c>
      <c r="E81" s="1668" t="s">
        <v>9594</v>
      </c>
      <c r="F81" s="1668" t="s">
        <v>11366</v>
      </c>
      <c r="G81" s="1668" t="s">
        <v>11851</v>
      </c>
      <c r="H81" s="1668" t="s">
        <v>11852</v>
      </c>
      <c r="I81" s="1668" t="s">
        <v>11851</v>
      </c>
      <c r="J81" s="1668" t="s">
        <v>11853</v>
      </c>
      <c r="K81" s="1668" t="s">
        <v>11882</v>
      </c>
      <c r="L81" s="1668" t="s">
        <v>11855</v>
      </c>
      <c r="M81" s="1668" t="s">
        <v>11871</v>
      </c>
      <c r="N81" s="1668" t="s">
        <v>11871</v>
      </c>
      <c r="O81" s="1668" t="s">
        <v>11858</v>
      </c>
      <c r="P81" s="1668" t="s">
        <v>11859</v>
      </c>
      <c r="Q81" s="1668" t="s">
        <v>10027</v>
      </c>
      <c r="R81" s="1668" t="s">
        <v>11860</v>
      </c>
      <c r="S81" s="1668" t="s">
        <v>11871</v>
      </c>
      <c r="T81" s="1668">
        <v>18025</v>
      </c>
      <c r="U81" s="1668">
        <v>18030</v>
      </c>
      <c r="V81" s="1668" t="s">
        <v>11862</v>
      </c>
      <c r="W81" s="1668"/>
      <c r="X81" s="1668"/>
      <c r="Y81" s="1668"/>
      <c r="Z81" s="1668"/>
      <c r="AA81" s="1668">
        <v>1</v>
      </c>
      <c r="AB81" s="1668">
        <v>0</v>
      </c>
      <c r="AC81" s="1668">
        <v>0</v>
      </c>
      <c r="AD81" s="1668">
        <v>5670</v>
      </c>
      <c r="AE81" s="1668">
        <v>1000</v>
      </c>
      <c r="AF81" s="1668">
        <v>3969</v>
      </c>
      <c r="AG81" s="1668">
        <v>0</v>
      </c>
      <c r="AH81" s="1668"/>
      <c r="AI81" s="1668"/>
      <c r="AJ81" s="1668"/>
      <c r="AK81" s="1668">
        <v>1</v>
      </c>
      <c r="AL81" s="1672">
        <v>17523421</v>
      </c>
    </row>
    <row r="84" spans="2:38" ht="12.75" thickBot="1">
      <c r="B84" s="1673" t="s">
        <v>11883</v>
      </c>
    </row>
    <row r="85" spans="2:38" ht="34.5" thickBot="1">
      <c r="B85" s="1676" t="s">
        <v>11705</v>
      </c>
      <c r="C85" s="1676" t="s">
        <v>11706</v>
      </c>
      <c r="D85" s="1676" t="s">
        <v>11707</v>
      </c>
      <c r="E85" s="1676" t="s">
        <v>11708</v>
      </c>
      <c r="F85" s="1676" t="s">
        <v>477</v>
      </c>
      <c r="G85" s="1676" t="s">
        <v>11709</v>
      </c>
      <c r="H85" s="1676" t="s">
        <v>11743</v>
      </c>
      <c r="I85" s="1676" t="s">
        <v>9595</v>
      </c>
      <c r="J85" s="1676" t="s">
        <v>11844</v>
      </c>
      <c r="K85" s="1676" t="s">
        <v>623</v>
      </c>
      <c r="L85" s="1676" t="s">
        <v>11717</v>
      </c>
      <c r="M85" s="1676" t="s">
        <v>11714</v>
      </c>
      <c r="N85" s="1676" t="s">
        <v>11769</v>
      </c>
      <c r="O85" s="1676" t="s">
        <v>11845</v>
      </c>
      <c r="P85" s="1676" t="s">
        <v>11846</v>
      </c>
      <c r="Q85" s="1676" t="s">
        <v>11847</v>
      </c>
      <c r="R85" s="1676" t="s">
        <v>11848</v>
      </c>
      <c r="S85" s="1676" t="s">
        <v>11849</v>
      </c>
      <c r="T85" s="1676" t="s">
        <v>11884</v>
      </c>
      <c r="U85" s="1676" t="s">
        <v>11885</v>
      </c>
      <c r="V85" s="1676"/>
      <c r="W85" s="1676"/>
      <c r="X85" s="1676"/>
      <c r="Y85" s="1676"/>
      <c r="Z85" s="1676"/>
      <c r="AA85" s="1676" t="s">
        <v>9628</v>
      </c>
      <c r="AB85" s="1676" t="s">
        <v>11719</v>
      </c>
      <c r="AC85" s="1676" t="s">
        <v>11691</v>
      </c>
      <c r="AD85" s="1676" t="s">
        <v>11692</v>
      </c>
      <c r="AE85" s="1676" t="s">
        <v>11720</v>
      </c>
      <c r="AF85" s="1676" t="s">
        <v>11693</v>
      </c>
      <c r="AG85" s="1676" t="s">
        <v>11721</v>
      </c>
      <c r="AH85" s="1676" t="s">
        <v>11694</v>
      </c>
      <c r="AI85" s="1676" t="s">
        <v>11722</v>
      </c>
      <c r="AJ85" s="1676" t="s">
        <v>10358</v>
      </c>
      <c r="AK85" s="1676" t="s">
        <v>11723</v>
      </c>
      <c r="AL85" s="1676" t="s">
        <v>11724</v>
      </c>
    </row>
    <row r="86" spans="2:38">
      <c r="B86" s="1678" t="s">
        <v>11725</v>
      </c>
      <c r="C86" s="1679"/>
      <c r="D86" s="1679"/>
      <c r="E86" s="1679"/>
      <c r="F86" s="1679"/>
      <c r="G86" s="1679"/>
      <c r="H86" s="1679"/>
      <c r="I86" s="1679"/>
      <c r="J86" s="1679"/>
      <c r="K86" s="1679"/>
      <c r="L86" s="1679"/>
      <c r="M86" s="1679"/>
      <c r="N86" s="1679"/>
      <c r="O86" s="1679"/>
      <c r="P86" s="1679"/>
      <c r="Q86" s="1679"/>
      <c r="R86" s="1679"/>
      <c r="S86" s="1679"/>
      <c r="T86" s="1679"/>
      <c r="U86" s="1679"/>
      <c r="V86" s="1679"/>
      <c r="W86" s="1679"/>
      <c r="X86" s="1679"/>
      <c r="Y86" s="1679"/>
      <c r="Z86" s="1679"/>
      <c r="AA86" s="1679"/>
      <c r="AB86" s="1679"/>
      <c r="AC86" s="1679"/>
      <c r="AD86" s="1679"/>
      <c r="AE86" s="1679"/>
      <c r="AF86" s="1679"/>
      <c r="AG86" s="1679"/>
      <c r="AH86" s="1679"/>
      <c r="AI86" s="1679"/>
      <c r="AJ86" s="1679"/>
      <c r="AK86" s="1679"/>
      <c r="AL86" s="1680"/>
    </row>
    <row r="89" spans="2:38" ht="12.75" thickBot="1">
      <c r="B89" s="1673" t="s">
        <v>11886</v>
      </c>
    </row>
    <row r="90" spans="2:38" ht="34.5" thickBot="1">
      <c r="B90" s="1676" t="s">
        <v>11705</v>
      </c>
      <c r="C90" s="1676" t="s">
        <v>11706</v>
      </c>
      <c r="D90" s="1676" t="s">
        <v>11707</v>
      </c>
      <c r="E90" s="1676" t="s">
        <v>11708</v>
      </c>
      <c r="F90" s="1676" t="s">
        <v>477</v>
      </c>
      <c r="G90" s="1676" t="s">
        <v>11709</v>
      </c>
      <c r="H90" s="1676" t="s">
        <v>11743</v>
      </c>
      <c r="I90" s="1676" t="s">
        <v>9595</v>
      </c>
      <c r="J90" s="1676" t="s">
        <v>11844</v>
      </c>
      <c r="K90" s="1676" t="s">
        <v>623</v>
      </c>
      <c r="L90" s="1676" t="s">
        <v>11717</v>
      </c>
      <c r="M90" s="1676" t="s">
        <v>10477</v>
      </c>
      <c r="N90" s="1676" t="s">
        <v>11714</v>
      </c>
      <c r="O90" s="1676" t="s">
        <v>11769</v>
      </c>
      <c r="P90" s="1676" t="s">
        <v>11845</v>
      </c>
      <c r="Q90" s="1676" t="s">
        <v>10478</v>
      </c>
      <c r="R90" s="1676" t="s">
        <v>11846</v>
      </c>
      <c r="S90" s="1676" t="s">
        <v>11847</v>
      </c>
      <c r="T90" s="1676" t="s">
        <v>11848</v>
      </c>
      <c r="U90" s="1676" t="s">
        <v>11849</v>
      </c>
      <c r="V90" s="1676" t="s">
        <v>11884</v>
      </c>
      <c r="W90" s="1676"/>
      <c r="X90" s="1676"/>
      <c r="Y90" s="1676"/>
      <c r="Z90" s="1676"/>
      <c r="AA90" s="1676" t="s">
        <v>9628</v>
      </c>
      <c r="AB90" s="1676" t="s">
        <v>11719</v>
      </c>
      <c r="AC90" s="1676" t="s">
        <v>11691</v>
      </c>
      <c r="AD90" s="1676" t="s">
        <v>11692</v>
      </c>
      <c r="AE90" s="1676" t="s">
        <v>11720</v>
      </c>
      <c r="AF90" s="1676" t="s">
        <v>11693</v>
      </c>
      <c r="AG90" s="1676" t="s">
        <v>11721</v>
      </c>
      <c r="AH90" s="1676" t="s">
        <v>11694</v>
      </c>
      <c r="AI90" s="1676" t="s">
        <v>11722</v>
      </c>
      <c r="AJ90" s="1676" t="s">
        <v>10358</v>
      </c>
      <c r="AK90" s="1676" t="s">
        <v>11723</v>
      </c>
      <c r="AL90" s="1676" t="s">
        <v>11724</v>
      </c>
    </row>
    <row r="91" spans="2:38">
      <c r="B91" s="1678" t="s">
        <v>11725</v>
      </c>
      <c r="C91" s="1679"/>
      <c r="D91" s="1679"/>
      <c r="E91" s="1679"/>
      <c r="F91" s="1679"/>
      <c r="G91" s="1679"/>
      <c r="H91" s="1679"/>
      <c r="I91" s="1679"/>
      <c r="J91" s="1679"/>
      <c r="K91" s="1679"/>
      <c r="L91" s="1679"/>
      <c r="M91" s="1679"/>
      <c r="N91" s="1679"/>
      <c r="O91" s="1679"/>
      <c r="P91" s="1679"/>
      <c r="Q91" s="1679"/>
      <c r="R91" s="1679"/>
      <c r="S91" s="1679"/>
      <c r="T91" s="1679"/>
      <c r="U91" s="1679"/>
      <c r="V91" s="1679"/>
      <c r="W91" s="1679"/>
      <c r="X91" s="1679"/>
      <c r="Y91" s="1679"/>
      <c r="Z91" s="1679"/>
      <c r="AA91" s="1679"/>
      <c r="AB91" s="1679"/>
      <c r="AC91" s="1679"/>
      <c r="AD91" s="1679"/>
      <c r="AE91" s="1679"/>
      <c r="AF91" s="1679"/>
      <c r="AG91" s="1679"/>
      <c r="AH91" s="1679"/>
      <c r="AI91" s="1679"/>
      <c r="AJ91" s="1679"/>
      <c r="AK91" s="1679"/>
      <c r="AL91" s="1680"/>
    </row>
    <row r="94" spans="2:38" ht="12.75" thickBot="1">
      <c r="B94" s="1673" t="s">
        <v>11887</v>
      </c>
    </row>
    <row r="95" spans="2:38" ht="34.5" thickBot="1">
      <c r="B95" s="1676" t="s">
        <v>11705</v>
      </c>
      <c r="C95" s="1676" t="s">
        <v>11706</v>
      </c>
      <c r="D95" s="1676" t="s">
        <v>11707</v>
      </c>
      <c r="E95" s="1676" t="s">
        <v>11708</v>
      </c>
      <c r="F95" s="1676" t="s">
        <v>477</v>
      </c>
      <c r="G95" s="1676" t="s">
        <v>11709</v>
      </c>
      <c r="H95" s="1676" t="s">
        <v>11743</v>
      </c>
      <c r="I95" s="1676" t="s">
        <v>9595</v>
      </c>
      <c r="J95" s="1676" t="s">
        <v>11844</v>
      </c>
      <c r="K95" s="1676" t="s">
        <v>11888</v>
      </c>
      <c r="L95" s="1676" t="s">
        <v>623</v>
      </c>
      <c r="M95" s="1676" t="s">
        <v>11717</v>
      </c>
      <c r="N95" s="1676" t="s">
        <v>11889</v>
      </c>
      <c r="O95" s="1676" t="s">
        <v>11890</v>
      </c>
      <c r="P95" s="1676" t="s">
        <v>11769</v>
      </c>
      <c r="Q95" s="1676" t="s">
        <v>11845</v>
      </c>
      <c r="R95" s="1676" t="s">
        <v>11846</v>
      </c>
      <c r="S95" s="1676" t="s">
        <v>11848</v>
      </c>
      <c r="T95" s="1676" t="s">
        <v>11849</v>
      </c>
      <c r="U95" s="1676" t="s">
        <v>11850</v>
      </c>
      <c r="V95" s="1676" t="s">
        <v>11885</v>
      </c>
      <c r="W95" s="1676" t="s">
        <v>11891</v>
      </c>
      <c r="X95" s="1676"/>
      <c r="Y95" s="1676"/>
      <c r="Z95" s="1676"/>
      <c r="AA95" s="1676" t="s">
        <v>9628</v>
      </c>
      <c r="AB95" s="1676" t="s">
        <v>11719</v>
      </c>
      <c r="AC95" s="1676" t="s">
        <v>11691</v>
      </c>
      <c r="AD95" s="1676" t="s">
        <v>11692</v>
      </c>
      <c r="AE95" s="1676" t="s">
        <v>11720</v>
      </c>
      <c r="AF95" s="1676" t="s">
        <v>11693</v>
      </c>
      <c r="AG95" s="1676" t="s">
        <v>11721</v>
      </c>
      <c r="AH95" s="1676" t="s">
        <v>11694</v>
      </c>
      <c r="AI95" s="1676" t="s">
        <v>11722</v>
      </c>
      <c r="AJ95" s="1676" t="s">
        <v>10358</v>
      </c>
      <c r="AK95" s="1676" t="s">
        <v>11723</v>
      </c>
      <c r="AL95" s="1676" t="s">
        <v>11724</v>
      </c>
    </row>
    <row r="96" spans="2:38">
      <c r="B96" s="1678" t="s">
        <v>11725</v>
      </c>
      <c r="C96" s="1679"/>
      <c r="D96" s="1679"/>
      <c r="E96" s="1679"/>
      <c r="F96" s="1679"/>
      <c r="G96" s="1679"/>
      <c r="H96" s="1679"/>
      <c r="I96" s="1679"/>
      <c r="J96" s="1679"/>
      <c r="K96" s="1679"/>
      <c r="L96" s="1679"/>
      <c r="M96" s="1679"/>
      <c r="N96" s="1679"/>
      <c r="O96" s="1679"/>
      <c r="P96" s="1679"/>
      <c r="Q96" s="1679"/>
      <c r="R96" s="1679"/>
      <c r="S96" s="1679"/>
      <c r="T96" s="1679"/>
      <c r="U96" s="1679"/>
      <c r="V96" s="1679"/>
      <c r="W96" s="1679"/>
      <c r="X96" s="1679"/>
      <c r="Y96" s="1679"/>
      <c r="Z96" s="1679"/>
      <c r="AA96" s="1679"/>
      <c r="AB96" s="1679"/>
      <c r="AC96" s="1679"/>
      <c r="AD96" s="1679"/>
      <c r="AE96" s="1679"/>
      <c r="AF96" s="1679"/>
      <c r="AG96" s="1679"/>
      <c r="AH96" s="1679"/>
      <c r="AI96" s="1679"/>
      <c r="AJ96" s="1679"/>
      <c r="AK96" s="1679"/>
      <c r="AL96" s="1680"/>
    </row>
    <row r="99" spans="2:38" ht="12.75" thickBot="1">
      <c r="B99" s="1673" t="s">
        <v>11892</v>
      </c>
    </row>
    <row r="100" spans="2:38" ht="34.5" thickBot="1">
      <c r="B100" s="1676" t="s">
        <v>11705</v>
      </c>
      <c r="C100" s="1676" t="s">
        <v>11706</v>
      </c>
      <c r="D100" s="1676" t="s">
        <v>11707</v>
      </c>
      <c r="E100" s="1676" t="s">
        <v>11708</v>
      </c>
      <c r="F100" s="1676" t="s">
        <v>477</v>
      </c>
      <c r="G100" s="1676" t="s">
        <v>11709</v>
      </c>
      <c r="H100" s="1676" t="s">
        <v>11893</v>
      </c>
      <c r="I100" s="1676" t="s">
        <v>11845</v>
      </c>
      <c r="J100" s="1676" t="s">
        <v>11894</v>
      </c>
      <c r="K100" s="1676" t="s">
        <v>9206</v>
      </c>
      <c r="L100" s="1676" t="s">
        <v>11895</v>
      </c>
      <c r="M100" s="1676" t="s">
        <v>11896</v>
      </c>
      <c r="N100" s="1676" t="s">
        <v>11897</v>
      </c>
      <c r="O100" s="1676" t="s">
        <v>11898</v>
      </c>
      <c r="P100" s="1676" t="s">
        <v>11846</v>
      </c>
      <c r="Q100" s="1676" t="s">
        <v>11899</v>
      </c>
      <c r="R100" s="1676" t="s">
        <v>135</v>
      </c>
      <c r="S100" s="1676" t="s">
        <v>11900</v>
      </c>
      <c r="T100" s="1676" t="s">
        <v>11901</v>
      </c>
      <c r="U100" s="1676" t="s">
        <v>11902</v>
      </c>
      <c r="V100" s="1676" t="s">
        <v>11903</v>
      </c>
      <c r="W100" s="1676" t="s">
        <v>11904</v>
      </c>
      <c r="X100" s="1676" t="s">
        <v>11905</v>
      </c>
      <c r="Y100" s="1676" t="s">
        <v>11906</v>
      </c>
      <c r="Z100" s="1676" t="s">
        <v>11907</v>
      </c>
      <c r="AA100" s="1676" t="s">
        <v>9628</v>
      </c>
      <c r="AB100" s="1676" t="s">
        <v>11719</v>
      </c>
      <c r="AC100" s="1676" t="s">
        <v>11691</v>
      </c>
      <c r="AD100" s="1676" t="s">
        <v>11692</v>
      </c>
      <c r="AE100" s="1676" t="s">
        <v>11720</v>
      </c>
      <c r="AF100" s="1676" t="s">
        <v>11693</v>
      </c>
      <c r="AG100" s="1676" t="s">
        <v>11721</v>
      </c>
      <c r="AH100" s="1676" t="s">
        <v>11694</v>
      </c>
      <c r="AI100" s="1676" t="s">
        <v>11722</v>
      </c>
      <c r="AJ100" s="1676" t="s">
        <v>10358</v>
      </c>
      <c r="AK100" s="1676" t="s">
        <v>11723</v>
      </c>
      <c r="AL100" s="1676" t="s">
        <v>11724</v>
      </c>
    </row>
    <row r="101" spans="2:38">
      <c r="B101" s="1675">
        <v>5</v>
      </c>
      <c r="C101" s="1674">
        <v>1</v>
      </c>
      <c r="D101" s="1674">
        <v>1</v>
      </c>
      <c r="E101" s="1674" t="s">
        <v>11908</v>
      </c>
      <c r="F101" s="1674" t="s">
        <v>11702</v>
      </c>
      <c r="G101" s="1674" t="s">
        <v>11909</v>
      </c>
      <c r="H101" s="1674">
        <v>90702520</v>
      </c>
      <c r="I101" s="1674" t="s">
        <v>11910</v>
      </c>
      <c r="J101" s="1674" t="s">
        <v>10027</v>
      </c>
      <c r="K101" s="1674" t="s">
        <v>10027</v>
      </c>
      <c r="L101" s="1674" t="s">
        <v>11911</v>
      </c>
      <c r="M101" s="1674" t="s">
        <v>11912</v>
      </c>
      <c r="N101" s="1674"/>
      <c r="O101" s="1674" t="s">
        <v>11913</v>
      </c>
      <c r="P101" s="1674" t="s">
        <v>11914</v>
      </c>
      <c r="Q101" s="1674" t="s">
        <v>11735</v>
      </c>
      <c r="R101" s="1674" t="s">
        <v>11911</v>
      </c>
      <c r="S101" s="1674">
        <v>6000</v>
      </c>
      <c r="T101" s="1674" t="s">
        <v>11915</v>
      </c>
      <c r="U101" s="1674" t="s">
        <v>8005</v>
      </c>
      <c r="V101" s="1674"/>
      <c r="W101" s="1674">
        <v>3030</v>
      </c>
      <c r="X101" s="1674" t="s">
        <v>11916</v>
      </c>
      <c r="Y101" s="1674" t="s">
        <v>11917</v>
      </c>
      <c r="Z101" s="1674" t="s">
        <v>11918</v>
      </c>
      <c r="AA101" s="1674">
        <v>0</v>
      </c>
      <c r="AB101" s="1674">
        <v>1</v>
      </c>
      <c r="AC101" s="1674">
        <v>700</v>
      </c>
      <c r="AD101" s="1674">
        <v>700</v>
      </c>
      <c r="AE101" s="1674">
        <v>0</v>
      </c>
      <c r="AF101" s="1674">
        <v>700</v>
      </c>
      <c r="AG101" s="1674">
        <v>0</v>
      </c>
      <c r="AH101" s="1674"/>
      <c r="AI101" s="1674"/>
      <c r="AJ101" s="1674"/>
      <c r="AK101" s="1674">
        <v>1</v>
      </c>
      <c r="AL101" s="1677">
        <v>17523422</v>
      </c>
    </row>
    <row r="102" spans="2:38">
      <c r="B102" s="1666">
        <v>5</v>
      </c>
      <c r="C102" s="1663">
        <v>1</v>
      </c>
      <c r="D102" s="1663">
        <v>2</v>
      </c>
      <c r="E102" s="1663" t="s">
        <v>11908</v>
      </c>
      <c r="F102" s="1663" t="s">
        <v>11702</v>
      </c>
      <c r="G102" s="1663" t="s">
        <v>11909</v>
      </c>
      <c r="H102" s="1663">
        <v>90703224</v>
      </c>
      <c r="I102" s="1663" t="s">
        <v>11910</v>
      </c>
      <c r="J102" s="1663" t="s">
        <v>10027</v>
      </c>
      <c r="K102" s="1663" t="s">
        <v>10027</v>
      </c>
      <c r="L102" s="1663" t="s">
        <v>11919</v>
      </c>
      <c r="M102" s="1663" t="s">
        <v>11920</v>
      </c>
      <c r="N102" s="1663"/>
      <c r="O102" s="1663" t="s">
        <v>11913</v>
      </c>
      <c r="P102" s="1663" t="s">
        <v>11914</v>
      </c>
      <c r="Q102" s="1663" t="s">
        <v>11735</v>
      </c>
      <c r="R102" s="1663" t="s">
        <v>11919</v>
      </c>
      <c r="S102" s="1663">
        <v>2000</v>
      </c>
      <c r="T102" s="1663" t="s">
        <v>11915</v>
      </c>
      <c r="U102" s="1663" t="s">
        <v>8005</v>
      </c>
      <c r="V102" s="1663"/>
      <c r="W102" s="1663">
        <v>3000</v>
      </c>
      <c r="X102" s="1663" t="s">
        <v>11921</v>
      </c>
      <c r="Y102" s="1663" t="s">
        <v>11917</v>
      </c>
      <c r="Z102" s="1663" t="s">
        <v>11922</v>
      </c>
      <c r="AA102" s="1663">
        <v>0</v>
      </c>
      <c r="AB102" s="1663">
        <v>1</v>
      </c>
      <c r="AC102" s="1663">
        <v>300</v>
      </c>
      <c r="AD102" s="1663">
        <v>300</v>
      </c>
      <c r="AE102" s="1663">
        <v>0</v>
      </c>
      <c r="AF102" s="1663">
        <v>300</v>
      </c>
      <c r="AG102" s="1663">
        <v>0</v>
      </c>
      <c r="AH102" s="1663"/>
      <c r="AI102" s="1663"/>
      <c r="AJ102" s="1663"/>
      <c r="AK102" s="1663">
        <v>1</v>
      </c>
      <c r="AL102" s="1671">
        <v>17523422</v>
      </c>
    </row>
    <row r="103" spans="2:38">
      <c r="B103" s="1666">
        <v>5</v>
      </c>
      <c r="C103" s="1663">
        <v>1</v>
      </c>
      <c r="D103" s="1663">
        <v>3</v>
      </c>
      <c r="E103" s="1663" t="s">
        <v>11908</v>
      </c>
      <c r="F103" s="1663" t="s">
        <v>11702</v>
      </c>
      <c r="G103" s="1663" t="s">
        <v>11909</v>
      </c>
      <c r="H103" s="1663">
        <v>90703234</v>
      </c>
      <c r="I103" s="1663" t="s">
        <v>11910</v>
      </c>
      <c r="J103" s="1663" t="s">
        <v>10027</v>
      </c>
      <c r="K103" s="1663" t="s">
        <v>10027</v>
      </c>
      <c r="L103" s="1663" t="s">
        <v>11923</v>
      </c>
      <c r="M103" s="1663" t="s">
        <v>11924</v>
      </c>
      <c r="N103" s="1663"/>
      <c r="O103" s="1663" t="s">
        <v>11913</v>
      </c>
      <c r="P103" s="1663" t="s">
        <v>11914</v>
      </c>
      <c r="Q103" s="1663" t="s">
        <v>11735</v>
      </c>
      <c r="R103" s="1663" t="s">
        <v>11923</v>
      </c>
      <c r="S103" s="1663">
        <v>2000</v>
      </c>
      <c r="T103" s="1663" t="s">
        <v>11925</v>
      </c>
      <c r="U103" s="1663" t="s">
        <v>8005</v>
      </c>
      <c r="V103" s="1663"/>
      <c r="W103" s="1663">
        <v>2131</v>
      </c>
      <c r="X103" s="1663" t="s">
        <v>11926</v>
      </c>
      <c r="Y103" s="1663" t="s">
        <v>11917</v>
      </c>
      <c r="Z103" s="1663" t="s">
        <v>11922</v>
      </c>
      <c r="AA103" s="1663">
        <v>0</v>
      </c>
      <c r="AB103" s="1663">
        <v>1</v>
      </c>
      <c r="AC103" s="1663">
        <v>300</v>
      </c>
      <c r="AD103" s="1663">
        <v>300</v>
      </c>
      <c r="AE103" s="1663">
        <v>0</v>
      </c>
      <c r="AF103" s="1663">
        <v>300</v>
      </c>
      <c r="AG103" s="1663">
        <v>0</v>
      </c>
      <c r="AH103" s="1663"/>
      <c r="AI103" s="1663"/>
      <c r="AJ103" s="1663"/>
      <c r="AK103" s="1663">
        <v>1</v>
      </c>
      <c r="AL103" s="1671">
        <v>17523422</v>
      </c>
    </row>
    <row r="104" spans="2:38">
      <c r="B104" s="1666">
        <v>5</v>
      </c>
      <c r="C104" s="1663">
        <v>1</v>
      </c>
      <c r="D104" s="1663">
        <v>4</v>
      </c>
      <c r="E104" s="1663" t="s">
        <v>11908</v>
      </c>
      <c r="F104" s="1663" t="s">
        <v>11702</v>
      </c>
      <c r="G104" s="1663" t="s">
        <v>11909</v>
      </c>
      <c r="H104" s="1663">
        <v>90703708</v>
      </c>
      <c r="I104" s="1663" t="s">
        <v>11910</v>
      </c>
      <c r="J104" s="1663" t="s">
        <v>10027</v>
      </c>
      <c r="K104" s="1663" t="s">
        <v>10027</v>
      </c>
      <c r="L104" s="1663" t="s">
        <v>11927</v>
      </c>
      <c r="M104" s="1663" t="s">
        <v>11928</v>
      </c>
      <c r="N104" s="1663"/>
      <c r="O104" s="1663" t="s">
        <v>11913</v>
      </c>
      <c r="P104" s="1663" t="s">
        <v>11914</v>
      </c>
      <c r="Q104" s="1663" t="s">
        <v>11735</v>
      </c>
      <c r="R104" s="1663" t="s">
        <v>11927</v>
      </c>
      <c r="S104" s="1663">
        <v>2000</v>
      </c>
      <c r="T104" s="1663" t="s">
        <v>11929</v>
      </c>
      <c r="U104" s="1663" t="s">
        <v>8005</v>
      </c>
      <c r="V104" s="1663"/>
      <c r="W104" s="1663">
        <v>4006</v>
      </c>
      <c r="X104" s="1663" t="s">
        <v>11930</v>
      </c>
      <c r="Y104" s="1663" t="s">
        <v>11917</v>
      </c>
      <c r="Z104" s="1663" t="s">
        <v>11922</v>
      </c>
      <c r="AA104" s="1663">
        <v>0</v>
      </c>
      <c r="AB104" s="1663">
        <v>1</v>
      </c>
      <c r="AC104" s="1663">
        <v>300</v>
      </c>
      <c r="AD104" s="1663">
        <v>300</v>
      </c>
      <c r="AE104" s="1663">
        <v>0</v>
      </c>
      <c r="AF104" s="1663">
        <v>300</v>
      </c>
      <c r="AG104" s="1663">
        <v>0</v>
      </c>
      <c r="AH104" s="1663"/>
      <c r="AI104" s="1663"/>
      <c r="AJ104" s="1663"/>
      <c r="AK104" s="1663">
        <v>1</v>
      </c>
      <c r="AL104" s="1671">
        <v>17523422</v>
      </c>
    </row>
    <row r="105" spans="2:38">
      <c r="B105" s="1666">
        <v>5</v>
      </c>
      <c r="C105" s="1663">
        <v>1</v>
      </c>
      <c r="D105" s="1663">
        <v>5</v>
      </c>
      <c r="E105" s="1663" t="s">
        <v>11908</v>
      </c>
      <c r="F105" s="1663" t="s">
        <v>11702</v>
      </c>
      <c r="G105" s="1663" t="s">
        <v>11909</v>
      </c>
      <c r="H105" s="1663">
        <v>90825560</v>
      </c>
      <c r="I105" s="1663" t="s">
        <v>11910</v>
      </c>
      <c r="J105" s="1663" t="s">
        <v>10027</v>
      </c>
      <c r="K105" s="1663" t="s">
        <v>10027</v>
      </c>
      <c r="L105" s="1663" t="s">
        <v>11931</v>
      </c>
      <c r="M105" s="1663" t="s">
        <v>11932</v>
      </c>
      <c r="N105" s="1663"/>
      <c r="O105" s="1663" t="s">
        <v>11913</v>
      </c>
      <c r="P105" s="1663" t="s">
        <v>11914</v>
      </c>
      <c r="Q105" s="1663" t="s">
        <v>11735</v>
      </c>
      <c r="R105" s="1663" t="s">
        <v>11931</v>
      </c>
      <c r="S105" s="1663">
        <v>2000</v>
      </c>
      <c r="T105" s="1663" t="s">
        <v>11933</v>
      </c>
      <c r="U105" s="1663" t="s">
        <v>8005</v>
      </c>
      <c r="V105" s="1663"/>
      <c r="W105" s="1663">
        <v>6107</v>
      </c>
      <c r="X105" s="1663" t="s">
        <v>11934</v>
      </c>
      <c r="Y105" s="1663" t="s">
        <v>11917</v>
      </c>
      <c r="Z105" s="1663" t="s">
        <v>11922</v>
      </c>
      <c r="AA105" s="1663">
        <v>0</v>
      </c>
      <c r="AB105" s="1663">
        <v>1</v>
      </c>
      <c r="AC105" s="1663">
        <v>300</v>
      </c>
      <c r="AD105" s="1663">
        <v>300</v>
      </c>
      <c r="AE105" s="1663">
        <v>0</v>
      </c>
      <c r="AF105" s="1663">
        <v>300</v>
      </c>
      <c r="AG105" s="1663">
        <v>0</v>
      </c>
      <c r="AH105" s="1663"/>
      <c r="AI105" s="1663"/>
      <c r="AJ105" s="1663"/>
      <c r="AK105" s="1663">
        <v>1</v>
      </c>
      <c r="AL105" s="1671">
        <v>17523422</v>
      </c>
    </row>
    <row r="106" spans="2:38">
      <c r="B106" s="1666">
        <v>5</v>
      </c>
      <c r="C106" s="1663">
        <v>1</v>
      </c>
      <c r="D106" s="1663">
        <v>6</v>
      </c>
      <c r="E106" s="1663" t="s">
        <v>11908</v>
      </c>
      <c r="F106" s="1663" t="s">
        <v>11702</v>
      </c>
      <c r="G106" s="1663" t="s">
        <v>11909</v>
      </c>
      <c r="H106" s="1663">
        <v>90443817</v>
      </c>
      <c r="I106" s="1663" t="s">
        <v>54</v>
      </c>
      <c r="J106" s="1663" t="s">
        <v>10027</v>
      </c>
      <c r="K106" s="1663" t="s">
        <v>10027</v>
      </c>
      <c r="L106" s="1663" t="s">
        <v>11935</v>
      </c>
      <c r="M106" s="1663" t="s">
        <v>11936</v>
      </c>
      <c r="N106" s="1663"/>
      <c r="O106" s="1663" t="s">
        <v>11913</v>
      </c>
      <c r="P106" s="1663" t="s">
        <v>11937</v>
      </c>
      <c r="Q106" s="1663" t="s">
        <v>11735</v>
      </c>
      <c r="R106" s="1663" t="s">
        <v>11938</v>
      </c>
      <c r="S106" s="1663" t="s">
        <v>11939</v>
      </c>
      <c r="T106" s="1663" t="s">
        <v>11940</v>
      </c>
      <c r="U106" s="1663" t="s">
        <v>8005</v>
      </c>
      <c r="V106" s="1663"/>
      <c r="W106" s="1663" t="s">
        <v>11941</v>
      </c>
      <c r="X106" s="1663" t="s">
        <v>11942</v>
      </c>
      <c r="Y106" s="1663" t="s">
        <v>11917</v>
      </c>
      <c r="Z106" s="1663" t="s">
        <v>11943</v>
      </c>
      <c r="AA106" s="1663">
        <v>0</v>
      </c>
      <c r="AB106" s="1663">
        <v>1</v>
      </c>
      <c r="AC106" s="1663">
        <v>795.83</v>
      </c>
      <c r="AD106" s="1663">
        <v>795.83</v>
      </c>
      <c r="AE106" s="1663">
        <v>0</v>
      </c>
      <c r="AF106" s="1663">
        <v>795.83</v>
      </c>
      <c r="AG106" s="1663">
        <v>0</v>
      </c>
      <c r="AH106" s="1663"/>
      <c r="AI106" s="1663"/>
      <c r="AJ106" s="1663"/>
      <c r="AK106" s="1663">
        <v>1</v>
      </c>
      <c r="AL106" s="1671">
        <v>17523422</v>
      </c>
    </row>
    <row r="107" spans="2:38">
      <c r="B107" s="1666">
        <v>5</v>
      </c>
      <c r="C107" s="1663">
        <v>1</v>
      </c>
      <c r="D107" s="1663">
        <v>7</v>
      </c>
      <c r="E107" s="1663" t="s">
        <v>11908</v>
      </c>
      <c r="F107" s="1663" t="s">
        <v>11702</v>
      </c>
      <c r="G107" s="1663" t="s">
        <v>11909</v>
      </c>
      <c r="H107" s="1663">
        <v>90681162</v>
      </c>
      <c r="I107" s="1663" t="s">
        <v>11944</v>
      </c>
      <c r="J107" s="1663" t="s">
        <v>11945</v>
      </c>
      <c r="K107" s="1663" t="s">
        <v>11946</v>
      </c>
      <c r="L107" s="1663" t="s">
        <v>11947</v>
      </c>
      <c r="M107" s="1663" t="s">
        <v>11948</v>
      </c>
      <c r="N107" s="1663"/>
      <c r="O107" s="1663" t="s">
        <v>11913</v>
      </c>
      <c r="P107" s="1663" t="s">
        <v>11949</v>
      </c>
      <c r="Q107" s="1663" t="s">
        <v>11735</v>
      </c>
      <c r="R107" s="1663" t="s">
        <v>11947</v>
      </c>
      <c r="S107" s="1663">
        <v>2000</v>
      </c>
      <c r="T107" s="1663" t="s">
        <v>11950</v>
      </c>
      <c r="U107" s="1663" t="s">
        <v>8005</v>
      </c>
      <c r="V107" s="1663"/>
      <c r="W107" s="1663">
        <v>200041</v>
      </c>
      <c r="X107" s="1663" t="s">
        <v>11951</v>
      </c>
      <c r="Y107" s="1663" t="s">
        <v>11917</v>
      </c>
      <c r="Z107" s="1663" t="s">
        <v>11952</v>
      </c>
      <c r="AA107" s="1663">
        <v>0</v>
      </c>
      <c r="AB107" s="1663">
        <v>1</v>
      </c>
      <c r="AC107" s="1663">
        <v>2000</v>
      </c>
      <c r="AD107" s="1663">
        <v>2000</v>
      </c>
      <c r="AE107" s="1663">
        <v>0</v>
      </c>
      <c r="AF107" s="1663">
        <v>2000</v>
      </c>
      <c r="AG107" s="1663">
        <v>0</v>
      </c>
      <c r="AH107" s="1663"/>
      <c r="AI107" s="1663"/>
      <c r="AJ107" s="1663"/>
      <c r="AK107" s="1663">
        <v>1</v>
      </c>
      <c r="AL107" s="1671">
        <v>17523422</v>
      </c>
    </row>
    <row r="108" spans="2:38">
      <c r="B108" s="1666">
        <v>5</v>
      </c>
      <c r="C108" s="1663">
        <v>1</v>
      </c>
      <c r="D108" s="1663">
        <v>8</v>
      </c>
      <c r="E108" s="1663" t="s">
        <v>11908</v>
      </c>
      <c r="F108" s="1663" t="s">
        <v>11702</v>
      </c>
      <c r="G108" s="1663" t="s">
        <v>11909</v>
      </c>
      <c r="H108" s="1663">
        <v>90350646</v>
      </c>
      <c r="I108" s="1663" t="s">
        <v>11953</v>
      </c>
      <c r="J108" s="1663" t="s">
        <v>10027</v>
      </c>
      <c r="K108" s="1663" t="s">
        <v>10027</v>
      </c>
      <c r="L108" s="1663" t="s">
        <v>11954</v>
      </c>
      <c r="M108" s="1663" t="s">
        <v>11955</v>
      </c>
      <c r="N108" s="1663"/>
      <c r="O108" s="1663" t="s">
        <v>11913</v>
      </c>
      <c r="P108" s="1663" t="s">
        <v>11956</v>
      </c>
      <c r="Q108" s="1663" t="s">
        <v>11735</v>
      </c>
      <c r="R108" s="1663" t="s">
        <v>11957</v>
      </c>
      <c r="S108" s="1663" t="s">
        <v>11958</v>
      </c>
      <c r="T108" s="1663" t="s">
        <v>11959</v>
      </c>
      <c r="U108" s="1663" t="s">
        <v>8005</v>
      </c>
      <c r="V108" s="1663"/>
      <c r="W108" s="1663">
        <v>47320</v>
      </c>
      <c r="X108" s="1663" t="s">
        <v>11960</v>
      </c>
      <c r="Y108" s="1663" t="s">
        <v>11961</v>
      </c>
      <c r="Z108" s="1663" t="s">
        <v>11962</v>
      </c>
      <c r="AA108" s="1663">
        <v>0</v>
      </c>
      <c r="AB108" s="1663">
        <v>1</v>
      </c>
      <c r="AC108" s="1663">
        <v>912.75</v>
      </c>
      <c r="AD108" s="1663">
        <v>912.75</v>
      </c>
      <c r="AE108" s="1663">
        <v>0</v>
      </c>
      <c r="AF108" s="1663">
        <v>912.75</v>
      </c>
      <c r="AG108" s="1663">
        <v>0</v>
      </c>
      <c r="AH108" s="1663"/>
      <c r="AI108" s="1663"/>
      <c r="AJ108" s="1663"/>
      <c r="AK108" s="1663">
        <v>1</v>
      </c>
      <c r="AL108" s="1671">
        <v>17523422</v>
      </c>
    </row>
    <row r="109" spans="2:38">
      <c r="B109" s="1666">
        <v>5</v>
      </c>
      <c r="C109" s="1663">
        <v>1</v>
      </c>
      <c r="D109" s="1663">
        <v>9</v>
      </c>
      <c r="E109" s="1663" t="s">
        <v>11908</v>
      </c>
      <c r="F109" s="1663" t="s">
        <v>11702</v>
      </c>
      <c r="G109" s="1663" t="s">
        <v>11909</v>
      </c>
      <c r="H109" s="1663">
        <v>90511560</v>
      </c>
      <c r="I109" s="1663" t="s">
        <v>11953</v>
      </c>
      <c r="J109" s="1663" t="s">
        <v>10027</v>
      </c>
      <c r="K109" s="1663" t="s">
        <v>10027</v>
      </c>
      <c r="L109" s="1663" t="s">
        <v>11963</v>
      </c>
      <c r="M109" s="1663" t="s">
        <v>11964</v>
      </c>
      <c r="N109" s="1663"/>
      <c r="O109" s="1663" t="s">
        <v>11913</v>
      </c>
      <c r="P109" s="1663" t="s">
        <v>11956</v>
      </c>
      <c r="Q109" s="1663" t="s">
        <v>11735</v>
      </c>
      <c r="R109" s="1663" t="s">
        <v>11965</v>
      </c>
      <c r="S109" s="1663" t="s">
        <v>11939</v>
      </c>
      <c r="T109" s="1663" t="s">
        <v>11966</v>
      </c>
      <c r="U109" s="1663" t="s">
        <v>8005</v>
      </c>
      <c r="V109" s="1663"/>
      <c r="W109" s="1663">
        <v>74190</v>
      </c>
      <c r="X109" s="1663" t="s">
        <v>11967</v>
      </c>
      <c r="Y109" s="1663" t="s">
        <v>11917</v>
      </c>
      <c r="Z109" s="1663" t="s">
        <v>11968</v>
      </c>
      <c r="AA109" s="1663">
        <v>0</v>
      </c>
      <c r="AB109" s="1663">
        <v>1</v>
      </c>
      <c r="AC109" s="1663">
        <v>1200</v>
      </c>
      <c r="AD109" s="1663">
        <v>1200</v>
      </c>
      <c r="AE109" s="1663">
        <v>0</v>
      </c>
      <c r="AF109" s="1663">
        <v>1200</v>
      </c>
      <c r="AG109" s="1663">
        <v>0</v>
      </c>
      <c r="AH109" s="1663"/>
      <c r="AI109" s="1663"/>
      <c r="AJ109" s="1663"/>
      <c r="AK109" s="1663">
        <v>1</v>
      </c>
      <c r="AL109" s="1671">
        <v>17523422</v>
      </c>
    </row>
    <row r="110" spans="2:38">
      <c r="B110" s="1666">
        <v>5</v>
      </c>
      <c r="C110" s="1663">
        <v>1</v>
      </c>
      <c r="D110" s="1663">
        <v>10</v>
      </c>
      <c r="E110" s="1663" t="s">
        <v>11908</v>
      </c>
      <c r="F110" s="1663" t="s">
        <v>11702</v>
      </c>
      <c r="G110" s="1663" t="s">
        <v>11909</v>
      </c>
      <c r="H110" s="1663">
        <v>90626672</v>
      </c>
      <c r="I110" s="1663" t="s">
        <v>446</v>
      </c>
      <c r="J110" s="1663" t="s">
        <v>10027</v>
      </c>
      <c r="K110" s="1663" t="s">
        <v>10027</v>
      </c>
      <c r="L110" s="1663" t="s">
        <v>11969</v>
      </c>
      <c r="M110" s="1663" t="s">
        <v>11970</v>
      </c>
      <c r="N110" s="1663"/>
      <c r="O110" s="1663" t="s">
        <v>11913</v>
      </c>
      <c r="P110" s="1663" t="s">
        <v>11971</v>
      </c>
      <c r="Q110" s="1663" t="s">
        <v>11735</v>
      </c>
      <c r="R110" s="1663" t="s">
        <v>11972</v>
      </c>
      <c r="S110" s="1663" t="s">
        <v>11939</v>
      </c>
      <c r="T110" s="1663" t="s">
        <v>11973</v>
      </c>
      <c r="U110" s="1663" t="s">
        <v>8005</v>
      </c>
      <c r="V110" s="1663"/>
      <c r="W110" s="1663">
        <v>64347</v>
      </c>
      <c r="X110" s="1663" t="s">
        <v>11974</v>
      </c>
      <c r="Y110" s="1663" t="s">
        <v>11917</v>
      </c>
      <c r="Z110" s="1663" t="s">
        <v>11975</v>
      </c>
      <c r="AA110" s="1663">
        <v>0</v>
      </c>
      <c r="AB110" s="1663">
        <v>1</v>
      </c>
      <c r="AC110" s="1663">
        <v>849.95</v>
      </c>
      <c r="AD110" s="1663">
        <v>849.95</v>
      </c>
      <c r="AE110" s="1663">
        <v>0</v>
      </c>
      <c r="AF110" s="1663">
        <v>849.95</v>
      </c>
      <c r="AG110" s="1663">
        <v>0</v>
      </c>
      <c r="AH110" s="1663"/>
      <c r="AI110" s="1663"/>
      <c r="AJ110" s="1663"/>
      <c r="AK110" s="1663">
        <v>1</v>
      </c>
      <c r="AL110" s="1671">
        <v>17523422</v>
      </c>
    </row>
    <row r="111" spans="2:38">
      <c r="B111" s="1666">
        <v>5</v>
      </c>
      <c r="C111" s="1663">
        <v>1</v>
      </c>
      <c r="D111" s="1663">
        <v>11</v>
      </c>
      <c r="E111" s="1663" t="s">
        <v>11908</v>
      </c>
      <c r="F111" s="1663" t="s">
        <v>11702</v>
      </c>
      <c r="G111" s="1663" t="s">
        <v>11909</v>
      </c>
      <c r="H111" s="1663">
        <v>90440386</v>
      </c>
      <c r="I111" s="1663" t="s">
        <v>492</v>
      </c>
      <c r="J111" s="1663" t="s">
        <v>10027</v>
      </c>
      <c r="K111" s="1663" t="s">
        <v>10027</v>
      </c>
      <c r="L111" s="1663" t="s">
        <v>11976</v>
      </c>
      <c r="M111" s="1663" t="s">
        <v>11977</v>
      </c>
      <c r="N111" s="1663"/>
      <c r="O111" s="1663" t="s">
        <v>11913</v>
      </c>
      <c r="P111" s="1663" t="s">
        <v>11978</v>
      </c>
      <c r="Q111" s="1663" t="s">
        <v>11735</v>
      </c>
      <c r="R111" s="1663" t="s">
        <v>11976</v>
      </c>
      <c r="S111" s="1663">
        <v>10000</v>
      </c>
      <c r="T111" s="1663" t="s">
        <v>11979</v>
      </c>
      <c r="U111" s="1663" t="s">
        <v>8005</v>
      </c>
      <c r="V111" s="1663"/>
      <c r="W111" s="1663">
        <v>390019</v>
      </c>
      <c r="X111" s="1663" t="s">
        <v>11980</v>
      </c>
      <c r="Y111" s="1663" t="s">
        <v>11917</v>
      </c>
      <c r="Z111" s="1663" t="s">
        <v>11981</v>
      </c>
      <c r="AA111" s="1663">
        <v>0</v>
      </c>
      <c r="AB111" s="1663">
        <v>1</v>
      </c>
      <c r="AC111" s="1663">
        <v>2791.4</v>
      </c>
      <c r="AD111" s="1663">
        <v>2791.4</v>
      </c>
      <c r="AE111" s="1663">
        <v>0</v>
      </c>
      <c r="AF111" s="1663">
        <v>2791.4</v>
      </c>
      <c r="AG111" s="1663">
        <v>0</v>
      </c>
      <c r="AH111" s="1663"/>
      <c r="AI111" s="1663"/>
      <c r="AJ111" s="1663"/>
      <c r="AK111" s="1663">
        <v>1</v>
      </c>
      <c r="AL111" s="1671">
        <v>17523422</v>
      </c>
    </row>
    <row r="112" spans="2:38">
      <c r="B112" s="1666">
        <v>5</v>
      </c>
      <c r="C112" s="1663">
        <v>1</v>
      </c>
      <c r="D112" s="1663">
        <v>12</v>
      </c>
      <c r="E112" s="1663" t="s">
        <v>11908</v>
      </c>
      <c r="F112" s="1663" t="s">
        <v>11702</v>
      </c>
      <c r="G112" s="1663" t="s">
        <v>11909</v>
      </c>
      <c r="H112" s="1663">
        <v>90648568</v>
      </c>
      <c r="I112" s="1663" t="s">
        <v>492</v>
      </c>
      <c r="J112" s="1663" t="s">
        <v>10027</v>
      </c>
      <c r="K112" s="1663" t="s">
        <v>10027</v>
      </c>
      <c r="L112" s="1663" t="s">
        <v>11982</v>
      </c>
      <c r="M112" s="1663" t="s">
        <v>11983</v>
      </c>
      <c r="N112" s="1663"/>
      <c r="O112" s="1663" t="s">
        <v>11913</v>
      </c>
      <c r="P112" s="1663" t="s">
        <v>11978</v>
      </c>
      <c r="Q112" s="1663" t="s">
        <v>11735</v>
      </c>
      <c r="R112" s="1663" t="s">
        <v>11982</v>
      </c>
      <c r="S112" s="1663">
        <v>10000</v>
      </c>
      <c r="T112" s="1663" t="s">
        <v>11979</v>
      </c>
      <c r="U112" s="1663" t="s">
        <v>8005</v>
      </c>
      <c r="V112" s="1663"/>
      <c r="W112" s="1663">
        <v>302028</v>
      </c>
      <c r="X112" s="1663" t="s">
        <v>11984</v>
      </c>
      <c r="Y112" s="1663" t="s">
        <v>11917</v>
      </c>
      <c r="Z112" s="1663" t="s">
        <v>11985</v>
      </c>
      <c r="AA112" s="1663">
        <v>0</v>
      </c>
      <c r="AB112" s="1663">
        <v>1</v>
      </c>
      <c r="AC112" s="1663">
        <v>1265.8399999999999</v>
      </c>
      <c r="AD112" s="1663">
        <v>1265.8399999999999</v>
      </c>
      <c r="AE112" s="1663">
        <v>0</v>
      </c>
      <c r="AF112" s="1663">
        <v>1265.8399999999999</v>
      </c>
      <c r="AG112" s="1663">
        <v>0</v>
      </c>
      <c r="AH112" s="1663"/>
      <c r="AI112" s="1663"/>
      <c r="AJ112" s="1663"/>
      <c r="AK112" s="1663">
        <v>1</v>
      </c>
      <c r="AL112" s="1671">
        <v>17523422</v>
      </c>
    </row>
    <row r="113" spans="2:38">
      <c r="B113" s="1666">
        <v>5</v>
      </c>
      <c r="C113" s="1663">
        <v>1</v>
      </c>
      <c r="D113" s="1663">
        <v>13</v>
      </c>
      <c r="E113" s="1663" t="s">
        <v>11908</v>
      </c>
      <c r="F113" s="1663" t="s">
        <v>11702</v>
      </c>
      <c r="G113" s="1663" t="s">
        <v>11909</v>
      </c>
      <c r="H113" s="1663">
        <v>90840048</v>
      </c>
      <c r="I113" s="1663" t="s">
        <v>492</v>
      </c>
      <c r="J113" s="1663" t="s">
        <v>10027</v>
      </c>
      <c r="K113" s="1663" t="s">
        <v>10027</v>
      </c>
      <c r="L113" s="1663" t="s">
        <v>11986</v>
      </c>
      <c r="M113" s="1663" t="s">
        <v>11987</v>
      </c>
      <c r="N113" s="1663"/>
      <c r="O113" s="1663" t="s">
        <v>11913</v>
      </c>
      <c r="P113" s="1663" t="s">
        <v>11978</v>
      </c>
      <c r="Q113" s="1663" t="s">
        <v>11735</v>
      </c>
      <c r="R113" s="1663" t="s">
        <v>11986</v>
      </c>
      <c r="S113" s="1663">
        <v>50000</v>
      </c>
      <c r="T113" s="1663" t="s">
        <v>11988</v>
      </c>
      <c r="U113" s="1663" t="s">
        <v>8005</v>
      </c>
      <c r="V113" s="1663"/>
      <c r="W113" s="1663">
        <v>560103</v>
      </c>
      <c r="X113" s="1663" t="s">
        <v>11989</v>
      </c>
      <c r="Y113" s="1663" t="s">
        <v>11917</v>
      </c>
      <c r="Z113" s="1663" t="s">
        <v>11990</v>
      </c>
      <c r="AA113" s="1663">
        <v>0</v>
      </c>
      <c r="AB113" s="1663">
        <v>1</v>
      </c>
      <c r="AC113" s="1663">
        <v>418.84</v>
      </c>
      <c r="AD113" s="1663">
        <v>418.84</v>
      </c>
      <c r="AE113" s="1663">
        <v>0</v>
      </c>
      <c r="AF113" s="1663">
        <v>418.84</v>
      </c>
      <c r="AG113" s="1663">
        <v>0</v>
      </c>
      <c r="AH113" s="1663"/>
      <c r="AI113" s="1663"/>
      <c r="AJ113" s="1663"/>
      <c r="AK113" s="1663">
        <v>1</v>
      </c>
      <c r="AL113" s="1671">
        <v>17523422</v>
      </c>
    </row>
    <row r="114" spans="2:38">
      <c r="B114" s="1666">
        <v>5</v>
      </c>
      <c r="C114" s="1663">
        <v>1</v>
      </c>
      <c r="D114" s="1663">
        <v>14</v>
      </c>
      <c r="E114" s="1663" t="s">
        <v>11908</v>
      </c>
      <c r="F114" s="1663" t="s">
        <v>11702</v>
      </c>
      <c r="G114" s="1663" t="s">
        <v>11909</v>
      </c>
      <c r="H114" s="1663">
        <v>90608354</v>
      </c>
      <c r="I114" s="1663" t="s">
        <v>11991</v>
      </c>
      <c r="J114" s="1663" t="s">
        <v>10027</v>
      </c>
      <c r="K114" s="1663" t="s">
        <v>10027</v>
      </c>
      <c r="L114" s="1663" t="s">
        <v>11992</v>
      </c>
      <c r="M114" s="1663" t="s">
        <v>11993</v>
      </c>
      <c r="N114" s="1663"/>
      <c r="O114" s="1663" t="s">
        <v>11913</v>
      </c>
      <c r="P114" s="1663" t="s">
        <v>11994</v>
      </c>
      <c r="Q114" s="1663" t="s">
        <v>11735</v>
      </c>
      <c r="R114" s="1663" t="s">
        <v>11995</v>
      </c>
      <c r="S114" s="1663" t="s">
        <v>11996</v>
      </c>
      <c r="T114" s="1663" t="s">
        <v>11997</v>
      </c>
      <c r="U114" s="1663" t="s">
        <v>8005</v>
      </c>
      <c r="V114" s="1663"/>
      <c r="W114" s="1663">
        <v>66647</v>
      </c>
      <c r="X114" s="1663" t="s">
        <v>11998</v>
      </c>
      <c r="Y114" s="1663" t="s">
        <v>11917</v>
      </c>
      <c r="Z114" s="1663" t="s">
        <v>11999</v>
      </c>
      <c r="AA114" s="1663">
        <v>0</v>
      </c>
      <c r="AB114" s="1663">
        <v>1</v>
      </c>
      <c r="AC114" s="1663">
        <v>2284.6999999999998</v>
      </c>
      <c r="AD114" s="1663">
        <v>2284.6999999999998</v>
      </c>
      <c r="AE114" s="1663">
        <v>0</v>
      </c>
      <c r="AF114" s="1663">
        <v>2284.6999999999998</v>
      </c>
      <c r="AG114" s="1663">
        <v>0</v>
      </c>
      <c r="AH114" s="1663"/>
      <c r="AI114" s="1663"/>
      <c r="AJ114" s="1663"/>
      <c r="AK114" s="1663">
        <v>1</v>
      </c>
      <c r="AL114" s="1671">
        <v>17523422</v>
      </c>
    </row>
    <row r="115" spans="2:38">
      <c r="B115" s="1666">
        <v>5</v>
      </c>
      <c r="C115" s="1663">
        <v>1</v>
      </c>
      <c r="D115" s="1663">
        <v>15</v>
      </c>
      <c r="E115" s="1663" t="s">
        <v>11908</v>
      </c>
      <c r="F115" s="1663" t="s">
        <v>11702</v>
      </c>
      <c r="G115" s="1663" t="s">
        <v>11909</v>
      </c>
      <c r="H115" s="1663">
        <v>90632345</v>
      </c>
      <c r="I115" s="1663" t="s">
        <v>11991</v>
      </c>
      <c r="J115" s="1663" t="s">
        <v>10027</v>
      </c>
      <c r="K115" s="1663" t="s">
        <v>10027</v>
      </c>
      <c r="L115" s="1663" t="s">
        <v>11992</v>
      </c>
      <c r="M115" s="1663" t="s">
        <v>12000</v>
      </c>
      <c r="N115" s="1663"/>
      <c r="O115" s="1663" t="s">
        <v>11913</v>
      </c>
      <c r="P115" s="1663" t="s">
        <v>11994</v>
      </c>
      <c r="Q115" s="1663" t="s">
        <v>11735</v>
      </c>
      <c r="R115" s="1663" t="s">
        <v>12001</v>
      </c>
      <c r="S115" s="1663" t="s">
        <v>12002</v>
      </c>
      <c r="T115" s="1663" t="s">
        <v>11997</v>
      </c>
      <c r="U115" s="1663" t="s">
        <v>8005</v>
      </c>
      <c r="V115" s="1663"/>
      <c r="W115" s="1663">
        <v>66269</v>
      </c>
      <c r="X115" s="1663" t="s">
        <v>12003</v>
      </c>
      <c r="Y115" s="1663" t="s">
        <v>11917</v>
      </c>
      <c r="Z115" s="1663" t="s">
        <v>11999</v>
      </c>
      <c r="AA115" s="1663">
        <v>0</v>
      </c>
      <c r="AB115" s="1663">
        <v>1</v>
      </c>
      <c r="AC115" s="1663">
        <v>1567.06</v>
      </c>
      <c r="AD115" s="1663">
        <v>1567.06</v>
      </c>
      <c r="AE115" s="1663">
        <v>0</v>
      </c>
      <c r="AF115" s="1663">
        <v>1567.06</v>
      </c>
      <c r="AG115" s="1663">
        <v>0</v>
      </c>
      <c r="AH115" s="1663"/>
      <c r="AI115" s="1663"/>
      <c r="AJ115" s="1663"/>
      <c r="AK115" s="1663">
        <v>1</v>
      </c>
      <c r="AL115" s="1671">
        <v>17523422</v>
      </c>
    </row>
    <row r="116" spans="2:38">
      <c r="B116" s="1666">
        <v>5</v>
      </c>
      <c r="C116" s="1663">
        <v>1</v>
      </c>
      <c r="D116" s="1663">
        <v>16</v>
      </c>
      <c r="E116" s="1663" t="s">
        <v>11908</v>
      </c>
      <c r="F116" s="1663" t="s">
        <v>11702</v>
      </c>
      <c r="G116" s="1663" t="s">
        <v>11909</v>
      </c>
      <c r="H116" s="1663">
        <v>90503975</v>
      </c>
      <c r="I116" s="1663" t="s">
        <v>12004</v>
      </c>
      <c r="J116" s="1663" t="s">
        <v>10027</v>
      </c>
      <c r="K116" s="1663" t="s">
        <v>10027</v>
      </c>
      <c r="L116" s="1663" t="s">
        <v>12005</v>
      </c>
      <c r="M116" s="1663" t="s">
        <v>12006</v>
      </c>
      <c r="N116" s="1663"/>
      <c r="O116" s="1663" t="s">
        <v>11913</v>
      </c>
      <c r="P116" s="1663" t="s">
        <v>12007</v>
      </c>
      <c r="Q116" s="1663" t="s">
        <v>11735</v>
      </c>
      <c r="R116" s="1663" t="s">
        <v>12008</v>
      </c>
      <c r="S116" s="1663" t="s">
        <v>12009</v>
      </c>
      <c r="T116" s="1663" t="s">
        <v>12010</v>
      </c>
      <c r="U116" s="1663" t="s">
        <v>8005</v>
      </c>
      <c r="V116" s="1663"/>
      <c r="W116" s="1663" t="s">
        <v>12011</v>
      </c>
      <c r="X116" s="1663" t="s">
        <v>12012</v>
      </c>
      <c r="Y116" s="1663" t="s">
        <v>11917</v>
      </c>
      <c r="Z116" s="1663" t="s">
        <v>12013</v>
      </c>
      <c r="AA116" s="1663">
        <v>0</v>
      </c>
      <c r="AB116" s="1663">
        <v>1</v>
      </c>
      <c r="AC116" s="1663">
        <v>1542.31</v>
      </c>
      <c r="AD116" s="1663">
        <v>1542.31</v>
      </c>
      <c r="AE116" s="1663">
        <v>0</v>
      </c>
      <c r="AF116" s="1663">
        <v>1542.31</v>
      </c>
      <c r="AG116" s="1663">
        <v>0</v>
      </c>
      <c r="AH116" s="1663"/>
      <c r="AI116" s="1663"/>
      <c r="AJ116" s="1663"/>
      <c r="AK116" s="1663">
        <v>1</v>
      </c>
      <c r="AL116" s="1671">
        <v>17523422</v>
      </c>
    </row>
    <row r="117" spans="2:38">
      <c r="B117" s="1666">
        <v>5</v>
      </c>
      <c r="C117" s="1663">
        <v>1</v>
      </c>
      <c r="D117" s="1663">
        <v>17</v>
      </c>
      <c r="E117" s="1663" t="s">
        <v>11908</v>
      </c>
      <c r="F117" s="1663" t="s">
        <v>11702</v>
      </c>
      <c r="G117" s="1663" t="s">
        <v>11909</v>
      </c>
      <c r="H117" s="1663">
        <v>90648118</v>
      </c>
      <c r="I117" s="1663" t="s">
        <v>12014</v>
      </c>
      <c r="J117" s="1663" t="s">
        <v>10027</v>
      </c>
      <c r="K117" s="1663" t="s">
        <v>10027</v>
      </c>
      <c r="L117" s="1663" t="s">
        <v>12015</v>
      </c>
      <c r="M117" s="1663" t="s">
        <v>12016</v>
      </c>
      <c r="N117" s="1663"/>
      <c r="O117" s="1663" t="s">
        <v>11913</v>
      </c>
      <c r="P117" s="1663" t="s">
        <v>12017</v>
      </c>
      <c r="Q117" s="1663" t="s">
        <v>11735</v>
      </c>
      <c r="R117" s="1663" t="s">
        <v>12018</v>
      </c>
      <c r="S117" s="1663" t="s">
        <v>11939</v>
      </c>
      <c r="T117" s="1663" t="s">
        <v>12019</v>
      </c>
      <c r="U117" s="1663" t="s">
        <v>8005</v>
      </c>
      <c r="V117" s="1663"/>
      <c r="W117" s="1663">
        <v>3400</v>
      </c>
      <c r="X117" s="1663" t="s">
        <v>12020</v>
      </c>
      <c r="Y117" s="1663" t="s">
        <v>11917</v>
      </c>
      <c r="Z117" s="1663" t="s">
        <v>12021</v>
      </c>
      <c r="AA117" s="1663">
        <v>0</v>
      </c>
      <c r="AB117" s="1663">
        <v>1</v>
      </c>
      <c r="AC117" s="1663">
        <v>1265.05</v>
      </c>
      <c r="AD117" s="1663">
        <v>1265.05</v>
      </c>
      <c r="AE117" s="1663">
        <v>0</v>
      </c>
      <c r="AF117" s="1663">
        <v>1265.05</v>
      </c>
      <c r="AG117" s="1663">
        <v>0</v>
      </c>
      <c r="AH117" s="1663"/>
      <c r="AI117" s="1663"/>
      <c r="AJ117" s="1663"/>
      <c r="AK117" s="1663">
        <v>1</v>
      </c>
      <c r="AL117" s="1671">
        <v>17523422</v>
      </c>
    </row>
    <row r="118" spans="2:38">
      <c r="B118" s="1666">
        <v>5</v>
      </c>
      <c r="C118" s="1663">
        <v>1</v>
      </c>
      <c r="D118" s="1663">
        <v>18</v>
      </c>
      <c r="E118" s="1663" t="s">
        <v>11908</v>
      </c>
      <c r="F118" s="1663" t="s">
        <v>11702</v>
      </c>
      <c r="G118" s="1663" t="s">
        <v>11909</v>
      </c>
      <c r="H118" s="1663">
        <v>90257060</v>
      </c>
      <c r="I118" s="1663" t="s">
        <v>12014</v>
      </c>
      <c r="J118" s="1663" t="s">
        <v>10027</v>
      </c>
      <c r="K118" s="1663" t="s">
        <v>10027</v>
      </c>
      <c r="L118" s="1663" t="s">
        <v>12022</v>
      </c>
      <c r="M118" s="1663" t="s">
        <v>12023</v>
      </c>
      <c r="N118" s="1663"/>
      <c r="O118" s="1663" t="s">
        <v>11913</v>
      </c>
      <c r="P118" s="1663" t="s">
        <v>12017</v>
      </c>
      <c r="Q118" s="1663" t="s">
        <v>11735</v>
      </c>
      <c r="R118" s="1663" t="s">
        <v>12024</v>
      </c>
      <c r="S118" s="1663" t="s">
        <v>12025</v>
      </c>
      <c r="T118" s="1663" t="s">
        <v>12026</v>
      </c>
      <c r="U118" s="1663" t="s">
        <v>8005</v>
      </c>
      <c r="V118" s="1663"/>
      <c r="W118" s="1663" t="s">
        <v>12027</v>
      </c>
      <c r="X118" s="1663" t="s">
        <v>12028</v>
      </c>
      <c r="Y118" s="1663" t="s">
        <v>11917</v>
      </c>
      <c r="Z118" s="1663" t="s">
        <v>12029</v>
      </c>
      <c r="AA118" s="1663">
        <v>0</v>
      </c>
      <c r="AB118" s="1663">
        <v>1</v>
      </c>
      <c r="AC118" s="1663">
        <v>1235</v>
      </c>
      <c r="AD118" s="1663">
        <v>1235</v>
      </c>
      <c r="AE118" s="1663">
        <v>0</v>
      </c>
      <c r="AF118" s="1663">
        <v>1235</v>
      </c>
      <c r="AG118" s="1663">
        <v>0</v>
      </c>
      <c r="AH118" s="1663"/>
      <c r="AI118" s="1663"/>
      <c r="AJ118" s="1663"/>
      <c r="AK118" s="1663">
        <v>1</v>
      </c>
      <c r="AL118" s="1671">
        <v>17523422</v>
      </c>
    </row>
    <row r="119" spans="2:38">
      <c r="B119" s="1667">
        <v>5</v>
      </c>
      <c r="C119" s="1668">
        <v>1</v>
      </c>
      <c r="D119" s="1668">
        <v>19</v>
      </c>
      <c r="E119" s="1668" t="s">
        <v>11908</v>
      </c>
      <c r="F119" s="1668" t="s">
        <v>11702</v>
      </c>
      <c r="G119" s="1668" t="s">
        <v>11909</v>
      </c>
      <c r="H119" s="1668">
        <v>90253437</v>
      </c>
      <c r="I119" s="1668" t="s">
        <v>12030</v>
      </c>
      <c r="J119" s="1668" t="s">
        <v>10027</v>
      </c>
      <c r="K119" s="1668" t="s">
        <v>10027</v>
      </c>
      <c r="L119" s="1668" t="s">
        <v>12031</v>
      </c>
      <c r="M119" s="1668" t="s">
        <v>12032</v>
      </c>
      <c r="N119" s="1668"/>
      <c r="O119" s="1668" t="s">
        <v>11913</v>
      </c>
      <c r="P119" s="1668" t="s">
        <v>12033</v>
      </c>
      <c r="Q119" s="1668" t="s">
        <v>11735</v>
      </c>
      <c r="R119" s="1668" t="s">
        <v>12034</v>
      </c>
      <c r="S119" s="1668" t="s">
        <v>12025</v>
      </c>
      <c r="T119" s="1668" t="s">
        <v>12035</v>
      </c>
      <c r="U119" s="1668" t="s">
        <v>8005</v>
      </c>
      <c r="V119" s="1668"/>
      <c r="W119" s="1668" t="s">
        <v>12036</v>
      </c>
      <c r="X119" s="1668" t="s">
        <v>12037</v>
      </c>
      <c r="Y119" s="1668" t="s">
        <v>11917</v>
      </c>
      <c r="Z119" s="1668" t="s">
        <v>12038</v>
      </c>
      <c r="AA119" s="1668">
        <v>0</v>
      </c>
      <c r="AB119" s="1668">
        <v>1</v>
      </c>
      <c r="AC119" s="1668">
        <v>675</v>
      </c>
      <c r="AD119" s="1668">
        <v>675</v>
      </c>
      <c r="AE119" s="1668">
        <v>0</v>
      </c>
      <c r="AF119" s="1668">
        <v>675</v>
      </c>
      <c r="AG119" s="1668">
        <v>0</v>
      </c>
      <c r="AH119" s="1668"/>
      <c r="AI119" s="1668"/>
      <c r="AJ119" s="1668"/>
      <c r="AK119" s="1668">
        <v>1</v>
      </c>
      <c r="AL119" s="1672">
        <v>17523422</v>
      </c>
    </row>
    <row r="122" spans="2:38" ht="12.75" thickBot="1">
      <c r="B122" s="1673" t="s">
        <v>12039</v>
      </c>
    </row>
    <row r="123" spans="2:38" ht="34.5" thickBot="1">
      <c r="B123" s="1676" t="s">
        <v>11705</v>
      </c>
      <c r="C123" s="1676" t="s">
        <v>11706</v>
      </c>
      <c r="D123" s="1676" t="s">
        <v>11707</v>
      </c>
      <c r="E123" s="1676" t="s">
        <v>11708</v>
      </c>
      <c r="F123" s="1676" t="s">
        <v>477</v>
      </c>
      <c r="G123" s="1676" t="s">
        <v>11709</v>
      </c>
      <c r="H123" s="1676" t="s">
        <v>11894</v>
      </c>
      <c r="I123" s="1676" t="s">
        <v>9206</v>
      </c>
      <c r="J123" s="1676" t="s">
        <v>11893</v>
      </c>
      <c r="K123" s="1676" t="s">
        <v>12040</v>
      </c>
      <c r="L123" s="1676" t="s">
        <v>11845</v>
      </c>
      <c r="M123" s="1676" t="s">
        <v>11776</v>
      </c>
      <c r="N123" s="1676" t="s">
        <v>11846</v>
      </c>
      <c r="O123" s="1676" t="s">
        <v>11899</v>
      </c>
      <c r="P123" s="1676" t="s">
        <v>12041</v>
      </c>
      <c r="Q123" s="1676" t="s">
        <v>135</v>
      </c>
      <c r="R123" s="1676" t="s">
        <v>12042</v>
      </c>
      <c r="S123" s="1676" t="s">
        <v>12043</v>
      </c>
      <c r="T123" s="1676" t="s">
        <v>12044</v>
      </c>
      <c r="U123" s="1676"/>
      <c r="V123" s="1676"/>
      <c r="W123" s="1676"/>
      <c r="X123" s="1676"/>
      <c r="Y123" s="1676"/>
      <c r="Z123" s="1676"/>
      <c r="AA123" s="1676" t="s">
        <v>9628</v>
      </c>
      <c r="AB123" s="1676" t="s">
        <v>11719</v>
      </c>
      <c r="AC123" s="1676" t="s">
        <v>11691</v>
      </c>
      <c r="AD123" s="1676" t="s">
        <v>11692</v>
      </c>
      <c r="AE123" s="1676" t="s">
        <v>11720</v>
      </c>
      <c r="AF123" s="1676" t="s">
        <v>11693</v>
      </c>
      <c r="AG123" s="1676" t="s">
        <v>11721</v>
      </c>
      <c r="AH123" s="1676" t="s">
        <v>11694</v>
      </c>
      <c r="AI123" s="1676" t="s">
        <v>11722</v>
      </c>
      <c r="AJ123" s="1676" t="s">
        <v>10358</v>
      </c>
      <c r="AK123" s="1676" t="s">
        <v>11723</v>
      </c>
      <c r="AL123" s="1676" t="s">
        <v>11724</v>
      </c>
    </row>
    <row r="124" spans="2:38">
      <c r="B124" s="1675">
        <v>6</v>
      </c>
      <c r="C124" s="1674">
        <v>1</v>
      </c>
      <c r="D124" s="1674">
        <v>1</v>
      </c>
      <c r="E124" s="1674" t="s">
        <v>11908</v>
      </c>
      <c r="F124" s="1674" t="s">
        <v>11367</v>
      </c>
      <c r="G124" s="1674" t="s">
        <v>12045</v>
      </c>
      <c r="H124" s="1674" t="s">
        <v>10027</v>
      </c>
      <c r="I124" s="1674" t="s">
        <v>10027</v>
      </c>
      <c r="J124" s="1674">
        <v>90702520</v>
      </c>
      <c r="K124" s="1674" t="s">
        <v>10027</v>
      </c>
      <c r="L124" s="1674" t="s">
        <v>11910</v>
      </c>
      <c r="M124" s="1674">
        <v>2706049</v>
      </c>
      <c r="N124" s="1674" t="s">
        <v>11914</v>
      </c>
      <c r="O124" s="1674" t="s">
        <v>11735</v>
      </c>
      <c r="P124" s="1674" t="s">
        <v>12046</v>
      </c>
      <c r="Q124" s="1674" t="s">
        <v>12047</v>
      </c>
      <c r="R124" s="1674" t="s">
        <v>12048</v>
      </c>
      <c r="S124" s="1674" t="s">
        <v>10027</v>
      </c>
      <c r="T124" s="1674" t="s">
        <v>12049</v>
      </c>
      <c r="U124" s="1674"/>
      <c r="V124" s="1674"/>
      <c r="W124" s="1674"/>
      <c r="X124" s="1674"/>
      <c r="Y124" s="1674"/>
      <c r="Z124" s="1674"/>
      <c r="AA124" s="1674">
        <v>0</v>
      </c>
      <c r="AB124" s="1674">
        <v>0</v>
      </c>
      <c r="AC124" s="1674">
        <v>0</v>
      </c>
      <c r="AD124" s="1674">
        <v>0</v>
      </c>
      <c r="AE124" s="1674">
        <v>0</v>
      </c>
      <c r="AF124" s="1674">
        <v>0</v>
      </c>
      <c r="AG124" s="1674">
        <v>0</v>
      </c>
      <c r="AH124" s="1674"/>
      <c r="AI124" s="1674"/>
      <c r="AJ124" s="1674"/>
      <c r="AK124" s="1674">
        <v>1</v>
      </c>
      <c r="AL124" s="1677">
        <v>17523423</v>
      </c>
    </row>
    <row r="125" spans="2:38">
      <c r="B125" s="1666">
        <v>6</v>
      </c>
      <c r="C125" s="1663">
        <v>1</v>
      </c>
      <c r="D125" s="1663">
        <v>2</v>
      </c>
      <c r="E125" s="1663" t="s">
        <v>11908</v>
      </c>
      <c r="F125" s="1663" t="s">
        <v>11367</v>
      </c>
      <c r="G125" s="1663" t="s">
        <v>12045</v>
      </c>
      <c r="H125" s="1663" t="s">
        <v>10027</v>
      </c>
      <c r="I125" s="1663" t="s">
        <v>10027</v>
      </c>
      <c r="J125" s="1663">
        <v>90703224</v>
      </c>
      <c r="K125" s="1663" t="s">
        <v>10027</v>
      </c>
      <c r="L125" s="1663" t="s">
        <v>11910</v>
      </c>
      <c r="M125" s="1663">
        <v>2707462</v>
      </c>
      <c r="N125" s="1663" t="s">
        <v>11914</v>
      </c>
      <c r="O125" s="1663" t="s">
        <v>11735</v>
      </c>
      <c r="P125" s="1663" t="s">
        <v>12046</v>
      </c>
      <c r="Q125" s="1663" t="s">
        <v>12050</v>
      </c>
      <c r="R125" s="1663" t="s">
        <v>12048</v>
      </c>
      <c r="S125" s="1663" t="s">
        <v>10027</v>
      </c>
      <c r="T125" s="1663" t="s">
        <v>12049</v>
      </c>
      <c r="U125" s="1663"/>
      <c r="V125" s="1663"/>
      <c r="W125" s="1663"/>
      <c r="X125" s="1663"/>
      <c r="Y125" s="1663"/>
      <c r="Z125" s="1663"/>
      <c r="AA125" s="1663">
        <v>0</v>
      </c>
      <c r="AB125" s="1663">
        <v>0</v>
      </c>
      <c r="AC125" s="1663">
        <v>0</v>
      </c>
      <c r="AD125" s="1663">
        <v>0</v>
      </c>
      <c r="AE125" s="1663">
        <v>0</v>
      </c>
      <c r="AF125" s="1663">
        <v>0</v>
      </c>
      <c r="AG125" s="1663">
        <v>0</v>
      </c>
      <c r="AH125" s="1663"/>
      <c r="AI125" s="1663"/>
      <c r="AJ125" s="1663"/>
      <c r="AK125" s="1663">
        <v>1</v>
      </c>
      <c r="AL125" s="1671">
        <v>17523423</v>
      </c>
    </row>
    <row r="126" spans="2:38">
      <c r="B126" s="1666">
        <v>6</v>
      </c>
      <c r="C126" s="1663">
        <v>1</v>
      </c>
      <c r="D126" s="1663">
        <v>3</v>
      </c>
      <c r="E126" s="1663" t="s">
        <v>11908</v>
      </c>
      <c r="F126" s="1663" t="s">
        <v>11367</v>
      </c>
      <c r="G126" s="1663" t="s">
        <v>12045</v>
      </c>
      <c r="H126" s="1663" t="s">
        <v>10027</v>
      </c>
      <c r="I126" s="1663" t="s">
        <v>10027</v>
      </c>
      <c r="J126" s="1663">
        <v>90703234</v>
      </c>
      <c r="K126" s="1663" t="s">
        <v>10027</v>
      </c>
      <c r="L126" s="1663" t="s">
        <v>11910</v>
      </c>
      <c r="M126" s="1663">
        <v>2707503</v>
      </c>
      <c r="N126" s="1663" t="s">
        <v>11914</v>
      </c>
      <c r="O126" s="1663" t="s">
        <v>11735</v>
      </c>
      <c r="P126" s="1663" t="s">
        <v>12046</v>
      </c>
      <c r="Q126" s="1663" t="s">
        <v>12051</v>
      </c>
      <c r="R126" s="1663" t="s">
        <v>12052</v>
      </c>
      <c r="S126" s="1663" t="s">
        <v>10027</v>
      </c>
      <c r="T126" s="1663" t="s">
        <v>12049</v>
      </c>
      <c r="U126" s="1663"/>
      <c r="V126" s="1663"/>
      <c r="W126" s="1663"/>
      <c r="X126" s="1663"/>
      <c r="Y126" s="1663"/>
      <c r="Z126" s="1663"/>
      <c r="AA126" s="1663">
        <v>0</v>
      </c>
      <c r="AB126" s="1663">
        <v>0</v>
      </c>
      <c r="AC126" s="1663">
        <v>0</v>
      </c>
      <c r="AD126" s="1663">
        <v>0</v>
      </c>
      <c r="AE126" s="1663">
        <v>0</v>
      </c>
      <c r="AF126" s="1663">
        <v>0</v>
      </c>
      <c r="AG126" s="1663">
        <v>0</v>
      </c>
      <c r="AH126" s="1663"/>
      <c r="AI126" s="1663"/>
      <c r="AJ126" s="1663"/>
      <c r="AK126" s="1663">
        <v>1</v>
      </c>
      <c r="AL126" s="1671">
        <v>17523423</v>
      </c>
    </row>
    <row r="127" spans="2:38">
      <c r="B127" s="1666">
        <v>6</v>
      </c>
      <c r="C127" s="1663">
        <v>1</v>
      </c>
      <c r="D127" s="1663">
        <v>4</v>
      </c>
      <c r="E127" s="1663" t="s">
        <v>11908</v>
      </c>
      <c r="F127" s="1663" t="s">
        <v>11367</v>
      </c>
      <c r="G127" s="1663" t="s">
        <v>12045</v>
      </c>
      <c r="H127" s="1663" t="s">
        <v>10027</v>
      </c>
      <c r="I127" s="1663" t="s">
        <v>10027</v>
      </c>
      <c r="J127" s="1663">
        <v>90703708</v>
      </c>
      <c r="K127" s="1663" t="s">
        <v>10027</v>
      </c>
      <c r="L127" s="1663" t="s">
        <v>11910</v>
      </c>
      <c r="M127" s="1663">
        <v>2708003</v>
      </c>
      <c r="N127" s="1663" t="s">
        <v>11914</v>
      </c>
      <c r="O127" s="1663" t="s">
        <v>11735</v>
      </c>
      <c r="P127" s="1663" t="s">
        <v>12046</v>
      </c>
      <c r="Q127" s="1663" t="s">
        <v>11927</v>
      </c>
      <c r="R127" s="1663" t="s">
        <v>12053</v>
      </c>
      <c r="S127" s="1663" t="s">
        <v>10027</v>
      </c>
      <c r="T127" s="1663" t="s">
        <v>12049</v>
      </c>
      <c r="U127" s="1663"/>
      <c r="V127" s="1663"/>
      <c r="W127" s="1663"/>
      <c r="X127" s="1663"/>
      <c r="Y127" s="1663"/>
      <c r="Z127" s="1663"/>
      <c r="AA127" s="1663">
        <v>0</v>
      </c>
      <c r="AB127" s="1663">
        <v>0</v>
      </c>
      <c r="AC127" s="1663">
        <v>0</v>
      </c>
      <c r="AD127" s="1663">
        <v>0</v>
      </c>
      <c r="AE127" s="1663">
        <v>0</v>
      </c>
      <c r="AF127" s="1663">
        <v>0</v>
      </c>
      <c r="AG127" s="1663">
        <v>0</v>
      </c>
      <c r="AH127" s="1663"/>
      <c r="AI127" s="1663"/>
      <c r="AJ127" s="1663"/>
      <c r="AK127" s="1663">
        <v>1</v>
      </c>
      <c r="AL127" s="1671">
        <v>17523423</v>
      </c>
    </row>
    <row r="128" spans="2:38">
      <c r="B128" s="1666">
        <v>6</v>
      </c>
      <c r="C128" s="1663">
        <v>1</v>
      </c>
      <c r="D128" s="1663">
        <v>5</v>
      </c>
      <c r="E128" s="1663" t="s">
        <v>11908</v>
      </c>
      <c r="F128" s="1663" t="s">
        <v>11367</v>
      </c>
      <c r="G128" s="1663" t="s">
        <v>12045</v>
      </c>
      <c r="H128" s="1663" t="s">
        <v>10027</v>
      </c>
      <c r="I128" s="1663" t="s">
        <v>10027</v>
      </c>
      <c r="J128" s="1663">
        <v>90825560</v>
      </c>
      <c r="K128" s="1663" t="s">
        <v>10027</v>
      </c>
      <c r="L128" s="1663" t="s">
        <v>11910</v>
      </c>
      <c r="M128" s="1663">
        <v>2859459</v>
      </c>
      <c r="N128" s="1663" t="s">
        <v>11914</v>
      </c>
      <c r="O128" s="1663" t="s">
        <v>11735</v>
      </c>
      <c r="P128" s="1663" t="s">
        <v>12046</v>
      </c>
      <c r="Q128" s="1663" t="s">
        <v>12054</v>
      </c>
      <c r="R128" s="1663" t="s">
        <v>12055</v>
      </c>
      <c r="S128" s="1663" t="s">
        <v>10027</v>
      </c>
      <c r="T128" s="1663" t="s">
        <v>12049</v>
      </c>
      <c r="U128" s="1663"/>
      <c r="V128" s="1663"/>
      <c r="W128" s="1663"/>
      <c r="X128" s="1663"/>
      <c r="Y128" s="1663"/>
      <c r="Z128" s="1663"/>
      <c r="AA128" s="1663">
        <v>0</v>
      </c>
      <c r="AB128" s="1663">
        <v>0</v>
      </c>
      <c r="AC128" s="1663">
        <v>0</v>
      </c>
      <c r="AD128" s="1663">
        <v>0</v>
      </c>
      <c r="AE128" s="1663">
        <v>0</v>
      </c>
      <c r="AF128" s="1663">
        <v>0</v>
      </c>
      <c r="AG128" s="1663">
        <v>0</v>
      </c>
      <c r="AH128" s="1663"/>
      <c r="AI128" s="1663"/>
      <c r="AJ128" s="1663"/>
      <c r="AK128" s="1663">
        <v>1</v>
      </c>
      <c r="AL128" s="1671">
        <v>17523423</v>
      </c>
    </row>
    <row r="129" spans="2:38">
      <c r="B129" s="1666">
        <v>6</v>
      </c>
      <c r="C129" s="1663">
        <v>1</v>
      </c>
      <c r="D129" s="1663">
        <v>6</v>
      </c>
      <c r="E129" s="1663" t="s">
        <v>11908</v>
      </c>
      <c r="F129" s="1663" t="s">
        <v>11367</v>
      </c>
      <c r="G129" s="1663" t="s">
        <v>12045</v>
      </c>
      <c r="H129" s="1663" t="s">
        <v>10027</v>
      </c>
      <c r="I129" s="1663" t="s">
        <v>10027</v>
      </c>
      <c r="J129" s="1663">
        <v>90443817</v>
      </c>
      <c r="K129" s="1663" t="s">
        <v>10027</v>
      </c>
      <c r="L129" s="1663" t="s">
        <v>54</v>
      </c>
      <c r="M129" s="1663">
        <v>2318978</v>
      </c>
      <c r="N129" s="1663" t="s">
        <v>11937</v>
      </c>
      <c r="O129" s="1663" t="s">
        <v>11735</v>
      </c>
      <c r="P129" s="1663" t="s">
        <v>11937</v>
      </c>
      <c r="Q129" s="1663" t="s">
        <v>12056</v>
      </c>
      <c r="R129" s="1663" t="s">
        <v>12057</v>
      </c>
      <c r="S129" s="1663" t="s">
        <v>10027</v>
      </c>
      <c r="T129" s="1663" t="s">
        <v>12049</v>
      </c>
      <c r="U129" s="1663"/>
      <c r="V129" s="1663"/>
      <c r="W129" s="1663"/>
      <c r="X129" s="1663"/>
      <c r="Y129" s="1663"/>
      <c r="Z129" s="1663"/>
      <c r="AA129" s="1663">
        <v>0</v>
      </c>
      <c r="AB129" s="1663">
        <v>0</v>
      </c>
      <c r="AC129" s="1663">
        <v>0</v>
      </c>
      <c r="AD129" s="1663">
        <v>0</v>
      </c>
      <c r="AE129" s="1663">
        <v>0</v>
      </c>
      <c r="AF129" s="1663">
        <v>0</v>
      </c>
      <c r="AG129" s="1663">
        <v>0</v>
      </c>
      <c r="AH129" s="1663"/>
      <c r="AI129" s="1663"/>
      <c r="AJ129" s="1663"/>
      <c r="AK129" s="1663">
        <v>1</v>
      </c>
      <c r="AL129" s="1671">
        <v>17523423</v>
      </c>
    </row>
    <row r="130" spans="2:38">
      <c r="B130" s="1666">
        <v>6</v>
      </c>
      <c r="C130" s="1663">
        <v>1</v>
      </c>
      <c r="D130" s="1663">
        <v>7</v>
      </c>
      <c r="E130" s="1663" t="s">
        <v>11908</v>
      </c>
      <c r="F130" s="1663" t="s">
        <v>11367</v>
      </c>
      <c r="G130" s="1663" t="s">
        <v>12045</v>
      </c>
      <c r="H130" s="1663" t="s">
        <v>12058</v>
      </c>
      <c r="I130" s="1663" t="s">
        <v>11946</v>
      </c>
      <c r="J130" s="1663">
        <v>90681162</v>
      </c>
      <c r="K130" s="1663" t="s">
        <v>12059</v>
      </c>
      <c r="L130" s="1663" t="s">
        <v>11944</v>
      </c>
      <c r="M130" s="1663">
        <v>2671859</v>
      </c>
      <c r="N130" s="1663" t="s">
        <v>11949</v>
      </c>
      <c r="O130" s="1663" t="s">
        <v>11735</v>
      </c>
      <c r="P130" s="1663" t="s">
        <v>12046</v>
      </c>
      <c r="Q130" s="1663" t="s">
        <v>11947</v>
      </c>
      <c r="R130" s="1663" t="s">
        <v>12060</v>
      </c>
      <c r="S130" s="1663" t="s">
        <v>10027</v>
      </c>
      <c r="T130" s="1663" t="s">
        <v>12061</v>
      </c>
      <c r="U130" s="1663"/>
      <c r="V130" s="1663"/>
      <c r="W130" s="1663"/>
      <c r="X130" s="1663"/>
      <c r="Y130" s="1663"/>
      <c r="Z130" s="1663"/>
      <c r="AA130" s="1663">
        <v>0</v>
      </c>
      <c r="AB130" s="1663">
        <v>0</v>
      </c>
      <c r="AC130" s="1663">
        <v>0</v>
      </c>
      <c r="AD130" s="1663">
        <v>0</v>
      </c>
      <c r="AE130" s="1663">
        <v>0</v>
      </c>
      <c r="AF130" s="1663">
        <v>0</v>
      </c>
      <c r="AG130" s="1663">
        <v>0</v>
      </c>
      <c r="AH130" s="1663"/>
      <c r="AI130" s="1663"/>
      <c r="AJ130" s="1663"/>
      <c r="AK130" s="1663">
        <v>1</v>
      </c>
      <c r="AL130" s="1671">
        <v>17523423</v>
      </c>
    </row>
    <row r="131" spans="2:38">
      <c r="B131" s="1666">
        <v>6</v>
      </c>
      <c r="C131" s="1663">
        <v>1</v>
      </c>
      <c r="D131" s="1663">
        <v>8</v>
      </c>
      <c r="E131" s="1663" t="s">
        <v>11908</v>
      </c>
      <c r="F131" s="1663" t="s">
        <v>11367</v>
      </c>
      <c r="G131" s="1663" t="s">
        <v>12045</v>
      </c>
      <c r="H131" s="1663" t="s">
        <v>10027</v>
      </c>
      <c r="I131" s="1663" t="s">
        <v>10027</v>
      </c>
      <c r="J131" s="1663">
        <v>90350646</v>
      </c>
      <c r="K131" s="1663" t="s">
        <v>10027</v>
      </c>
      <c r="L131" s="1663" t="s">
        <v>11953</v>
      </c>
      <c r="M131" s="1663">
        <v>2174730</v>
      </c>
      <c r="N131" s="1663" t="s">
        <v>11956</v>
      </c>
      <c r="O131" s="1663" t="s">
        <v>11735</v>
      </c>
      <c r="P131" s="1663" t="s">
        <v>12062</v>
      </c>
      <c r="Q131" s="1663" t="s">
        <v>11957</v>
      </c>
      <c r="R131" s="1663" t="s">
        <v>12063</v>
      </c>
      <c r="S131" s="1663" t="s">
        <v>10027</v>
      </c>
      <c r="T131" s="1663" t="s">
        <v>12049</v>
      </c>
      <c r="U131" s="1663"/>
      <c r="V131" s="1663"/>
      <c r="W131" s="1663"/>
      <c r="X131" s="1663"/>
      <c r="Y131" s="1663"/>
      <c r="Z131" s="1663"/>
      <c r="AA131" s="1663">
        <v>0</v>
      </c>
      <c r="AB131" s="1663">
        <v>0</v>
      </c>
      <c r="AC131" s="1663">
        <v>0</v>
      </c>
      <c r="AD131" s="1663">
        <v>0</v>
      </c>
      <c r="AE131" s="1663">
        <v>0</v>
      </c>
      <c r="AF131" s="1663">
        <v>0</v>
      </c>
      <c r="AG131" s="1663">
        <v>0</v>
      </c>
      <c r="AH131" s="1663"/>
      <c r="AI131" s="1663"/>
      <c r="AJ131" s="1663"/>
      <c r="AK131" s="1663">
        <v>1</v>
      </c>
      <c r="AL131" s="1671">
        <v>17523423</v>
      </c>
    </row>
    <row r="132" spans="2:38">
      <c r="B132" s="1666">
        <v>6</v>
      </c>
      <c r="C132" s="1663">
        <v>1</v>
      </c>
      <c r="D132" s="1663">
        <v>9</v>
      </c>
      <c r="E132" s="1663" t="s">
        <v>11908</v>
      </c>
      <c r="F132" s="1663" t="s">
        <v>11367</v>
      </c>
      <c r="G132" s="1663" t="s">
        <v>12045</v>
      </c>
      <c r="H132" s="1663" t="s">
        <v>10027</v>
      </c>
      <c r="I132" s="1663" t="s">
        <v>10027</v>
      </c>
      <c r="J132" s="1663">
        <v>90511560</v>
      </c>
      <c r="K132" s="1663" t="s">
        <v>10027</v>
      </c>
      <c r="L132" s="1663" t="s">
        <v>11953</v>
      </c>
      <c r="M132" s="1663">
        <v>2399700</v>
      </c>
      <c r="N132" s="1663" t="s">
        <v>11956</v>
      </c>
      <c r="O132" s="1663" t="s">
        <v>11735</v>
      </c>
      <c r="P132" s="1663" t="s">
        <v>12062</v>
      </c>
      <c r="Q132" s="1663" t="s">
        <v>11965</v>
      </c>
      <c r="R132" s="1663" t="s">
        <v>12064</v>
      </c>
      <c r="S132" s="1663" t="s">
        <v>10027</v>
      </c>
      <c r="T132" s="1663" t="s">
        <v>12049</v>
      </c>
      <c r="U132" s="1663"/>
      <c r="V132" s="1663"/>
      <c r="W132" s="1663"/>
      <c r="X132" s="1663"/>
      <c r="Y132" s="1663"/>
      <c r="Z132" s="1663"/>
      <c r="AA132" s="1663">
        <v>0</v>
      </c>
      <c r="AB132" s="1663">
        <v>0</v>
      </c>
      <c r="AC132" s="1663">
        <v>0</v>
      </c>
      <c r="AD132" s="1663">
        <v>0</v>
      </c>
      <c r="AE132" s="1663">
        <v>0</v>
      </c>
      <c r="AF132" s="1663">
        <v>0</v>
      </c>
      <c r="AG132" s="1663">
        <v>0</v>
      </c>
      <c r="AH132" s="1663"/>
      <c r="AI132" s="1663"/>
      <c r="AJ132" s="1663"/>
      <c r="AK132" s="1663">
        <v>1</v>
      </c>
      <c r="AL132" s="1671">
        <v>17523423</v>
      </c>
    </row>
    <row r="133" spans="2:38">
      <c r="B133" s="1666">
        <v>6</v>
      </c>
      <c r="C133" s="1663">
        <v>1</v>
      </c>
      <c r="D133" s="1663">
        <v>10</v>
      </c>
      <c r="E133" s="1663" t="s">
        <v>11908</v>
      </c>
      <c r="F133" s="1663" t="s">
        <v>11367</v>
      </c>
      <c r="G133" s="1663" t="s">
        <v>12045</v>
      </c>
      <c r="H133" s="1663" t="s">
        <v>10027</v>
      </c>
      <c r="I133" s="1663" t="s">
        <v>10027</v>
      </c>
      <c r="J133" s="1663">
        <v>90626672</v>
      </c>
      <c r="K133" s="1663" t="s">
        <v>10027</v>
      </c>
      <c r="L133" s="1663" t="s">
        <v>446</v>
      </c>
      <c r="M133" s="1663">
        <v>2590098</v>
      </c>
      <c r="N133" s="1663" t="s">
        <v>11971</v>
      </c>
      <c r="O133" s="1663" t="s">
        <v>11735</v>
      </c>
      <c r="P133" s="1663" t="s">
        <v>12062</v>
      </c>
      <c r="Q133" s="1663" t="s">
        <v>11972</v>
      </c>
      <c r="R133" s="1663" t="s">
        <v>12065</v>
      </c>
      <c r="S133" s="1663" t="s">
        <v>10027</v>
      </c>
      <c r="T133" s="1663" t="s">
        <v>12049</v>
      </c>
      <c r="U133" s="1663"/>
      <c r="V133" s="1663"/>
      <c r="W133" s="1663"/>
      <c r="X133" s="1663"/>
      <c r="Y133" s="1663"/>
      <c r="Z133" s="1663"/>
      <c r="AA133" s="1663">
        <v>0</v>
      </c>
      <c r="AB133" s="1663">
        <v>0</v>
      </c>
      <c r="AC133" s="1663">
        <v>0</v>
      </c>
      <c r="AD133" s="1663">
        <v>0</v>
      </c>
      <c r="AE133" s="1663">
        <v>0</v>
      </c>
      <c r="AF133" s="1663">
        <v>0</v>
      </c>
      <c r="AG133" s="1663">
        <v>0</v>
      </c>
      <c r="AH133" s="1663"/>
      <c r="AI133" s="1663"/>
      <c r="AJ133" s="1663"/>
      <c r="AK133" s="1663">
        <v>1</v>
      </c>
      <c r="AL133" s="1671">
        <v>17523423</v>
      </c>
    </row>
    <row r="134" spans="2:38">
      <c r="B134" s="1666">
        <v>6</v>
      </c>
      <c r="C134" s="1663">
        <v>1</v>
      </c>
      <c r="D134" s="1663">
        <v>11</v>
      </c>
      <c r="E134" s="1663" t="s">
        <v>11908</v>
      </c>
      <c r="F134" s="1663" t="s">
        <v>11367</v>
      </c>
      <c r="G134" s="1663" t="s">
        <v>12045</v>
      </c>
      <c r="H134" s="1663" t="s">
        <v>10027</v>
      </c>
      <c r="I134" s="1663" t="s">
        <v>10027</v>
      </c>
      <c r="J134" s="1663">
        <v>90440386</v>
      </c>
      <c r="K134" s="1663" t="s">
        <v>10027</v>
      </c>
      <c r="L134" s="1663" t="s">
        <v>492</v>
      </c>
      <c r="M134" s="1663">
        <v>2315965</v>
      </c>
      <c r="N134" s="1663" t="s">
        <v>11978</v>
      </c>
      <c r="O134" s="1663" t="s">
        <v>11735</v>
      </c>
      <c r="P134" s="1663" t="s">
        <v>12046</v>
      </c>
      <c r="Q134" s="1663" t="s">
        <v>11976</v>
      </c>
      <c r="R134" s="1663" t="s">
        <v>12066</v>
      </c>
      <c r="S134" s="1663" t="s">
        <v>10027</v>
      </c>
      <c r="T134" s="1663" t="s">
        <v>12049</v>
      </c>
      <c r="U134" s="1663"/>
      <c r="V134" s="1663"/>
      <c r="W134" s="1663"/>
      <c r="X134" s="1663"/>
      <c r="Y134" s="1663"/>
      <c r="Z134" s="1663"/>
      <c r="AA134" s="1663">
        <v>0</v>
      </c>
      <c r="AB134" s="1663">
        <v>0</v>
      </c>
      <c r="AC134" s="1663">
        <v>0</v>
      </c>
      <c r="AD134" s="1663">
        <v>0</v>
      </c>
      <c r="AE134" s="1663">
        <v>0</v>
      </c>
      <c r="AF134" s="1663">
        <v>0</v>
      </c>
      <c r="AG134" s="1663">
        <v>0</v>
      </c>
      <c r="AH134" s="1663"/>
      <c r="AI134" s="1663"/>
      <c r="AJ134" s="1663"/>
      <c r="AK134" s="1663">
        <v>1</v>
      </c>
      <c r="AL134" s="1671">
        <v>17523423</v>
      </c>
    </row>
    <row r="135" spans="2:38">
      <c r="B135" s="1666">
        <v>6</v>
      </c>
      <c r="C135" s="1663">
        <v>1</v>
      </c>
      <c r="D135" s="1663">
        <v>12</v>
      </c>
      <c r="E135" s="1663" t="s">
        <v>11908</v>
      </c>
      <c r="F135" s="1663" t="s">
        <v>11367</v>
      </c>
      <c r="G135" s="1663" t="s">
        <v>12045</v>
      </c>
      <c r="H135" s="1663" t="s">
        <v>10027</v>
      </c>
      <c r="I135" s="1663" t="s">
        <v>10027</v>
      </c>
      <c r="J135" s="1663">
        <v>90648568</v>
      </c>
      <c r="K135" s="1663" t="s">
        <v>10027</v>
      </c>
      <c r="L135" s="1663" t="s">
        <v>492</v>
      </c>
      <c r="M135" s="1663">
        <v>2621069</v>
      </c>
      <c r="N135" s="1663" t="s">
        <v>11978</v>
      </c>
      <c r="O135" s="1663" t="s">
        <v>11735</v>
      </c>
      <c r="P135" s="1663" t="s">
        <v>12046</v>
      </c>
      <c r="Q135" s="1663" t="s">
        <v>11982</v>
      </c>
      <c r="R135" s="1663" t="s">
        <v>12066</v>
      </c>
      <c r="S135" s="1663" t="s">
        <v>10027</v>
      </c>
      <c r="T135" s="1663" t="s">
        <v>12049</v>
      </c>
      <c r="U135" s="1663"/>
      <c r="V135" s="1663"/>
      <c r="W135" s="1663"/>
      <c r="X135" s="1663"/>
      <c r="Y135" s="1663"/>
      <c r="Z135" s="1663"/>
      <c r="AA135" s="1663">
        <v>0</v>
      </c>
      <c r="AB135" s="1663">
        <v>0</v>
      </c>
      <c r="AC135" s="1663">
        <v>0</v>
      </c>
      <c r="AD135" s="1663">
        <v>0</v>
      </c>
      <c r="AE135" s="1663">
        <v>0</v>
      </c>
      <c r="AF135" s="1663">
        <v>0</v>
      </c>
      <c r="AG135" s="1663">
        <v>0</v>
      </c>
      <c r="AH135" s="1663"/>
      <c r="AI135" s="1663"/>
      <c r="AJ135" s="1663"/>
      <c r="AK135" s="1663">
        <v>1</v>
      </c>
      <c r="AL135" s="1671">
        <v>17523423</v>
      </c>
    </row>
    <row r="136" spans="2:38">
      <c r="B136" s="1666">
        <v>6</v>
      </c>
      <c r="C136" s="1663">
        <v>1</v>
      </c>
      <c r="D136" s="1663">
        <v>13</v>
      </c>
      <c r="E136" s="1663" t="s">
        <v>11908</v>
      </c>
      <c r="F136" s="1663" t="s">
        <v>11367</v>
      </c>
      <c r="G136" s="1663" t="s">
        <v>12045</v>
      </c>
      <c r="H136" s="1663" t="s">
        <v>10027</v>
      </c>
      <c r="I136" s="1663" t="s">
        <v>10027</v>
      </c>
      <c r="J136" s="1663">
        <v>90840048</v>
      </c>
      <c r="K136" s="1663" t="s">
        <v>10027</v>
      </c>
      <c r="L136" s="1663" t="s">
        <v>492</v>
      </c>
      <c r="M136" s="1663">
        <v>2883801</v>
      </c>
      <c r="N136" s="1663" t="s">
        <v>11978</v>
      </c>
      <c r="O136" s="1663" t="s">
        <v>11735</v>
      </c>
      <c r="P136" s="1663" t="s">
        <v>12046</v>
      </c>
      <c r="Q136" s="1663" t="s">
        <v>11986</v>
      </c>
      <c r="R136" s="1663" t="s">
        <v>12067</v>
      </c>
      <c r="S136" s="1663" t="s">
        <v>10027</v>
      </c>
      <c r="T136" s="1663" t="s">
        <v>12049</v>
      </c>
      <c r="U136" s="1663"/>
      <c r="V136" s="1663"/>
      <c r="W136" s="1663"/>
      <c r="X136" s="1663"/>
      <c r="Y136" s="1663"/>
      <c r="Z136" s="1663"/>
      <c r="AA136" s="1663">
        <v>0</v>
      </c>
      <c r="AB136" s="1663">
        <v>0</v>
      </c>
      <c r="AC136" s="1663">
        <v>0</v>
      </c>
      <c r="AD136" s="1663">
        <v>0</v>
      </c>
      <c r="AE136" s="1663">
        <v>0</v>
      </c>
      <c r="AF136" s="1663">
        <v>0</v>
      </c>
      <c r="AG136" s="1663">
        <v>0</v>
      </c>
      <c r="AH136" s="1663"/>
      <c r="AI136" s="1663"/>
      <c r="AJ136" s="1663"/>
      <c r="AK136" s="1663">
        <v>1</v>
      </c>
      <c r="AL136" s="1671">
        <v>17523423</v>
      </c>
    </row>
    <row r="137" spans="2:38">
      <c r="B137" s="1666">
        <v>6</v>
      </c>
      <c r="C137" s="1663">
        <v>1</v>
      </c>
      <c r="D137" s="1663">
        <v>14</v>
      </c>
      <c r="E137" s="1663" t="s">
        <v>11908</v>
      </c>
      <c r="F137" s="1663" t="s">
        <v>11367</v>
      </c>
      <c r="G137" s="1663" t="s">
        <v>12045</v>
      </c>
      <c r="H137" s="1663" t="s">
        <v>10027</v>
      </c>
      <c r="I137" s="1663" t="s">
        <v>10027</v>
      </c>
      <c r="J137" s="1663">
        <v>90608354</v>
      </c>
      <c r="K137" s="1663" t="s">
        <v>10027</v>
      </c>
      <c r="L137" s="1663" t="s">
        <v>11991</v>
      </c>
      <c r="M137" s="1663">
        <v>2558728</v>
      </c>
      <c r="N137" s="1663" t="s">
        <v>11994</v>
      </c>
      <c r="O137" s="1663" t="s">
        <v>11735</v>
      </c>
      <c r="P137" s="1663" t="s">
        <v>12068</v>
      </c>
      <c r="Q137" s="1663" t="s">
        <v>11995</v>
      </c>
      <c r="R137" s="1663" t="s">
        <v>12069</v>
      </c>
      <c r="S137" s="1663" t="s">
        <v>10027</v>
      </c>
      <c r="T137" s="1663" t="s">
        <v>12049</v>
      </c>
      <c r="U137" s="1663"/>
      <c r="V137" s="1663"/>
      <c r="W137" s="1663"/>
      <c r="X137" s="1663"/>
      <c r="Y137" s="1663"/>
      <c r="Z137" s="1663"/>
      <c r="AA137" s="1663">
        <v>0</v>
      </c>
      <c r="AB137" s="1663">
        <v>0</v>
      </c>
      <c r="AC137" s="1663">
        <v>0</v>
      </c>
      <c r="AD137" s="1663">
        <v>0</v>
      </c>
      <c r="AE137" s="1663">
        <v>0</v>
      </c>
      <c r="AF137" s="1663">
        <v>0</v>
      </c>
      <c r="AG137" s="1663">
        <v>0</v>
      </c>
      <c r="AH137" s="1663"/>
      <c r="AI137" s="1663"/>
      <c r="AJ137" s="1663"/>
      <c r="AK137" s="1663">
        <v>1</v>
      </c>
      <c r="AL137" s="1671">
        <v>17523423</v>
      </c>
    </row>
    <row r="138" spans="2:38">
      <c r="B138" s="1666">
        <v>6</v>
      </c>
      <c r="C138" s="1663">
        <v>1</v>
      </c>
      <c r="D138" s="1663">
        <v>15</v>
      </c>
      <c r="E138" s="1663" t="s">
        <v>11908</v>
      </c>
      <c r="F138" s="1663" t="s">
        <v>11367</v>
      </c>
      <c r="G138" s="1663" t="s">
        <v>12045</v>
      </c>
      <c r="H138" s="1663" t="s">
        <v>10027</v>
      </c>
      <c r="I138" s="1663" t="s">
        <v>10027</v>
      </c>
      <c r="J138" s="1663">
        <v>90632345</v>
      </c>
      <c r="K138" s="1663" t="s">
        <v>10027</v>
      </c>
      <c r="L138" s="1663" t="s">
        <v>11991</v>
      </c>
      <c r="M138" s="1663">
        <v>2597499</v>
      </c>
      <c r="N138" s="1663" t="s">
        <v>11994</v>
      </c>
      <c r="O138" s="1663" t="s">
        <v>11735</v>
      </c>
      <c r="P138" s="1663" t="s">
        <v>12068</v>
      </c>
      <c r="Q138" s="1663" t="s">
        <v>12001</v>
      </c>
      <c r="R138" s="1663" t="s">
        <v>12069</v>
      </c>
      <c r="S138" s="1663" t="s">
        <v>10027</v>
      </c>
      <c r="T138" s="1663" t="s">
        <v>12049</v>
      </c>
      <c r="U138" s="1663"/>
      <c r="V138" s="1663"/>
      <c r="W138" s="1663"/>
      <c r="X138" s="1663"/>
      <c r="Y138" s="1663"/>
      <c r="Z138" s="1663"/>
      <c r="AA138" s="1663">
        <v>0</v>
      </c>
      <c r="AB138" s="1663">
        <v>0</v>
      </c>
      <c r="AC138" s="1663">
        <v>0</v>
      </c>
      <c r="AD138" s="1663">
        <v>0</v>
      </c>
      <c r="AE138" s="1663">
        <v>0</v>
      </c>
      <c r="AF138" s="1663">
        <v>0</v>
      </c>
      <c r="AG138" s="1663">
        <v>0</v>
      </c>
      <c r="AH138" s="1663"/>
      <c r="AI138" s="1663"/>
      <c r="AJ138" s="1663"/>
      <c r="AK138" s="1663">
        <v>1</v>
      </c>
      <c r="AL138" s="1671">
        <v>17523423</v>
      </c>
    </row>
    <row r="139" spans="2:38">
      <c r="B139" s="1666">
        <v>6</v>
      </c>
      <c r="C139" s="1663">
        <v>1</v>
      </c>
      <c r="D139" s="1663">
        <v>16</v>
      </c>
      <c r="E139" s="1663" t="s">
        <v>11908</v>
      </c>
      <c r="F139" s="1663" t="s">
        <v>11367</v>
      </c>
      <c r="G139" s="1663" t="s">
        <v>12045</v>
      </c>
      <c r="H139" s="1663" t="s">
        <v>10027</v>
      </c>
      <c r="I139" s="1663" t="s">
        <v>10027</v>
      </c>
      <c r="J139" s="1663">
        <v>90503975</v>
      </c>
      <c r="K139" s="1663" t="s">
        <v>10027</v>
      </c>
      <c r="L139" s="1663" t="s">
        <v>12004</v>
      </c>
      <c r="M139" s="1663">
        <v>2388074</v>
      </c>
      <c r="N139" s="1663" t="s">
        <v>12007</v>
      </c>
      <c r="O139" s="1663" t="s">
        <v>11735</v>
      </c>
      <c r="P139" s="1663" t="s">
        <v>12062</v>
      </c>
      <c r="Q139" s="1663" t="s">
        <v>12008</v>
      </c>
      <c r="R139" s="1663" t="s">
        <v>12070</v>
      </c>
      <c r="S139" s="1663" t="s">
        <v>10027</v>
      </c>
      <c r="T139" s="1663" t="s">
        <v>12049</v>
      </c>
      <c r="U139" s="1663"/>
      <c r="V139" s="1663"/>
      <c r="W139" s="1663"/>
      <c r="X139" s="1663"/>
      <c r="Y139" s="1663"/>
      <c r="Z139" s="1663"/>
      <c r="AA139" s="1663">
        <v>0</v>
      </c>
      <c r="AB139" s="1663">
        <v>0</v>
      </c>
      <c r="AC139" s="1663">
        <v>0</v>
      </c>
      <c r="AD139" s="1663">
        <v>0</v>
      </c>
      <c r="AE139" s="1663">
        <v>0</v>
      </c>
      <c r="AF139" s="1663">
        <v>0</v>
      </c>
      <c r="AG139" s="1663">
        <v>0</v>
      </c>
      <c r="AH139" s="1663"/>
      <c r="AI139" s="1663"/>
      <c r="AJ139" s="1663"/>
      <c r="AK139" s="1663">
        <v>1</v>
      </c>
      <c r="AL139" s="1671">
        <v>17523423</v>
      </c>
    </row>
    <row r="140" spans="2:38">
      <c r="B140" s="1666">
        <v>6</v>
      </c>
      <c r="C140" s="1663">
        <v>1</v>
      </c>
      <c r="D140" s="1663">
        <v>17</v>
      </c>
      <c r="E140" s="1663" t="s">
        <v>11908</v>
      </c>
      <c r="F140" s="1663" t="s">
        <v>11367</v>
      </c>
      <c r="G140" s="1663" t="s">
        <v>12045</v>
      </c>
      <c r="H140" s="1663" t="s">
        <v>10027</v>
      </c>
      <c r="I140" s="1663" t="s">
        <v>10027</v>
      </c>
      <c r="J140" s="1663">
        <v>90257060</v>
      </c>
      <c r="K140" s="1663" t="s">
        <v>10027</v>
      </c>
      <c r="L140" s="1663" t="s">
        <v>12014</v>
      </c>
      <c r="M140" s="1663">
        <v>1961536</v>
      </c>
      <c r="N140" s="1663" t="s">
        <v>12017</v>
      </c>
      <c r="O140" s="1663" t="s">
        <v>11735</v>
      </c>
      <c r="P140" s="1663" t="s">
        <v>12062</v>
      </c>
      <c r="Q140" s="1663" t="s">
        <v>12024</v>
      </c>
      <c r="R140" s="1663" t="s">
        <v>12071</v>
      </c>
      <c r="S140" s="1663" t="s">
        <v>10027</v>
      </c>
      <c r="T140" s="1663" t="s">
        <v>12049</v>
      </c>
      <c r="U140" s="1663"/>
      <c r="V140" s="1663"/>
      <c r="W140" s="1663"/>
      <c r="X140" s="1663"/>
      <c r="Y140" s="1663"/>
      <c r="Z140" s="1663"/>
      <c r="AA140" s="1663">
        <v>0</v>
      </c>
      <c r="AB140" s="1663">
        <v>0</v>
      </c>
      <c r="AC140" s="1663">
        <v>0</v>
      </c>
      <c r="AD140" s="1663">
        <v>0</v>
      </c>
      <c r="AE140" s="1663">
        <v>0</v>
      </c>
      <c r="AF140" s="1663">
        <v>0</v>
      </c>
      <c r="AG140" s="1663">
        <v>0</v>
      </c>
      <c r="AH140" s="1663"/>
      <c r="AI140" s="1663"/>
      <c r="AJ140" s="1663"/>
      <c r="AK140" s="1663">
        <v>1</v>
      </c>
      <c r="AL140" s="1671">
        <v>17523423</v>
      </c>
    </row>
    <row r="141" spans="2:38">
      <c r="B141" s="1666">
        <v>6</v>
      </c>
      <c r="C141" s="1663">
        <v>1</v>
      </c>
      <c r="D141" s="1663">
        <v>18</v>
      </c>
      <c r="E141" s="1663" t="s">
        <v>11908</v>
      </c>
      <c r="F141" s="1663" t="s">
        <v>11367</v>
      </c>
      <c r="G141" s="1663" t="s">
        <v>12045</v>
      </c>
      <c r="H141" s="1663" t="s">
        <v>10027</v>
      </c>
      <c r="I141" s="1663" t="s">
        <v>10027</v>
      </c>
      <c r="J141" s="1663">
        <v>90648118</v>
      </c>
      <c r="K141" s="1663" t="s">
        <v>10027</v>
      </c>
      <c r="L141" s="1663" t="s">
        <v>12014</v>
      </c>
      <c r="M141" s="1663">
        <v>2620252</v>
      </c>
      <c r="N141" s="1663" t="s">
        <v>12017</v>
      </c>
      <c r="O141" s="1663" t="s">
        <v>11735</v>
      </c>
      <c r="P141" s="1663" t="s">
        <v>12062</v>
      </c>
      <c r="Q141" s="1663" t="s">
        <v>12018</v>
      </c>
      <c r="R141" s="1663" t="s">
        <v>12072</v>
      </c>
      <c r="S141" s="1663" t="s">
        <v>10027</v>
      </c>
      <c r="T141" s="1663" t="s">
        <v>12049</v>
      </c>
      <c r="U141" s="1663"/>
      <c r="V141" s="1663"/>
      <c r="W141" s="1663"/>
      <c r="X141" s="1663"/>
      <c r="Y141" s="1663"/>
      <c r="Z141" s="1663"/>
      <c r="AA141" s="1663">
        <v>0</v>
      </c>
      <c r="AB141" s="1663">
        <v>0</v>
      </c>
      <c r="AC141" s="1663">
        <v>0</v>
      </c>
      <c r="AD141" s="1663">
        <v>0</v>
      </c>
      <c r="AE141" s="1663">
        <v>0</v>
      </c>
      <c r="AF141" s="1663">
        <v>0</v>
      </c>
      <c r="AG141" s="1663">
        <v>0</v>
      </c>
      <c r="AH141" s="1663"/>
      <c r="AI141" s="1663"/>
      <c r="AJ141" s="1663"/>
      <c r="AK141" s="1663">
        <v>1</v>
      </c>
      <c r="AL141" s="1671">
        <v>17523423</v>
      </c>
    </row>
    <row r="142" spans="2:38">
      <c r="B142" s="1667">
        <v>6</v>
      </c>
      <c r="C142" s="1668">
        <v>1</v>
      </c>
      <c r="D142" s="1668">
        <v>19</v>
      </c>
      <c r="E142" s="1668" t="s">
        <v>11908</v>
      </c>
      <c r="F142" s="1668" t="s">
        <v>11367</v>
      </c>
      <c r="G142" s="1668" t="s">
        <v>12045</v>
      </c>
      <c r="H142" s="1668" t="s">
        <v>10027</v>
      </c>
      <c r="I142" s="1668" t="s">
        <v>10027</v>
      </c>
      <c r="J142" s="1668">
        <v>90253437</v>
      </c>
      <c r="K142" s="1668" t="s">
        <v>10027</v>
      </c>
      <c r="L142" s="1668" t="s">
        <v>12030</v>
      </c>
      <c r="M142" s="1668">
        <v>1961555</v>
      </c>
      <c r="N142" s="1668" t="s">
        <v>12033</v>
      </c>
      <c r="O142" s="1668" t="s">
        <v>11735</v>
      </c>
      <c r="P142" s="1668" t="s">
        <v>12062</v>
      </c>
      <c r="Q142" s="1668" t="s">
        <v>12034</v>
      </c>
      <c r="R142" s="1668" t="s">
        <v>12073</v>
      </c>
      <c r="S142" s="1668" t="s">
        <v>10027</v>
      </c>
      <c r="T142" s="1668" t="s">
        <v>12049</v>
      </c>
      <c r="U142" s="1668"/>
      <c r="V142" s="1668"/>
      <c r="W142" s="1668"/>
      <c r="X142" s="1668"/>
      <c r="Y142" s="1668"/>
      <c r="Z142" s="1668"/>
      <c r="AA142" s="1668">
        <v>0</v>
      </c>
      <c r="AB142" s="1668">
        <v>0</v>
      </c>
      <c r="AC142" s="1668">
        <v>0</v>
      </c>
      <c r="AD142" s="1668">
        <v>0</v>
      </c>
      <c r="AE142" s="1668">
        <v>0</v>
      </c>
      <c r="AF142" s="1668">
        <v>0</v>
      </c>
      <c r="AG142" s="1668">
        <v>0</v>
      </c>
      <c r="AH142" s="1668"/>
      <c r="AI142" s="1668"/>
      <c r="AJ142" s="1668"/>
      <c r="AK142" s="1668">
        <v>1</v>
      </c>
      <c r="AL142" s="1672">
        <v>17523423</v>
      </c>
    </row>
    <row r="145" spans="2:38" ht="12.75" thickBot="1">
      <c r="B145" s="1673" t="s">
        <v>12074</v>
      </c>
    </row>
    <row r="146" spans="2:38" ht="34.5" thickBot="1">
      <c r="B146" s="1676" t="s">
        <v>11705</v>
      </c>
      <c r="C146" s="1676" t="s">
        <v>11706</v>
      </c>
      <c r="D146" s="1676" t="s">
        <v>11707</v>
      </c>
      <c r="E146" s="1676" t="s">
        <v>11708</v>
      </c>
      <c r="F146" s="1676" t="s">
        <v>477</v>
      </c>
      <c r="G146" s="1676" t="s">
        <v>11709</v>
      </c>
      <c r="H146" s="1676" t="s">
        <v>11743</v>
      </c>
      <c r="I146" s="1676" t="s">
        <v>9595</v>
      </c>
      <c r="J146" s="1676" t="s">
        <v>11844</v>
      </c>
      <c r="K146" s="1676" t="s">
        <v>11894</v>
      </c>
      <c r="L146" s="1676" t="s">
        <v>9206</v>
      </c>
      <c r="M146" s="1676" t="s">
        <v>623</v>
      </c>
      <c r="N146" s="1676" t="s">
        <v>11717</v>
      </c>
      <c r="O146" s="1676" t="s">
        <v>11769</v>
      </c>
      <c r="P146" s="1676" t="s">
        <v>10477</v>
      </c>
      <c r="Q146" s="1676" t="s">
        <v>11893</v>
      </c>
      <c r="R146" s="1676" t="s">
        <v>11714</v>
      </c>
      <c r="S146" s="1676" t="s">
        <v>11845</v>
      </c>
      <c r="T146" s="1676" t="s">
        <v>12041</v>
      </c>
      <c r="U146" s="1676" t="s">
        <v>12075</v>
      </c>
      <c r="V146" s="1676" t="s">
        <v>11846</v>
      </c>
      <c r="W146" s="1676" t="s">
        <v>11847</v>
      </c>
      <c r="X146" s="1676" t="s">
        <v>11848</v>
      </c>
      <c r="Y146" s="1676" t="s">
        <v>11849</v>
      </c>
      <c r="Z146" s="1676"/>
      <c r="AA146" s="1676" t="s">
        <v>9628</v>
      </c>
      <c r="AB146" s="1676" t="s">
        <v>11719</v>
      </c>
      <c r="AC146" s="1676" t="s">
        <v>11691</v>
      </c>
      <c r="AD146" s="1676" t="s">
        <v>11692</v>
      </c>
      <c r="AE146" s="1676" t="s">
        <v>11720</v>
      </c>
      <c r="AF146" s="1676" t="s">
        <v>11693</v>
      </c>
      <c r="AG146" s="1676" t="s">
        <v>11721</v>
      </c>
      <c r="AH146" s="1676" t="s">
        <v>11694</v>
      </c>
      <c r="AI146" s="1676" t="s">
        <v>11722</v>
      </c>
      <c r="AJ146" s="1676" t="s">
        <v>10358</v>
      </c>
      <c r="AK146" s="1676" t="s">
        <v>11723</v>
      </c>
      <c r="AL146" s="1676" t="s">
        <v>11724</v>
      </c>
    </row>
    <row r="147" spans="2:38">
      <c r="B147" s="1675">
        <v>6</v>
      </c>
      <c r="C147" s="1674">
        <v>2</v>
      </c>
      <c r="D147" s="1674">
        <v>1</v>
      </c>
      <c r="E147" s="1674" t="s">
        <v>11908</v>
      </c>
      <c r="F147" s="1674" t="s">
        <v>11367</v>
      </c>
      <c r="G147" s="1674" t="s">
        <v>11851</v>
      </c>
      <c r="H147" s="1674" t="s">
        <v>11852</v>
      </c>
      <c r="I147" s="1674" t="s">
        <v>11851</v>
      </c>
      <c r="J147" s="1674" t="s">
        <v>11853</v>
      </c>
      <c r="K147" s="1674" t="s">
        <v>10027</v>
      </c>
      <c r="L147" s="1674" t="s">
        <v>10027</v>
      </c>
      <c r="M147" s="1674" t="s">
        <v>12076</v>
      </c>
      <c r="N147" s="1674" t="s">
        <v>11855</v>
      </c>
      <c r="O147" s="1674" t="s">
        <v>12046</v>
      </c>
      <c r="P147" s="1674" t="s">
        <v>11871</v>
      </c>
      <c r="Q147" s="1674">
        <v>90702520</v>
      </c>
      <c r="R147" s="1674" t="s">
        <v>11871</v>
      </c>
      <c r="S147" s="1674" t="s">
        <v>11910</v>
      </c>
      <c r="T147" s="1674" t="s">
        <v>12046</v>
      </c>
      <c r="U147" s="1674" t="s">
        <v>12077</v>
      </c>
      <c r="V147" s="1674" t="s">
        <v>11914</v>
      </c>
      <c r="W147" s="1674" t="s">
        <v>11871</v>
      </c>
      <c r="X147" s="1674">
        <v>19620</v>
      </c>
      <c r="Y147" s="1674">
        <v>18030</v>
      </c>
      <c r="Z147" s="1674"/>
      <c r="AA147" s="1674">
        <v>0</v>
      </c>
      <c r="AB147" s="1674">
        <v>1</v>
      </c>
      <c r="AC147" s="1674">
        <v>732.5</v>
      </c>
      <c r="AD147" s="1674">
        <v>1600</v>
      </c>
      <c r="AE147" s="1674">
        <v>2100</v>
      </c>
      <c r="AF147" s="1674">
        <v>640</v>
      </c>
      <c r="AG147" s="1674">
        <v>0</v>
      </c>
      <c r="AH147" s="1674"/>
      <c r="AI147" s="1674"/>
      <c r="AJ147" s="1674"/>
      <c r="AK147" s="1674">
        <v>1</v>
      </c>
      <c r="AL147" s="1677">
        <v>17523423</v>
      </c>
    </row>
    <row r="148" spans="2:38">
      <c r="B148" s="1666">
        <v>6</v>
      </c>
      <c r="C148" s="1663">
        <v>2</v>
      </c>
      <c r="D148" s="1663">
        <v>2</v>
      </c>
      <c r="E148" s="1663" t="s">
        <v>11908</v>
      </c>
      <c r="F148" s="1663" t="s">
        <v>11367</v>
      </c>
      <c r="G148" s="1663" t="s">
        <v>11851</v>
      </c>
      <c r="H148" s="1663" t="s">
        <v>11852</v>
      </c>
      <c r="I148" s="1663" t="s">
        <v>11851</v>
      </c>
      <c r="J148" s="1663" t="s">
        <v>11853</v>
      </c>
      <c r="K148" s="1663" t="s">
        <v>10027</v>
      </c>
      <c r="L148" s="1663" t="s">
        <v>10027</v>
      </c>
      <c r="M148" s="1663" t="s">
        <v>12078</v>
      </c>
      <c r="N148" s="1663" t="s">
        <v>11855</v>
      </c>
      <c r="O148" s="1663" t="s">
        <v>12046</v>
      </c>
      <c r="P148" s="1663" t="s">
        <v>11871</v>
      </c>
      <c r="Q148" s="1663">
        <v>90703224</v>
      </c>
      <c r="R148" s="1663" t="s">
        <v>11871</v>
      </c>
      <c r="S148" s="1663" t="s">
        <v>11910</v>
      </c>
      <c r="T148" s="1663" t="s">
        <v>12046</v>
      </c>
      <c r="U148" s="1663" t="s">
        <v>12077</v>
      </c>
      <c r="V148" s="1663" t="s">
        <v>11914</v>
      </c>
      <c r="W148" s="1663" t="s">
        <v>11871</v>
      </c>
      <c r="X148" s="1663">
        <v>19617</v>
      </c>
      <c r="Y148" s="1663">
        <v>18030</v>
      </c>
      <c r="Z148" s="1663"/>
      <c r="AA148" s="1663">
        <v>0</v>
      </c>
      <c r="AB148" s="1663">
        <v>4</v>
      </c>
      <c r="AC148" s="1663">
        <v>512.5</v>
      </c>
      <c r="AD148" s="1663">
        <v>910</v>
      </c>
      <c r="AE148" s="1663">
        <v>2100</v>
      </c>
      <c r="AF148" s="1663">
        <v>364</v>
      </c>
      <c r="AG148" s="1663">
        <v>0</v>
      </c>
      <c r="AH148" s="1663"/>
      <c r="AI148" s="1663"/>
      <c r="AJ148" s="1663"/>
      <c r="AK148" s="1663">
        <v>1</v>
      </c>
      <c r="AL148" s="1671">
        <v>17523423</v>
      </c>
    </row>
    <row r="149" spans="2:38">
      <c r="B149" s="1666">
        <v>6</v>
      </c>
      <c r="C149" s="1663">
        <v>2</v>
      </c>
      <c r="D149" s="1663">
        <v>3</v>
      </c>
      <c r="E149" s="1663" t="s">
        <v>11908</v>
      </c>
      <c r="F149" s="1663" t="s">
        <v>11367</v>
      </c>
      <c r="G149" s="1663" t="s">
        <v>11851</v>
      </c>
      <c r="H149" s="1663" t="s">
        <v>11852</v>
      </c>
      <c r="I149" s="1663" t="s">
        <v>11851</v>
      </c>
      <c r="J149" s="1663" t="s">
        <v>11853</v>
      </c>
      <c r="K149" s="1663" t="s">
        <v>10027</v>
      </c>
      <c r="L149" s="1663" t="s">
        <v>10027</v>
      </c>
      <c r="M149" s="1663" t="s">
        <v>11863</v>
      </c>
      <c r="N149" s="1663" t="s">
        <v>11855</v>
      </c>
      <c r="O149" s="1663" t="s">
        <v>11937</v>
      </c>
      <c r="P149" s="1663" t="s">
        <v>11871</v>
      </c>
      <c r="Q149" s="1663">
        <v>90443817</v>
      </c>
      <c r="R149" s="1663" t="s">
        <v>11864</v>
      </c>
      <c r="S149" s="1663" t="s">
        <v>54</v>
      </c>
      <c r="T149" s="1663" t="s">
        <v>11937</v>
      </c>
      <c r="U149" s="1663" t="s">
        <v>12077</v>
      </c>
      <c r="V149" s="1663" t="s">
        <v>11937</v>
      </c>
      <c r="W149" s="1663" t="s">
        <v>11865</v>
      </c>
      <c r="X149" s="1663">
        <v>17999</v>
      </c>
      <c r="Y149" s="1663">
        <v>18030</v>
      </c>
      <c r="Z149" s="1663"/>
      <c r="AA149" s="1663">
        <v>0</v>
      </c>
      <c r="AB149" s="1663">
        <v>1</v>
      </c>
      <c r="AC149" s="1663">
        <v>726</v>
      </c>
      <c r="AD149" s="1663">
        <v>1760</v>
      </c>
      <c r="AE149" s="1663">
        <v>2200</v>
      </c>
      <c r="AF149" s="1663">
        <v>616</v>
      </c>
      <c r="AG149" s="1663">
        <v>0</v>
      </c>
      <c r="AH149" s="1663"/>
      <c r="AI149" s="1663"/>
      <c r="AJ149" s="1663"/>
      <c r="AK149" s="1663">
        <v>1</v>
      </c>
      <c r="AL149" s="1671">
        <v>17523423</v>
      </c>
    </row>
    <row r="150" spans="2:38">
      <c r="B150" s="1666">
        <v>6</v>
      </c>
      <c r="C150" s="1663">
        <v>2</v>
      </c>
      <c r="D150" s="1663">
        <v>4</v>
      </c>
      <c r="E150" s="1663" t="s">
        <v>11908</v>
      </c>
      <c r="F150" s="1663" t="s">
        <v>11367</v>
      </c>
      <c r="G150" s="1663" t="s">
        <v>11851</v>
      </c>
      <c r="H150" s="1663" t="s">
        <v>11852</v>
      </c>
      <c r="I150" s="1663" t="s">
        <v>11851</v>
      </c>
      <c r="J150" s="1663" t="s">
        <v>11853</v>
      </c>
      <c r="K150" s="1663" t="s">
        <v>12079</v>
      </c>
      <c r="L150" s="1663" t="s">
        <v>12080</v>
      </c>
      <c r="M150" s="1663" t="s">
        <v>12078</v>
      </c>
      <c r="N150" s="1663" t="s">
        <v>11855</v>
      </c>
      <c r="O150" s="1663" t="s">
        <v>12081</v>
      </c>
      <c r="P150" s="1663" t="s">
        <v>11871</v>
      </c>
      <c r="Q150" s="1663">
        <v>90681162</v>
      </c>
      <c r="R150" s="1663" t="s">
        <v>11871</v>
      </c>
      <c r="S150" s="1663" t="s">
        <v>11944</v>
      </c>
      <c r="T150" s="1663" t="s">
        <v>12046</v>
      </c>
      <c r="U150" s="1663" t="s">
        <v>12077</v>
      </c>
      <c r="V150" s="1663" t="s">
        <v>11949</v>
      </c>
      <c r="W150" s="1663" t="s">
        <v>11871</v>
      </c>
      <c r="X150" s="1663">
        <v>19617</v>
      </c>
      <c r="Y150" s="1663">
        <v>18030</v>
      </c>
      <c r="Z150" s="1663"/>
      <c r="AA150" s="1663">
        <v>0</v>
      </c>
      <c r="AB150" s="1663">
        <v>1</v>
      </c>
      <c r="AC150" s="1663">
        <v>18485.5</v>
      </c>
      <c r="AD150" s="1663">
        <v>33610</v>
      </c>
      <c r="AE150" s="1663">
        <v>14940</v>
      </c>
      <c r="AF150" s="1663">
        <v>18485.5</v>
      </c>
      <c r="AG150" s="1663">
        <v>0</v>
      </c>
      <c r="AH150" s="1663"/>
      <c r="AI150" s="1663"/>
      <c r="AJ150" s="1663"/>
      <c r="AK150" s="1663">
        <v>1</v>
      </c>
      <c r="AL150" s="1671">
        <v>17523423</v>
      </c>
    </row>
    <row r="151" spans="2:38">
      <c r="B151" s="1666">
        <v>6</v>
      </c>
      <c r="C151" s="1663">
        <v>2</v>
      </c>
      <c r="D151" s="1663">
        <v>5</v>
      </c>
      <c r="E151" s="1663" t="s">
        <v>11908</v>
      </c>
      <c r="F151" s="1663" t="s">
        <v>11367</v>
      </c>
      <c r="G151" s="1663" t="s">
        <v>11851</v>
      </c>
      <c r="H151" s="1663" t="s">
        <v>11852</v>
      </c>
      <c r="I151" s="1663" t="s">
        <v>11851</v>
      </c>
      <c r="J151" s="1663" t="s">
        <v>11853</v>
      </c>
      <c r="K151" s="1663" t="s">
        <v>10027</v>
      </c>
      <c r="L151" s="1663" t="s">
        <v>10027</v>
      </c>
      <c r="M151" s="1663" t="s">
        <v>12082</v>
      </c>
      <c r="N151" s="1663" t="s">
        <v>11855</v>
      </c>
      <c r="O151" s="1663" t="s">
        <v>12062</v>
      </c>
      <c r="P151" s="1663" t="s">
        <v>11856</v>
      </c>
      <c r="Q151" s="1663">
        <v>90350646</v>
      </c>
      <c r="R151" s="1663" t="s">
        <v>12083</v>
      </c>
      <c r="S151" s="1663" t="s">
        <v>11953</v>
      </c>
      <c r="T151" s="1663" t="s">
        <v>12062</v>
      </c>
      <c r="U151" s="1663" t="s">
        <v>12077</v>
      </c>
      <c r="V151" s="1663" t="s">
        <v>11956</v>
      </c>
      <c r="W151" s="1663" t="s">
        <v>12084</v>
      </c>
      <c r="X151" s="1663">
        <v>17989</v>
      </c>
      <c r="Y151" s="1663">
        <v>18030</v>
      </c>
      <c r="Z151" s="1663"/>
      <c r="AA151" s="1663">
        <v>0</v>
      </c>
      <c r="AB151" s="1663">
        <v>1</v>
      </c>
      <c r="AC151" s="1663">
        <v>212.5</v>
      </c>
      <c r="AD151" s="1663">
        <v>490</v>
      </c>
      <c r="AE151" s="1663">
        <v>1500</v>
      </c>
      <c r="AF151" s="1663">
        <v>171.5</v>
      </c>
      <c r="AG151" s="1663">
        <v>0</v>
      </c>
      <c r="AH151" s="1663"/>
      <c r="AI151" s="1663"/>
      <c r="AJ151" s="1663"/>
      <c r="AK151" s="1663">
        <v>1</v>
      </c>
      <c r="AL151" s="1671">
        <v>17523423</v>
      </c>
    </row>
    <row r="152" spans="2:38">
      <c r="B152" s="1666">
        <v>6</v>
      </c>
      <c r="C152" s="1663">
        <v>2</v>
      </c>
      <c r="D152" s="1663">
        <v>6</v>
      </c>
      <c r="E152" s="1663" t="s">
        <v>11908</v>
      </c>
      <c r="F152" s="1663" t="s">
        <v>11367</v>
      </c>
      <c r="G152" s="1663" t="s">
        <v>11851</v>
      </c>
      <c r="H152" s="1663" t="s">
        <v>11852</v>
      </c>
      <c r="I152" s="1663" t="s">
        <v>11851</v>
      </c>
      <c r="J152" s="1663" t="s">
        <v>11853</v>
      </c>
      <c r="K152" s="1663" t="s">
        <v>10027</v>
      </c>
      <c r="L152" s="1663" t="s">
        <v>10027</v>
      </c>
      <c r="M152" s="1663" t="s">
        <v>11863</v>
      </c>
      <c r="N152" s="1663" t="s">
        <v>11855</v>
      </c>
      <c r="O152" s="1663" t="s">
        <v>12046</v>
      </c>
      <c r="P152" s="1663" t="s">
        <v>11871</v>
      </c>
      <c r="Q152" s="1663">
        <v>90440386</v>
      </c>
      <c r="R152" s="1663" t="s">
        <v>11864</v>
      </c>
      <c r="S152" s="1663" t="s">
        <v>492</v>
      </c>
      <c r="T152" s="1663" t="s">
        <v>12046</v>
      </c>
      <c r="U152" s="1663" t="s">
        <v>12077</v>
      </c>
      <c r="V152" s="1663" t="s">
        <v>11978</v>
      </c>
      <c r="W152" s="1663" t="s">
        <v>11865</v>
      </c>
      <c r="X152" s="1663">
        <v>17999</v>
      </c>
      <c r="Y152" s="1663">
        <v>18030</v>
      </c>
      <c r="Z152" s="1663"/>
      <c r="AA152" s="1663">
        <v>0</v>
      </c>
      <c r="AB152" s="1663">
        <v>3</v>
      </c>
      <c r="AC152" s="1663">
        <v>1297.5</v>
      </c>
      <c r="AD152" s="1663">
        <v>3540</v>
      </c>
      <c r="AE152" s="1663">
        <v>2000</v>
      </c>
      <c r="AF152" s="1663">
        <v>1062</v>
      </c>
      <c r="AG152" s="1663">
        <v>0</v>
      </c>
      <c r="AH152" s="1663"/>
      <c r="AI152" s="1663"/>
      <c r="AJ152" s="1663"/>
      <c r="AK152" s="1663">
        <v>1</v>
      </c>
      <c r="AL152" s="1671">
        <v>17523423</v>
      </c>
    </row>
    <row r="153" spans="2:38">
      <c r="B153" s="1666">
        <v>6</v>
      </c>
      <c r="C153" s="1663">
        <v>2</v>
      </c>
      <c r="D153" s="1663">
        <v>7</v>
      </c>
      <c r="E153" s="1663" t="s">
        <v>11908</v>
      </c>
      <c r="F153" s="1663" t="s">
        <v>11367</v>
      </c>
      <c r="G153" s="1663" t="s">
        <v>11851</v>
      </c>
      <c r="H153" s="1663" t="s">
        <v>11852</v>
      </c>
      <c r="I153" s="1663" t="s">
        <v>11851</v>
      </c>
      <c r="J153" s="1663" t="s">
        <v>11853</v>
      </c>
      <c r="K153" s="1663" t="s">
        <v>10027</v>
      </c>
      <c r="L153" s="1663" t="s">
        <v>10027</v>
      </c>
      <c r="M153" s="1663" t="s">
        <v>11880</v>
      </c>
      <c r="N153" s="1663" t="s">
        <v>11855</v>
      </c>
      <c r="O153" s="1663" t="s">
        <v>12068</v>
      </c>
      <c r="P153" s="1663" t="s">
        <v>11871</v>
      </c>
      <c r="Q153" s="1663">
        <v>90608354</v>
      </c>
      <c r="R153" s="1663" t="s">
        <v>11873</v>
      </c>
      <c r="S153" s="1663" t="s">
        <v>11991</v>
      </c>
      <c r="T153" s="1663" t="s">
        <v>12068</v>
      </c>
      <c r="U153" s="1663" t="s">
        <v>12077</v>
      </c>
      <c r="V153" s="1663" t="s">
        <v>11994</v>
      </c>
      <c r="W153" s="1663" t="s">
        <v>11874</v>
      </c>
      <c r="X153" s="1663">
        <v>18010</v>
      </c>
      <c r="Y153" s="1663">
        <v>18030</v>
      </c>
      <c r="Z153" s="1663"/>
      <c r="AA153" s="1663">
        <v>0</v>
      </c>
      <c r="AB153" s="1663">
        <v>1</v>
      </c>
      <c r="AC153" s="1663">
        <v>2337.5</v>
      </c>
      <c r="AD153" s="1663">
        <v>6120</v>
      </c>
      <c r="AE153" s="1663">
        <v>2000</v>
      </c>
      <c r="AF153" s="1663">
        <v>1958.4</v>
      </c>
      <c r="AG153" s="1663">
        <v>0</v>
      </c>
      <c r="AH153" s="1663"/>
      <c r="AI153" s="1663"/>
      <c r="AJ153" s="1663"/>
      <c r="AK153" s="1663">
        <v>1</v>
      </c>
      <c r="AL153" s="1671">
        <v>17523423</v>
      </c>
    </row>
    <row r="154" spans="2:38">
      <c r="B154" s="1666">
        <v>6</v>
      </c>
      <c r="C154" s="1663">
        <v>2</v>
      </c>
      <c r="D154" s="1663">
        <v>8</v>
      </c>
      <c r="E154" s="1663" t="s">
        <v>11908</v>
      </c>
      <c r="F154" s="1663" t="s">
        <v>11367</v>
      </c>
      <c r="G154" s="1663" t="s">
        <v>11851</v>
      </c>
      <c r="H154" s="1663" t="s">
        <v>11852</v>
      </c>
      <c r="I154" s="1663" t="s">
        <v>11851</v>
      </c>
      <c r="J154" s="1663" t="s">
        <v>11853</v>
      </c>
      <c r="K154" s="1663" t="s">
        <v>10027</v>
      </c>
      <c r="L154" s="1663" t="s">
        <v>10027</v>
      </c>
      <c r="M154" s="1663" t="s">
        <v>12085</v>
      </c>
      <c r="N154" s="1663" t="s">
        <v>11855</v>
      </c>
      <c r="O154" s="1663" t="s">
        <v>12068</v>
      </c>
      <c r="P154" s="1663" t="s">
        <v>11871</v>
      </c>
      <c r="Q154" s="1663">
        <v>90632345</v>
      </c>
      <c r="R154" s="1663" t="s">
        <v>12086</v>
      </c>
      <c r="S154" s="1663" t="s">
        <v>11991</v>
      </c>
      <c r="T154" s="1663" t="s">
        <v>12068</v>
      </c>
      <c r="U154" s="1663" t="s">
        <v>12077</v>
      </c>
      <c r="V154" s="1663" t="s">
        <v>11994</v>
      </c>
      <c r="W154" s="1663" t="s">
        <v>11865</v>
      </c>
      <c r="X154" s="1663">
        <v>18009</v>
      </c>
      <c r="Y154" s="1663">
        <v>18030</v>
      </c>
      <c r="Z154" s="1663"/>
      <c r="AA154" s="1663">
        <v>0</v>
      </c>
      <c r="AB154" s="1663">
        <v>1</v>
      </c>
      <c r="AC154" s="1663">
        <v>1692.5</v>
      </c>
      <c r="AD154" s="1663">
        <v>5020</v>
      </c>
      <c r="AE154" s="1663">
        <v>2000</v>
      </c>
      <c r="AF154" s="1663">
        <v>1606.4</v>
      </c>
      <c r="AG154" s="1663">
        <v>0</v>
      </c>
      <c r="AH154" s="1663"/>
      <c r="AI154" s="1663"/>
      <c r="AJ154" s="1663"/>
      <c r="AK154" s="1663">
        <v>1</v>
      </c>
      <c r="AL154" s="1671">
        <v>17523423</v>
      </c>
    </row>
    <row r="155" spans="2:38">
      <c r="B155" s="1666">
        <v>6</v>
      </c>
      <c r="C155" s="1663">
        <v>2</v>
      </c>
      <c r="D155" s="1663">
        <v>9</v>
      </c>
      <c r="E155" s="1663" t="s">
        <v>11908</v>
      </c>
      <c r="F155" s="1663" t="s">
        <v>11367</v>
      </c>
      <c r="G155" s="1663" t="s">
        <v>11851</v>
      </c>
      <c r="H155" s="1663" t="s">
        <v>11852</v>
      </c>
      <c r="I155" s="1663" t="s">
        <v>11851</v>
      </c>
      <c r="J155" s="1663" t="s">
        <v>11853</v>
      </c>
      <c r="K155" s="1663" t="s">
        <v>10027</v>
      </c>
      <c r="L155" s="1663" t="s">
        <v>10027</v>
      </c>
      <c r="M155" s="1663" t="s">
        <v>12087</v>
      </c>
      <c r="N155" s="1663" t="s">
        <v>11855</v>
      </c>
      <c r="O155" s="1663" t="s">
        <v>12062</v>
      </c>
      <c r="P155" s="1663" t="s">
        <v>11871</v>
      </c>
      <c r="Q155" s="1663">
        <v>90257060</v>
      </c>
      <c r="R155" s="1663" t="s">
        <v>11871</v>
      </c>
      <c r="S155" s="1663" t="s">
        <v>12014</v>
      </c>
      <c r="T155" s="1663" t="s">
        <v>12062</v>
      </c>
      <c r="U155" s="1663" t="s">
        <v>12077</v>
      </c>
      <c r="V155" s="1663" t="s">
        <v>12017</v>
      </c>
      <c r="W155" s="1663" t="s">
        <v>11871</v>
      </c>
      <c r="X155" s="1663">
        <v>19622</v>
      </c>
      <c r="Y155" s="1663">
        <v>18030</v>
      </c>
      <c r="Z155" s="1663"/>
      <c r="AA155" s="1663">
        <v>0</v>
      </c>
      <c r="AB155" s="1663">
        <v>1</v>
      </c>
      <c r="AC155" s="1663">
        <v>620</v>
      </c>
      <c r="AD155" s="1663">
        <v>920</v>
      </c>
      <c r="AE155" s="1663">
        <v>1800</v>
      </c>
      <c r="AF155" s="1663">
        <v>487.6</v>
      </c>
      <c r="AG155" s="1663">
        <v>0</v>
      </c>
      <c r="AH155" s="1663"/>
      <c r="AI155" s="1663"/>
      <c r="AJ155" s="1663"/>
      <c r="AK155" s="1663">
        <v>1</v>
      </c>
      <c r="AL155" s="1671">
        <v>17523423</v>
      </c>
    </row>
    <row r="156" spans="2:38">
      <c r="B156" s="1666">
        <v>6</v>
      </c>
      <c r="C156" s="1663">
        <v>2</v>
      </c>
      <c r="D156" s="1663">
        <v>10</v>
      </c>
      <c r="E156" s="1663" t="s">
        <v>11908</v>
      </c>
      <c r="F156" s="1663" t="s">
        <v>11367</v>
      </c>
      <c r="G156" s="1663" t="s">
        <v>11851</v>
      </c>
      <c r="H156" s="1663" t="s">
        <v>11852</v>
      </c>
      <c r="I156" s="1663" t="s">
        <v>11851</v>
      </c>
      <c r="J156" s="1663" t="s">
        <v>11853</v>
      </c>
      <c r="K156" s="1663" t="s">
        <v>10027</v>
      </c>
      <c r="L156" s="1663" t="s">
        <v>10027</v>
      </c>
      <c r="M156" s="1663" t="s">
        <v>11863</v>
      </c>
      <c r="N156" s="1663" t="s">
        <v>11855</v>
      </c>
      <c r="O156" s="1663" t="s">
        <v>12062</v>
      </c>
      <c r="P156" s="1663" t="s">
        <v>11871</v>
      </c>
      <c r="Q156" s="1663">
        <v>90648118</v>
      </c>
      <c r="R156" s="1663" t="s">
        <v>11864</v>
      </c>
      <c r="S156" s="1663" t="s">
        <v>12014</v>
      </c>
      <c r="T156" s="1663" t="s">
        <v>12062</v>
      </c>
      <c r="U156" s="1663" t="s">
        <v>12077</v>
      </c>
      <c r="V156" s="1663" t="s">
        <v>12017</v>
      </c>
      <c r="W156" s="1663" t="s">
        <v>11865</v>
      </c>
      <c r="X156" s="1663">
        <v>17999</v>
      </c>
      <c r="Y156" s="1663">
        <v>18030</v>
      </c>
      <c r="Z156" s="1663"/>
      <c r="AA156" s="1663">
        <v>0</v>
      </c>
      <c r="AB156" s="1663">
        <v>1</v>
      </c>
      <c r="AC156" s="1663">
        <v>675</v>
      </c>
      <c r="AD156" s="1663">
        <v>1060</v>
      </c>
      <c r="AE156" s="1663">
        <v>1800</v>
      </c>
      <c r="AF156" s="1663">
        <v>561.79999999999995</v>
      </c>
      <c r="AG156" s="1663">
        <v>0</v>
      </c>
      <c r="AH156" s="1663"/>
      <c r="AI156" s="1663"/>
      <c r="AJ156" s="1663"/>
      <c r="AK156" s="1663">
        <v>1</v>
      </c>
      <c r="AL156" s="1671">
        <v>17523423</v>
      </c>
    </row>
    <row r="157" spans="2:38">
      <c r="B157" s="1667">
        <v>6</v>
      </c>
      <c r="C157" s="1668">
        <v>2</v>
      </c>
      <c r="D157" s="1668">
        <v>11</v>
      </c>
      <c r="E157" s="1668" t="s">
        <v>11908</v>
      </c>
      <c r="F157" s="1668" t="s">
        <v>11367</v>
      </c>
      <c r="G157" s="1668" t="s">
        <v>11851</v>
      </c>
      <c r="H157" s="1668" t="s">
        <v>11852</v>
      </c>
      <c r="I157" s="1668" t="s">
        <v>11851</v>
      </c>
      <c r="J157" s="1668" t="s">
        <v>11853</v>
      </c>
      <c r="K157" s="1668" t="s">
        <v>10027</v>
      </c>
      <c r="L157" s="1668" t="s">
        <v>10027</v>
      </c>
      <c r="M157" s="1668" t="s">
        <v>12087</v>
      </c>
      <c r="N157" s="1668" t="s">
        <v>11855</v>
      </c>
      <c r="O157" s="1668" t="s">
        <v>12062</v>
      </c>
      <c r="P157" s="1668" t="s">
        <v>11871</v>
      </c>
      <c r="Q157" s="1668">
        <v>90253437</v>
      </c>
      <c r="R157" s="1668" t="s">
        <v>11871</v>
      </c>
      <c r="S157" s="1668" t="s">
        <v>12030</v>
      </c>
      <c r="T157" s="1668" t="s">
        <v>12062</v>
      </c>
      <c r="U157" s="1668" t="s">
        <v>12077</v>
      </c>
      <c r="V157" s="1668" t="s">
        <v>12033</v>
      </c>
      <c r="W157" s="1668" t="s">
        <v>11871</v>
      </c>
      <c r="X157" s="1668">
        <v>19622</v>
      </c>
      <c r="Y157" s="1668">
        <v>18030</v>
      </c>
      <c r="Z157" s="1668"/>
      <c r="AA157" s="1668">
        <v>0</v>
      </c>
      <c r="AB157" s="1668">
        <v>1</v>
      </c>
      <c r="AC157" s="1668">
        <v>230</v>
      </c>
      <c r="AD157" s="1668">
        <v>610</v>
      </c>
      <c r="AE157" s="1668">
        <v>1200</v>
      </c>
      <c r="AF157" s="1668">
        <v>213.5</v>
      </c>
      <c r="AG157" s="1668">
        <v>0</v>
      </c>
      <c r="AH157" s="1668"/>
      <c r="AI157" s="1668"/>
      <c r="AJ157" s="1668"/>
      <c r="AK157" s="1668">
        <v>1</v>
      </c>
      <c r="AL157" s="1672">
        <v>17523423</v>
      </c>
    </row>
    <row r="160" spans="2:38" ht="12.75" thickBot="1">
      <c r="B160" s="1673" t="s">
        <v>12088</v>
      </c>
    </row>
    <row r="161" spans="2:38" ht="34.5" thickBot="1">
      <c r="B161" s="1676" t="s">
        <v>11705</v>
      </c>
      <c r="C161" s="1676" t="s">
        <v>11706</v>
      </c>
      <c r="D161" s="1676" t="s">
        <v>11707</v>
      </c>
      <c r="E161" s="1676" t="s">
        <v>11708</v>
      </c>
      <c r="F161" s="1676" t="s">
        <v>477</v>
      </c>
      <c r="G161" s="1676" t="s">
        <v>11709</v>
      </c>
      <c r="H161" s="1676" t="s">
        <v>11743</v>
      </c>
      <c r="I161" s="1676" t="s">
        <v>9595</v>
      </c>
      <c r="J161" s="1676" t="s">
        <v>11844</v>
      </c>
      <c r="K161" s="1676" t="s">
        <v>11894</v>
      </c>
      <c r="L161" s="1676" t="s">
        <v>9206</v>
      </c>
      <c r="M161" s="1676" t="s">
        <v>623</v>
      </c>
      <c r="N161" s="1676" t="s">
        <v>11717</v>
      </c>
      <c r="O161" s="1676" t="s">
        <v>11769</v>
      </c>
      <c r="P161" s="1676" t="s">
        <v>10477</v>
      </c>
      <c r="Q161" s="1676" t="s">
        <v>11893</v>
      </c>
      <c r="R161" s="1676" t="s">
        <v>11714</v>
      </c>
      <c r="S161" s="1676" t="s">
        <v>11845</v>
      </c>
      <c r="T161" s="1676" t="s">
        <v>10478</v>
      </c>
      <c r="U161" s="1676" t="s">
        <v>12041</v>
      </c>
      <c r="V161" s="1676" t="s">
        <v>12075</v>
      </c>
      <c r="W161" s="1676" t="s">
        <v>11846</v>
      </c>
      <c r="X161" s="1676" t="s">
        <v>11847</v>
      </c>
      <c r="Y161" s="1676" t="s">
        <v>11848</v>
      </c>
      <c r="Z161" s="1676" t="s">
        <v>11849</v>
      </c>
      <c r="AA161" s="1676" t="s">
        <v>9628</v>
      </c>
      <c r="AB161" s="1676" t="s">
        <v>11719</v>
      </c>
      <c r="AC161" s="1676" t="s">
        <v>11691</v>
      </c>
      <c r="AD161" s="1676" t="s">
        <v>11692</v>
      </c>
      <c r="AE161" s="1676" t="s">
        <v>11720</v>
      </c>
      <c r="AF161" s="1676" t="s">
        <v>11693</v>
      </c>
      <c r="AG161" s="1676" t="s">
        <v>11721</v>
      </c>
      <c r="AH161" s="1676" t="s">
        <v>11694</v>
      </c>
      <c r="AI161" s="1676" t="s">
        <v>11722</v>
      </c>
      <c r="AJ161" s="1676" t="s">
        <v>10358</v>
      </c>
      <c r="AK161" s="1676" t="s">
        <v>11723</v>
      </c>
      <c r="AL161" s="1676" t="s">
        <v>11724</v>
      </c>
    </row>
    <row r="162" spans="2:38">
      <c r="B162" s="1675">
        <v>6</v>
      </c>
      <c r="C162" s="1674">
        <v>3</v>
      </c>
      <c r="D162" s="1674">
        <v>1</v>
      </c>
      <c r="E162" s="1674" t="s">
        <v>11908</v>
      </c>
      <c r="F162" s="1674" t="s">
        <v>11367</v>
      </c>
      <c r="G162" s="1674" t="s">
        <v>11851</v>
      </c>
      <c r="H162" s="1674" t="s">
        <v>11879</v>
      </c>
      <c r="I162" s="1674" t="s">
        <v>11851</v>
      </c>
      <c r="J162" s="1674" t="s">
        <v>11867</v>
      </c>
      <c r="K162" s="1674" t="s">
        <v>10027</v>
      </c>
      <c r="L162" s="1674" t="s">
        <v>10027</v>
      </c>
      <c r="M162" s="1674" t="s">
        <v>12076</v>
      </c>
      <c r="N162" s="1674" t="s">
        <v>11855</v>
      </c>
      <c r="O162" s="1674" t="s">
        <v>12062</v>
      </c>
      <c r="P162" s="1674" t="s">
        <v>11871</v>
      </c>
      <c r="Q162" s="1674">
        <v>90511560</v>
      </c>
      <c r="R162" s="1674" t="s">
        <v>11871</v>
      </c>
      <c r="S162" s="1674" t="s">
        <v>11953</v>
      </c>
      <c r="T162" s="1674" t="s">
        <v>12085</v>
      </c>
      <c r="U162" s="1674" t="s">
        <v>12062</v>
      </c>
      <c r="V162" s="1674" t="s">
        <v>12077</v>
      </c>
      <c r="W162" s="1674" t="s">
        <v>11956</v>
      </c>
      <c r="X162" s="1674" t="s">
        <v>12089</v>
      </c>
      <c r="Y162" s="1674">
        <v>19528</v>
      </c>
      <c r="Z162" s="1674">
        <v>18030</v>
      </c>
      <c r="AA162" s="1674">
        <v>0</v>
      </c>
      <c r="AB162" s="1674">
        <v>1</v>
      </c>
      <c r="AC162" s="1674">
        <v>280</v>
      </c>
      <c r="AD162" s="1674">
        <v>980</v>
      </c>
      <c r="AE162" s="1674">
        <v>1500</v>
      </c>
      <c r="AF162" s="1674">
        <v>343</v>
      </c>
      <c r="AG162" s="1674">
        <v>0</v>
      </c>
      <c r="AH162" s="1674"/>
      <c r="AI162" s="1674"/>
      <c r="AJ162" s="1674"/>
      <c r="AK162" s="1674">
        <v>1</v>
      </c>
      <c r="AL162" s="1677">
        <v>17523423</v>
      </c>
    </row>
    <row r="163" spans="2:38">
      <c r="B163" s="1666">
        <v>6</v>
      </c>
      <c r="C163" s="1663">
        <v>3</v>
      </c>
      <c r="D163" s="1663">
        <v>2</v>
      </c>
      <c r="E163" s="1663" t="s">
        <v>11908</v>
      </c>
      <c r="F163" s="1663" t="s">
        <v>11367</v>
      </c>
      <c r="G163" s="1663" t="s">
        <v>11851</v>
      </c>
      <c r="H163" s="1663" t="s">
        <v>11879</v>
      </c>
      <c r="I163" s="1663" t="s">
        <v>11851</v>
      </c>
      <c r="J163" s="1663" t="s">
        <v>11867</v>
      </c>
      <c r="K163" s="1663" t="s">
        <v>10027</v>
      </c>
      <c r="L163" s="1663" t="s">
        <v>10027</v>
      </c>
      <c r="M163" s="1663" t="s">
        <v>12076</v>
      </c>
      <c r="N163" s="1663" t="s">
        <v>11855</v>
      </c>
      <c r="O163" s="1663" t="s">
        <v>12062</v>
      </c>
      <c r="P163" s="1663" t="s">
        <v>11871</v>
      </c>
      <c r="Q163" s="1663">
        <v>90626672</v>
      </c>
      <c r="R163" s="1663" t="s">
        <v>11871</v>
      </c>
      <c r="S163" s="1663" t="s">
        <v>446</v>
      </c>
      <c r="T163" s="1663" t="s">
        <v>12085</v>
      </c>
      <c r="U163" s="1663" t="s">
        <v>12062</v>
      </c>
      <c r="V163" s="1663" t="s">
        <v>12077</v>
      </c>
      <c r="W163" s="1663" t="s">
        <v>11971</v>
      </c>
      <c r="X163" s="1663" t="s">
        <v>12089</v>
      </c>
      <c r="Y163" s="1663">
        <v>19528</v>
      </c>
      <c r="Z163" s="1663">
        <v>18030</v>
      </c>
      <c r="AA163" s="1663">
        <v>0</v>
      </c>
      <c r="AB163" s="1663">
        <v>1</v>
      </c>
      <c r="AC163" s="1663">
        <v>295</v>
      </c>
      <c r="AD163" s="1663">
        <v>980</v>
      </c>
      <c r="AE163" s="1663">
        <v>1500</v>
      </c>
      <c r="AF163" s="1663">
        <v>245</v>
      </c>
      <c r="AG163" s="1663">
        <v>0</v>
      </c>
      <c r="AH163" s="1663"/>
      <c r="AI163" s="1663"/>
      <c r="AJ163" s="1663"/>
      <c r="AK163" s="1663">
        <v>1</v>
      </c>
      <c r="AL163" s="1671">
        <v>17523423</v>
      </c>
    </row>
    <row r="164" spans="2:38">
      <c r="B164" s="1667">
        <v>6</v>
      </c>
      <c r="C164" s="1668">
        <v>3</v>
      </c>
      <c r="D164" s="1668">
        <v>3</v>
      </c>
      <c r="E164" s="1668" t="s">
        <v>11908</v>
      </c>
      <c r="F164" s="1668" t="s">
        <v>11367</v>
      </c>
      <c r="G164" s="1668" t="s">
        <v>11851</v>
      </c>
      <c r="H164" s="1668" t="s">
        <v>11879</v>
      </c>
      <c r="I164" s="1668" t="s">
        <v>11851</v>
      </c>
      <c r="J164" s="1668" t="s">
        <v>11867</v>
      </c>
      <c r="K164" s="1668" t="s">
        <v>10027</v>
      </c>
      <c r="L164" s="1668" t="s">
        <v>10027</v>
      </c>
      <c r="M164" s="1668" t="s">
        <v>12090</v>
      </c>
      <c r="N164" s="1668" t="s">
        <v>11855</v>
      </c>
      <c r="O164" s="1668" t="s">
        <v>12062</v>
      </c>
      <c r="P164" s="1668" t="s">
        <v>11871</v>
      </c>
      <c r="Q164" s="1668">
        <v>90503975</v>
      </c>
      <c r="R164" s="1668" t="s">
        <v>11871</v>
      </c>
      <c r="S164" s="1668" t="s">
        <v>12004</v>
      </c>
      <c r="T164" s="1668" t="s">
        <v>11875</v>
      </c>
      <c r="U164" s="1668" t="s">
        <v>12062</v>
      </c>
      <c r="V164" s="1668" t="s">
        <v>12077</v>
      </c>
      <c r="W164" s="1668" t="s">
        <v>12007</v>
      </c>
      <c r="X164" s="1668" t="s">
        <v>12091</v>
      </c>
      <c r="Y164" s="1668">
        <v>19552</v>
      </c>
      <c r="Z164" s="1668">
        <v>18030</v>
      </c>
      <c r="AA164" s="1668">
        <v>0</v>
      </c>
      <c r="AB164" s="1668">
        <v>1</v>
      </c>
      <c r="AC164" s="1668">
        <v>2407.3000000000002</v>
      </c>
      <c r="AD164" s="1668">
        <v>3150</v>
      </c>
      <c r="AE164" s="1668">
        <v>2000</v>
      </c>
      <c r="AF164" s="1668">
        <v>1575</v>
      </c>
      <c r="AG164" s="1668">
        <v>0</v>
      </c>
      <c r="AH164" s="1668"/>
      <c r="AI164" s="1668"/>
      <c r="AJ164" s="1668"/>
      <c r="AK164" s="1668">
        <v>1</v>
      </c>
      <c r="AL164" s="1672">
        <v>17523423</v>
      </c>
    </row>
    <row r="167" spans="2:38" ht="12.75" thickBot="1">
      <c r="B167" s="1673" t="s">
        <v>12092</v>
      </c>
    </row>
    <row r="168" spans="2:38" ht="34.5" thickBot="1">
      <c r="B168" s="1676" t="s">
        <v>11705</v>
      </c>
      <c r="C168" s="1676" t="s">
        <v>11706</v>
      </c>
      <c r="D168" s="1676" t="s">
        <v>11707</v>
      </c>
      <c r="E168" s="1676" t="s">
        <v>11708</v>
      </c>
      <c r="F168" s="1676" t="s">
        <v>477</v>
      </c>
      <c r="G168" s="1676" t="s">
        <v>11709</v>
      </c>
      <c r="H168" s="1676" t="s">
        <v>11743</v>
      </c>
      <c r="I168" s="1676" t="s">
        <v>9595</v>
      </c>
      <c r="J168" s="1676" t="s">
        <v>11844</v>
      </c>
      <c r="K168" s="1676" t="s">
        <v>11894</v>
      </c>
      <c r="L168" s="1676" t="s">
        <v>9206</v>
      </c>
      <c r="M168" s="1676" t="s">
        <v>623</v>
      </c>
      <c r="N168" s="1676" t="s">
        <v>11717</v>
      </c>
      <c r="O168" s="1676" t="s">
        <v>11769</v>
      </c>
      <c r="P168" s="1676" t="s">
        <v>10477</v>
      </c>
      <c r="Q168" s="1676" t="s">
        <v>11893</v>
      </c>
      <c r="R168" s="1676" t="s">
        <v>11714</v>
      </c>
      <c r="S168" s="1676" t="s">
        <v>11845</v>
      </c>
      <c r="T168" s="1676" t="s">
        <v>10478</v>
      </c>
      <c r="U168" s="1676" t="s">
        <v>12041</v>
      </c>
      <c r="V168" s="1676" t="s">
        <v>12075</v>
      </c>
      <c r="W168" s="1676" t="s">
        <v>11846</v>
      </c>
      <c r="X168" s="1676" t="s">
        <v>11847</v>
      </c>
      <c r="Y168" s="1676" t="s">
        <v>11848</v>
      </c>
      <c r="Z168" s="1676" t="s">
        <v>11849</v>
      </c>
      <c r="AA168" s="1676" t="s">
        <v>9628</v>
      </c>
      <c r="AB168" s="1676" t="s">
        <v>11719</v>
      </c>
      <c r="AC168" s="1676" t="s">
        <v>11691</v>
      </c>
      <c r="AD168" s="1676" t="s">
        <v>11692</v>
      </c>
      <c r="AE168" s="1676" t="s">
        <v>11720</v>
      </c>
      <c r="AF168" s="1676" t="s">
        <v>11693</v>
      </c>
      <c r="AG168" s="1676" t="s">
        <v>11721</v>
      </c>
      <c r="AH168" s="1676" t="s">
        <v>11694</v>
      </c>
      <c r="AI168" s="1676" t="s">
        <v>11722</v>
      </c>
      <c r="AJ168" s="1676" t="s">
        <v>10358</v>
      </c>
      <c r="AK168" s="1676" t="s">
        <v>11723</v>
      </c>
      <c r="AL168" s="1676" t="s">
        <v>11724</v>
      </c>
    </row>
    <row r="169" spans="2:38">
      <c r="B169" s="1678" t="s">
        <v>11725</v>
      </c>
      <c r="C169" s="1679"/>
      <c r="D169" s="1679"/>
      <c r="E169" s="1679"/>
      <c r="F169" s="1679"/>
      <c r="G169" s="1679"/>
      <c r="H169" s="1679"/>
      <c r="I169" s="1679"/>
      <c r="J169" s="1679"/>
      <c r="K169" s="1679"/>
      <c r="L169" s="1679"/>
      <c r="M169" s="1679"/>
      <c r="N169" s="1679"/>
      <c r="O169" s="1679"/>
      <c r="P169" s="1679"/>
      <c r="Q169" s="1679"/>
      <c r="R169" s="1679"/>
      <c r="S169" s="1679"/>
      <c r="T169" s="1679"/>
      <c r="U169" s="1679"/>
      <c r="V169" s="1679"/>
      <c r="W169" s="1679"/>
      <c r="X169" s="1679"/>
      <c r="Y169" s="1679"/>
      <c r="Z169" s="1679"/>
      <c r="AA169" s="1679"/>
      <c r="AB169" s="1679"/>
      <c r="AC169" s="1679"/>
      <c r="AD169" s="1679"/>
      <c r="AE169" s="1679"/>
      <c r="AF169" s="1679"/>
      <c r="AG169" s="1679"/>
      <c r="AH169" s="1679"/>
      <c r="AI169" s="1679"/>
      <c r="AJ169" s="1679"/>
      <c r="AK169" s="1679"/>
      <c r="AL169" s="1680"/>
    </row>
    <row r="172" spans="2:38" ht="12.75" thickBot="1">
      <c r="B172" s="1673" t="s">
        <v>12093</v>
      </c>
    </row>
    <row r="173" spans="2:38" ht="34.5" thickBot="1">
      <c r="B173" s="1676" t="s">
        <v>11705</v>
      </c>
      <c r="C173" s="1676" t="s">
        <v>11706</v>
      </c>
      <c r="D173" s="1676" t="s">
        <v>11707</v>
      </c>
      <c r="E173" s="1676" t="s">
        <v>11708</v>
      </c>
      <c r="F173" s="1676" t="s">
        <v>477</v>
      </c>
      <c r="G173" s="1676" t="s">
        <v>11709</v>
      </c>
      <c r="H173" s="1676" t="s">
        <v>11743</v>
      </c>
      <c r="I173" s="1676" t="s">
        <v>9595</v>
      </c>
      <c r="J173" s="1676" t="s">
        <v>11844</v>
      </c>
      <c r="K173" s="1676" t="s">
        <v>11894</v>
      </c>
      <c r="L173" s="1676" t="s">
        <v>9206</v>
      </c>
      <c r="M173" s="1676" t="s">
        <v>623</v>
      </c>
      <c r="N173" s="1676" t="s">
        <v>11717</v>
      </c>
      <c r="O173" s="1676" t="s">
        <v>11769</v>
      </c>
      <c r="P173" s="1676" t="s">
        <v>11893</v>
      </c>
      <c r="Q173" s="1676" t="s">
        <v>11714</v>
      </c>
      <c r="R173" s="1676" t="s">
        <v>11845</v>
      </c>
      <c r="S173" s="1676" t="s">
        <v>12041</v>
      </c>
      <c r="T173" s="1676" t="s">
        <v>11846</v>
      </c>
      <c r="U173" s="1676" t="s">
        <v>12075</v>
      </c>
      <c r="V173" s="1676" t="s">
        <v>11847</v>
      </c>
      <c r="W173" s="1676" t="s">
        <v>11848</v>
      </c>
      <c r="X173" s="1676" t="s">
        <v>11849</v>
      </c>
      <c r="Y173" s="1676" t="s">
        <v>11885</v>
      </c>
      <c r="Z173" s="1676"/>
      <c r="AA173" s="1676" t="s">
        <v>9628</v>
      </c>
      <c r="AB173" s="1676" t="s">
        <v>11719</v>
      </c>
      <c r="AC173" s="1676" t="s">
        <v>11691</v>
      </c>
      <c r="AD173" s="1676" t="s">
        <v>11692</v>
      </c>
      <c r="AE173" s="1676" t="s">
        <v>11720</v>
      </c>
      <c r="AF173" s="1676" t="s">
        <v>11693</v>
      </c>
      <c r="AG173" s="1676" t="s">
        <v>11721</v>
      </c>
      <c r="AH173" s="1676" t="s">
        <v>11694</v>
      </c>
      <c r="AI173" s="1676" t="s">
        <v>11722</v>
      </c>
      <c r="AJ173" s="1676" t="s">
        <v>10358</v>
      </c>
      <c r="AK173" s="1676" t="s">
        <v>11723</v>
      </c>
      <c r="AL173" s="1676" t="s">
        <v>11724</v>
      </c>
    </row>
    <row r="174" spans="2:38">
      <c r="B174" s="1678" t="s">
        <v>11725</v>
      </c>
      <c r="C174" s="1679"/>
      <c r="D174" s="1679"/>
      <c r="E174" s="1679"/>
      <c r="F174" s="1679"/>
      <c r="G174" s="1679"/>
      <c r="H174" s="1679"/>
      <c r="I174" s="1679"/>
      <c r="J174" s="1679"/>
      <c r="K174" s="1679"/>
      <c r="L174" s="1679"/>
      <c r="M174" s="1679"/>
      <c r="N174" s="1679"/>
      <c r="O174" s="1679"/>
      <c r="P174" s="1679"/>
      <c r="Q174" s="1679"/>
      <c r="R174" s="1679"/>
      <c r="S174" s="1679"/>
      <c r="T174" s="1679"/>
      <c r="U174" s="1679"/>
      <c r="V174" s="1679"/>
      <c r="W174" s="1679"/>
      <c r="X174" s="1679"/>
      <c r="Y174" s="1679"/>
      <c r="Z174" s="1679"/>
      <c r="AA174" s="1679"/>
      <c r="AB174" s="1679"/>
      <c r="AC174" s="1679"/>
      <c r="AD174" s="1679"/>
      <c r="AE174" s="1679"/>
      <c r="AF174" s="1679"/>
      <c r="AG174" s="1679"/>
      <c r="AH174" s="1679"/>
      <c r="AI174" s="1679"/>
      <c r="AJ174" s="1679"/>
      <c r="AK174" s="1679"/>
      <c r="AL174" s="1680"/>
    </row>
    <row r="177" spans="2:38" ht="12.75" thickBot="1">
      <c r="B177" s="1673" t="s">
        <v>12094</v>
      </c>
    </row>
    <row r="178" spans="2:38" ht="34.5" thickBot="1">
      <c r="B178" s="1676" t="s">
        <v>11705</v>
      </c>
      <c r="C178" s="1676" t="s">
        <v>11706</v>
      </c>
      <c r="D178" s="1676" t="s">
        <v>11707</v>
      </c>
      <c r="E178" s="1676" t="s">
        <v>11708</v>
      </c>
      <c r="F178" s="1676" t="s">
        <v>477</v>
      </c>
      <c r="G178" s="1676" t="s">
        <v>11709</v>
      </c>
      <c r="H178" s="1676" t="s">
        <v>11743</v>
      </c>
      <c r="I178" s="1676" t="s">
        <v>9595</v>
      </c>
      <c r="J178" s="1676" t="s">
        <v>11844</v>
      </c>
      <c r="K178" s="1676" t="s">
        <v>11894</v>
      </c>
      <c r="L178" s="1676" t="s">
        <v>9206</v>
      </c>
      <c r="M178" s="1676" t="s">
        <v>623</v>
      </c>
      <c r="N178" s="1676" t="s">
        <v>11717</v>
      </c>
      <c r="O178" s="1676" t="s">
        <v>11769</v>
      </c>
      <c r="P178" s="1676" t="s">
        <v>10477</v>
      </c>
      <c r="Q178" s="1676" t="s">
        <v>11893</v>
      </c>
      <c r="R178" s="1676" t="s">
        <v>11714</v>
      </c>
      <c r="S178" s="1676" t="s">
        <v>11845</v>
      </c>
      <c r="T178" s="1676" t="s">
        <v>12041</v>
      </c>
      <c r="U178" s="1676" t="s">
        <v>12075</v>
      </c>
      <c r="V178" s="1676" t="s">
        <v>11846</v>
      </c>
      <c r="W178" s="1676" t="s">
        <v>11847</v>
      </c>
      <c r="X178" s="1676" t="s">
        <v>11848</v>
      </c>
      <c r="Y178" s="1676" t="s">
        <v>11849</v>
      </c>
      <c r="Z178" s="1676"/>
      <c r="AA178" s="1676" t="s">
        <v>9628</v>
      </c>
      <c r="AB178" s="1676" t="s">
        <v>11719</v>
      </c>
      <c r="AC178" s="1676" t="s">
        <v>11691</v>
      </c>
      <c r="AD178" s="1676" t="s">
        <v>11692</v>
      </c>
      <c r="AE178" s="1676" t="s">
        <v>11720</v>
      </c>
      <c r="AF178" s="1676" t="s">
        <v>11693</v>
      </c>
      <c r="AG178" s="1676" t="s">
        <v>11721</v>
      </c>
      <c r="AH178" s="1676" t="s">
        <v>11694</v>
      </c>
      <c r="AI178" s="1676" t="s">
        <v>11722</v>
      </c>
      <c r="AJ178" s="1676" t="s">
        <v>10358</v>
      </c>
      <c r="AK178" s="1676" t="s">
        <v>11723</v>
      </c>
      <c r="AL178" s="1676" t="s">
        <v>11724</v>
      </c>
    </row>
    <row r="179" spans="2:38">
      <c r="B179" s="1678" t="s">
        <v>11725</v>
      </c>
      <c r="C179" s="1679"/>
      <c r="D179" s="1679"/>
      <c r="E179" s="1679"/>
      <c r="F179" s="1679"/>
      <c r="G179" s="1679"/>
      <c r="H179" s="1679"/>
      <c r="I179" s="1679"/>
      <c r="J179" s="1679"/>
      <c r="K179" s="1679"/>
      <c r="L179" s="1679"/>
      <c r="M179" s="1679"/>
      <c r="N179" s="1679"/>
      <c r="O179" s="1679"/>
      <c r="P179" s="1679"/>
      <c r="Q179" s="1679"/>
      <c r="R179" s="1679"/>
      <c r="S179" s="1679"/>
      <c r="T179" s="1679"/>
      <c r="U179" s="1679"/>
      <c r="V179" s="1679"/>
      <c r="W179" s="1679"/>
      <c r="X179" s="1679"/>
      <c r="Y179" s="1679"/>
      <c r="Z179" s="1679"/>
      <c r="AA179" s="1679"/>
      <c r="AB179" s="1679"/>
      <c r="AC179" s="1679"/>
      <c r="AD179" s="1679"/>
      <c r="AE179" s="1679"/>
      <c r="AF179" s="1679"/>
      <c r="AG179" s="1679"/>
      <c r="AH179" s="1679"/>
      <c r="AI179" s="1679"/>
      <c r="AJ179" s="1679"/>
      <c r="AK179" s="1679"/>
      <c r="AL179" s="1680"/>
    </row>
    <row r="182" spans="2:38" ht="12.75" thickBot="1">
      <c r="B182" s="1673" t="s">
        <v>12095</v>
      </c>
    </row>
    <row r="183" spans="2:38" ht="34.5" thickBot="1">
      <c r="B183" s="1676" t="s">
        <v>11705</v>
      </c>
      <c r="C183" s="1676" t="s">
        <v>11706</v>
      </c>
      <c r="D183" s="1676" t="s">
        <v>11707</v>
      </c>
      <c r="E183" s="1676" t="s">
        <v>11708</v>
      </c>
      <c r="F183" s="1676" t="s">
        <v>477</v>
      </c>
      <c r="G183" s="1676" t="s">
        <v>11709</v>
      </c>
      <c r="H183" s="1676" t="s">
        <v>11743</v>
      </c>
      <c r="I183" s="1676" t="s">
        <v>9595</v>
      </c>
      <c r="J183" s="1676" t="s">
        <v>11844</v>
      </c>
      <c r="K183" s="1676" t="s">
        <v>11894</v>
      </c>
      <c r="L183" s="1676" t="s">
        <v>9206</v>
      </c>
      <c r="M183" s="1676" t="s">
        <v>623</v>
      </c>
      <c r="N183" s="1676" t="s">
        <v>11717</v>
      </c>
      <c r="O183" s="1676" t="s">
        <v>11769</v>
      </c>
      <c r="P183" s="1676" t="s">
        <v>11893</v>
      </c>
      <c r="Q183" s="1676" t="s">
        <v>11845</v>
      </c>
      <c r="R183" s="1676" t="s">
        <v>12041</v>
      </c>
      <c r="S183" s="1676" t="s">
        <v>11846</v>
      </c>
      <c r="T183" s="1676" t="s">
        <v>12075</v>
      </c>
      <c r="U183" s="1676" t="s">
        <v>11848</v>
      </c>
      <c r="V183" s="1676" t="s">
        <v>11849</v>
      </c>
      <c r="W183" s="1676" t="s">
        <v>11885</v>
      </c>
      <c r="X183" s="1676" t="s">
        <v>11891</v>
      </c>
      <c r="Y183" s="1676" t="s">
        <v>12096</v>
      </c>
      <c r="Z183" s="1676"/>
      <c r="AA183" s="1676" t="s">
        <v>9628</v>
      </c>
      <c r="AB183" s="1676" t="s">
        <v>11719</v>
      </c>
      <c r="AC183" s="1676" t="s">
        <v>11691</v>
      </c>
      <c r="AD183" s="1676" t="s">
        <v>11692</v>
      </c>
      <c r="AE183" s="1676" t="s">
        <v>11720</v>
      </c>
      <c r="AF183" s="1676" t="s">
        <v>11693</v>
      </c>
      <c r="AG183" s="1676" t="s">
        <v>11721</v>
      </c>
      <c r="AH183" s="1676" t="s">
        <v>11694</v>
      </c>
      <c r="AI183" s="1676" t="s">
        <v>11722</v>
      </c>
      <c r="AJ183" s="1676" t="s">
        <v>10358</v>
      </c>
      <c r="AK183" s="1676" t="s">
        <v>11723</v>
      </c>
      <c r="AL183" s="1676" t="s">
        <v>11724</v>
      </c>
    </row>
    <row r="184" spans="2:38">
      <c r="B184" s="1675">
        <v>6</v>
      </c>
      <c r="C184" s="1674">
        <v>7</v>
      </c>
      <c r="D184" s="1674">
        <v>1</v>
      </c>
      <c r="E184" s="1674" t="s">
        <v>11908</v>
      </c>
      <c r="F184" s="1674" t="s">
        <v>11367</v>
      </c>
      <c r="G184" s="1674" t="s">
        <v>12097</v>
      </c>
      <c r="H184" s="1674" t="s">
        <v>12098</v>
      </c>
      <c r="I184" s="1674" t="s">
        <v>12097</v>
      </c>
      <c r="J184" s="1674" t="s">
        <v>12099</v>
      </c>
      <c r="K184" s="1674" t="s">
        <v>10027</v>
      </c>
      <c r="L184" s="1674" t="s">
        <v>10027</v>
      </c>
      <c r="M184" s="1674" t="s">
        <v>12076</v>
      </c>
      <c r="N184" s="1674" t="s">
        <v>11855</v>
      </c>
      <c r="O184" s="1674" t="s">
        <v>12046</v>
      </c>
      <c r="P184" s="1674">
        <v>90702520</v>
      </c>
      <c r="Q184" s="1674" t="s">
        <v>11910</v>
      </c>
      <c r="R184" s="1674" t="s">
        <v>12046</v>
      </c>
      <c r="S184" s="1674" t="s">
        <v>11914</v>
      </c>
      <c r="T184" s="1674" t="s">
        <v>12077</v>
      </c>
      <c r="U184" s="1674">
        <v>19690</v>
      </c>
      <c r="V184" s="1674">
        <v>18425</v>
      </c>
      <c r="W184" s="1674"/>
      <c r="X184" s="1674"/>
      <c r="Y184" s="1674"/>
      <c r="Z184" s="1674"/>
      <c r="AA184" s="1674">
        <v>0</v>
      </c>
      <c r="AB184" s="1674">
        <v>1</v>
      </c>
      <c r="AC184" s="1674">
        <v>0</v>
      </c>
      <c r="AD184" s="1674">
        <v>0</v>
      </c>
      <c r="AE184" s="1674">
        <v>0</v>
      </c>
      <c r="AF184" s="1674">
        <v>0</v>
      </c>
      <c r="AG184" s="1674">
        <v>0</v>
      </c>
      <c r="AH184" s="1674"/>
      <c r="AI184" s="1674"/>
      <c r="AJ184" s="1674"/>
      <c r="AK184" s="1674">
        <v>1</v>
      </c>
      <c r="AL184" s="1677">
        <v>17523423</v>
      </c>
    </row>
    <row r="185" spans="2:38">
      <c r="B185" s="1666">
        <v>6</v>
      </c>
      <c r="C185" s="1663">
        <v>7</v>
      </c>
      <c r="D185" s="1663">
        <v>2</v>
      </c>
      <c r="E185" s="1663" t="s">
        <v>11908</v>
      </c>
      <c r="F185" s="1663" t="s">
        <v>11367</v>
      </c>
      <c r="G185" s="1663" t="s">
        <v>12097</v>
      </c>
      <c r="H185" s="1663" t="s">
        <v>12098</v>
      </c>
      <c r="I185" s="1663" t="s">
        <v>12097</v>
      </c>
      <c r="J185" s="1663" t="s">
        <v>12099</v>
      </c>
      <c r="K185" s="1663" t="s">
        <v>10027</v>
      </c>
      <c r="L185" s="1663" t="s">
        <v>10027</v>
      </c>
      <c r="M185" s="1663" t="s">
        <v>12078</v>
      </c>
      <c r="N185" s="1663" t="s">
        <v>11855</v>
      </c>
      <c r="O185" s="1663" t="s">
        <v>12046</v>
      </c>
      <c r="P185" s="1663">
        <v>90703224</v>
      </c>
      <c r="Q185" s="1663" t="s">
        <v>11910</v>
      </c>
      <c r="R185" s="1663" t="s">
        <v>12046</v>
      </c>
      <c r="S185" s="1663" t="s">
        <v>11914</v>
      </c>
      <c r="T185" s="1663" t="s">
        <v>12077</v>
      </c>
      <c r="U185" s="1663">
        <v>19687</v>
      </c>
      <c r="V185" s="1663">
        <v>18425</v>
      </c>
      <c r="W185" s="1663"/>
      <c r="X185" s="1663"/>
      <c r="Y185" s="1663"/>
      <c r="Z185" s="1663"/>
      <c r="AA185" s="1663">
        <v>0</v>
      </c>
      <c r="AB185" s="1663">
        <v>1</v>
      </c>
      <c r="AC185" s="1663">
        <v>0</v>
      </c>
      <c r="AD185" s="1663">
        <v>0</v>
      </c>
      <c r="AE185" s="1663">
        <v>0</v>
      </c>
      <c r="AF185" s="1663">
        <v>0</v>
      </c>
      <c r="AG185" s="1663">
        <v>0</v>
      </c>
      <c r="AH185" s="1663"/>
      <c r="AI185" s="1663"/>
      <c r="AJ185" s="1663"/>
      <c r="AK185" s="1663">
        <v>1</v>
      </c>
      <c r="AL185" s="1671">
        <v>17523423</v>
      </c>
    </row>
    <row r="186" spans="2:38">
      <c r="B186" s="1666">
        <v>6</v>
      </c>
      <c r="C186" s="1663">
        <v>7</v>
      </c>
      <c r="D186" s="1663">
        <v>3</v>
      </c>
      <c r="E186" s="1663" t="s">
        <v>11908</v>
      </c>
      <c r="F186" s="1663" t="s">
        <v>11367</v>
      </c>
      <c r="G186" s="1663" t="s">
        <v>12097</v>
      </c>
      <c r="H186" s="1663" t="s">
        <v>12098</v>
      </c>
      <c r="I186" s="1663" t="s">
        <v>12097</v>
      </c>
      <c r="J186" s="1663" t="s">
        <v>12099</v>
      </c>
      <c r="K186" s="1663" t="s">
        <v>10027</v>
      </c>
      <c r="L186" s="1663" t="s">
        <v>10027</v>
      </c>
      <c r="M186" s="1663" t="s">
        <v>12078</v>
      </c>
      <c r="N186" s="1663" t="s">
        <v>11855</v>
      </c>
      <c r="O186" s="1663" t="s">
        <v>12046</v>
      </c>
      <c r="P186" s="1663">
        <v>90703234</v>
      </c>
      <c r="Q186" s="1663" t="s">
        <v>11910</v>
      </c>
      <c r="R186" s="1663" t="s">
        <v>12046</v>
      </c>
      <c r="S186" s="1663" t="s">
        <v>11914</v>
      </c>
      <c r="T186" s="1663" t="s">
        <v>12077</v>
      </c>
      <c r="U186" s="1663">
        <v>19687</v>
      </c>
      <c r="V186" s="1663">
        <v>18425</v>
      </c>
      <c r="W186" s="1663"/>
      <c r="X186" s="1663"/>
      <c r="Y186" s="1663"/>
      <c r="Z186" s="1663"/>
      <c r="AA186" s="1663">
        <v>0</v>
      </c>
      <c r="AB186" s="1663">
        <v>1</v>
      </c>
      <c r="AC186" s="1663">
        <v>0</v>
      </c>
      <c r="AD186" s="1663">
        <v>0</v>
      </c>
      <c r="AE186" s="1663">
        <v>0</v>
      </c>
      <c r="AF186" s="1663">
        <v>0</v>
      </c>
      <c r="AG186" s="1663">
        <v>0</v>
      </c>
      <c r="AH186" s="1663"/>
      <c r="AI186" s="1663"/>
      <c r="AJ186" s="1663"/>
      <c r="AK186" s="1663">
        <v>1</v>
      </c>
      <c r="AL186" s="1671">
        <v>17523423</v>
      </c>
    </row>
    <row r="187" spans="2:38">
      <c r="B187" s="1666">
        <v>6</v>
      </c>
      <c r="C187" s="1663">
        <v>7</v>
      </c>
      <c r="D187" s="1663">
        <v>4</v>
      </c>
      <c r="E187" s="1663" t="s">
        <v>11908</v>
      </c>
      <c r="F187" s="1663" t="s">
        <v>11367</v>
      </c>
      <c r="G187" s="1663" t="s">
        <v>12097</v>
      </c>
      <c r="H187" s="1663" t="s">
        <v>12098</v>
      </c>
      <c r="I187" s="1663" t="s">
        <v>12097</v>
      </c>
      <c r="J187" s="1663" t="s">
        <v>12099</v>
      </c>
      <c r="K187" s="1663" t="s">
        <v>10027</v>
      </c>
      <c r="L187" s="1663" t="s">
        <v>10027</v>
      </c>
      <c r="M187" s="1663" t="s">
        <v>12078</v>
      </c>
      <c r="N187" s="1663" t="s">
        <v>11855</v>
      </c>
      <c r="O187" s="1663" t="s">
        <v>12046</v>
      </c>
      <c r="P187" s="1663">
        <v>90703708</v>
      </c>
      <c r="Q187" s="1663" t="s">
        <v>11910</v>
      </c>
      <c r="R187" s="1663" t="s">
        <v>12046</v>
      </c>
      <c r="S187" s="1663" t="s">
        <v>11914</v>
      </c>
      <c r="T187" s="1663" t="s">
        <v>12077</v>
      </c>
      <c r="U187" s="1663">
        <v>19687</v>
      </c>
      <c r="V187" s="1663">
        <v>18425</v>
      </c>
      <c r="W187" s="1663"/>
      <c r="X187" s="1663"/>
      <c r="Y187" s="1663"/>
      <c r="Z187" s="1663"/>
      <c r="AA187" s="1663">
        <v>0</v>
      </c>
      <c r="AB187" s="1663">
        <v>1</v>
      </c>
      <c r="AC187" s="1663">
        <v>0</v>
      </c>
      <c r="AD187" s="1663">
        <v>0</v>
      </c>
      <c r="AE187" s="1663">
        <v>0</v>
      </c>
      <c r="AF187" s="1663">
        <v>0</v>
      </c>
      <c r="AG187" s="1663">
        <v>0</v>
      </c>
      <c r="AH187" s="1663"/>
      <c r="AI187" s="1663"/>
      <c r="AJ187" s="1663"/>
      <c r="AK187" s="1663">
        <v>1</v>
      </c>
      <c r="AL187" s="1671">
        <v>17523423</v>
      </c>
    </row>
    <row r="188" spans="2:38">
      <c r="B188" s="1666">
        <v>6</v>
      </c>
      <c r="C188" s="1663">
        <v>7</v>
      </c>
      <c r="D188" s="1663">
        <v>5</v>
      </c>
      <c r="E188" s="1663" t="s">
        <v>11908</v>
      </c>
      <c r="F188" s="1663" t="s">
        <v>11367</v>
      </c>
      <c r="G188" s="1663" t="s">
        <v>12097</v>
      </c>
      <c r="H188" s="1663" t="s">
        <v>12100</v>
      </c>
      <c r="I188" s="1663" t="s">
        <v>12097</v>
      </c>
      <c r="J188" s="1663" t="s">
        <v>12099</v>
      </c>
      <c r="K188" s="1663" t="s">
        <v>10027</v>
      </c>
      <c r="L188" s="1663" t="s">
        <v>10027</v>
      </c>
      <c r="M188" s="1663" t="s">
        <v>12078</v>
      </c>
      <c r="N188" s="1663" t="s">
        <v>11855</v>
      </c>
      <c r="O188" s="1663" t="s">
        <v>12046</v>
      </c>
      <c r="P188" s="1663">
        <v>90825560</v>
      </c>
      <c r="Q188" s="1663" t="s">
        <v>11910</v>
      </c>
      <c r="R188" s="1663" t="s">
        <v>12046</v>
      </c>
      <c r="S188" s="1663" t="s">
        <v>11914</v>
      </c>
      <c r="T188" s="1663" t="s">
        <v>12077</v>
      </c>
      <c r="U188" s="1663">
        <v>19673</v>
      </c>
      <c r="V188" s="1663">
        <v>18425</v>
      </c>
      <c r="W188" s="1663"/>
      <c r="X188" s="1663"/>
      <c r="Y188" s="1663"/>
      <c r="Z188" s="1663"/>
      <c r="AA188" s="1663">
        <v>0</v>
      </c>
      <c r="AB188" s="1663">
        <v>1</v>
      </c>
      <c r="AC188" s="1663">
        <v>0</v>
      </c>
      <c r="AD188" s="1663">
        <v>0</v>
      </c>
      <c r="AE188" s="1663">
        <v>0</v>
      </c>
      <c r="AF188" s="1663">
        <v>0</v>
      </c>
      <c r="AG188" s="1663">
        <v>0</v>
      </c>
      <c r="AH188" s="1663"/>
      <c r="AI188" s="1663"/>
      <c r="AJ188" s="1663"/>
      <c r="AK188" s="1663">
        <v>1</v>
      </c>
      <c r="AL188" s="1671">
        <v>17523423</v>
      </c>
    </row>
    <row r="189" spans="2:38">
      <c r="B189" s="1666">
        <v>6</v>
      </c>
      <c r="C189" s="1663">
        <v>7</v>
      </c>
      <c r="D189" s="1663">
        <v>6</v>
      </c>
      <c r="E189" s="1663" t="s">
        <v>11908</v>
      </c>
      <c r="F189" s="1663" t="s">
        <v>11367</v>
      </c>
      <c r="G189" s="1663" t="s">
        <v>12097</v>
      </c>
      <c r="H189" s="1663" t="s">
        <v>12098</v>
      </c>
      <c r="I189" s="1663" t="s">
        <v>12097</v>
      </c>
      <c r="J189" s="1663" t="s">
        <v>12099</v>
      </c>
      <c r="K189" s="1663" t="s">
        <v>10027</v>
      </c>
      <c r="L189" s="1663" t="s">
        <v>10027</v>
      </c>
      <c r="M189" s="1663" t="s">
        <v>11863</v>
      </c>
      <c r="N189" s="1663" t="s">
        <v>11855</v>
      </c>
      <c r="O189" s="1663" t="s">
        <v>11937</v>
      </c>
      <c r="P189" s="1663">
        <v>90443817</v>
      </c>
      <c r="Q189" s="1663" t="s">
        <v>54</v>
      </c>
      <c r="R189" s="1663" t="s">
        <v>11937</v>
      </c>
      <c r="S189" s="1663" t="s">
        <v>11937</v>
      </c>
      <c r="T189" s="1663" t="s">
        <v>12077</v>
      </c>
      <c r="U189" s="1663">
        <v>18278</v>
      </c>
      <c r="V189" s="1663">
        <v>18425</v>
      </c>
      <c r="W189" s="1663"/>
      <c r="X189" s="1663"/>
      <c r="Y189" s="1663"/>
      <c r="Z189" s="1663"/>
      <c r="AA189" s="1663">
        <v>0</v>
      </c>
      <c r="AB189" s="1663">
        <v>1</v>
      </c>
      <c r="AC189" s="1663">
        <v>0</v>
      </c>
      <c r="AD189" s="1663">
        <v>0</v>
      </c>
      <c r="AE189" s="1663">
        <v>0</v>
      </c>
      <c r="AF189" s="1663">
        <v>0</v>
      </c>
      <c r="AG189" s="1663">
        <v>0</v>
      </c>
      <c r="AH189" s="1663"/>
      <c r="AI189" s="1663"/>
      <c r="AJ189" s="1663"/>
      <c r="AK189" s="1663">
        <v>1</v>
      </c>
      <c r="AL189" s="1671">
        <v>17523423</v>
      </c>
    </row>
    <row r="190" spans="2:38">
      <c r="B190" s="1666">
        <v>6</v>
      </c>
      <c r="C190" s="1663">
        <v>7</v>
      </c>
      <c r="D190" s="1663">
        <v>7</v>
      </c>
      <c r="E190" s="1663" t="s">
        <v>11908</v>
      </c>
      <c r="F190" s="1663" t="s">
        <v>11367</v>
      </c>
      <c r="G190" s="1663" t="s">
        <v>12097</v>
      </c>
      <c r="H190" s="1663" t="s">
        <v>12100</v>
      </c>
      <c r="I190" s="1663" t="s">
        <v>12097</v>
      </c>
      <c r="J190" s="1663" t="s">
        <v>12099</v>
      </c>
      <c r="K190" s="1663" t="s">
        <v>12058</v>
      </c>
      <c r="L190" s="1663" t="s">
        <v>11946</v>
      </c>
      <c r="M190" s="1663" t="s">
        <v>12078</v>
      </c>
      <c r="N190" s="1663" t="s">
        <v>11855</v>
      </c>
      <c r="O190" s="1663" t="s">
        <v>12081</v>
      </c>
      <c r="P190" s="1663">
        <v>90681162</v>
      </c>
      <c r="Q190" s="1663" t="s">
        <v>11944</v>
      </c>
      <c r="R190" s="1663" t="s">
        <v>12046</v>
      </c>
      <c r="S190" s="1663" t="s">
        <v>11949</v>
      </c>
      <c r="T190" s="1663" t="s">
        <v>12077</v>
      </c>
      <c r="U190" s="1663">
        <v>19673</v>
      </c>
      <c r="V190" s="1663">
        <v>18425</v>
      </c>
      <c r="W190" s="1663"/>
      <c r="X190" s="1663"/>
      <c r="Y190" s="1663"/>
      <c r="Z190" s="1663"/>
      <c r="AA190" s="1663">
        <v>0</v>
      </c>
      <c r="AB190" s="1663">
        <v>1</v>
      </c>
      <c r="AC190" s="1663">
        <v>2150.4</v>
      </c>
      <c r="AD190" s="1663">
        <v>6720</v>
      </c>
      <c r="AE190" s="1663">
        <v>760</v>
      </c>
      <c r="AF190" s="1663">
        <v>2150.4</v>
      </c>
      <c r="AG190" s="1663">
        <v>0</v>
      </c>
      <c r="AH190" s="1663"/>
      <c r="AI190" s="1663"/>
      <c r="AJ190" s="1663"/>
      <c r="AK190" s="1663">
        <v>1</v>
      </c>
      <c r="AL190" s="1671">
        <v>17523423</v>
      </c>
    </row>
    <row r="191" spans="2:38">
      <c r="B191" s="1666">
        <v>6</v>
      </c>
      <c r="C191" s="1663">
        <v>7</v>
      </c>
      <c r="D191" s="1663">
        <v>8</v>
      </c>
      <c r="E191" s="1663" t="s">
        <v>11908</v>
      </c>
      <c r="F191" s="1663" t="s">
        <v>11367</v>
      </c>
      <c r="G191" s="1663" t="s">
        <v>12097</v>
      </c>
      <c r="H191" s="1663" t="s">
        <v>12100</v>
      </c>
      <c r="I191" s="1663" t="s">
        <v>12097</v>
      </c>
      <c r="J191" s="1663" t="s">
        <v>12099</v>
      </c>
      <c r="K191" s="1663" t="s">
        <v>10027</v>
      </c>
      <c r="L191" s="1663" t="s">
        <v>10027</v>
      </c>
      <c r="M191" s="1663" t="s">
        <v>12082</v>
      </c>
      <c r="N191" s="1663" t="s">
        <v>11855</v>
      </c>
      <c r="O191" s="1663" t="s">
        <v>12062</v>
      </c>
      <c r="P191" s="1663">
        <v>90350646</v>
      </c>
      <c r="Q191" s="1663" t="s">
        <v>11953</v>
      </c>
      <c r="R191" s="1663" t="s">
        <v>12062</v>
      </c>
      <c r="S191" s="1663" t="s">
        <v>11956</v>
      </c>
      <c r="T191" s="1663" t="s">
        <v>12077</v>
      </c>
      <c r="U191" s="1663">
        <v>18210</v>
      </c>
      <c r="V191" s="1663">
        <v>18425</v>
      </c>
      <c r="W191" s="1663"/>
      <c r="X191" s="1663"/>
      <c r="Y191" s="1663"/>
      <c r="Z191" s="1663"/>
      <c r="AA191" s="1663">
        <v>0</v>
      </c>
      <c r="AB191" s="1663">
        <v>1</v>
      </c>
      <c r="AC191" s="1663">
        <v>0</v>
      </c>
      <c r="AD191" s="1663">
        <v>0</v>
      </c>
      <c r="AE191" s="1663">
        <v>0</v>
      </c>
      <c r="AF191" s="1663">
        <v>0</v>
      </c>
      <c r="AG191" s="1663">
        <v>0</v>
      </c>
      <c r="AH191" s="1663"/>
      <c r="AI191" s="1663"/>
      <c r="AJ191" s="1663"/>
      <c r="AK191" s="1663">
        <v>1</v>
      </c>
      <c r="AL191" s="1671">
        <v>17523423</v>
      </c>
    </row>
    <row r="192" spans="2:38">
      <c r="B192" s="1666">
        <v>6</v>
      </c>
      <c r="C192" s="1663">
        <v>7</v>
      </c>
      <c r="D192" s="1663">
        <v>9</v>
      </c>
      <c r="E192" s="1663" t="s">
        <v>11908</v>
      </c>
      <c r="F192" s="1663" t="s">
        <v>11367</v>
      </c>
      <c r="G192" s="1663" t="s">
        <v>12097</v>
      </c>
      <c r="H192" s="1663" t="s">
        <v>12098</v>
      </c>
      <c r="I192" s="1663" t="s">
        <v>12097</v>
      </c>
      <c r="J192" s="1663" t="s">
        <v>12099</v>
      </c>
      <c r="K192" s="1663" t="s">
        <v>10027</v>
      </c>
      <c r="L192" s="1663" t="s">
        <v>10027</v>
      </c>
      <c r="M192" s="1663" t="s">
        <v>11863</v>
      </c>
      <c r="N192" s="1663" t="s">
        <v>11855</v>
      </c>
      <c r="O192" s="1663" t="s">
        <v>12062</v>
      </c>
      <c r="P192" s="1663">
        <v>90511560</v>
      </c>
      <c r="Q192" s="1663" t="s">
        <v>11953</v>
      </c>
      <c r="R192" s="1663" t="s">
        <v>12062</v>
      </c>
      <c r="S192" s="1663" t="s">
        <v>11956</v>
      </c>
      <c r="T192" s="1663" t="s">
        <v>12077</v>
      </c>
      <c r="U192" s="1663">
        <v>18278</v>
      </c>
      <c r="V192" s="1663">
        <v>18425</v>
      </c>
      <c r="W192" s="1663"/>
      <c r="X192" s="1663"/>
      <c r="Y192" s="1663"/>
      <c r="Z192" s="1663"/>
      <c r="AA192" s="1663">
        <v>0</v>
      </c>
      <c r="AB192" s="1663">
        <v>1</v>
      </c>
      <c r="AC192" s="1663">
        <v>0</v>
      </c>
      <c r="AD192" s="1663">
        <v>0</v>
      </c>
      <c r="AE192" s="1663">
        <v>0</v>
      </c>
      <c r="AF192" s="1663">
        <v>0</v>
      </c>
      <c r="AG192" s="1663">
        <v>0</v>
      </c>
      <c r="AH192" s="1663"/>
      <c r="AI192" s="1663"/>
      <c r="AJ192" s="1663"/>
      <c r="AK192" s="1663">
        <v>1</v>
      </c>
      <c r="AL192" s="1671">
        <v>17523423</v>
      </c>
    </row>
    <row r="193" spans="2:38">
      <c r="B193" s="1666">
        <v>6</v>
      </c>
      <c r="C193" s="1663">
        <v>7</v>
      </c>
      <c r="D193" s="1663">
        <v>10</v>
      </c>
      <c r="E193" s="1663" t="s">
        <v>11908</v>
      </c>
      <c r="F193" s="1663" t="s">
        <v>11367</v>
      </c>
      <c r="G193" s="1663" t="s">
        <v>12097</v>
      </c>
      <c r="H193" s="1663" t="s">
        <v>12100</v>
      </c>
      <c r="I193" s="1663" t="s">
        <v>12097</v>
      </c>
      <c r="J193" s="1663" t="s">
        <v>12099</v>
      </c>
      <c r="K193" s="1663" t="s">
        <v>10027</v>
      </c>
      <c r="L193" s="1663" t="s">
        <v>10027</v>
      </c>
      <c r="M193" s="1663" t="s">
        <v>11863</v>
      </c>
      <c r="N193" s="1663" t="s">
        <v>11855</v>
      </c>
      <c r="O193" s="1663" t="s">
        <v>12062</v>
      </c>
      <c r="P193" s="1663">
        <v>90626672</v>
      </c>
      <c r="Q193" s="1663" t="s">
        <v>446</v>
      </c>
      <c r="R193" s="1663" t="s">
        <v>12062</v>
      </c>
      <c r="S193" s="1663" t="s">
        <v>11971</v>
      </c>
      <c r="T193" s="1663" t="s">
        <v>12077</v>
      </c>
      <c r="U193" s="1663">
        <v>18220</v>
      </c>
      <c r="V193" s="1663">
        <v>18425</v>
      </c>
      <c r="W193" s="1663"/>
      <c r="X193" s="1663"/>
      <c r="Y193" s="1663"/>
      <c r="Z193" s="1663"/>
      <c r="AA193" s="1663">
        <v>0</v>
      </c>
      <c r="AB193" s="1663">
        <v>1</v>
      </c>
      <c r="AC193" s="1663">
        <v>0</v>
      </c>
      <c r="AD193" s="1663">
        <v>0</v>
      </c>
      <c r="AE193" s="1663">
        <v>0</v>
      </c>
      <c r="AF193" s="1663">
        <v>0</v>
      </c>
      <c r="AG193" s="1663">
        <v>0</v>
      </c>
      <c r="AH193" s="1663"/>
      <c r="AI193" s="1663"/>
      <c r="AJ193" s="1663"/>
      <c r="AK193" s="1663">
        <v>1</v>
      </c>
      <c r="AL193" s="1671">
        <v>17523423</v>
      </c>
    </row>
    <row r="194" spans="2:38">
      <c r="B194" s="1666">
        <v>6</v>
      </c>
      <c r="C194" s="1663">
        <v>7</v>
      </c>
      <c r="D194" s="1663">
        <v>11</v>
      </c>
      <c r="E194" s="1663" t="s">
        <v>11908</v>
      </c>
      <c r="F194" s="1663" t="s">
        <v>11367</v>
      </c>
      <c r="G194" s="1663" t="s">
        <v>12097</v>
      </c>
      <c r="H194" s="1663" t="s">
        <v>12100</v>
      </c>
      <c r="I194" s="1663" t="s">
        <v>12097</v>
      </c>
      <c r="J194" s="1663" t="s">
        <v>12099</v>
      </c>
      <c r="K194" s="1663" t="s">
        <v>10027</v>
      </c>
      <c r="L194" s="1663" t="s">
        <v>10027</v>
      </c>
      <c r="M194" s="1663" t="s">
        <v>11863</v>
      </c>
      <c r="N194" s="1663" t="s">
        <v>11855</v>
      </c>
      <c r="O194" s="1663" t="s">
        <v>12046</v>
      </c>
      <c r="P194" s="1663">
        <v>90440386</v>
      </c>
      <c r="Q194" s="1663" t="s">
        <v>492</v>
      </c>
      <c r="R194" s="1663" t="s">
        <v>12046</v>
      </c>
      <c r="S194" s="1663" t="s">
        <v>11978</v>
      </c>
      <c r="T194" s="1663" t="s">
        <v>12077</v>
      </c>
      <c r="U194" s="1663">
        <v>18220</v>
      </c>
      <c r="V194" s="1663">
        <v>18425</v>
      </c>
      <c r="W194" s="1663"/>
      <c r="X194" s="1663"/>
      <c r="Y194" s="1663"/>
      <c r="Z194" s="1663"/>
      <c r="AA194" s="1663">
        <v>0</v>
      </c>
      <c r="AB194" s="1663">
        <v>1</v>
      </c>
      <c r="AC194" s="1663">
        <v>0</v>
      </c>
      <c r="AD194" s="1663">
        <v>0</v>
      </c>
      <c r="AE194" s="1663">
        <v>0</v>
      </c>
      <c r="AF194" s="1663">
        <v>0</v>
      </c>
      <c r="AG194" s="1663">
        <v>0</v>
      </c>
      <c r="AH194" s="1663"/>
      <c r="AI194" s="1663"/>
      <c r="AJ194" s="1663"/>
      <c r="AK194" s="1663">
        <v>1</v>
      </c>
      <c r="AL194" s="1671">
        <v>17523423</v>
      </c>
    </row>
    <row r="195" spans="2:38">
      <c r="B195" s="1666">
        <v>6</v>
      </c>
      <c r="C195" s="1663">
        <v>7</v>
      </c>
      <c r="D195" s="1663">
        <v>12</v>
      </c>
      <c r="E195" s="1663" t="s">
        <v>11908</v>
      </c>
      <c r="F195" s="1663" t="s">
        <v>11367</v>
      </c>
      <c r="G195" s="1663" t="s">
        <v>12097</v>
      </c>
      <c r="H195" s="1663" t="s">
        <v>12100</v>
      </c>
      <c r="I195" s="1663" t="s">
        <v>12097</v>
      </c>
      <c r="J195" s="1663" t="s">
        <v>12099</v>
      </c>
      <c r="K195" s="1663" t="s">
        <v>10027</v>
      </c>
      <c r="L195" s="1663" t="s">
        <v>10027</v>
      </c>
      <c r="M195" s="1663" t="s">
        <v>11863</v>
      </c>
      <c r="N195" s="1663" t="s">
        <v>11855</v>
      </c>
      <c r="O195" s="1663" t="s">
        <v>12046</v>
      </c>
      <c r="P195" s="1663">
        <v>90648568</v>
      </c>
      <c r="Q195" s="1663" t="s">
        <v>492</v>
      </c>
      <c r="R195" s="1663" t="s">
        <v>12046</v>
      </c>
      <c r="S195" s="1663" t="s">
        <v>11978</v>
      </c>
      <c r="T195" s="1663" t="s">
        <v>12077</v>
      </c>
      <c r="U195" s="1663">
        <v>18220</v>
      </c>
      <c r="V195" s="1663">
        <v>18425</v>
      </c>
      <c r="W195" s="1663"/>
      <c r="X195" s="1663"/>
      <c r="Y195" s="1663"/>
      <c r="Z195" s="1663"/>
      <c r="AA195" s="1663">
        <v>0</v>
      </c>
      <c r="AB195" s="1663">
        <v>1</v>
      </c>
      <c r="AC195" s="1663">
        <v>0</v>
      </c>
      <c r="AD195" s="1663">
        <v>0</v>
      </c>
      <c r="AE195" s="1663">
        <v>0</v>
      </c>
      <c r="AF195" s="1663">
        <v>0</v>
      </c>
      <c r="AG195" s="1663">
        <v>0</v>
      </c>
      <c r="AH195" s="1663"/>
      <c r="AI195" s="1663"/>
      <c r="AJ195" s="1663"/>
      <c r="AK195" s="1663">
        <v>1</v>
      </c>
      <c r="AL195" s="1671">
        <v>17523423</v>
      </c>
    </row>
    <row r="196" spans="2:38">
      <c r="B196" s="1666">
        <v>6</v>
      </c>
      <c r="C196" s="1663">
        <v>7</v>
      </c>
      <c r="D196" s="1663">
        <v>13</v>
      </c>
      <c r="E196" s="1663" t="s">
        <v>11908</v>
      </c>
      <c r="F196" s="1663" t="s">
        <v>11367</v>
      </c>
      <c r="G196" s="1663" t="s">
        <v>12097</v>
      </c>
      <c r="H196" s="1663" t="s">
        <v>12100</v>
      </c>
      <c r="I196" s="1663" t="s">
        <v>12097</v>
      </c>
      <c r="J196" s="1663" t="s">
        <v>12099</v>
      </c>
      <c r="K196" s="1663" t="s">
        <v>10027</v>
      </c>
      <c r="L196" s="1663" t="s">
        <v>10027</v>
      </c>
      <c r="M196" s="1663" t="s">
        <v>11863</v>
      </c>
      <c r="N196" s="1663" t="s">
        <v>11855</v>
      </c>
      <c r="O196" s="1663" t="s">
        <v>12046</v>
      </c>
      <c r="P196" s="1663">
        <v>90840048</v>
      </c>
      <c r="Q196" s="1663" t="s">
        <v>492</v>
      </c>
      <c r="R196" s="1663" t="s">
        <v>12046</v>
      </c>
      <c r="S196" s="1663" t="s">
        <v>11978</v>
      </c>
      <c r="T196" s="1663" t="s">
        <v>12077</v>
      </c>
      <c r="U196" s="1663">
        <v>18220</v>
      </c>
      <c r="V196" s="1663">
        <v>18425</v>
      </c>
      <c r="W196" s="1663"/>
      <c r="X196" s="1663"/>
      <c r="Y196" s="1663"/>
      <c r="Z196" s="1663"/>
      <c r="AA196" s="1663">
        <v>0</v>
      </c>
      <c r="AB196" s="1663">
        <v>1</v>
      </c>
      <c r="AC196" s="1663">
        <v>0</v>
      </c>
      <c r="AD196" s="1663">
        <v>0</v>
      </c>
      <c r="AE196" s="1663">
        <v>0</v>
      </c>
      <c r="AF196" s="1663">
        <v>0</v>
      </c>
      <c r="AG196" s="1663">
        <v>0</v>
      </c>
      <c r="AH196" s="1663"/>
      <c r="AI196" s="1663"/>
      <c r="AJ196" s="1663"/>
      <c r="AK196" s="1663">
        <v>1</v>
      </c>
      <c r="AL196" s="1671">
        <v>17523423</v>
      </c>
    </row>
    <row r="197" spans="2:38">
      <c r="B197" s="1666">
        <v>6</v>
      </c>
      <c r="C197" s="1663">
        <v>7</v>
      </c>
      <c r="D197" s="1663">
        <v>14</v>
      </c>
      <c r="E197" s="1663" t="s">
        <v>11908</v>
      </c>
      <c r="F197" s="1663" t="s">
        <v>11367</v>
      </c>
      <c r="G197" s="1663" t="s">
        <v>12097</v>
      </c>
      <c r="H197" s="1663" t="s">
        <v>12100</v>
      </c>
      <c r="I197" s="1663" t="s">
        <v>12097</v>
      </c>
      <c r="J197" s="1663" t="s">
        <v>12099</v>
      </c>
      <c r="K197" s="1663" t="s">
        <v>10027</v>
      </c>
      <c r="L197" s="1663" t="s">
        <v>10027</v>
      </c>
      <c r="M197" s="1663" t="s">
        <v>11880</v>
      </c>
      <c r="N197" s="1663" t="s">
        <v>11855</v>
      </c>
      <c r="O197" s="1663" t="s">
        <v>12068</v>
      </c>
      <c r="P197" s="1663">
        <v>90608354</v>
      </c>
      <c r="Q197" s="1663" t="s">
        <v>11991</v>
      </c>
      <c r="R197" s="1663" t="s">
        <v>12068</v>
      </c>
      <c r="S197" s="1663" t="s">
        <v>11994</v>
      </c>
      <c r="T197" s="1663" t="s">
        <v>12077</v>
      </c>
      <c r="U197" s="1663">
        <v>18231</v>
      </c>
      <c r="V197" s="1663">
        <v>18425</v>
      </c>
      <c r="W197" s="1663"/>
      <c r="X197" s="1663"/>
      <c r="Y197" s="1663"/>
      <c r="Z197" s="1663"/>
      <c r="AA197" s="1663">
        <v>0</v>
      </c>
      <c r="AB197" s="1663">
        <v>1</v>
      </c>
      <c r="AC197" s="1663">
        <v>0</v>
      </c>
      <c r="AD197" s="1663">
        <v>0</v>
      </c>
      <c r="AE197" s="1663">
        <v>0</v>
      </c>
      <c r="AF197" s="1663">
        <v>0</v>
      </c>
      <c r="AG197" s="1663">
        <v>0</v>
      </c>
      <c r="AH197" s="1663"/>
      <c r="AI197" s="1663"/>
      <c r="AJ197" s="1663"/>
      <c r="AK197" s="1663">
        <v>1</v>
      </c>
      <c r="AL197" s="1671">
        <v>17523423</v>
      </c>
    </row>
    <row r="198" spans="2:38">
      <c r="B198" s="1666">
        <v>6</v>
      </c>
      <c r="C198" s="1663">
        <v>7</v>
      </c>
      <c r="D198" s="1663">
        <v>15</v>
      </c>
      <c r="E198" s="1663" t="s">
        <v>11908</v>
      </c>
      <c r="F198" s="1663" t="s">
        <v>11367</v>
      </c>
      <c r="G198" s="1663" t="s">
        <v>12097</v>
      </c>
      <c r="H198" s="1663" t="s">
        <v>12098</v>
      </c>
      <c r="I198" s="1663" t="s">
        <v>12097</v>
      </c>
      <c r="J198" s="1663" t="s">
        <v>12099</v>
      </c>
      <c r="K198" s="1663" t="s">
        <v>10027</v>
      </c>
      <c r="L198" s="1663" t="s">
        <v>10027</v>
      </c>
      <c r="M198" s="1663" t="s">
        <v>12085</v>
      </c>
      <c r="N198" s="1663" t="s">
        <v>11855</v>
      </c>
      <c r="O198" s="1663" t="s">
        <v>12068</v>
      </c>
      <c r="P198" s="1663">
        <v>90632345</v>
      </c>
      <c r="Q198" s="1663" t="s">
        <v>11991</v>
      </c>
      <c r="R198" s="1663" t="s">
        <v>12068</v>
      </c>
      <c r="S198" s="1663" t="s">
        <v>11994</v>
      </c>
      <c r="T198" s="1663" t="s">
        <v>12077</v>
      </c>
      <c r="U198" s="1663">
        <v>18288</v>
      </c>
      <c r="V198" s="1663">
        <v>18425</v>
      </c>
      <c r="W198" s="1663"/>
      <c r="X198" s="1663"/>
      <c r="Y198" s="1663"/>
      <c r="Z198" s="1663"/>
      <c r="AA198" s="1663">
        <v>0</v>
      </c>
      <c r="AB198" s="1663">
        <v>1</v>
      </c>
      <c r="AC198" s="1663">
        <v>0</v>
      </c>
      <c r="AD198" s="1663">
        <v>0</v>
      </c>
      <c r="AE198" s="1663">
        <v>0</v>
      </c>
      <c r="AF198" s="1663">
        <v>0</v>
      </c>
      <c r="AG198" s="1663">
        <v>0</v>
      </c>
      <c r="AH198" s="1663"/>
      <c r="AI198" s="1663"/>
      <c r="AJ198" s="1663"/>
      <c r="AK198" s="1663">
        <v>1</v>
      </c>
      <c r="AL198" s="1671">
        <v>17523423</v>
      </c>
    </row>
    <row r="199" spans="2:38">
      <c r="B199" s="1666">
        <v>6</v>
      </c>
      <c r="C199" s="1663">
        <v>7</v>
      </c>
      <c r="D199" s="1663">
        <v>16</v>
      </c>
      <c r="E199" s="1663" t="s">
        <v>11908</v>
      </c>
      <c r="F199" s="1663" t="s">
        <v>11367</v>
      </c>
      <c r="G199" s="1663" t="s">
        <v>12097</v>
      </c>
      <c r="H199" s="1663" t="s">
        <v>12098</v>
      </c>
      <c r="I199" s="1663" t="s">
        <v>12097</v>
      </c>
      <c r="J199" s="1663" t="s">
        <v>12099</v>
      </c>
      <c r="K199" s="1663" t="s">
        <v>10027</v>
      </c>
      <c r="L199" s="1663" t="s">
        <v>10027</v>
      </c>
      <c r="M199" s="1663" t="s">
        <v>11872</v>
      </c>
      <c r="N199" s="1663" t="s">
        <v>11855</v>
      </c>
      <c r="O199" s="1663" t="s">
        <v>12062</v>
      </c>
      <c r="P199" s="1663">
        <v>90503975</v>
      </c>
      <c r="Q199" s="1663" t="s">
        <v>12004</v>
      </c>
      <c r="R199" s="1663" t="s">
        <v>12062</v>
      </c>
      <c r="S199" s="1663" t="s">
        <v>12007</v>
      </c>
      <c r="T199" s="1663" t="s">
        <v>12077</v>
      </c>
      <c r="U199" s="1663">
        <v>18293</v>
      </c>
      <c r="V199" s="1663">
        <v>18425</v>
      </c>
      <c r="W199" s="1663"/>
      <c r="X199" s="1663"/>
      <c r="Y199" s="1663"/>
      <c r="Z199" s="1663"/>
      <c r="AA199" s="1663">
        <v>0</v>
      </c>
      <c r="AB199" s="1663">
        <v>1</v>
      </c>
      <c r="AC199" s="1663">
        <v>0</v>
      </c>
      <c r="AD199" s="1663">
        <v>0</v>
      </c>
      <c r="AE199" s="1663">
        <v>0</v>
      </c>
      <c r="AF199" s="1663">
        <v>0</v>
      </c>
      <c r="AG199" s="1663">
        <v>0</v>
      </c>
      <c r="AH199" s="1663"/>
      <c r="AI199" s="1663"/>
      <c r="AJ199" s="1663"/>
      <c r="AK199" s="1663">
        <v>1</v>
      </c>
      <c r="AL199" s="1671">
        <v>17523423</v>
      </c>
    </row>
    <row r="200" spans="2:38">
      <c r="B200" s="1666">
        <v>6</v>
      </c>
      <c r="C200" s="1663">
        <v>7</v>
      </c>
      <c r="D200" s="1663">
        <v>17</v>
      </c>
      <c r="E200" s="1663" t="s">
        <v>11908</v>
      </c>
      <c r="F200" s="1663" t="s">
        <v>11367</v>
      </c>
      <c r="G200" s="1663" t="s">
        <v>12097</v>
      </c>
      <c r="H200" s="1663" t="s">
        <v>12100</v>
      </c>
      <c r="I200" s="1663" t="s">
        <v>12097</v>
      </c>
      <c r="J200" s="1663" t="s">
        <v>12099</v>
      </c>
      <c r="K200" s="1663" t="s">
        <v>10027</v>
      </c>
      <c r="L200" s="1663" t="s">
        <v>10027</v>
      </c>
      <c r="M200" s="1663" t="s">
        <v>12087</v>
      </c>
      <c r="N200" s="1663" t="s">
        <v>11855</v>
      </c>
      <c r="O200" s="1663" t="s">
        <v>12062</v>
      </c>
      <c r="P200" s="1663">
        <v>90257060</v>
      </c>
      <c r="Q200" s="1663" t="s">
        <v>12014</v>
      </c>
      <c r="R200" s="1663" t="s">
        <v>12062</v>
      </c>
      <c r="S200" s="1663" t="s">
        <v>12017</v>
      </c>
      <c r="T200" s="1663" t="s">
        <v>12077</v>
      </c>
      <c r="U200" s="1663">
        <v>19678</v>
      </c>
      <c r="V200" s="1663">
        <v>18425</v>
      </c>
      <c r="W200" s="1663"/>
      <c r="X200" s="1663"/>
      <c r="Y200" s="1663"/>
      <c r="Z200" s="1663"/>
      <c r="AA200" s="1663">
        <v>0</v>
      </c>
      <c r="AB200" s="1663">
        <v>1</v>
      </c>
      <c r="AC200" s="1663">
        <v>0</v>
      </c>
      <c r="AD200" s="1663">
        <v>0</v>
      </c>
      <c r="AE200" s="1663">
        <v>0</v>
      </c>
      <c r="AF200" s="1663">
        <v>0</v>
      </c>
      <c r="AG200" s="1663">
        <v>0</v>
      </c>
      <c r="AH200" s="1663"/>
      <c r="AI200" s="1663"/>
      <c r="AJ200" s="1663"/>
      <c r="AK200" s="1663">
        <v>1</v>
      </c>
      <c r="AL200" s="1671">
        <v>17523423</v>
      </c>
    </row>
    <row r="201" spans="2:38">
      <c r="B201" s="1666">
        <v>6</v>
      </c>
      <c r="C201" s="1663">
        <v>7</v>
      </c>
      <c r="D201" s="1663">
        <v>18</v>
      </c>
      <c r="E201" s="1663" t="s">
        <v>11908</v>
      </c>
      <c r="F201" s="1663" t="s">
        <v>11367</v>
      </c>
      <c r="G201" s="1663" t="s">
        <v>12097</v>
      </c>
      <c r="H201" s="1663" t="s">
        <v>12100</v>
      </c>
      <c r="I201" s="1663" t="s">
        <v>12097</v>
      </c>
      <c r="J201" s="1663" t="s">
        <v>12099</v>
      </c>
      <c r="K201" s="1663" t="s">
        <v>10027</v>
      </c>
      <c r="L201" s="1663" t="s">
        <v>10027</v>
      </c>
      <c r="M201" s="1663" t="s">
        <v>11863</v>
      </c>
      <c r="N201" s="1663" t="s">
        <v>11855</v>
      </c>
      <c r="O201" s="1663" t="s">
        <v>12062</v>
      </c>
      <c r="P201" s="1663">
        <v>90648118</v>
      </c>
      <c r="Q201" s="1663" t="s">
        <v>12014</v>
      </c>
      <c r="R201" s="1663" t="s">
        <v>12062</v>
      </c>
      <c r="S201" s="1663" t="s">
        <v>12017</v>
      </c>
      <c r="T201" s="1663" t="s">
        <v>12077</v>
      </c>
      <c r="U201" s="1663">
        <v>18220</v>
      </c>
      <c r="V201" s="1663">
        <v>18425</v>
      </c>
      <c r="W201" s="1663"/>
      <c r="X201" s="1663"/>
      <c r="Y201" s="1663"/>
      <c r="Z201" s="1663"/>
      <c r="AA201" s="1663">
        <v>0</v>
      </c>
      <c r="AB201" s="1663">
        <v>1</v>
      </c>
      <c r="AC201" s="1663">
        <v>0</v>
      </c>
      <c r="AD201" s="1663">
        <v>0</v>
      </c>
      <c r="AE201" s="1663">
        <v>0</v>
      </c>
      <c r="AF201" s="1663">
        <v>0</v>
      </c>
      <c r="AG201" s="1663">
        <v>0</v>
      </c>
      <c r="AH201" s="1663"/>
      <c r="AI201" s="1663"/>
      <c r="AJ201" s="1663"/>
      <c r="AK201" s="1663">
        <v>1</v>
      </c>
      <c r="AL201" s="1671">
        <v>17523423</v>
      </c>
    </row>
    <row r="202" spans="2:38">
      <c r="B202" s="1667">
        <v>6</v>
      </c>
      <c r="C202" s="1668">
        <v>7</v>
      </c>
      <c r="D202" s="1668">
        <v>19</v>
      </c>
      <c r="E202" s="1668" t="s">
        <v>11908</v>
      </c>
      <c r="F202" s="1668" t="s">
        <v>11367</v>
      </c>
      <c r="G202" s="1668" t="s">
        <v>12097</v>
      </c>
      <c r="H202" s="1668" t="s">
        <v>12100</v>
      </c>
      <c r="I202" s="1668" t="s">
        <v>12097</v>
      </c>
      <c r="J202" s="1668" t="s">
        <v>12099</v>
      </c>
      <c r="K202" s="1668" t="s">
        <v>10027</v>
      </c>
      <c r="L202" s="1668" t="s">
        <v>10027</v>
      </c>
      <c r="M202" s="1668" t="s">
        <v>12087</v>
      </c>
      <c r="N202" s="1668" t="s">
        <v>11855</v>
      </c>
      <c r="O202" s="1668" t="s">
        <v>12062</v>
      </c>
      <c r="P202" s="1668">
        <v>90253437</v>
      </c>
      <c r="Q202" s="1668" t="s">
        <v>12030</v>
      </c>
      <c r="R202" s="1668" t="s">
        <v>12062</v>
      </c>
      <c r="S202" s="1668" t="s">
        <v>12033</v>
      </c>
      <c r="T202" s="1668" t="s">
        <v>12077</v>
      </c>
      <c r="U202" s="1668">
        <v>19678</v>
      </c>
      <c r="V202" s="1668">
        <v>18425</v>
      </c>
      <c r="W202" s="1668"/>
      <c r="X202" s="1668"/>
      <c r="Y202" s="1668"/>
      <c r="Z202" s="1668"/>
      <c r="AA202" s="1668">
        <v>0</v>
      </c>
      <c r="AB202" s="1668">
        <v>1</v>
      </c>
      <c r="AC202" s="1668">
        <v>0</v>
      </c>
      <c r="AD202" s="1668">
        <v>0</v>
      </c>
      <c r="AE202" s="1668">
        <v>0</v>
      </c>
      <c r="AF202" s="1668">
        <v>0</v>
      </c>
      <c r="AG202" s="1668">
        <v>0</v>
      </c>
      <c r="AH202" s="1668"/>
      <c r="AI202" s="1668"/>
      <c r="AJ202" s="1668"/>
      <c r="AK202" s="1668">
        <v>1</v>
      </c>
      <c r="AL202" s="1672">
        <v>17523423</v>
      </c>
    </row>
    <row r="205" spans="2:38" ht="12.75" thickBot="1">
      <c r="B205" s="1673" t="s">
        <v>12101</v>
      </c>
    </row>
    <row r="206" spans="2:38" ht="34.5" thickBot="1">
      <c r="B206" s="1676" t="s">
        <v>11705</v>
      </c>
      <c r="C206" s="1676" t="s">
        <v>11706</v>
      </c>
      <c r="D206" s="1676" t="s">
        <v>11707</v>
      </c>
      <c r="E206" s="1676" t="s">
        <v>11708</v>
      </c>
      <c r="F206" s="1676" t="s">
        <v>477</v>
      </c>
      <c r="G206" s="1676" t="s">
        <v>11709</v>
      </c>
      <c r="H206" s="1676" t="s">
        <v>11743</v>
      </c>
      <c r="I206" s="1676" t="s">
        <v>9595</v>
      </c>
      <c r="J206" s="1676" t="s">
        <v>11844</v>
      </c>
      <c r="K206" s="1676" t="s">
        <v>11894</v>
      </c>
      <c r="L206" s="1676" t="s">
        <v>9206</v>
      </c>
      <c r="M206" s="1676" t="s">
        <v>11888</v>
      </c>
      <c r="N206" s="1676" t="s">
        <v>623</v>
      </c>
      <c r="O206" s="1676" t="s">
        <v>11717</v>
      </c>
      <c r="P206" s="1676" t="s">
        <v>11769</v>
      </c>
      <c r="Q206" s="1676" t="s">
        <v>11893</v>
      </c>
      <c r="R206" s="1676" t="s">
        <v>12102</v>
      </c>
      <c r="S206" s="1676" t="s">
        <v>12103</v>
      </c>
      <c r="T206" s="1676" t="s">
        <v>11845</v>
      </c>
      <c r="U206" s="1676" t="s">
        <v>12041</v>
      </c>
      <c r="V206" s="1676" t="s">
        <v>12075</v>
      </c>
      <c r="W206" s="1676" t="s">
        <v>11846</v>
      </c>
      <c r="X206" s="1676" t="s">
        <v>12104</v>
      </c>
      <c r="Y206" s="1676" t="s">
        <v>11848</v>
      </c>
      <c r="Z206" s="1676" t="s">
        <v>11849</v>
      </c>
      <c r="AA206" s="1676" t="s">
        <v>9628</v>
      </c>
      <c r="AB206" s="1676" t="s">
        <v>11719</v>
      </c>
      <c r="AC206" s="1676" t="s">
        <v>11691</v>
      </c>
      <c r="AD206" s="1676" t="s">
        <v>11692</v>
      </c>
      <c r="AE206" s="1676" t="s">
        <v>11720</v>
      </c>
      <c r="AF206" s="1676" t="s">
        <v>11693</v>
      </c>
      <c r="AG206" s="1676" t="s">
        <v>11721</v>
      </c>
      <c r="AH206" s="1676" t="s">
        <v>11694</v>
      </c>
      <c r="AI206" s="1676" t="s">
        <v>11722</v>
      </c>
      <c r="AJ206" s="1676" t="s">
        <v>10358</v>
      </c>
      <c r="AK206" s="1676" t="s">
        <v>11723</v>
      </c>
      <c r="AL206" s="1676" t="s">
        <v>11724</v>
      </c>
    </row>
    <row r="207" spans="2:38">
      <c r="B207" s="1678" t="s">
        <v>11725</v>
      </c>
      <c r="C207" s="1679"/>
      <c r="D207" s="1679"/>
      <c r="E207" s="1679"/>
      <c r="F207" s="1679"/>
      <c r="G207" s="1679"/>
      <c r="H207" s="1679"/>
      <c r="I207" s="1679"/>
      <c r="J207" s="1679"/>
      <c r="K207" s="1679"/>
      <c r="L207" s="1679"/>
      <c r="M207" s="1679"/>
      <c r="N207" s="1679"/>
      <c r="O207" s="1679"/>
      <c r="P207" s="1679"/>
      <c r="Q207" s="1679"/>
      <c r="R207" s="1679"/>
      <c r="S207" s="1679"/>
      <c r="T207" s="1679"/>
      <c r="U207" s="1679"/>
      <c r="V207" s="1679"/>
      <c r="W207" s="1679"/>
      <c r="X207" s="1679"/>
      <c r="Y207" s="1679"/>
      <c r="Z207" s="1679"/>
      <c r="AA207" s="1679"/>
      <c r="AB207" s="1679"/>
      <c r="AC207" s="1679"/>
      <c r="AD207" s="1679"/>
      <c r="AE207" s="1679"/>
      <c r="AF207" s="1679"/>
      <c r="AG207" s="1679"/>
      <c r="AH207" s="1679"/>
      <c r="AI207" s="1679"/>
      <c r="AJ207" s="1679"/>
      <c r="AK207" s="1679"/>
      <c r="AL207" s="1680"/>
    </row>
    <row r="210" spans="2:38" ht="12.75" thickBot="1">
      <c r="B210" s="1673" t="s">
        <v>12105</v>
      </c>
    </row>
    <row r="211" spans="2:38" ht="34.5" thickBot="1">
      <c r="B211" s="1676" t="s">
        <v>11705</v>
      </c>
      <c r="C211" s="1676" t="s">
        <v>11706</v>
      </c>
      <c r="D211" s="1676" t="s">
        <v>11707</v>
      </c>
      <c r="E211" s="1676" t="s">
        <v>11708</v>
      </c>
      <c r="F211" s="1676" t="s">
        <v>477</v>
      </c>
      <c r="G211" s="1676" t="s">
        <v>11709</v>
      </c>
      <c r="H211" s="1676" t="s">
        <v>11743</v>
      </c>
      <c r="I211" s="1676" t="s">
        <v>11741</v>
      </c>
      <c r="J211" s="1676" t="s">
        <v>11846</v>
      </c>
      <c r="K211" s="1676" t="s">
        <v>12106</v>
      </c>
      <c r="L211" s="1676" t="s">
        <v>11717</v>
      </c>
      <c r="M211" s="1676"/>
      <c r="N211" s="1676"/>
      <c r="O211" s="1676"/>
      <c r="P211" s="1676"/>
      <c r="Q211" s="1676"/>
      <c r="R211" s="1676"/>
      <c r="S211" s="1676"/>
      <c r="T211" s="1676"/>
      <c r="U211" s="1676"/>
      <c r="V211" s="1676"/>
      <c r="W211" s="1676"/>
      <c r="X211" s="1676"/>
      <c r="Y211" s="1676"/>
      <c r="Z211" s="1676"/>
      <c r="AA211" s="1676" t="s">
        <v>9628</v>
      </c>
      <c r="AB211" s="1676" t="s">
        <v>11719</v>
      </c>
      <c r="AC211" s="1676" t="s">
        <v>11691</v>
      </c>
      <c r="AD211" s="1676" t="s">
        <v>11692</v>
      </c>
      <c r="AE211" s="1676" t="s">
        <v>11720</v>
      </c>
      <c r="AF211" s="1676" t="s">
        <v>11693</v>
      </c>
      <c r="AG211" s="1676" t="s">
        <v>11721</v>
      </c>
      <c r="AH211" s="1676" t="s">
        <v>11694</v>
      </c>
      <c r="AI211" s="1676" t="s">
        <v>11722</v>
      </c>
      <c r="AJ211" s="1676" t="s">
        <v>10358</v>
      </c>
      <c r="AK211" s="1676" t="s">
        <v>11723</v>
      </c>
      <c r="AL211" s="1676" t="s">
        <v>11724</v>
      </c>
    </row>
    <row r="212" spans="2:38">
      <c r="B212" s="1675">
        <v>7</v>
      </c>
      <c r="C212" s="1674">
        <v>1</v>
      </c>
      <c r="D212" s="1674">
        <v>1</v>
      </c>
      <c r="E212" s="1674" t="s">
        <v>9594</v>
      </c>
      <c r="F212" s="1674" t="s">
        <v>11370</v>
      </c>
      <c r="G212" s="1674" t="s">
        <v>12107</v>
      </c>
      <c r="H212" s="1674" t="s">
        <v>12108</v>
      </c>
      <c r="I212" s="1674" t="s">
        <v>12109</v>
      </c>
      <c r="J212" s="1674" t="s">
        <v>11860</v>
      </c>
      <c r="K212" s="1674" t="s">
        <v>12110</v>
      </c>
      <c r="L212" s="1674" t="s">
        <v>12111</v>
      </c>
      <c r="M212" s="1674"/>
      <c r="N212" s="1674"/>
      <c r="O212" s="1674"/>
      <c r="P212" s="1674"/>
      <c r="Q212" s="1674"/>
      <c r="R212" s="1674"/>
      <c r="S212" s="1674"/>
      <c r="T212" s="1674"/>
      <c r="U212" s="1674"/>
      <c r="V212" s="1674"/>
      <c r="W212" s="1674"/>
      <c r="X212" s="1674"/>
      <c r="Y212" s="1674"/>
      <c r="Z212" s="1674"/>
      <c r="AA212" s="1674">
        <v>0</v>
      </c>
      <c r="AB212" s="1674">
        <v>1140</v>
      </c>
      <c r="AC212" s="1674">
        <v>0</v>
      </c>
      <c r="AD212" s="1674">
        <v>0.3</v>
      </c>
      <c r="AE212" s="1674">
        <v>0</v>
      </c>
      <c r="AF212" s="1674">
        <v>0</v>
      </c>
      <c r="AG212" s="1674">
        <v>0</v>
      </c>
      <c r="AH212" s="1674"/>
      <c r="AI212" s="1674"/>
      <c r="AJ212" s="1674"/>
      <c r="AK212" s="1674">
        <v>1</v>
      </c>
      <c r="AL212" s="1677">
        <v>17523424</v>
      </c>
    </row>
    <row r="213" spans="2:38">
      <c r="B213" s="1666">
        <v>7</v>
      </c>
      <c r="C213" s="1663">
        <v>1</v>
      </c>
      <c r="D213" s="1663">
        <v>2</v>
      </c>
      <c r="E213" s="1663" t="s">
        <v>9594</v>
      </c>
      <c r="F213" s="1663" t="s">
        <v>11370</v>
      </c>
      <c r="G213" s="1663" t="s">
        <v>12107</v>
      </c>
      <c r="H213" s="1663" t="s">
        <v>12112</v>
      </c>
      <c r="I213" s="1663" t="s">
        <v>12113</v>
      </c>
      <c r="J213" s="1663" t="s">
        <v>11860</v>
      </c>
      <c r="K213" s="1663" t="s">
        <v>12110</v>
      </c>
      <c r="L213" s="1663" t="s">
        <v>12114</v>
      </c>
      <c r="M213" s="1663"/>
      <c r="N213" s="1663"/>
      <c r="O213" s="1663"/>
      <c r="P213" s="1663"/>
      <c r="Q213" s="1663"/>
      <c r="R213" s="1663"/>
      <c r="S213" s="1663"/>
      <c r="T213" s="1663"/>
      <c r="U213" s="1663"/>
      <c r="V213" s="1663"/>
      <c r="W213" s="1663"/>
      <c r="X213" s="1663"/>
      <c r="Y213" s="1663"/>
      <c r="Z213" s="1663"/>
      <c r="AA213" s="1663">
        <v>0</v>
      </c>
      <c r="AB213" s="1663">
        <v>75</v>
      </c>
      <c r="AC213" s="1663">
        <v>14</v>
      </c>
      <c r="AD213" s="1663">
        <v>70</v>
      </c>
      <c r="AE213" s="1663">
        <v>0</v>
      </c>
      <c r="AF213" s="1663">
        <v>11</v>
      </c>
      <c r="AG213" s="1663">
        <v>0</v>
      </c>
      <c r="AH213" s="1663"/>
      <c r="AI213" s="1663"/>
      <c r="AJ213" s="1663"/>
      <c r="AK213" s="1663">
        <v>1</v>
      </c>
      <c r="AL213" s="1671">
        <v>17523424</v>
      </c>
    </row>
    <row r="214" spans="2:38">
      <c r="B214" s="1666">
        <v>7</v>
      </c>
      <c r="C214" s="1663">
        <v>1</v>
      </c>
      <c r="D214" s="1663">
        <v>3</v>
      </c>
      <c r="E214" s="1663" t="s">
        <v>9594</v>
      </c>
      <c r="F214" s="1663" t="s">
        <v>11370</v>
      </c>
      <c r="G214" s="1663" t="s">
        <v>12107</v>
      </c>
      <c r="H214" s="1663" t="s">
        <v>12115</v>
      </c>
      <c r="I214" s="1663" t="s">
        <v>12116</v>
      </c>
      <c r="J214" s="1663" t="s">
        <v>11860</v>
      </c>
      <c r="K214" s="1663" t="s">
        <v>12110</v>
      </c>
      <c r="L214" s="1663" t="s">
        <v>12117</v>
      </c>
      <c r="M214" s="1663"/>
      <c r="N214" s="1663"/>
      <c r="O214" s="1663"/>
      <c r="P214" s="1663"/>
      <c r="Q214" s="1663"/>
      <c r="R214" s="1663"/>
      <c r="S214" s="1663"/>
      <c r="T214" s="1663"/>
      <c r="U214" s="1663"/>
      <c r="V214" s="1663"/>
      <c r="W214" s="1663"/>
      <c r="X214" s="1663"/>
      <c r="Y214" s="1663"/>
      <c r="Z214" s="1663"/>
      <c r="AA214" s="1663">
        <v>0</v>
      </c>
      <c r="AB214" s="1663">
        <v>0</v>
      </c>
      <c r="AC214" s="1663">
        <v>0</v>
      </c>
      <c r="AD214" s="1663">
        <v>0</v>
      </c>
      <c r="AE214" s="1663">
        <v>250</v>
      </c>
      <c r="AF214" s="1663">
        <v>0</v>
      </c>
      <c r="AG214" s="1663">
        <v>0</v>
      </c>
      <c r="AH214" s="1663"/>
      <c r="AI214" s="1663"/>
      <c r="AJ214" s="1663"/>
      <c r="AK214" s="1663">
        <v>1</v>
      </c>
      <c r="AL214" s="1671">
        <v>17523424</v>
      </c>
    </row>
    <row r="215" spans="2:38">
      <c r="B215" s="1667">
        <v>7</v>
      </c>
      <c r="C215" s="1668">
        <v>1</v>
      </c>
      <c r="D215" s="1668">
        <v>4</v>
      </c>
      <c r="E215" s="1668" t="s">
        <v>9594</v>
      </c>
      <c r="F215" s="1668" t="s">
        <v>11370</v>
      </c>
      <c r="G215" s="1668" t="s">
        <v>12107</v>
      </c>
      <c r="H215" s="1668" t="s">
        <v>12118</v>
      </c>
      <c r="I215" s="1668" t="s">
        <v>12119</v>
      </c>
      <c r="J215" s="1668" t="s">
        <v>10027</v>
      </c>
      <c r="K215" s="1668" t="s">
        <v>12120</v>
      </c>
      <c r="L215" s="1668" t="s">
        <v>12114</v>
      </c>
      <c r="M215" s="1668"/>
      <c r="N215" s="1668"/>
      <c r="O215" s="1668"/>
      <c r="P215" s="1668"/>
      <c r="Q215" s="1668"/>
      <c r="R215" s="1668"/>
      <c r="S215" s="1668"/>
      <c r="T215" s="1668"/>
      <c r="U215" s="1668"/>
      <c r="V215" s="1668"/>
      <c r="W215" s="1668"/>
      <c r="X215" s="1668"/>
      <c r="Y215" s="1668"/>
      <c r="Z215" s="1668"/>
      <c r="AA215" s="1668">
        <v>0</v>
      </c>
      <c r="AB215" s="1668">
        <v>0</v>
      </c>
      <c r="AC215" s="1668">
        <v>0</v>
      </c>
      <c r="AD215" s="1668">
        <v>2</v>
      </c>
      <c r="AE215" s="1668">
        <v>0</v>
      </c>
      <c r="AF215" s="1668">
        <v>0.6</v>
      </c>
      <c r="AG215" s="1668">
        <v>0</v>
      </c>
      <c r="AH215" s="1668"/>
      <c r="AI215" s="1668"/>
      <c r="AJ215" s="1668"/>
      <c r="AK215" s="1668">
        <v>1</v>
      </c>
      <c r="AL215" s="1672">
        <v>17523424</v>
      </c>
    </row>
    <row r="218" spans="2:38" ht="12.75" thickBot="1">
      <c r="B218" s="1673" t="s">
        <v>12121</v>
      </c>
    </row>
    <row r="219" spans="2:38" ht="34.5" thickBot="1">
      <c r="B219" s="1676" t="s">
        <v>11705</v>
      </c>
      <c r="C219" s="1676" t="s">
        <v>11706</v>
      </c>
      <c r="D219" s="1676" t="s">
        <v>11707</v>
      </c>
      <c r="E219" s="1676" t="s">
        <v>11708</v>
      </c>
      <c r="F219" s="1676" t="s">
        <v>477</v>
      </c>
      <c r="G219" s="1676" t="s">
        <v>11709</v>
      </c>
      <c r="H219" s="1676" t="s">
        <v>11743</v>
      </c>
      <c r="I219" s="1676" t="s">
        <v>11741</v>
      </c>
      <c r="J219" s="1676" t="s">
        <v>12106</v>
      </c>
      <c r="K219" s="1676" t="s">
        <v>11717</v>
      </c>
      <c r="L219" s="1676"/>
      <c r="M219" s="1676"/>
      <c r="N219" s="1676"/>
      <c r="O219" s="1676"/>
      <c r="P219" s="1676"/>
      <c r="Q219" s="1676"/>
      <c r="R219" s="1676"/>
      <c r="S219" s="1676"/>
      <c r="T219" s="1676"/>
      <c r="U219" s="1676"/>
      <c r="V219" s="1676"/>
      <c r="W219" s="1676"/>
      <c r="X219" s="1676"/>
      <c r="Y219" s="1676"/>
      <c r="Z219" s="1676"/>
      <c r="AA219" s="1676" t="s">
        <v>9628</v>
      </c>
      <c r="AB219" s="1676" t="s">
        <v>11719</v>
      </c>
      <c r="AC219" s="1676" t="s">
        <v>11691</v>
      </c>
      <c r="AD219" s="1676" t="s">
        <v>11692</v>
      </c>
      <c r="AE219" s="1676" t="s">
        <v>11720</v>
      </c>
      <c r="AF219" s="1676" t="s">
        <v>11693</v>
      </c>
      <c r="AG219" s="1676" t="s">
        <v>11721</v>
      </c>
      <c r="AH219" s="1676" t="s">
        <v>11694</v>
      </c>
      <c r="AI219" s="1676" t="s">
        <v>11722</v>
      </c>
      <c r="AJ219" s="1676" t="s">
        <v>10358</v>
      </c>
      <c r="AK219" s="1676" t="s">
        <v>11723</v>
      </c>
      <c r="AL219" s="1676" t="s">
        <v>11724</v>
      </c>
    </row>
    <row r="220" spans="2:38">
      <c r="B220" s="1678" t="s">
        <v>11725</v>
      </c>
      <c r="C220" s="1679"/>
      <c r="D220" s="1679"/>
      <c r="E220" s="1679"/>
      <c r="F220" s="1679"/>
      <c r="G220" s="1679"/>
      <c r="H220" s="1679"/>
      <c r="I220" s="1679"/>
      <c r="J220" s="1679"/>
      <c r="K220" s="1679"/>
      <c r="L220" s="1679"/>
      <c r="M220" s="1679"/>
      <c r="N220" s="1679"/>
      <c r="O220" s="1679"/>
      <c r="P220" s="1679"/>
      <c r="Q220" s="1679"/>
      <c r="R220" s="1679"/>
      <c r="S220" s="1679"/>
      <c r="T220" s="1679"/>
      <c r="U220" s="1679"/>
      <c r="V220" s="1679"/>
      <c r="W220" s="1679"/>
      <c r="X220" s="1679"/>
      <c r="Y220" s="1679"/>
      <c r="Z220" s="1679"/>
      <c r="AA220" s="1679"/>
      <c r="AB220" s="1679"/>
      <c r="AC220" s="1679"/>
      <c r="AD220" s="1679"/>
      <c r="AE220" s="1679"/>
      <c r="AF220" s="1679"/>
      <c r="AG220" s="1679"/>
      <c r="AH220" s="1679"/>
      <c r="AI220" s="1679"/>
      <c r="AJ220" s="1679"/>
      <c r="AK220" s="1679"/>
      <c r="AL220" s="1680"/>
    </row>
    <row r="223" spans="2:38" ht="12.75" thickBot="1">
      <c r="B223" s="1673" t="s">
        <v>12122</v>
      </c>
    </row>
    <row r="224" spans="2:38" ht="45.75" thickBot="1">
      <c r="B224" s="1676" t="s">
        <v>11705</v>
      </c>
      <c r="C224" s="1676" t="s">
        <v>11706</v>
      </c>
      <c r="D224" s="1676" t="s">
        <v>11707</v>
      </c>
      <c r="E224" s="1676" t="s">
        <v>11708</v>
      </c>
      <c r="F224" s="1676" t="s">
        <v>477</v>
      </c>
      <c r="G224" s="1676" t="s">
        <v>11709</v>
      </c>
      <c r="H224" s="1676" t="s">
        <v>12123</v>
      </c>
      <c r="I224" s="1676" t="s">
        <v>12106</v>
      </c>
      <c r="J224" s="1676" t="s">
        <v>12124</v>
      </c>
      <c r="K224" s="1676" t="s">
        <v>12125</v>
      </c>
      <c r="L224" s="1676" t="s">
        <v>12126</v>
      </c>
      <c r="M224" s="1676" t="s">
        <v>11717</v>
      </c>
      <c r="N224" s="1676" t="s">
        <v>12127</v>
      </c>
      <c r="O224" s="1676" t="s">
        <v>12128</v>
      </c>
      <c r="P224" s="1676" t="s">
        <v>12129</v>
      </c>
      <c r="Q224" s="1676"/>
      <c r="R224" s="1676"/>
      <c r="S224" s="1676"/>
      <c r="T224" s="1676"/>
      <c r="U224" s="1676"/>
      <c r="V224" s="1676"/>
      <c r="W224" s="1676"/>
      <c r="X224" s="1676"/>
      <c r="Y224" s="1676"/>
      <c r="Z224" s="1676"/>
      <c r="AA224" s="1676" t="s">
        <v>9628</v>
      </c>
      <c r="AB224" s="1676" t="s">
        <v>11719</v>
      </c>
      <c r="AC224" s="1676" t="s">
        <v>11691</v>
      </c>
      <c r="AD224" s="1676" t="s">
        <v>11692</v>
      </c>
      <c r="AE224" s="1676" t="s">
        <v>11720</v>
      </c>
      <c r="AF224" s="1676" t="s">
        <v>11693</v>
      </c>
      <c r="AG224" s="1676" t="s">
        <v>11721</v>
      </c>
      <c r="AH224" s="1676" t="s">
        <v>11694</v>
      </c>
      <c r="AI224" s="1676" t="s">
        <v>11722</v>
      </c>
      <c r="AJ224" s="1676" t="s">
        <v>10358</v>
      </c>
      <c r="AK224" s="1676" t="s">
        <v>11723</v>
      </c>
      <c r="AL224" s="1676" t="s">
        <v>11724</v>
      </c>
    </row>
    <row r="225" spans="2:38">
      <c r="B225" s="1675">
        <v>7</v>
      </c>
      <c r="C225" s="1674">
        <v>3</v>
      </c>
      <c r="D225" s="1674">
        <v>1</v>
      </c>
      <c r="E225" s="1674" t="s">
        <v>9594</v>
      </c>
      <c r="F225" s="1674" t="s">
        <v>11370</v>
      </c>
      <c r="G225" s="1674" t="s">
        <v>12130</v>
      </c>
      <c r="H225" s="1674" t="s">
        <v>12131</v>
      </c>
      <c r="I225" s="1674" t="s">
        <v>12132</v>
      </c>
      <c r="J225" s="1674">
        <v>4</v>
      </c>
      <c r="K225" s="1674" t="s">
        <v>12133</v>
      </c>
      <c r="L225" s="1674" t="s">
        <v>12134</v>
      </c>
      <c r="M225" s="1674" t="s">
        <v>12135</v>
      </c>
      <c r="N225" s="1674">
        <v>30</v>
      </c>
      <c r="O225" s="1674">
        <v>1</v>
      </c>
      <c r="P225" s="1674" t="s">
        <v>12136</v>
      </c>
      <c r="Q225" s="1674"/>
      <c r="R225" s="1674"/>
      <c r="S225" s="1674"/>
      <c r="T225" s="1674"/>
      <c r="U225" s="1674"/>
      <c r="V225" s="1674"/>
      <c r="W225" s="1674"/>
      <c r="X225" s="1674"/>
      <c r="Y225" s="1674"/>
      <c r="Z225" s="1674"/>
      <c r="AA225" s="1674">
        <v>0</v>
      </c>
      <c r="AB225" s="1674">
        <v>2536</v>
      </c>
      <c r="AC225" s="1674">
        <v>4.9999000000000002E-2</v>
      </c>
      <c r="AD225" s="1674">
        <v>0.05</v>
      </c>
      <c r="AE225" s="1674">
        <v>0</v>
      </c>
      <c r="AF225" s="1674">
        <v>0.02</v>
      </c>
      <c r="AG225" s="1674">
        <v>0</v>
      </c>
      <c r="AH225" s="1674"/>
      <c r="AI225" s="1674"/>
      <c r="AJ225" s="1674"/>
      <c r="AK225" s="1674">
        <v>1</v>
      </c>
      <c r="AL225" s="1677">
        <v>17523424</v>
      </c>
    </row>
    <row r="226" spans="2:38">
      <c r="B226" s="1666">
        <v>7</v>
      </c>
      <c r="C226" s="1663">
        <v>3</v>
      </c>
      <c r="D226" s="1663">
        <v>1</v>
      </c>
      <c r="E226" s="1663" t="s">
        <v>9594</v>
      </c>
      <c r="F226" s="1663" t="s">
        <v>11370</v>
      </c>
      <c r="G226" s="1663" t="s">
        <v>12130</v>
      </c>
      <c r="H226" s="1663" t="s">
        <v>12131</v>
      </c>
      <c r="I226" s="1663" t="s">
        <v>12132</v>
      </c>
      <c r="J226" s="1663">
        <v>4</v>
      </c>
      <c r="K226" s="1663" t="s">
        <v>12133</v>
      </c>
      <c r="L226" s="1663" t="s">
        <v>12134</v>
      </c>
      <c r="M226" s="1663" t="s">
        <v>12137</v>
      </c>
      <c r="N226" s="1663">
        <v>30</v>
      </c>
      <c r="O226" s="1663">
        <v>1</v>
      </c>
      <c r="P226" s="1663" t="s">
        <v>12136</v>
      </c>
      <c r="Q226" s="1663"/>
      <c r="R226" s="1663"/>
      <c r="S226" s="1663"/>
      <c r="T226" s="1663"/>
      <c r="U226" s="1663"/>
      <c r="V226" s="1663"/>
      <c r="W226" s="1663"/>
      <c r="X226" s="1663"/>
      <c r="Y226" s="1663"/>
      <c r="Z226" s="1663"/>
      <c r="AA226" s="1663">
        <v>0</v>
      </c>
      <c r="AB226" s="1663">
        <v>0</v>
      </c>
      <c r="AC226" s="1663">
        <v>0</v>
      </c>
      <c r="AD226" s="1663">
        <v>0</v>
      </c>
      <c r="AE226" s="1663">
        <v>0</v>
      </c>
      <c r="AF226" s="1663">
        <v>0</v>
      </c>
      <c r="AG226" s="1663">
        <v>0</v>
      </c>
      <c r="AH226" s="1663"/>
      <c r="AI226" s="1663"/>
      <c r="AJ226" s="1663"/>
      <c r="AK226" s="1663">
        <v>1</v>
      </c>
      <c r="AL226" s="1671">
        <v>17523424</v>
      </c>
    </row>
    <row r="227" spans="2:38">
      <c r="B227" s="1666">
        <v>7</v>
      </c>
      <c r="C227" s="1663">
        <v>3</v>
      </c>
      <c r="D227" s="1663">
        <v>2</v>
      </c>
      <c r="E227" s="1663" t="s">
        <v>9594</v>
      </c>
      <c r="F227" s="1663" t="s">
        <v>11370</v>
      </c>
      <c r="G227" s="1663" t="s">
        <v>12130</v>
      </c>
      <c r="H227" s="1663" t="s">
        <v>12131</v>
      </c>
      <c r="I227" s="1663" t="s">
        <v>12132</v>
      </c>
      <c r="J227" s="1663">
        <v>4</v>
      </c>
      <c r="K227" s="1663" t="s">
        <v>12138</v>
      </c>
      <c r="L227" s="1663" t="s">
        <v>12139</v>
      </c>
      <c r="M227" s="1663" t="s">
        <v>12135</v>
      </c>
      <c r="N227" s="1663">
        <v>30</v>
      </c>
      <c r="O227" s="1663">
        <v>1</v>
      </c>
      <c r="P227" s="1663" t="s">
        <v>12136</v>
      </c>
      <c r="Q227" s="1663"/>
      <c r="R227" s="1663"/>
      <c r="S227" s="1663"/>
      <c r="T227" s="1663"/>
      <c r="U227" s="1663"/>
      <c r="V227" s="1663"/>
      <c r="W227" s="1663"/>
      <c r="X227" s="1663"/>
      <c r="Y227" s="1663"/>
      <c r="Z227" s="1663"/>
      <c r="AA227" s="1663">
        <v>0</v>
      </c>
      <c r="AB227" s="1663">
        <v>870</v>
      </c>
      <c r="AC227" s="1663">
        <v>4.9999000000000002E-2</v>
      </c>
      <c r="AD227" s="1663">
        <v>0.05</v>
      </c>
      <c r="AE227" s="1663">
        <v>0</v>
      </c>
      <c r="AF227" s="1663">
        <v>0.02</v>
      </c>
      <c r="AG227" s="1663">
        <v>0</v>
      </c>
      <c r="AH227" s="1663"/>
      <c r="AI227" s="1663"/>
      <c r="AJ227" s="1663"/>
      <c r="AK227" s="1663">
        <v>1</v>
      </c>
      <c r="AL227" s="1671">
        <v>17523424</v>
      </c>
    </row>
    <row r="228" spans="2:38">
      <c r="B228" s="1666">
        <v>7</v>
      </c>
      <c r="C228" s="1663">
        <v>3</v>
      </c>
      <c r="D228" s="1663">
        <v>2</v>
      </c>
      <c r="E228" s="1663" t="s">
        <v>9594</v>
      </c>
      <c r="F228" s="1663" t="s">
        <v>11370</v>
      </c>
      <c r="G228" s="1663" t="s">
        <v>12130</v>
      </c>
      <c r="H228" s="1663" t="s">
        <v>12131</v>
      </c>
      <c r="I228" s="1663" t="s">
        <v>12132</v>
      </c>
      <c r="J228" s="1663">
        <v>4</v>
      </c>
      <c r="K228" s="1663" t="s">
        <v>12138</v>
      </c>
      <c r="L228" s="1663" t="s">
        <v>12139</v>
      </c>
      <c r="M228" s="1663" t="s">
        <v>12137</v>
      </c>
      <c r="N228" s="1663">
        <v>30</v>
      </c>
      <c r="O228" s="1663">
        <v>1</v>
      </c>
      <c r="P228" s="1663" t="s">
        <v>12136</v>
      </c>
      <c r="Q228" s="1663"/>
      <c r="R228" s="1663"/>
      <c r="S228" s="1663"/>
      <c r="T228" s="1663"/>
      <c r="U228" s="1663"/>
      <c r="V228" s="1663"/>
      <c r="W228" s="1663"/>
      <c r="X228" s="1663"/>
      <c r="Y228" s="1663"/>
      <c r="Z228" s="1663"/>
      <c r="AA228" s="1663">
        <v>0</v>
      </c>
      <c r="AB228" s="1663">
        <v>0</v>
      </c>
      <c r="AC228" s="1663">
        <v>0</v>
      </c>
      <c r="AD228" s="1663">
        <v>0</v>
      </c>
      <c r="AE228" s="1663">
        <v>0</v>
      </c>
      <c r="AF228" s="1663">
        <v>0</v>
      </c>
      <c r="AG228" s="1663">
        <v>0</v>
      </c>
      <c r="AH228" s="1663"/>
      <c r="AI228" s="1663"/>
      <c r="AJ228" s="1663"/>
      <c r="AK228" s="1663">
        <v>1</v>
      </c>
      <c r="AL228" s="1671">
        <v>17523424</v>
      </c>
    </row>
    <row r="229" spans="2:38">
      <c r="B229" s="1666">
        <v>7</v>
      </c>
      <c r="C229" s="1663">
        <v>3</v>
      </c>
      <c r="D229" s="1663">
        <v>3</v>
      </c>
      <c r="E229" s="1663" t="s">
        <v>9594</v>
      </c>
      <c r="F229" s="1663" t="s">
        <v>11370</v>
      </c>
      <c r="G229" s="1663" t="s">
        <v>12130</v>
      </c>
      <c r="H229" s="1663" t="s">
        <v>12131</v>
      </c>
      <c r="I229" s="1663" t="s">
        <v>12132</v>
      </c>
      <c r="J229" s="1663">
        <v>4</v>
      </c>
      <c r="K229" s="1663" t="s">
        <v>12138</v>
      </c>
      <c r="L229" s="1663" t="s">
        <v>12140</v>
      </c>
      <c r="M229" s="1663" t="s">
        <v>12135</v>
      </c>
      <c r="N229" s="1663">
        <v>30</v>
      </c>
      <c r="O229" s="1663">
        <v>1</v>
      </c>
      <c r="P229" s="1663" t="s">
        <v>12136</v>
      </c>
      <c r="Q229" s="1663"/>
      <c r="R229" s="1663"/>
      <c r="S229" s="1663"/>
      <c r="T229" s="1663"/>
      <c r="U229" s="1663"/>
      <c r="V229" s="1663"/>
      <c r="W229" s="1663"/>
      <c r="X229" s="1663"/>
      <c r="Y229" s="1663"/>
      <c r="Z229" s="1663"/>
      <c r="AA229" s="1663">
        <v>0</v>
      </c>
      <c r="AB229" s="1663">
        <v>3</v>
      </c>
      <c r="AC229" s="1663">
        <v>4.9999000000000002E-2</v>
      </c>
      <c r="AD229" s="1663">
        <v>0.05</v>
      </c>
      <c r="AE229" s="1663">
        <v>0</v>
      </c>
      <c r="AF229" s="1663">
        <v>0.02</v>
      </c>
      <c r="AG229" s="1663">
        <v>0</v>
      </c>
      <c r="AH229" s="1663"/>
      <c r="AI229" s="1663"/>
      <c r="AJ229" s="1663"/>
      <c r="AK229" s="1663">
        <v>1</v>
      </c>
      <c r="AL229" s="1671">
        <v>17523424</v>
      </c>
    </row>
    <row r="230" spans="2:38">
      <c r="B230" s="1667">
        <v>7</v>
      </c>
      <c r="C230" s="1668">
        <v>3</v>
      </c>
      <c r="D230" s="1668">
        <v>3</v>
      </c>
      <c r="E230" s="1668" t="s">
        <v>9594</v>
      </c>
      <c r="F230" s="1668" t="s">
        <v>11370</v>
      </c>
      <c r="G230" s="1668" t="s">
        <v>12130</v>
      </c>
      <c r="H230" s="1668" t="s">
        <v>12131</v>
      </c>
      <c r="I230" s="1668" t="s">
        <v>12132</v>
      </c>
      <c r="J230" s="1668">
        <v>4</v>
      </c>
      <c r="K230" s="1668" t="s">
        <v>12138</v>
      </c>
      <c r="L230" s="1668" t="s">
        <v>12140</v>
      </c>
      <c r="M230" s="1668" t="s">
        <v>12137</v>
      </c>
      <c r="N230" s="1668">
        <v>30</v>
      </c>
      <c r="O230" s="1668">
        <v>1</v>
      </c>
      <c r="P230" s="1668" t="s">
        <v>12136</v>
      </c>
      <c r="Q230" s="1668"/>
      <c r="R230" s="1668"/>
      <c r="S230" s="1668"/>
      <c r="T230" s="1668"/>
      <c r="U230" s="1668"/>
      <c r="V230" s="1668"/>
      <c r="W230" s="1668"/>
      <c r="X230" s="1668"/>
      <c r="Y230" s="1668"/>
      <c r="Z230" s="1668"/>
      <c r="AA230" s="1668">
        <v>0</v>
      </c>
      <c r="AB230" s="1668">
        <v>0</v>
      </c>
      <c r="AC230" s="1668">
        <v>0</v>
      </c>
      <c r="AD230" s="1668">
        <v>0</v>
      </c>
      <c r="AE230" s="1668">
        <v>0</v>
      </c>
      <c r="AF230" s="1668">
        <v>0</v>
      </c>
      <c r="AG230" s="1668">
        <v>0</v>
      </c>
      <c r="AH230" s="1668"/>
      <c r="AI230" s="1668"/>
      <c r="AJ230" s="1668"/>
      <c r="AK230" s="1668">
        <v>1</v>
      </c>
      <c r="AL230" s="1672">
        <v>17523424</v>
      </c>
    </row>
    <row r="233" spans="2:38" ht="12.75" thickBot="1">
      <c r="B233" s="1673" t="s">
        <v>12141</v>
      </c>
    </row>
    <row r="234" spans="2:38" ht="45.75" thickBot="1">
      <c r="B234" s="1676" t="s">
        <v>11705</v>
      </c>
      <c r="C234" s="1676" t="s">
        <v>11706</v>
      </c>
      <c r="D234" s="1676" t="s">
        <v>11707</v>
      </c>
      <c r="E234" s="1676" t="s">
        <v>11708</v>
      </c>
      <c r="F234" s="1676" t="s">
        <v>477</v>
      </c>
      <c r="G234" s="1676" t="s">
        <v>11709</v>
      </c>
      <c r="H234" s="1676" t="s">
        <v>11743</v>
      </c>
      <c r="I234" s="1676" t="s">
        <v>11888</v>
      </c>
      <c r="J234" s="1676" t="s">
        <v>12142</v>
      </c>
      <c r="K234" s="1676" t="s">
        <v>11845</v>
      </c>
      <c r="L234" s="1676" t="s">
        <v>11846</v>
      </c>
      <c r="M234" s="1676" t="s">
        <v>12143</v>
      </c>
      <c r="N234" s="1676" t="s">
        <v>12127</v>
      </c>
      <c r="O234" s="1676" t="s">
        <v>12128</v>
      </c>
      <c r="P234" s="1676" t="s">
        <v>12144</v>
      </c>
      <c r="Q234" s="1676" t="s">
        <v>12145</v>
      </c>
      <c r="R234" s="1676" t="s">
        <v>12146</v>
      </c>
      <c r="S234" s="1676"/>
      <c r="T234" s="1676"/>
      <c r="U234" s="1676"/>
      <c r="V234" s="1676"/>
      <c r="W234" s="1676"/>
      <c r="X234" s="1676"/>
      <c r="Y234" s="1676"/>
      <c r="Z234" s="1676"/>
      <c r="AA234" s="1676" t="s">
        <v>9628</v>
      </c>
      <c r="AB234" s="1676" t="s">
        <v>11719</v>
      </c>
      <c r="AC234" s="1676" t="s">
        <v>11691</v>
      </c>
      <c r="AD234" s="1676" t="s">
        <v>11692</v>
      </c>
      <c r="AE234" s="1676" t="s">
        <v>11720</v>
      </c>
      <c r="AF234" s="1676" t="s">
        <v>11693</v>
      </c>
      <c r="AG234" s="1676" t="s">
        <v>11721</v>
      </c>
      <c r="AH234" s="1676" t="s">
        <v>11694</v>
      </c>
      <c r="AI234" s="1676" t="s">
        <v>11722</v>
      </c>
      <c r="AJ234" s="1676" t="s">
        <v>10358</v>
      </c>
      <c r="AK234" s="1676" t="s">
        <v>11723</v>
      </c>
      <c r="AL234" s="1676" t="s">
        <v>11724</v>
      </c>
    </row>
    <row r="235" spans="2:38">
      <c r="B235" s="1675">
        <v>7</v>
      </c>
      <c r="C235" s="1674">
        <v>4</v>
      </c>
      <c r="D235" s="1674">
        <v>1</v>
      </c>
      <c r="E235" s="1674" t="s">
        <v>9594</v>
      </c>
      <c r="F235" s="1674" t="s">
        <v>11370</v>
      </c>
      <c r="G235" s="1674" t="s">
        <v>12147</v>
      </c>
      <c r="H235" s="1674" t="s">
        <v>12148</v>
      </c>
      <c r="I235" s="1674" t="s">
        <v>12149</v>
      </c>
      <c r="J235" s="1674" t="s">
        <v>12150</v>
      </c>
      <c r="K235" s="1674" t="s">
        <v>11944</v>
      </c>
      <c r="L235" s="1674" t="s">
        <v>12151</v>
      </c>
      <c r="M235" s="1674" t="s">
        <v>12152</v>
      </c>
      <c r="N235" s="1674">
        <v>30</v>
      </c>
      <c r="O235" s="1674">
        <v>1</v>
      </c>
      <c r="P235" s="1674"/>
      <c r="Q235" s="1674"/>
      <c r="R235" s="1674" t="s">
        <v>12153</v>
      </c>
      <c r="S235" s="1674"/>
      <c r="T235" s="1674"/>
      <c r="U235" s="1674"/>
      <c r="V235" s="1674"/>
      <c r="W235" s="1674"/>
      <c r="X235" s="1674"/>
      <c r="Y235" s="1674"/>
      <c r="Z235" s="1674"/>
      <c r="AA235" s="1674">
        <v>0</v>
      </c>
      <c r="AB235" s="1674">
        <v>203</v>
      </c>
      <c r="AC235" s="1674">
        <v>3.9E-2</v>
      </c>
      <c r="AD235" s="1674">
        <v>0.06</v>
      </c>
      <c r="AE235" s="1674">
        <v>0</v>
      </c>
      <c r="AF235" s="1674">
        <v>3.9E-2</v>
      </c>
      <c r="AG235" s="1674">
        <v>0</v>
      </c>
      <c r="AH235" s="1674"/>
      <c r="AI235" s="1674"/>
      <c r="AJ235" s="1674"/>
      <c r="AK235" s="1674">
        <v>1</v>
      </c>
      <c r="AL235" s="1677">
        <v>17523424</v>
      </c>
    </row>
    <row r="236" spans="2:38">
      <c r="B236" s="1666">
        <v>7</v>
      </c>
      <c r="C236" s="1663">
        <v>4</v>
      </c>
      <c r="D236" s="1663">
        <v>2</v>
      </c>
      <c r="E236" s="1663" t="s">
        <v>9594</v>
      </c>
      <c r="F236" s="1663" t="s">
        <v>11370</v>
      </c>
      <c r="G236" s="1663" t="s">
        <v>12147</v>
      </c>
      <c r="H236" s="1663" t="s">
        <v>12148</v>
      </c>
      <c r="I236" s="1663" t="s">
        <v>12149</v>
      </c>
      <c r="J236" s="1663" t="s">
        <v>12150</v>
      </c>
      <c r="K236" s="1663" t="s">
        <v>12154</v>
      </c>
      <c r="L236" s="1663" t="s">
        <v>12155</v>
      </c>
      <c r="M236" s="1663" t="s">
        <v>12152</v>
      </c>
      <c r="N236" s="1663">
        <v>30</v>
      </c>
      <c r="O236" s="1663">
        <v>1</v>
      </c>
      <c r="P236" s="1663"/>
      <c r="Q236" s="1663"/>
      <c r="R236" s="1663" t="s">
        <v>12156</v>
      </c>
      <c r="S236" s="1663"/>
      <c r="T236" s="1663"/>
      <c r="U236" s="1663"/>
      <c r="V236" s="1663"/>
      <c r="W236" s="1663"/>
      <c r="X236" s="1663"/>
      <c r="Y236" s="1663"/>
      <c r="Z236" s="1663"/>
      <c r="AA236" s="1663">
        <v>0</v>
      </c>
      <c r="AB236" s="1663">
        <v>17</v>
      </c>
      <c r="AC236" s="1663">
        <v>0.73050000000000004</v>
      </c>
      <c r="AD236" s="1663">
        <v>0.73199999999999998</v>
      </c>
      <c r="AE236" s="1663">
        <v>0</v>
      </c>
      <c r="AF236" s="1663">
        <v>0.58560000000000001</v>
      </c>
      <c r="AG236" s="1663">
        <v>0</v>
      </c>
      <c r="AH236" s="1663"/>
      <c r="AI236" s="1663"/>
      <c r="AJ236" s="1663"/>
      <c r="AK236" s="1663">
        <v>1</v>
      </c>
      <c r="AL236" s="1671">
        <v>17523424</v>
      </c>
    </row>
    <row r="237" spans="2:38">
      <c r="B237" s="1666">
        <v>7</v>
      </c>
      <c r="C237" s="1663">
        <v>4</v>
      </c>
      <c r="D237" s="1663">
        <v>3</v>
      </c>
      <c r="E237" s="1663" t="s">
        <v>9594</v>
      </c>
      <c r="F237" s="1663" t="s">
        <v>11370</v>
      </c>
      <c r="G237" s="1663" t="s">
        <v>12147</v>
      </c>
      <c r="H237" s="1663" t="s">
        <v>12148</v>
      </c>
      <c r="I237" s="1663" t="s">
        <v>12149</v>
      </c>
      <c r="J237" s="1663" t="s">
        <v>12150</v>
      </c>
      <c r="K237" s="1663" t="s">
        <v>12157</v>
      </c>
      <c r="L237" s="1663" t="s">
        <v>12158</v>
      </c>
      <c r="M237" s="1663" t="s">
        <v>12152</v>
      </c>
      <c r="N237" s="1663">
        <v>30</v>
      </c>
      <c r="O237" s="1663">
        <v>1</v>
      </c>
      <c r="P237" s="1663"/>
      <c r="Q237" s="1663"/>
      <c r="R237" s="1663" t="s">
        <v>12156</v>
      </c>
      <c r="S237" s="1663"/>
      <c r="T237" s="1663"/>
      <c r="U237" s="1663"/>
      <c r="V237" s="1663"/>
      <c r="W237" s="1663"/>
      <c r="X237" s="1663"/>
      <c r="Y237" s="1663"/>
      <c r="Z237" s="1663"/>
      <c r="AA237" s="1663">
        <v>0</v>
      </c>
      <c r="AB237" s="1663">
        <v>10</v>
      </c>
      <c r="AC237" s="1663">
        <v>0.56279999999999997</v>
      </c>
      <c r="AD237" s="1663">
        <v>0.56399999999999995</v>
      </c>
      <c r="AE237" s="1663">
        <v>0</v>
      </c>
      <c r="AF237" s="1663">
        <v>0.45119999999999999</v>
      </c>
      <c r="AG237" s="1663">
        <v>0</v>
      </c>
      <c r="AH237" s="1663"/>
      <c r="AI237" s="1663"/>
      <c r="AJ237" s="1663"/>
      <c r="AK237" s="1663">
        <v>1</v>
      </c>
      <c r="AL237" s="1671">
        <v>17523424</v>
      </c>
    </row>
    <row r="238" spans="2:38">
      <c r="B238" s="1666">
        <v>7</v>
      </c>
      <c r="C238" s="1663">
        <v>4</v>
      </c>
      <c r="D238" s="1663">
        <v>4</v>
      </c>
      <c r="E238" s="1663" t="s">
        <v>9594</v>
      </c>
      <c r="F238" s="1663" t="s">
        <v>11370</v>
      </c>
      <c r="G238" s="1663" t="s">
        <v>12147</v>
      </c>
      <c r="H238" s="1663" t="s">
        <v>12148</v>
      </c>
      <c r="I238" s="1663" t="s">
        <v>12149</v>
      </c>
      <c r="J238" s="1663" t="s">
        <v>12150</v>
      </c>
      <c r="K238" s="1663" t="s">
        <v>11991</v>
      </c>
      <c r="L238" s="1663" t="s">
        <v>12159</v>
      </c>
      <c r="M238" s="1663" t="s">
        <v>12152</v>
      </c>
      <c r="N238" s="1663">
        <v>30</v>
      </c>
      <c r="O238" s="1663">
        <v>1</v>
      </c>
      <c r="P238" s="1663"/>
      <c r="Q238" s="1663"/>
      <c r="R238" s="1663" t="s">
        <v>12153</v>
      </c>
      <c r="S238" s="1663"/>
      <c r="T238" s="1663"/>
      <c r="U238" s="1663"/>
      <c r="V238" s="1663"/>
      <c r="W238" s="1663"/>
      <c r="X238" s="1663"/>
      <c r="Y238" s="1663"/>
      <c r="Z238" s="1663"/>
      <c r="AA238" s="1663">
        <v>0</v>
      </c>
      <c r="AB238" s="1663">
        <v>1</v>
      </c>
      <c r="AC238" s="1663">
        <v>0</v>
      </c>
      <c r="AD238" s="1663">
        <v>0.14399999999999999</v>
      </c>
      <c r="AE238" s="1663">
        <v>0</v>
      </c>
      <c r="AF238" s="1663">
        <v>1.44E-2</v>
      </c>
      <c r="AG238" s="1663">
        <v>0</v>
      </c>
      <c r="AH238" s="1663"/>
      <c r="AI238" s="1663"/>
      <c r="AJ238" s="1663"/>
      <c r="AK238" s="1663">
        <v>1</v>
      </c>
      <c r="AL238" s="1671">
        <v>17523424</v>
      </c>
    </row>
    <row r="239" spans="2:38">
      <c r="B239" s="1666">
        <v>7</v>
      </c>
      <c r="C239" s="1663">
        <v>4</v>
      </c>
      <c r="D239" s="1663">
        <v>5</v>
      </c>
      <c r="E239" s="1663" t="s">
        <v>9594</v>
      </c>
      <c r="F239" s="1663" t="s">
        <v>11370</v>
      </c>
      <c r="G239" s="1663" t="s">
        <v>12147</v>
      </c>
      <c r="H239" s="1663" t="s">
        <v>12148</v>
      </c>
      <c r="I239" s="1663" t="s">
        <v>12149</v>
      </c>
      <c r="J239" s="1663" t="s">
        <v>12150</v>
      </c>
      <c r="K239" s="1663" t="s">
        <v>12160</v>
      </c>
      <c r="L239" s="1663" t="s">
        <v>12159</v>
      </c>
      <c r="M239" s="1663" t="s">
        <v>12152</v>
      </c>
      <c r="N239" s="1663">
        <v>30</v>
      </c>
      <c r="O239" s="1663">
        <v>1</v>
      </c>
      <c r="P239" s="1663"/>
      <c r="Q239" s="1663"/>
      <c r="R239" s="1663" t="s">
        <v>12156</v>
      </c>
      <c r="S239" s="1663"/>
      <c r="T239" s="1663"/>
      <c r="U239" s="1663"/>
      <c r="V239" s="1663"/>
      <c r="W239" s="1663"/>
      <c r="X239" s="1663"/>
      <c r="Y239" s="1663"/>
      <c r="Z239" s="1663"/>
      <c r="AA239" s="1663">
        <v>0</v>
      </c>
      <c r="AB239" s="1663">
        <v>14</v>
      </c>
      <c r="AC239" s="1663">
        <v>0</v>
      </c>
      <c r="AD239" s="1663">
        <v>0.58199999999999996</v>
      </c>
      <c r="AE239" s="1663">
        <v>0</v>
      </c>
      <c r="AF239" s="1663">
        <v>5.8200000000000002E-2</v>
      </c>
      <c r="AG239" s="1663">
        <v>0</v>
      </c>
      <c r="AH239" s="1663"/>
      <c r="AI239" s="1663"/>
      <c r="AJ239" s="1663"/>
      <c r="AK239" s="1663">
        <v>1</v>
      </c>
      <c r="AL239" s="1671">
        <v>17523424</v>
      </c>
    </row>
    <row r="240" spans="2:38">
      <c r="B240" s="1667">
        <v>7</v>
      </c>
      <c r="C240" s="1668">
        <v>4</v>
      </c>
      <c r="D240" s="1668">
        <v>6</v>
      </c>
      <c r="E240" s="1668" t="s">
        <v>9594</v>
      </c>
      <c r="F240" s="1668" t="s">
        <v>11370</v>
      </c>
      <c r="G240" s="1668" t="s">
        <v>12147</v>
      </c>
      <c r="H240" s="1668" t="s">
        <v>12148</v>
      </c>
      <c r="I240" s="1668" t="s">
        <v>12149</v>
      </c>
      <c r="J240" s="1668" t="s">
        <v>12150</v>
      </c>
      <c r="K240" s="1668" t="s">
        <v>11910</v>
      </c>
      <c r="L240" s="1668" t="s">
        <v>12161</v>
      </c>
      <c r="M240" s="1668" t="s">
        <v>12152</v>
      </c>
      <c r="N240" s="1668">
        <v>30</v>
      </c>
      <c r="O240" s="1668">
        <v>1</v>
      </c>
      <c r="P240" s="1668"/>
      <c r="Q240" s="1668"/>
      <c r="R240" s="1668" t="s">
        <v>12153</v>
      </c>
      <c r="S240" s="1668"/>
      <c r="T240" s="1668"/>
      <c r="U240" s="1668"/>
      <c r="V240" s="1668"/>
      <c r="W240" s="1668"/>
      <c r="X240" s="1668"/>
      <c r="Y240" s="1668"/>
      <c r="Z240" s="1668"/>
      <c r="AA240" s="1668">
        <v>0</v>
      </c>
      <c r="AB240" s="1668">
        <v>1</v>
      </c>
      <c r="AC240" s="1668">
        <v>0.108</v>
      </c>
      <c r="AD240" s="1668">
        <v>0.108</v>
      </c>
      <c r="AE240" s="1668">
        <v>0</v>
      </c>
      <c r="AF240" s="1668">
        <v>8.6400000000000005E-2</v>
      </c>
      <c r="AG240" s="1668">
        <v>0</v>
      </c>
      <c r="AH240" s="1668"/>
      <c r="AI240" s="1668"/>
      <c r="AJ240" s="1668"/>
      <c r="AK240" s="1668">
        <v>1</v>
      </c>
      <c r="AL240" s="1672">
        <v>17523424</v>
      </c>
    </row>
    <row r="243" spans="2:38" ht="12.75" thickBot="1">
      <c r="B243" s="1673" t="s">
        <v>12162</v>
      </c>
    </row>
    <row r="244" spans="2:38" ht="34.5" thickBot="1">
      <c r="B244" s="1676" t="s">
        <v>11705</v>
      </c>
      <c r="C244" s="1676" t="s">
        <v>11706</v>
      </c>
      <c r="D244" s="1676" t="s">
        <v>11707</v>
      </c>
      <c r="E244" s="1676" t="s">
        <v>11708</v>
      </c>
      <c r="F244" s="1676" t="s">
        <v>477</v>
      </c>
      <c r="G244" s="1676" t="s">
        <v>11709</v>
      </c>
      <c r="H244" s="1676" t="s">
        <v>11743</v>
      </c>
      <c r="I244" s="1676" t="s">
        <v>11741</v>
      </c>
      <c r="J244" s="1676" t="s">
        <v>11894</v>
      </c>
      <c r="K244" s="1676" t="s">
        <v>9206</v>
      </c>
      <c r="L244" s="1676" t="s">
        <v>12106</v>
      </c>
      <c r="M244" s="1676" t="s">
        <v>11717</v>
      </c>
      <c r="N244" s="1676" t="s">
        <v>11769</v>
      </c>
      <c r="O244" s="1676" t="s">
        <v>11845</v>
      </c>
      <c r="P244" s="1676" t="s">
        <v>12041</v>
      </c>
      <c r="Q244" s="1676" t="s">
        <v>11846</v>
      </c>
      <c r="R244" s="1676" t="s">
        <v>12075</v>
      </c>
      <c r="S244" s="1676" t="s">
        <v>12163</v>
      </c>
      <c r="T244" s="1676" t="s">
        <v>12164</v>
      </c>
      <c r="U244" s="1676"/>
      <c r="V244" s="1676"/>
      <c r="W244" s="1676"/>
      <c r="X244" s="1676"/>
      <c r="Y244" s="1676"/>
      <c r="Z244" s="1676"/>
      <c r="AA244" s="1676" t="s">
        <v>9628</v>
      </c>
      <c r="AB244" s="1676" t="s">
        <v>11719</v>
      </c>
      <c r="AC244" s="1676" t="s">
        <v>11691</v>
      </c>
      <c r="AD244" s="1676" t="s">
        <v>11692</v>
      </c>
      <c r="AE244" s="1676" t="s">
        <v>11720</v>
      </c>
      <c r="AF244" s="1676" t="s">
        <v>11693</v>
      </c>
      <c r="AG244" s="1676" t="s">
        <v>11721</v>
      </c>
      <c r="AH244" s="1676" t="s">
        <v>11694</v>
      </c>
      <c r="AI244" s="1676" t="s">
        <v>11722</v>
      </c>
      <c r="AJ244" s="1676" t="s">
        <v>10358</v>
      </c>
      <c r="AK244" s="1676" t="s">
        <v>11723</v>
      </c>
      <c r="AL244" s="1676" t="s">
        <v>11724</v>
      </c>
    </row>
    <row r="245" spans="2:38">
      <c r="B245" s="1678" t="s">
        <v>11725</v>
      </c>
      <c r="C245" s="1679"/>
      <c r="D245" s="1679"/>
      <c r="E245" s="1679"/>
      <c r="F245" s="1679"/>
      <c r="G245" s="1679"/>
      <c r="H245" s="1679"/>
      <c r="I245" s="1679"/>
      <c r="J245" s="1679"/>
      <c r="K245" s="1679"/>
      <c r="L245" s="1679"/>
      <c r="M245" s="1679"/>
      <c r="N245" s="1679"/>
      <c r="O245" s="1679"/>
      <c r="P245" s="1679"/>
      <c r="Q245" s="1679"/>
      <c r="R245" s="1679"/>
      <c r="S245" s="1679"/>
      <c r="T245" s="1679"/>
      <c r="U245" s="1679"/>
      <c r="V245" s="1679"/>
      <c r="W245" s="1679"/>
      <c r="X245" s="1679"/>
      <c r="Y245" s="1679"/>
      <c r="Z245" s="1679"/>
      <c r="AA245" s="1679"/>
      <c r="AB245" s="1679"/>
      <c r="AC245" s="1679"/>
      <c r="AD245" s="1679"/>
      <c r="AE245" s="1679"/>
      <c r="AF245" s="1679"/>
      <c r="AG245" s="1679"/>
      <c r="AH245" s="1679"/>
      <c r="AI245" s="1679"/>
      <c r="AJ245" s="1679"/>
      <c r="AK245" s="1679"/>
      <c r="AL245" s="1680"/>
    </row>
    <row r="248" spans="2:38" ht="12.75" thickBot="1">
      <c r="B248" s="1673" t="s">
        <v>11704</v>
      </c>
    </row>
    <row r="249" spans="2:38" ht="34.5" thickBot="1">
      <c r="B249" s="1676" t="s">
        <v>11705</v>
      </c>
      <c r="C249" s="1676" t="s">
        <v>11706</v>
      </c>
      <c r="D249" s="1676" t="s">
        <v>11707</v>
      </c>
      <c r="E249" s="1676" t="s">
        <v>11708</v>
      </c>
      <c r="F249" s="1676" t="s">
        <v>477</v>
      </c>
      <c r="G249" s="1676" t="s">
        <v>11709</v>
      </c>
      <c r="H249" s="1676" t="s">
        <v>623</v>
      </c>
      <c r="I249" s="1676" t="s">
        <v>11710</v>
      </c>
      <c r="J249" s="1676" t="s">
        <v>11659</v>
      </c>
      <c r="K249" s="1676" t="s">
        <v>11711</v>
      </c>
      <c r="L249" s="1676" t="s">
        <v>11712</v>
      </c>
      <c r="M249" s="1676" t="s">
        <v>11713</v>
      </c>
      <c r="N249" s="1676" t="s">
        <v>11714</v>
      </c>
      <c r="O249" s="1676" t="s">
        <v>11715</v>
      </c>
      <c r="P249" s="1676" t="s">
        <v>11716</v>
      </c>
      <c r="Q249" s="1676" t="s">
        <v>11717</v>
      </c>
      <c r="R249" s="1676" t="s">
        <v>11718</v>
      </c>
      <c r="S249" s="1676"/>
      <c r="T249" s="1676"/>
      <c r="U249" s="1676"/>
      <c r="V249" s="1676"/>
      <c r="W249" s="1676"/>
      <c r="X249" s="1676"/>
      <c r="Y249" s="1676"/>
      <c r="Z249" s="1676"/>
      <c r="AA249" s="1676" t="s">
        <v>9628</v>
      </c>
      <c r="AB249" s="1676" t="s">
        <v>11719</v>
      </c>
      <c r="AC249" s="1676" t="s">
        <v>11691</v>
      </c>
      <c r="AD249" s="1676" t="s">
        <v>11692</v>
      </c>
      <c r="AE249" s="1676" t="s">
        <v>11720</v>
      </c>
      <c r="AF249" s="1676" t="s">
        <v>11693</v>
      </c>
      <c r="AG249" s="1676" t="s">
        <v>11721</v>
      </c>
      <c r="AH249" s="1676" t="s">
        <v>11694</v>
      </c>
      <c r="AI249" s="1676" t="s">
        <v>11722</v>
      </c>
      <c r="AJ249" s="1676" t="s">
        <v>10358</v>
      </c>
      <c r="AK249" s="1676" t="s">
        <v>11723</v>
      </c>
      <c r="AL249" s="1676" t="s">
        <v>11724</v>
      </c>
    </row>
    <row r="250" spans="2:38">
      <c r="B250" s="1675">
        <v>8</v>
      </c>
      <c r="C250" s="1674">
        <v>1</v>
      </c>
      <c r="D250" s="1674">
        <v>1</v>
      </c>
      <c r="E250" s="1674" t="s">
        <v>9594</v>
      </c>
      <c r="F250" s="1674" t="s">
        <v>11376</v>
      </c>
      <c r="G250" s="1674" t="s">
        <v>11726</v>
      </c>
      <c r="H250" s="1674" t="s">
        <v>11727</v>
      </c>
      <c r="I250" s="1674" t="s">
        <v>12165</v>
      </c>
      <c r="J250" s="1674">
        <v>628</v>
      </c>
      <c r="K250" s="1674" t="s">
        <v>11729</v>
      </c>
      <c r="L250" s="1674" t="s">
        <v>11730</v>
      </c>
      <c r="M250" s="1674">
        <v>651462</v>
      </c>
      <c r="N250" s="1674" t="s">
        <v>11731</v>
      </c>
      <c r="O250" s="1674" t="s">
        <v>11732</v>
      </c>
      <c r="P250" s="1674" t="s">
        <v>11733</v>
      </c>
      <c r="Q250" s="1674" t="s">
        <v>11734</v>
      </c>
      <c r="R250" s="1674" t="s">
        <v>12166</v>
      </c>
      <c r="S250" s="1674"/>
      <c r="T250" s="1674"/>
      <c r="U250" s="1674"/>
      <c r="V250" s="1674"/>
      <c r="W250" s="1674"/>
      <c r="X250" s="1674"/>
      <c r="Y250" s="1674"/>
      <c r="Z250" s="1674"/>
      <c r="AA250" s="1674">
        <v>1</v>
      </c>
      <c r="AB250" s="1674">
        <v>0</v>
      </c>
      <c r="AC250" s="1674">
        <v>0</v>
      </c>
      <c r="AD250" s="1674">
        <v>660</v>
      </c>
      <c r="AE250" s="1674">
        <v>0</v>
      </c>
      <c r="AF250" s="1674">
        <v>330</v>
      </c>
      <c r="AG250" s="1674">
        <v>0</v>
      </c>
      <c r="AH250" s="1674"/>
      <c r="AI250" s="1674"/>
      <c r="AJ250" s="1674"/>
      <c r="AK250" s="1674">
        <v>1</v>
      </c>
      <c r="AL250" s="1677">
        <v>17523425</v>
      </c>
    </row>
    <row r="251" spans="2:38">
      <c r="B251" s="1666">
        <v>8</v>
      </c>
      <c r="C251" s="1663">
        <v>1</v>
      </c>
      <c r="D251" s="1663">
        <v>1</v>
      </c>
      <c r="E251" s="1663" t="s">
        <v>9594</v>
      </c>
      <c r="F251" s="1663" t="s">
        <v>11376</v>
      </c>
      <c r="G251" s="1663" t="s">
        <v>11726</v>
      </c>
      <c r="H251" s="1663" t="s">
        <v>11727</v>
      </c>
      <c r="I251" s="1663" t="s">
        <v>12165</v>
      </c>
      <c r="J251" s="1663">
        <v>628</v>
      </c>
      <c r="K251" s="1663" t="s">
        <v>11729</v>
      </c>
      <c r="L251" s="1663" t="s">
        <v>11730</v>
      </c>
      <c r="M251" s="1663">
        <v>651462</v>
      </c>
      <c r="N251" s="1663" t="s">
        <v>11731</v>
      </c>
      <c r="O251" s="1663" t="s">
        <v>11732</v>
      </c>
      <c r="P251" s="1663" t="s">
        <v>11733</v>
      </c>
      <c r="Q251" s="1663" t="s">
        <v>11736</v>
      </c>
      <c r="R251" s="1663" t="s">
        <v>12166</v>
      </c>
      <c r="S251" s="1663"/>
      <c r="T251" s="1663"/>
      <c r="U251" s="1663"/>
      <c r="V251" s="1663"/>
      <c r="W251" s="1663"/>
      <c r="X251" s="1663"/>
      <c r="Y251" s="1663"/>
      <c r="Z251" s="1663"/>
      <c r="AA251" s="1663">
        <v>31</v>
      </c>
      <c r="AB251" s="1663">
        <v>0</v>
      </c>
      <c r="AC251" s="1663">
        <v>0</v>
      </c>
      <c r="AD251" s="1663">
        <v>0</v>
      </c>
      <c r="AE251" s="1663">
        <v>0</v>
      </c>
      <c r="AF251" s="1663">
        <v>0</v>
      </c>
      <c r="AG251" s="1663">
        <v>0</v>
      </c>
      <c r="AH251" s="1663"/>
      <c r="AI251" s="1663"/>
      <c r="AJ251" s="1663"/>
      <c r="AK251" s="1663">
        <v>1</v>
      </c>
      <c r="AL251" s="1671">
        <v>17523425</v>
      </c>
    </row>
    <row r="252" spans="2:38">
      <c r="B252" s="1666">
        <v>8</v>
      </c>
      <c r="C252" s="1663">
        <v>1</v>
      </c>
      <c r="D252" s="1663">
        <v>2</v>
      </c>
      <c r="E252" s="1663" t="s">
        <v>9594</v>
      </c>
      <c r="F252" s="1663" t="s">
        <v>11376</v>
      </c>
      <c r="G252" s="1663" t="s">
        <v>11726</v>
      </c>
      <c r="H252" s="1663" t="s">
        <v>11727</v>
      </c>
      <c r="I252" s="1663" t="s">
        <v>11753</v>
      </c>
      <c r="J252" s="1663">
        <v>328</v>
      </c>
      <c r="K252" s="1663" t="s">
        <v>11729</v>
      </c>
      <c r="L252" s="1663" t="s">
        <v>11730</v>
      </c>
      <c r="M252" s="1663">
        <v>937382</v>
      </c>
      <c r="N252" s="1663" t="s">
        <v>11731</v>
      </c>
      <c r="O252" s="1663" t="s">
        <v>11755</v>
      </c>
      <c r="P252" s="1663" t="s">
        <v>12167</v>
      </c>
      <c r="Q252" s="1663" t="s">
        <v>11734</v>
      </c>
      <c r="R252" s="1663" t="s">
        <v>12166</v>
      </c>
      <c r="S252" s="1663"/>
      <c r="T252" s="1663"/>
      <c r="U252" s="1663"/>
      <c r="V252" s="1663"/>
      <c r="W252" s="1663"/>
      <c r="X252" s="1663"/>
      <c r="Y252" s="1663"/>
      <c r="Z252" s="1663"/>
      <c r="AA252" s="1663">
        <v>1</v>
      </c>
      <c r="AB252" s="1663">
        <v>0</v>
      </c>
      <c r="AC252" s="1663">
        <v>0</v>
      </c>
      <c r="AD252" s="1663">
        <v>462</v>
      </c>
      <c r="AE252" s="1663">
        <v>0</v>
      </c>
      <c r="AF252" s="1663">
        <v>231</v>
      </c>
      <c r="AG252" s="1663">
        <v>0</v>
      </c>
      <c r="AH252" s="1663"/>
      <c r="AI252" s="1663"/>
      <c r="AJ252" s="1663"/>
      <c r="AK252" s="1663">
        <v>1</v>
      </c>
      <c r="AL252" s="1671">
        <v>17523425</v>
      </c>
    </row>
    <row r="253" spans="2:38">
      <c r="B253" s="1667">
        <v>8</v>
      </c>
      <c r="C253" s="1668">
        <v>1</v>
      </c>
      <c r="D253" s="1668">
        <v>2</v>
      </c>
      <c r="E253" s="1668" t="s">
        <v>9594</v>
      </c>
      <c r="F253" s="1668" t="s">
        <v>11376</v>
      </c>
      <c r="G253" s="1668" t="s">
        <v>11726</v>
      </c>
      <c r="H253" s="1668" t="s">
        <v>11727</v>
      </c>
      <c r="I253" s="1668" t="s">
        <v>11753</v>
      </c>
      <c r="J253" s="1668">
        <v>328</v>
      </c>
      <c r="K253" s="1668" t="s">
        <v>11729</v>
      </c>
      <c r="L253" s="1668" t="s">
        <v>11730</v>
      </c>
      <c r="M253" s="1668">
        <v>937382</v>
      </c>
      <c r="N253" s="1668" t="s">
        <v>11731</v>
      </c>
      <c r="O253" s="1668" t="s">
        <v>11755</v>
      </c>
      <c r="P253" s="1668" t="s">
        <v>12167</v>
      </c>
      <c r="Q253" s="1668" t="s">
        <v>11736</v>
      </c>
      <c r="R253" s="1668" t="s">
        <v>12166</v>
      </c>
      <c r="S253" s="1668"/>
      <c r="T253" s="1668"/>
      <c r="U253" s="1668"/>
      <c r="V253" s="1668"/>
      <c r="W253" s="1668"/>
      <c r="X253" s="1668"/>
      <c r="Y253" s="1668"/>
      <c r="Z253" s="1668"/>
      <c r="AA253" s="1668">
        <v>18</v>
      </c>
      <c r="AB253" s="1668">
        <v>0</v>
      </c>
      <c r="AC253" s="1668">
        <v>0</v>
      </c>
      <c r="AD253" s="1668">
        <v>0</v>
      </c>
      <c r="AE253" s="1668">
        <v>0</v>
      </c>
      <c r="AF253" s="1668">
        <v>0</v>
      </c>
      <c r="AG253" s="1668">
        <v>0</v>
      </c>
      <c r="AH253" s="1668"/>
      <c r="AI253" s="1668"/>
      <c r="AJ253" s="1668"/>
      <c r="AK253" s="1668">
        <v>1</v>
      </c>
      <c r="AL253" s="1672">
        <v>17523425</v>
      </c>
    </row>
    <row r="256" spans="2:38" ht="12.75" thickBot="1">
      <c r="B256" s="1673" t="s">
        <v>11737</v>
      </c>
    </row>
    <row r="257" spans="2:38" ht="34.5" thickBot="1">
      <c r="B257" s="1676" t="s">
        <v>11705</v>
      </c>
      <c r="C257" s="1676" t="s">
        <v>11706</v>
      </c>
      <c r="D257" s="1676" t="s">
        <v>11707</v>
      </c>
      <c r="E257" s="1676" t="s">
        <v>11708</v>
      </c>
      <c r="F257" s="1676" t="s">
        <v>477</v>
      </c>
      <c r="G257" s="1676" t="s">
        <v>11709</v>
      </c>
      <c r="H257" s="1676" t="s">
        <v>623</v>
      </c>
      <c r="I257" s="1676" t="s">
        <v>11710</v>
      </c>
      <c r="J257" s="1676" t="s">
        <v>11659</v>
      </c>
      <c r="K257" s="1676" t="s">
        <v>11711</v>
      </c>
      <c r="L257" s="1676" t="s">
        <v>11712</v>
      </c>
      <c r="M257" s="1676" t="s">
        <v>11713</v>
      </c>
      <c r="N257" s="1676" t="s">
        <v>11714</v>
      </c>
      <c r="O257" s="1676" t="s">
        <v>11738</v>
      </c>
      <c r="P257" s="1676" t="s">
        <v>11717</v>
      </c>
      <c r="Q257" s="1676" t="s">
        <v>11739</v>
      </c>
      <c r="R257" s="1676"/>
      <c r="S257" s="1676"/>
      <c r="T257" s="1676"/>
      <c r="U257" s="1676"/>
      <c r="V257" s="1676"/>
      <c r="W257" s="1676"/>
      <c r="X257" s="1676"/>
      <c r="Y257" s="1676"/>
      <c r="Z257" s="1676"/>
      <c r="AA257" s="1676" t="s">
        <v>9628</v>
      </c>
      <c r="AB257" s="1676" t="s">
        <v>11719</v>
      </c>
      <c r="AC257" s="1676" t="s">
        <v>11691</v>
      </c>
      <c r="AD257" s="1676" t="s">
        <v>11692</v>
      </c>
      <c r="AE257" s="1676" t="s">
        <v>11720</v>
      </c>
      <c r="AF257" s="1676" t="s">
        <v>11693</v>
      </c>
      <c r="AG257" s="1676" t="s">
        <v>11721</v>
      </c>
      <c r="AH257" s="1676" t="s">
        <v>11694</v>
      </c>
      <c r="AI257" s="1676" t="s">
        <v>11722</v>
      </c>
      <c r="AJ257" s="1676" t="s">
        <v>10358</v>
      </c>
      <c r="AK257" s="1676" t="s">
        <v>11723</v>
      </c>
      <c r="AL257" s="1676" t="s">
        <v>11724</v>
      </c>
    </row>
    <row r="258" spans="2:38">
      <c r="B258" s="1678" t="s">
        <v>11725</v>
      </c>
      <c r="C258" s="1679"/>
      <c r="D258" s="1679"/>
      <c r="E258" s="1679"/>
      <c r="F258" s="1679"/>
      <c r="G258" s="1679"/>
      <c r="H258" s="1679"/>
      <c r="I258" s="1679"/>
      <c r="J258" s="1679"/>
      <c r="K258" s="1679"/>
      <c r="L258" s="1679"/>
      <c r="M258" s="1679"/>
      <c r="N258" s="1679"/>
      <c r="O258" s="1679"/>
      <c r="P258" s="1679"/>
      <c r="Q258" s="1679"/>
      <c r="R258" s="1679"/>
      <c r="S258" s="1679"/>
      <c r="T258" s="1679"/>
      <c r="U258" s="1679"/>
      <c r="V258" s="1679"/>
      <c r="W258" s="1679"/>
      <c r="X258" s="1679"/>
      <c r="Y258" s="1679"/>
      <c r="Z258" s="1679"/>
      <c r="AA258" s="1679"/>
      <c r="AB258" s="1679"/>
      <c r="AC258" s="1679"/>
      <c r="AD258" s="1679"/>
      <c r="AE258" s="1679"/>
      <c r="AF258" s="1679"/>
      <c r="AG258" s="1679"/>
      <c r="AH258" s="1679"/>
      <c r="AI258" s="1679"/>
      <c r="AJ258" s="1679"/>
      <c r="AK258" s="1679"/>
      <c r="AL258" s="1680"/>
    </row>
    <row r="261" spans="2:38" ht="12.75" thickBot="1">
      <c r="B261" s="1673" t="s">
        <v>11740</v>
      </c>
    </row>
    <row r="262" spans="2:38" ht="34.5" thickBot="1">
      <c r="B262" s="1676" t="s">
        <v>11705</v>
      </c>
      <c r="C262" s="1676" t="s">
        <v>11706</v>
      </c>
      <c r="D262" s="1676" t="s">
        <v>11707</v>
      </c>
      <c r="E262" s="1676" t="s">
        <v>11708</v>
      </c>
      <c r="F262" s="1676" t="s">
        <v>477</v>
      </c>
      <c r="G262" s="1676" t="s">
        <v>11709</v>
      </c>
      <c r="H262" s="1676" t="s">
        <v>11741</v>
      </c>
      <c r="I262" s="1676"/>
      <c r="J262" s="1676"/>
      <c r="K262" s="1676"/>
      <c r="L262" s="1676"/>
      <c r="M262" s="1676"/>
      <c r="N262" s="1676"/>
      <c r="O262" s="1676"/>
      <c r="P262" s="1676"/>
      <c r="Q262" s="1676"/>
      <c r="R262" s="1676"/>
      <c r="S262" s="1676"/>
      <c r="T262" s="1676"/>
      <c r="U262" s="1676"/>
      <c r="V262" s="1676"/>
      <c r="W262" s="1676"/>
      <c r="X262" s="1676"/>
      <c r="Y262" s="1676"/>
      <c r="Z262" s="1676"/>
      <c r="AA262" s="1676" t="s">
        <v>9628</v>
      </c>
      <c r="AB262" s="1676" t="s">
        <v>11719</v>
      </c>
      <c r="AC262" s="1676" t="s">
        <v>11691</v>
      </c>
      <c r="AD262" s="1676" t="s">
        <v>11692</v>
      </c>
      <c r="AE262" s="1676" t="s">
        <v>11720</v>
      </c>
      <c r="AF262" s="1676" t="s">
        <v>11693</v>
      </c>
      <c r="AG262" s="1676" t="s">
        <v>11721</v>
      </c>
      <c r="AH262" s="1676" t="s">
        <v>11694</v>
      </c>
      <c r="AI262" s="1676" t="s">
        <v>11722</v>
      </c>
      <c r="AJ262" s="1676" t="s">
        <v>10358</v>
      </c>
      <c r="AK262" s="1676" t="s">
        <v>11723</v>
      </c>
      <c r="AL262" s="1676" t="s">
        <v>11724</v>
      </c>
    </row>
    <row r="263" spans="2:38">
      <c r="B263" s="1678" t="s">
        <v>11725</v>
      </c>
      <c r="C263" s="1679"/>
      <c r="D263" s="1679"/>
      <c r="E263" s="1679"/>
      <c r="F263" s="1679"/>
      <c r="G263" s="1679"/>
      <c r="H263" s="1679"/>
      <c r="I263" s="1679"/>
      <c r="J263" s="1679"/>
      <c r="K263" s="1679"/>
      <c r="L263" s="1679"/>
      <c r="M263" s="1679"/>
      <c r="N263" s="1679"/>
      <c r="O263" s="1679"/>
      <c r="P263" s="1679"/>
      <c r="Q263" s="1679"/>
      <c r="R263" s="1679"/>
      <c r="S263" s="1679"/>
      <c r="T263" s="1679"/>
      <c r="U263" s="1679"/>
      <c r="V263" s="1679"/>
      <c r="W263" s="1679"/>
      <c r="X263" s="1679"/>
      <c r="Y263" s="1679"/>
      <c r="Z263" s="1679"/>
      <c r="AA263" s="1679"/>
      <c r="AB263" s="1679"/>
      <c r="AC263" s="1679"/>
      <c r="AD263" s="1679"/>
      <c r="AE263" s="1679"/>
      <c r="AF263" s="1679"/>
      <c r="AG263" s="1679"/>
      <c r="AH263" s="1679"/>
      <c r="AI263" s="1679"/>
      <c r="AJ263" s="1679"/>
      <c r="AK263" s="1679"/>
      <c r="AL263" s="1680"/>
    </row>
    <row r="266" spans="2:38" ht="12.75" thickBot="1">
      <c r="B266" s="1673" t="s">
        <v>11742</v>
      </c>
    </row>
    <row r="267" spans="2:38" ht="34.5" thickBot="1">
      <c r="B267" s="1676" t="s">
        <v>11705</v>
      </c>
      <c r="C267" s="1676" t="s">
        <v>11706</v>
      </c>
      <c r="D267" s="1676" t="s">
        <v>11707</v>
      </c>
      <c r="E267" s="1676" t="s">
        <v>11708</v>
      </c>
      <c r="F267" s="1676" t="s">
        <v>477</v>
      </c>
      <c r="G267" s="1676" t="s">
        <v>11709</v>
      </c>
      <c r="H267" s="1676" t="s">
        <v>11743</v>
      </c>
      <c r="I267" s="1676" t="s">
        <v>623</v>
      </c>
      <c r="J267" s="1676" t="s">
        <v>11744</v>
      </c>
      <c r="K267" s="1676" t="s">
        <v>11710</v>
      </c>
      <c r="L267" s="1676" t="s">
        <v>11659</v>
      </c>
      <c r="M267" s="1676" t="s">
        <v>11712</v>
      </c>
      <c r="N267" s="1676" t="s">
        <v>11745</v>
      </c>
      <c r="O267" s="1676" t="s">
        <v>11713</v>
      </c>
      <c r="P267" s="1676" t="s">
        <v>11746</v>
      </c>
      <c r="Q267" s="1676" t="s">
        <v>11747</v>
      </c>
      <c r="R267" s="1676" t="s">
        <v>11748</v>
      </c>
      <c r="S267" s="1676" t="s">
        <v>11749</v>
      </c>
      <c r="T267" s="1676" t="s">
        <v>11718</v>
      </c>
      <c r="U267" s="1676"/>
      <c r="V267" s="1676"/>
      <c r="W267" s="1676"/>
      <c r="X267" s="1676"/>
      <c r="Y267" s="1676"/>
      <c r="Z267" s="1676"/>
      <c r="AA267" s="1676" t="s">
        <v>9628</v>
      </c>
      <c r="AB267" s="1676" t="s">
        <v>11719</v>
      </c>
      <c r="AC267" s="1676" t="s">
        <v>11691</v>
      </c>
      <c r="AD267" s="1676" t="s">
        <v>11692</v>
      </c>
      <c r="AE267" s="1676" t="s">
        <v>11720</v>
      </c>
      <c r="AF267" s="1676" t="s">
        <v>11693</v>
      </c>
      <c r="AG267" s="1676" t="s">
        <v>11721</v>
      </c>
      <c r="AH267" s="1676" t="s">
        <v>11694</v>
      </c>
      <c r="AI267" s="1676" t="s">
        <v>11722</v>
      </c>
      <c r="AJ267" s="1676" t="s">
        <v>10358</v>
      </c>
      <c r="AK267" s="1676" t="s">
        <v>11723</v>
      </c>
      <c r="AL267" s="1676" t="s">
        <v>11724</v>
      </c>
    </row>
    <row r="268" spans="2:38">
      <c r="B268" s="1675">
        <v>9</v>
      </c>
      <c r="C268" s="1674">
        <v>1</v>
      </c>
      <c r="D268" s="1674">
        <v>1</v>
      </c>
      <c r="E268" s="1674" t="s">
        <v>9594</v>
      </c>
      <c r="F268" s="1674" t="s">
        <v>11378</v>
      </c>
      <c r="G268" s="1674" t="s">
        <v>11750</v>
      </c>
      <c r="H268" s="1674" t="s">
        <v>11751</v>
      </c>
      <c r="I268" s="1674" t="s">
        <v>11752</v>
      </c>
      <c r="J268" s="1674" t="s">
        <v>11663</v>
      </c>
      <c r="K268" s="1674" t="s">
        <v>12168</v>
      </c>
      <c r="L268" s="1674">
        <v>666</v>
      </c>
      <c r="M268" s="1674" t="s">
        <v>11730</v>
      </c>
      <c r="N268" s="1674" t="s">
        <v>534</v>
      </c>
      <c r="O268" s="1674">
        <v>928453</v>
      </c>
      <c r="P268" s="1674" t="s">
        <v>12169</v>
      </c>
      <c r="Q268" s="1674" t="s">
        <v>12170</v>
      </c>
      <c r="R268" s="1674" t="s">
        <v>534</v>
      </c>
      <c r="S268" s="1674" t="s">
        <v>11732</v>
      </c>
      <c r="T268" s="1674" t="s">
        <v>12166</v>
      </c>
      <c r="U268" s="1674"/>
      <c r="V268" s="1674"/>
      <c r="W268" s="1674"/>
      <c r="X268" s="1674"/>
      <c r="Y268" s="1674"/>
      <c r="Z268" s="1674"/>
      <c r="AA268" s="1674">
        <v>1</v>
      </c>
      <c r="AB268" s="1674">
        <v>0</v>
      </c>
      <c r="AC268" s="1674">
        <v>0</v>
      </c>
      <c r="AD268" s="1674">
        <v>4097</v>
      </c>
      <c r="AE268" s="1674">
        <v>0</v>
      </c>
      <c r="AF268" s="1674">
        <v>1802.68</v>
      </c>
      <c r="AG268" s="1674">
        <v>0</v>
      </c>
      <c r="AH268" s="1674"/>
      <c r="AI268" s="1674"/>
      <c r="AJ268" s="1674"/>
      <c r="AK268" s="1674">
        <v>1</v>
      </c>
      <c r="AL268" s="1677">
        <v>17523426</v>
      </c>
    </row>
    <row r="269" spans="2:38">
      <c r="B269" s="1666">
        <v>9</v>
      </c>
      <c r="C269" s="1663">
        <v>1</v>
      </c>
      <c r="D269" s="1663">
        <v>2</v>
      </c>
      <c r="E269" s="1663" t="s">
        <v>9594</v>
      </c>
      <c r="F269" s="1663" t="s">
        <v>11378</v>
      </c>
      <c r="G269" s="1663" t="s">
        <v>11750</v>
      </c>
      <c r="H269" s="1663" t="s">
        <v>11751</v>
      </c>
      <c r="I269" s="1663" t="s">
        <v>11752</v>
      </c>
      <c r="J269" s="1663" t="s">
        <v>11663</v>
      </c>
      <c r="K269" s="1663" t="s">
        <v>11728</v>
      </c>
      <c r="L269" s="1663">
        <v>640</v>
      </c>
      <c r="M269" s="1663" t="s">
        <v>11730</v>
      </c>
      <c r="N269" s="1663" t="s">
        <v>556</v>
      </c>
      <c r="O269" s="1663">
        <v>605642</v>
      </c>
      <c r="P269" s="1663" t="s">
        <v>12171</v>
      </c>
      <c r="Q269" s="1663" t="s">
        <v>12172</v>
      </c>
      <c r="R269" s="1663" t="s">
        <v>556</v>
      </c>
      <c r="S269" s="1663" t="s">
        <v>11732</v>
      </c>
      <c r="T269" s="1663" t="s">
        <v>12166</v>
      </c>
      <c r="U269" s="1663"/>
      <c r="V269" s="1663"/>
      <c r="W269" s="1663"/>
      <c r="X269" s="1663"/>
      <c r="Y269" s="1663"/>
      <c r="Z269" s="1663"/>
      <c r="AA269" s="1663">
        <v>1</v>
      </c>
      <c r="AB269" s="1663">
        <v>0</v>
      </c>
      <c r="AC269" s="1663">
        <v>0</v>
      </c>
      <c r="AD269" s="1663">
        <v>26092</v>
      </c>
      <c r="AE269" s="1663">
        <v>0</v>
      </c>
      <c r="AF269" s="1663">
        <v>11480.48</v>
      </c>
      <c r="AG269" s="1663">
        <v>0</v>
      </c>
      <c r="AH269" s="1663"/>
      <c r="AI269" s="1663"/>
      <c r="AJ269" s="1663"/>
      <c r="AK269" s="1663">
        <v>1</v>
      </c>
      <c r="AL269" s="1671">
        <v>17523426</v>
      </c>
    </row>
    <row r="270" spans="2:38">
      <c r="B270" s="1666">
        <v>9</v>
      </c>
      <c r="C270" s="1663">
        <v>1</v>
      </c>
      <c r="D270" s="1663">
        <v>3</v>
      </c>
      <c r="E270" s="1663" t="s">
        <v>9594</v>
      </c>
      <c r="F270" s="1663" t="s">
        <v>11378</v>
      </c>
      <c r="G270" s="1663" t="s">
        <v>11750</v>
      </c>
      <c r="H270" s="1663" t="s">
        <v>11751</v>
      </c>
      <c r="I270" s="1663" t="s">
        <v>11752</v>
      </c>
      <c r="J270" s="1663" t="s">
        <v>11663</v>
      </c>
      <c r="K270" s="1663" t="s">
        <v>12173</v>
      </c>
      <c r="L270" s="1663">
        <v>636</v>
      </c>
      <c r="M270" s="1663" t="s">
        <v>11730</v>
      </c>
      <c r="N270" s="1663" t="s">
        <v>570</v>
      </c>
      <c r="O270" s="1663">
        <v>218463</v>
      </c>
      <c r="P270" s="1663" t="s">
        <v>12174</v>
      </c>
      <c r="Q270" s="1663" t="s">
        <v>12175</v>
      </c>
      <c r="R270" s="1663" t="s">
        <v>570</v>
      </c>
      <c r="S270" s="1663" t="s">
        <v>11732</v>
      </c>
      <c r="T270" s="1663" t="s">
        <v>12166</v>
      </c>
      <c r="U270" s="1663"/>
      <c r="V270" s="1663"/>
      <c r="W270" s="1663"/>
      <c r="X270" s="1663"/>
      <c r="Y270" s="1663"/>
      <c r="Z270" s="1663"/>
      <c r="AA270" s="1663">
        <v>1</v>
      </c>
      <c r="AB270" s="1663">
        <v>0</v>
      </c>
      <c r="AC270" s="1663">
        <v>0</v>
      </c>
      <c r="AD270" s="1663">
        <v>7816.2272999999996</v>
      </c>
      <c r="AE270" s="1663">
        <v>0</v>
      </c>
      <c r="AF270" s="1663">
        <v>3439.14</v>
      </c>
      <c r="AG270" s="1663">
        <v>0</v>
      </c>
      <c r="AH270" s="1663"/>
      <c r="AI270" s="1663"/>
      <c r="AJ270" s="1663"/>
      <c r="AK270" s="1663">
        <v>1</v>
      </c>
      <c r="AL270" s="1671">
        <v>17523426</v>
      </c>
    </row>
    <row r="271" spans="2:38">
      <c r="B271" s="1666">
        <v>9</v>
      </c>
      <c r="C271" s="1663">
        <v>1</v>
      </c>
      <c r="D271" s="1663">
        <v>4</v>
      </c>
      <c r="E271" s="1663" t="s">
        <v>9594</v>
      </c>
      <c r="F271" s="1663" t="s">
        <v>11378</v>
      </c>
      <c r="G271" s="1663" t="s">
        <v>11750</v>
      </c>
      <c r="H271" s="1663" t="s">
        <v>11751</v>
      </c>
      <c r="I271" s="1663" t="s">
        <v>11752</v>
      </c>
      <c r="J271" s="1663" t="s">
        <v>11663</v>
      </c>
      <c r="K271" s="1663" t="s">
        <v>11756</v>
      </c>
      <c r="L271" s="1663">
        <v>352</v>
      </c>
      <c r="M271" s="1663" t="s">
        <v>11730</v>
      </c>
      <c r="N271" s="1663" t="s">
        <v>245</v>
      </c>
      <c r="O271" s="1663">
        <v>715294</v>
      </c>
      <c r="P271" s="1663" t="s">
        <v>12176</v>
      </c>
      <c r="Q271" s="1663" t="s">
        <v>12177</v>
      </c>
      <c r="R271" s="1663" t="s">
        <v>245</v>
      </c>
      <c r="S271" s="1663" t="s">
        <v>11755</v>
      </c>
      <c r="T271" s="1663" t="s">
        <v>12166</v>
      </c>
      <c r="U271" s="1663"/>
      <c r="V271" s="1663"/>
      <c r="W271" s="1663"/>
      <c r="X271" s="1663"/>
      <c r="Y271" s="1663"/>
      <c r="Z271" s="1663"/>
      <c r="AA271" s="1663">
        <v>1</v>
      </c>
      <c r="AB271" s="1663">
        <v>0</v>
      </c>
      <c r="AC271" s="1663">
        <v>0</v>
      </c>
      <c r="AD271" s="1663">
        <v>2402</v>
      </c>
      <c r="AE271" s="1663">
        <v>0</v>
      </c>
      <c r="AF271" s="1663">
        <v>960.8</v>
      </c>
      <c r="AG271" s="1663">
        <v>0</v>
      </c>
      <c r="AH271" s="1663"/>
      <c r="AI271" s="1663"/>
      <c r="AJ271" s="1663"/>
      <c r="AK271" s="1663">
        <v>1</v>
      </c>
      <c r="AL271" s="1671">
        <v>17523426</v>
      </c>
    </row>
    <row r="272" spans="2:38">
      <c r="B272" s="1667">
        <v>9</v>
      </c>
      <c r="C272" s="1668">
        <v>1</v>
      </c>
      <c r="D272" s="1668">
        <v>5</v>
      </c>
      <c r="E272" s="1668" t="s">
        <v>9594</v>
      </c>
      <c r="F272" s="1668" t="s">
        <v>11378</v>
      </c>
      <c r="G272" s="1668" t="s">
        <v>11750</v>
      </c>
      <c r="H272" s="1668" t="s">
        <v>12178</v>
      </c>
      <c r="I272" s="1668" t="s">
        <v>12179</v>
      </c>
      <c r="J272" s="1668" t="s">
        <v>11663</v>
      </c>
      <c r="K272" s="1668" t="s">
        <v>12180</v>
      </c>
      <c r="L272" s="1668">
        <v>350</v>
      </c>
      <c r="M272" s="1668" t="s">
        <v>11730</v>
      </c>
      <c r="N272" s="1668" t="s">
        <v>245</v>
      </c>
      <c r="O272" s="1668">
        <v>715355</v>
      </c>
      <c r="P272" s="1668" t="s">
        <v>12181</v>
      </c>
      <c r="Q272" s="1668" t="s">
        <v>12182</v>
      </c>
      <c r="R272" s="1668" t="s">
        <v>245</v>
      </c>
      <c r="S272" s="1668" t="s">
        <v>11755</v>
      </c>
      <c r="T272" s="1668" t="s">
        <v>12166</v>
      </c>
      <c r="U272" s="1668"/>
      <c r="V272" s="1668"/>
      <c r="W272" s="1668"/>
      <c r="X272" s="1668"/>
      <c r="Y272" s="1668"/>
      <c r="Z272" s="1668"/>
      <c r="AA272" s="1668">
        <v>1</v>
      </c>
      <c r="AB272" s="1668">
        <v>0</v>
      </c>
      <c r="AC272" s="1668">
        <v>0</v>
      </c>
      <c r="AD272" s="1668">
        <v>20239.75</v>
      </c>
      <c r="AE272" s="1668">
        <v>1200</v>
      </c>
      <c r="AF272" s="1668">
        <v>9715.08</v>
      </c>
      <c r="AG272" s="1668">
        <v>0</v>
      </c>
      <c r="AH272" s="1668"/>
      <c r="AI272" s="1668"/>
      <c r="AJ272" s="1668"/>
      <c r="AK272" s="1668">
        <v>1</v>
      </c>
      <c r="AL272" s="1672">
        <v>17523426</v>
      </c>
    </row>
    <row r="275" spans="2:38" ht="12.75" thickBot="1">
      <c r="B275" s="1673" t="s">
        <v>11762</v>
      </c>
    </row>
    <row r="276" spans="2:38" ht="34.5" thickBot="1">
      <c r="B276" s="1676" t="s">
        <v>11705</v>
      </c>
      <c r="C276" s="1676" t="s">
        <v>11706</v>
      </c>
      <c r="D276" s="1676" t="s">
        <v>11707</v>
      </c>
      <c r="E276" s="1676" t="s">
        <v>11708</v>
      </c>
      <c r="F276" s="1676" t="s">
        <v>477</v>
      </c>
      <c r="G276" s="1676" t="s">
        <v>11709</v>
      </c>
      <c r="H276" s="1676" t="s">
        <v>11741</v>
      </c>
      <c r="I276" s="1676"/>
      <c r="J276" s="1676"/>
      <c r="K276" s="1676"/>
      <c r="L276" s="1676"/>
      <c r="M276" s="1676"/>
      <c r="N276" s="1676"/>
      <c r="O276" s="1676"/>
      <c r="P276" s="1676"/>
      <c r="Q276" s="1676"/>
      <c r="R276" s="1676"/>
      <c r="S276" s="1676"/>
      <c r="T276" s="1676"/>
      <c r="U276" s="1676"/>
      <c r="V276" s="1676"/>
      <c r="W276" s="1676"/>
      <c r="X276" s="1676"/>
      <c r="Y276" s="1676"/>
      <c r="Z276" s="1676"/>
      <c r="AA276" s="1676" t="s">
        <v>9628</v>
      </c>
      <c r="AB276" s="1676" t="s">
        <v>11719</v>
      </c>
      <c r="AC276" s="1676" t="s">
        <v>11691</v>
      </c>
      <c r="AD276" s="1676" t="s">
        <v>11692</v>
      </c>
      <c r="AE276" s="1676" t="s">
        <v>11720</v>
      </c>
      <c r="AF276" s="1676" t="s">
        <v>11693</v>
      </c>
      <c r="AG276" s="1676" t="s">
        <v>11721</v>
      </c>
      <c r="AH276" s="1676" t="s">
        <v>11694</v>
      </c>
      <c r="AI276" s="1676" t="s">
        <v>11722</v>
      </c>
      <c r="AJ276" s="1676" t="s">
        <v>10358</v>
      </c>
      <c r="AK276" s="1676" t="s">
        <v>11723</v>
      </c>
      <c r="AL276" s="1676" t="s">
        <v>11724</v>
      </c>
    </row>
    <row r="277" spans="2:38">
      <c r="B277" s="1678" t="s">
        <v>11725</v>
      </c>
      <c r="C277" s="1679"/>
      <c r="D277" s="1679"/>
      <c r="E277" s="1679"/>
      <c r="F277" s="1679"/>
      <c r="G277" s="1679"/>
      <c r="H277" s="1679"/>
      <c r="I277" s="1679"/>
      <c r="J277" s="1679"/>
      <c r="K277" s="1679"/>
      <c r="L277" s="1679"/>
      <c r="M277" s="1679"/>
      <c r="N277" s="1679"/>
      <c r="O277" s="1679"/>
      <c r="P277" s="1679"/>
      <c r="Q277" s="1679"/>
      <c r="R277" s="1679"/>
      <c r="S277" s="1679"/>
      <c r="T277" s="1679"/>
      <c r="U277" s="1679"/>
      <c r="V277" s="1679"/>
      <c r="W277" s="1679"/>
      <c r="X277" s="1679"/>
      <c r="Y277" s="1679"/>
      <c r="Z277" s="1679"/>
      <c r="AA277" s="1679"/>
      <c r="AB277" s="1679"/>
      <c r="AC277" s="1679"/>
      <c r="AD277" s="1679"/>
      <c r="AE277" s="1679"/>
      <c r="AF277" s="1679"/>
      <c r="AG277" s="1679"/>
      <c r="AH277" s="1679"/>
      <c r="AI277" s="1679"/>
      <c r="AJ277" s="1679"/>
      <c r="AK277" s="1679"/>
      <c r="AL277" s="1680"/>
    </row>
    <row r="280" spans="2:38" ht="12.75" thickBot="1">
      <c r="B280" s="1673" t="s">
        <v>11763</v>
      </c>
    </row>
    <row r="281" spans="2:38" ht="34.5" thickBot="1">
      <c r="B281" s="1676" t="s">
        <v>11705</v>
      </c>
      <c r="C281" s="1676" t="s">
        <v>11706</v>
      </c>
      <c r="D281" s="1676" t="s">
        <v>11707</v>
      </c>
      <c r="E281" s="1676" t="s">
        <v>11708</v>
      </c>
      <c r="F281" s="1676" t="s">
        <v>477</v>
      </c>
      <c r="G281" s="1676" t="s">
        <v>11709</v>
      </c>
      <c r="H281" s="1676" t="s">
        <v>11764</v>
      </c>
      <c r="I281" s="1676" t="s">
        <v>11765</v>
      </c>
      <c r="J281" s="1676" t="s">
        <v>11766</v>
      </c>
      <c r="K281" s="1676" t="s">
        <v>11767</v>
      </c>
      <c r="L281" s="1676" t="s">
        <v>11768</v>
      </c>
      <c r="M281" s="1676" t="s">
        <v>11583</v>
      </c>
      <c r="N281" s="1676" t="s">
        <v>11769</v>
      </c>
      <c r="O281" s="1676" t="s">
        <v>11770</v>
      </c>
      <c r="P281" s="1676" t="s">
        <v>11771</v>
      </c>
      <c r="Q281" s="1676" t="s">
        <v>11772</v>
      </c>
      <c r="R281" s="1676" t="s">
        <v>11773</v>
      </c>
      <c r="S281" s="1676" t="s">
        <v>11774</v>
      </c>
      <c r="T281" s="1676" t="s">
        <v>11775</v>
      </c>
      <c r="U281" s="1676" t="s">
        <v>11776</v>
      </c>
      <c r="V281" s="1676" t="s">
        <v>11777</v>
      </c>
      <c r="W281" s="1676"/>
      <c r="X281" s="1676"/>
      <c r="Y281" s="1676"/>
      <c r="Z281" s="1676"/>
      <c r="AA281" s="1676" t="s">
        <v>9628</v>
      </c>
      <c r="AB281" s="1676" t="s">
        <v>11719</v>
      </c>
      <c r="AC281" s="1676" t="s">
        <v>11691</v>
      </c>
      <c r="AD281" s="1676" t="s">
        <v>11692</v>
      </c>
      <c r="AE281" s="1676" t="s">
        <v>11720</v>
      </c>
      <c r="AF281" s="1676" t="s">
        <v>11693</v>
      </c>
      <c r="AG281" s="1676" t="s">
        <v>11721</v>
      </c>
      <c r="AH281" s="1676" t="s">
        <v>11694</v>
      </c>
      <c r="AI281" s="1676" t="s">
        <v>11722</v>
      </c>
      <c r="AJ281" s="1676" t="s">
        <v>10358</v>
      </c>
      <c r="AK281" s="1676" t="s">
        <v>11723</v>
      </c>
      <c r="AL281" s="1676" t="s">
        <v>11724</v>
      </c>
    </row>
    <row r="282" spans="2:38">
      <c r="B282" s="1675">
        <v>10</v>
      </c>
      <c r="C282" s="1674">
        <v>1</v>
      </c>
      <c r="D282" s="1674">
        <v>1</v>
      </c>
      <c r="E282" s="1674" t="s">
        <v>9594</v>
      </c>
      <c r="F282" s="1674" t="s">
        <v>11701</v>
      </c>
      <c r="G282" s="1674" t="s">
        <v>11778</v>
      </c>
      <c r="H282" s="1674" t="s">
        <v>12183</v>
      </c>
      <c r="I282" s="1674" t="s">
        <v>12184</v>
      </c>
      <c r="J282" s="1674" t="s">
        <v>11808</v>
      </c>
      <c r="K282" s="1674" t="s">
        <v>10656</v>
      </c>
      <c r="L282" s="1674" t="s">
        <v>11783</v>
      </c>
      <c r="M282" s="1674" t="s">
        <v>10027</v>
      </c>
      <c r="N282" s="1674" t="s">
        <v>12185</v>
      </c>
      <c r="O282" s="1674" t="s">
        <v>12186</v>
      </c>
      <c r="P282" s="1674" t="s">
        <v>12166</v>
      </c>
      <c r="Q282" s="1674" t="s">
        <v>10656</v>
      </c>
      <c r="R282" s="1674" t="s">
        <v>11817</v>
      </c>
      <c r="S282" s="1674" t="s">
        <v>12187</v>
      </c>
      <c r="T282" s="1674">
        <v>20</v>
      </c>
      <c r="U282" s="1674" t="s">
        <v>12188</v>
      </c>
      <c r="V282" s="1674" t="s">
        <v>12189</v>
      </c>
      <c r="W282" s="1674"/>
      <c r="X282" s="1674"/>
      <c r="Y282" s="1674"/>
      <c r="Z282" s="1674"/>
      <c r="AA282" s="1674">
        <v>1</v>
      </c>
      <c r="AB282" s="1674">
        <v>0</v>
      </c>
      <c r="AC282" s="1674">
        <v>0</v>
      </c>
      <c r="AD282" s="1674">
        <v>1046.8399999999999</v>
      </c>
      <c r="AE282" s="1674">
        <v>0</v>
      </c>
      <c r="AF282" s="1674">
        <v>523.41999999999996</v>
      </c>
      <c r="AG282" s="1674">
        <v>0</v>
      </c>
      <c r="AH282" s="1674"/>
      <c r="AI282" s="1674"/>
      <c r="AJ282" s="1674"/>
      <c r="AK282" s="1674">
        <v>1</v>
      </c>
      <c r="AL282" s="1677">
        <v>17523427</v>
      </c>
    </row>
    <row r="283" spans="2:38">
      <c r="B283" s="1666">
        <v>10</v>
      </c>
      <c r="C283" s="1663">
        <v>1</v>
      </c>
      <c r="D283" s="1663">
        <v>2</v>
      </c>
      <c r="E283" s="1663" t="s">
        <v>9594</v>
      </c>
      <c r="F283" s="1663" t="s">
        <v>11701</v>
      </c>
      <c r="G283" s="1663" t="s">
        <v>11778</v>
      </c>
      <c r="H283" s="1663" t="s">
        <v>11779</v>
      </c>
      <c r="I283" s="1663" t="s">
        <v>12190</v>
      </c>
      <c r="J283" s="1663" t="s">
        <v>11790</v>
      </c>
      <c r="K283" s="1663" t="s">
        <v>11782</v>
      </c>
      <c r="L283" s="1663" t="s">
        <v>11783</v>
      </c>
      <c r="M283" s="1663" t="s">
        <v>10027</v>
      </c>
      <c r="N283" s="1663" t="s">
        <v>11791</v>
      </c>
      <c r="O283" s="1663" t="s">
        <v>11792</v>
      </c>
      <c r="P283" s="1663" t="s">
        <v>12166</v>
      </c>
      <c r="Q283" s="1663" t="s">
        <v>10656</v>
      </c>
      <c r="R283" s="1663" t="s">
        <v>11786</v>
      </c>
      <c r="S283" s="1663" t="s">
        <v>11837</v>
      </c>
      <c r="T283" s="1663">
        <v>1000</v>
      </c>
      <c r="U283" s="1663" t="s">
        <v>12191</v>
      </c>
      <c r="V283" s="1663" t="s">
        <v>12192</v>
      </c>
      <c r="W283" s="1663"/>
      <c r="X283" s="1663"/>
      <c r="Y283" s="1663"/>
      <c r="Z283" s="1663"/>
      <c r="AA283" s="1663">
        <v>1</v>
      </c>
      <c r="AB283" s="1663">
        <v>0</v>
      </c>
      <c r="AC283" s="1663">
        <v>0</v>
      </c>
      <c r="AD283" s="1663">
        <v>4225</v>
      </c>
      <c r="AE283" s="1663">
        <v>0</v>
      </c>
      <c r="AF283" s="1663">
        <v>2746.25</v>
      </c>
      <c r="AG283" s="1663">
        <v>0</v>
      </c>
      <c r="AH283" s="1663"/>
      <c r="AI283" s="1663"/>
      <c r="AJ283" s="1663"/>
      <c r="AK283" s="1663">
        <v>1</v>
      </c>
      <c r="AL283" s="1671">
        <v>17523427</v>
      </c>
    </row>
    <row r="284" spans="2:38">
      <c r="B284" s="1666">
        <v>10</v>
      </c>
      <c r="C284" s="1663">
        <v>1</v>
      </c>
      <c r="D284" s="1663">
        <v>3</v>
      </c>
      <c r="E284" s="1663" t="s">
        <v>9594</v>
      </c>
      <c r="F284" s="1663" t="s">
        <v>11701</v>
      </c>
      <c r="G284" s="1663" t="s">
        <v>11778</v>
      </c>
      <c r="H284" s="1663" t="s">
        <v>11779</v>
      </c>
      <c r="I284" s="1663" t="s">
        <v>12190</v>
      </c>
      <c r="J284" s="1663" t="s">
        <v>11790</v>
      </c>
      <c r="K284" s="1663" t="s">
        <v>11782</v>
      </c>
      <c r="L284" s="1663" t="s">
        <v>11783</v>
      </c>
      <c r="M284" s="1663" t="s">
        <v>10027</v>
      </c>
      <c r="N284" s="1663" t="s">
        <v>11791</v>
      </c>
      <c r="O284" s="1663" t="s">
        <v>11792</v>
      </c>
      <c r="P284" s="1663" t="s">
        <v>12166</v>
      </c>
      <c r="Q284" s="1663" t="s">
        <v>10656</v>
      </c>
      <c r="R284" s="1663" t="s">
        <v>11786</v>
      </c>
      <c r="S284" s="1663" t="s">
        <v>11837</v>
      </c>
      <c r="T284" s="1663">
        <v>1000</v>
      </c>
      <c r="U284" s="1663" t="s">
        <v>12193</v>
      </c>
      <c r="V284" s="1663" t="s">
        <v>12194</v>
      </c>
      <c r="W284" s="1663"/>
      <c r="X284" s="1663"/>
      <c r="Y284" s="1663"/>
      <c r="Z284" s="1663"/>
      <c r="AA284" s="1663">
        <v>1</v>
      </c>
      <c r="AB284" s="1663">
        <v>0</v>
      </c>
      <c r="AC284" s="1663">
        <v>0</v>
      </c>
      <c r="AD284" s="1663">
        <v>4225</v>
      </c>
      <c r="AE284" s="1663">
        <v>0</v>
      </c>
      <c r="AF284" s="1663">
        <v>2746.25</v>
      </c>
      <c r="AG284" s="1663">
        <v>0</v>
      </c>
      <c r="AH284" s="1663"/>
      <c r="AI284" s="1663"/>
      <c r="AJ284" s="1663"/>
      <c r="AK284" s="1663">
        <v>1</v>
      </c>
      <c r="AL284" s="1671">
        <v>17523427</v>
      </c>
    </row>
    <row r="285" spans="2:38">
      <c r="B285" s="1666">
        <v>10</v>
      </c>
      <c r="C285" s="1663">
        <v>1</v>
      </c>
      <c r="D285" s="1663">
        <v>4</v>
      </c>
      <c r="E285" s="1663" t="s">
        <v>9594</v>
      </c>
      <c r="F285" s="1663" t="s">
        <v>11701</v>
      </c>
      <c r="G285" s="1663" t="s">
        <v>11778</v>
      </c>
      <c r="H285" s="1663" t="s">
        <v>11800</v>
      </c>
      <c r="I285" s="1663" t="s">
        <v>11801</v>
      </c>
      <c r="J285" s="1663" t="s">
        <v>11808</v>
      </c>
      <c r="K285" s="1663" t="s">
        <v>10656</v>
      </c>
      <c r="L285" s="1663" t="s">
        <v>11783</v>
      </c>
      <c r="M285" s="1663" t="s">
        <v>10027</v>
      </c>
      <c r="N285" s="1663" t="s">
        <v>11803</v>
      </c>
      <c r="O285" s="1663" t="s">
        <v>12195</v>
      </c>
      <c r="P285" s="1663" t="s">
        <v>12166</v>
      </c>
      <c r="Q285" s="1663" t="s">
        <v>10656</v>
      </c>
      <c r="R285" s="1663" t="s">
        <v>11817</v>
      </c>
      <c r="S285" s="1663" t="s">
        <v>11811</v>
      </c>
      <c r="T285" s="1663">
        <v>100</v>
      </c>
      <c r="U285" s="1663" t="s">
        <v>12196</v>
      </c>
      <c r="V285" s="1663" t="s">
        <v>12197</v>
      </c>
      <c r="W285" s="1663"/>
      <c r="X285" s="1663"/>
      <c r="Y285" s="1663"/>
      <c r="Z285" s="1663"/>
      <c r="AA285" s="1663">
        <v>1</v>
      </c>
      <c r="AB285" s="1663">
        <v>0</v>
      </c>
      <c r="AC285" s="1663">
        <v>0</v>
      </c>
      <c r="AD285" s="1663">
        <v>1711.69</v>
      </c>
      <c r="AE285" s="1663">
        <v>0</v>
      </c>
      <c r="AF285" s="1663">
        <v>855.84500000000003</v>
      </c>
      <c r="AG285" s="1663">
        <v>0</v>
      </c>
      <c r="AH285" s="1663"/>
      <c r="AI285" s="1663"/>
      <c r="AJ285" s="1663"/>
      <c r="AK285" s="1663">
        <v>1</v>
      </c>
      <c r="AL285" s="1671">
        <v>17523427</v>
      </c>
    </row>
    <row r="286" spans="2:38">
      <c r="B286" s="1666">
        <v>10</v>
      </c>
      <c r="C286" s="1663">
        <v>1</v>
      </c>
      <c r="D286" s="1663">
        <v>5</v>
      </c>
      <c r="E286" s="1663" t="s">
        <v>9594</v>
      </c>
      <c r="F286" s="1663" t="s">
        <v>11701</v>
      </c>
      <c r="G286" s="1663" t="s">
        <v>11778</v>
      </c>
      <c r="H286" s="1663" t="s">
        <v>11800</v>
      </c>
      <c r="I286" s="1663" t="s">
        <v>11801</v>
      </c>
      <c r="J286" s="1663" t="s">
        <v>11808</v>
      </c>
      <c r="K286" s="1663" t="s">
        <v>10656</v>
      </c>
      <c r="L286" s="1663" t="s">
        <v>11783</v>
      </c>
      <c r="M286" s="1663" t="s">
        <v>10027</v>
      </c>
      <c r="N286" s="1663" t="s">
        <v>11803</v>
      </c>
      <c r="O286" s="1663" t="s">
        <v>11809</v>
      </c>
      <c r="P286" s="1663" t="s">
        <v>12166</v>
      </c>
      <c r="Q286" s="1663" t="s">
        <v>10656</v>
      </c>
      <c r="R286" s="1663" t="s">
        <v>11786</v>
      </c>
      <c r="S286" s="1663" t="s">
        <v>11811</v>
      </c>
      <c r="T286" s="1663">
        <v>1000</v>
      </c>
      <c r="U286" s="1663" t="s">
        <v>12198</v>
      </c>
      <c r="V286" s="1663" t="s">
        <v>12197</v>
      </c>
      <c r="W286" s="1663"/>
      <c r="X286" s="1663"/>
      <c r="Y286" s="1663"/>
      <c r="Z286" s="1663"/>
      <c r="AA286" s="1663">
        <v>0</v>
      </c>
      <c r="AB286" s="1663">
        <v>0</v>
      </c>
      <c r="AC286" s="1663">
        <v>0</v>
      </c>
      <c r="AD286" s="1663">
        <v>4647.53</v>
      </c>
      <c r="AE286" s="1663">
        <v>0</v>
      </c>
      <c r="AF286" s="1663">
        <v>1626.6355000000001</v>
      </c>
      <c r="AG286" s="1663">
        <v>0</v>
      </c>
      <c r="AH286" s="1663"/>
      <c r="AI286" s="1663"/>
      <c r="AJ286" s="1663"/>
      <c r="AK286" s="1663">
        <v>1</v>
      </c>
      <c r="AL286" s="1671">
        <v>17523427</v>
      </c>
    </row>
    <row r="287" spans="2:38">
      <c r="B287" s="1666">
        <v>10</v>
      </c>
      <c r="C287" s="1663">
        <v>1</v>
      </c>
      <c r="D287" s="1663">
        <v>6</v>
      </c>
      <c r="E287" s="1663" t="s">
        <v>9594</v>
      </c>
      <c r="F287" s="1663" t="s">
        <v>11701</v>
      </c>
      <c r="G287" s="1663" t="s">
        <v>11778</v>
      </c>
      <c r="H287" s="1663" t="s">
        <v>12199</v>
      </c>
      <c r="I287" s="1663" t="s">
        <v>12200</v>
      </c>
      <c r="J287" s="1663" t="s">
        <v>11808</v>
      </c>
      <c r="K287" s="1663" t="s">
        <v>10656</v>
      </c>
      <c r="L287" s="1663" t="s">
        <v>11783</v>
      </c>
      <c r="M287" s="1663" t="s">
        <v>10027</v>
      </c>
      <c r="N287" s="1663" t="s">
        <v>12201</v>
      </c>
      <c r="O287" s="1663" t="s">
        <v>12202</v>
      </c>
      <c r="P287" s="1663" t="s">
        <v>12166</v>
      </c>
      <c r="Q287" s="1663" t="s">
        <v>10656</v>
      </c>
      <c r="R287" s="1663" t="s">
        <v>11817</v>
      </c>
      <c r="S287" s="1663" t="s">
        <v>12203</v>
      </c>
      <c r="T287" s="1663">
        <v>50</v>
      </c>
      <c r="U287" s="1663" t="s">
        <v>12204</v>
      </c>
      <c r="V287" s="1663" t="s">
        <v>12205</v>
      </c>
      <c r="W287" s="1663"/>
      <c r="X287" s="1663"/>
      <c r="Y287" s="1663"/>
      <c r="Z287" s="1663"/>
      <c r="AA287" s="1663">
        <v>1</v>
      </c>
      <c r="AB287" s="1663">
        <v>0</v>
      </c>
      <c r="AC287" s="1663">
        <v>0</v>
      </c>
      <c r="AD287" s="1663">
        <v>1480</v>
      </c>
      <c r="AE287" s="1663">
        <v>0</v>
      </c>
      <c r="AF287" s="1663">
        <v>962</v>
      </c>
      <c r="AG287" s="1663">
        <v>0</v>
      </c>
      <c r="AH287" s="1663"/>
      <c r="AI287" s="1663"/>
      <c r="AJ287" s="1663"/>
      <c r="AK287" s="1663">
        <v>1</v>
      </c>
      <c r="AL287" s="1671">
        <v>17523427</v>
      </c>
    </row>
    <row r="288" spans="2:38">
      <c r="B288" s="1666">
        <v>10</v>
      </c>
      <c r="C288" s="1663">
        <v>1</v>
      </c>
      <c r="D288" s="1663">
        <v>7</v>
      </c>
      <c r="E288" s="1663" t="s">
        <v>9594</v>
      </c>
      <c r="F288" s="1663" t="s">
        <v>11701</v>
      </c>
      <c r="G288" s="1663" t="s">
        <v>11778</v>
      </c>
      <c r="H288" s="1663" t="s">
        <v>11819</v>
      </c>
      <c r="I288" s="1663" t="s">
        <v>9982</v>
      </c>
      <c r="J288" s="1663" t="s">
        <v>11808</v>
      </c>
      <c r="K288" s="1663" t="s">
        <v>10656</v>
      </c>
      <c r="L288" s="1663" t="s">
        <v>11783</v>
      </c>
      <c r="M288" s="1663" t="s">
        <v>11814</v>
      </c>
      <c r="N288" s="1663" t="s">
        <v>11815</v>
      </c>
      <c r="O288" s="1663" t="s">
        <v>12206</v>
      </c>
      <c r="P288" s="1663" t="s">
        <v>12166</v>
      </c>
      <c r="Q288" s="1663" t="s">
        <v>10656</v>
      </c>
      <c r="R288" s="1663" t="s">
        <v>11817</v>
      </c>
      <c r="S288" s="1663" t="s">
        <v>11758</v>
      </c>
      <c r="T288" s="1663">
        <v>5</v>
      </c>
      <c r="U288" s="1663" t="s">
        <v>12207</v>
      </c>
      <c r="V288" s="1663" t="s">
        <v>12208</v>
      </c>
      <c r="W288" s="1663"/>
      <c r="X288" s="1663"/>
      <c r="Y288" s="1663"/>
      <c r="Z288" s="1663"/>
      <c r="AA288" s="1663">
        <v>1</v>
      </c>
      <c r="AB288" s="1663">
        <v>0</v>
      </c>
      <c r="AC288" s="1663">
        <v>0</v>
      </c>
      <c r="AD288" s="1663">
        <v>660</v>
      </c>
      <c r="AE288" s="1663">
        <v>0</v>
      </c>
      <c r="AF288" s="1663">
        <v>429</v>
      </c>
      <c r="AG288" s="1663">
        <v>0</v>
      </c>
      <c r="AH288" s="1663"/>
      <c r="AI288" s="1663"/>
      <c r="AJ288" s="1663"/>
      <c r="AK288" s="1663">
        <v>1</v>
      </c>
      <c r="AL288" s="1671">
        <v>17523427</v>
      </c>
    </row>
    <row r="289" spans="2:38">
      <c r="B289" s="1666">
        <v>10</v>
      </c>
      <c r="C289" s="1663">
        <v>1</v>
      </c>
      <c r="D289" s="1663">
        <v>8</v>
      </c>
      <c r="E289" s="1663" t="s">
        <v>9594</v>
      </c>
      <c r="F289" s="1663" t="s">
        <v>11701</v>
      </c>
      <c r="G289" s="1663" t="s">
        <v>11778</v>
      </c>
      <c r="H289" s="1663" t="s">
        <v>11819</v>
      </c>
      <c r="I289" s="1663" t="s">
        <v>9982</v>
      </c>
      <c r="J289" s="1663" t="s">
        <v>11808</v>
      </c>
      <c r="K289" s="1663" t="s">
        <v>10656</v>
      </c>
      <c r="L289" s="1663" t="s">
        <v>11783</v>
      </c>
      <c r="M289" s="1663" t="s">
        <v>11814</v>
      </c>
      <c r="N289" s="1663" t="s">
        <v>11815</v>
      </c>
      <c r="O289" s="1663" t="s">
        <v>12209</v>
      </c>
      <c r="P289" s="1663" t="s">
        <v>12166</v>
      </c>
      <c r="Q289" s="1663" t="s">
        <v>10656</v>
      </c>
      <c r="R289" s="1663" t="s">
        <v>11817</v>
      </c>
      <c r="S289" s="1663" t="s">
        <v>11758</v>
      </c>
      <c r="T289" s="1663">
        <v>30</v>
      </c>
      <c r="U289" s="1663" t="s">
        <v>12207</v>
      </c>
      <c r="V289" s="1663" t="s">
        <v>12210</v>
      </c>
      <c r="W289" s="1663"/>
      <c r="X289" s="1663"/>
      <c r="Y289" s="1663"/>
      <c r="Z289" s="1663"/>
      <c r="AA289" s="1663">
        <v>1</v>
      </c>
      <c r="AB289" s="1663">
        <v>0</v>
      </c>
      <c r="AC289" s="1663">
        <v>0</v>
      </c>
      <c r="AD289" s="1663">
        <v>1055</v>
      </c>
      <c r="AE289" s="1663">
        <v>0</v>
      </c>
      <c r="AF289" s="1663">
        <v>685.75</v>
      </c>
      <c r="AG289" s="1663">
        <v>0</v>
      </c>
      <c r="AH289" s="1663"/>
      <c r="AI289" s="1663"/>
      <c r="AJ289" s="1663"/>
      <c r="AK289" s="1663">
        <v>1</v>
      </c>
      <c r="AL289" s="1671">
        <v>17523427</v>
      </c>
    </row>
    <row r="290" spans="2:38">
      <c r="B290" s="1666">
        <v>10</v>
      </c>
      <c r="C290" s="1663">
        <v>1</v>
      </c>
      <c r="D290" s="1663">
        <v>9</v>
      </c>
      <c r="E290" s="1663" t="s">
        <v>9594</v>
      </c>
      <c r="F290" s="1663" t="s">
        <v>11701</v>
      </c>
      <c r="G290" s="1663" t="s">
        <v>11778</v>
      </c>
      <c r="H290" s="1663" t="s">
        <v>11779</v>
      </c>
      <c r="I290" s="1663" t="s">
        <v>9982</v>
      </c>
      <c r="J290" s="1663" t="s">
        <v>11808</v>
      </c>
      <c r="K290" s="1663" t="s">
        <v>10656</v>
      </c>
      <c r="L290" s="1663" t="s">
        <v>11783</v>
      </c>
      <c r="M290" s="1663" t="s">
        <v>11814</v>
      </c>
      <c r="N290" s="1663" t="s">
        <v>11815</v>
      </c>
      <c r="O290" s="1663" t="s">
        <v>12209</v>
      </c>
      <c r="P290" s="1663" t="s">
        <v>12166</v>
      </c>
      <c r="Q290" s="1663" t="s">
        <v>10656</v>
      </c>
      <c r="R290" s="1663" t="s">
        <v>11817</v>
      </c>
      <c r="S290" s="1663" t="s">
        <v>12211</v>
      </c>
      <c r="T290" s="1663">
        <v>30</v>
      </c>
      <c r="U290" s="1663" t="s">
        <v>12212</v>
      </c>
      <c r="V290" s="1663" t="s">
        <v>12213</v>
      </c>
      <c r="W290" s="1663"/>
      <c r="X290" s="1663"/>
      <c r="Y290" s="1663"/>
      <c r="Z290" s="1663"/>
      <c r="AA290" s="1663">
        <v>1</v>
      </c>
      <c r="AB290" s="1663">
        <v>0</v>
      </c>
      <c r="AC290" s="1663">
        <v>0</v>
      </c>
      <c r="AD290" s="1663">
        <v>1055</v>
      </c>
      <c r="AE290" s="1663">
        <v>0</v>
      </c>
      <c r="AF290" s="1663">
        <v>685.75</v>
      </c>
      <c r="AG290" s="1663">
        <v>0</v>
      </c>
      <c r="AH290" s="1663"/>
      <c r="AI290" s="1663"/>
      <c r="AJ290" s="1663"/>
      <c r="AK290" s="1663">
        <v>1</v>
      </c>
      <c r="AL290" s="1671">
        <v>17523427</v>
      </c>
    </row>
    <row r="291" spans="2:38">
      <c r="B291" s="1666">
        <v>10</v>
      </c>
      <c r="C291" s="1663">
        <v>1</v>
      </c>
      <c r="D291" s="1663">
        <v>10</v>
      </c>
      <c r="E291" s="1663" t="s">
        <v>9594</v>
      </c>
      <c r="F291" s="1663" t="s">
        <v>11701</v>
      </c>
      <c r="G291" s="1663" t="s">
        <v>11778</v>
      </c>
      <c r="H291" s="1663" t="s">
        <v>11779</v>
      </c>
      <c r="I291" s="1663" t="s">
        <v>9982</v>
      </c>
      <c r="J291" s="1663" t="s">
        <v>11808</v>
      </c>
      <c r="K291" s="1663" t="s">
        <v>10656</v>
      </c>
      <c r="L291" s="1663" t="s">
        <v>11783</v>
      </c>
      <c r="M291" s="1663" t="s">
        <v>11814</v>
      </c>
      <c r="N291" s="1663" t="s">
        <v>11815</v>
      </c>
      <c r="O291" s="1663" t="s">
        <v>11826</v>
      </c>
      <c r="P291" s="1663" t="s">
        <v>12166</v>
      </c>
      <c r="Q291" s="1663" t="s">
        <v>10656</v>
      </c>
      <c r="R291" s="1663" t="s">
        <v>11786</v>
      </c>
      <c r="S291" s="1663" t="s">
        <v>11797</v>
      </c>
      <c r="T291" s="1663">
        <v>1000</v>
      </c>
      <c r="U291" s="1663" t="s">
        <v>12193</v>
      </c>
      <c r="V291" s="1663" t="s">
        <v>12214</v>
      </c>
      <c r="W291" s="1663"/>
      <c r="X291" s="1663"/>
      <c r="Y291" s="1663"/>
      <c r="Z291" s="1663"/>
      <c r="AA291" s="1663">
        <v>1</v>
      </c>
      <c r="AB291" s="1663">
        <v>0</v>
      </c>
      <c r="AC291" s="1663">
        <v>0</v>
      </c>
      <c r="AD291" s="1663">
        <v>4225</v>
      </c>
      <c r="AE291" s="1663">
        <v>0</v>
      </c>
      <c r="AF291" s="1663">
        <v>2746.25</v>
      </c>
      <c r="AG291" s="1663">
        <v>0</v>
      </c>
      <c r="AH291" s="1663"/>
      <c r="AI291" s="1663"/>
      <c r="AJ291" s="1663"/>
      <c r="AK291" s="1663">
        <v>1</v>
      </c>
      <c r="AL291" s="1671">
        <v>17523427</v>
      </c>
    </row>
    <row r="292" spans="2:38">
      <c r="B292" s="1666">
        <v>10</v>
      </c>
      <c r="C292" s="1663">
        <v>1</v>
      </c>
      <c r="D292" s="1663">
        <v>11</v>
      </c>
      <c r="E292" s="1663" t="s">
        <v>9594</v>
      </c>
      <c r="F292" s="1663" t="s">
        <v>11701</v>
      </c>
      <c r="G292" s="1663" t="s">
        <v>11778</v>
      </c>
      <c r="H292" s="1663" t="s">
        <v>11819</v>
      </c>
      <c r="I292" s="1663" t="s">
        <v>9982</v>
      </c>
      <c r="J292" s="1663" t="s">
        <v>11808</v>
      </c>
      <c r="K292" s="1663" t="s">
        <v>10656</v>
      </c>
      <c r="L292" s="1663" t="s">
        <v>11783</v>
      </c>
      <c r="M292" s="1663" t="s">
        <v>11814</v>
      </c>
      <c r="N292" s="1663" t="s">
        <v>11815</v>
      </c>
      <c r="O292" s="1663" t="s">
        <v>12215</v>
      </c>
      <c r="P292" s="1663" t="s">
        <v>12166</v>
      </c>
      <c r="Q292" s="1663" t="s">
        <v>10656</v>
      </c>
      <c r="R292" s="1663" t="s">
        <v>11817</v>
      </c>
      <c r="S292" s="1663" t="s">
        <v>11822</v>
      </c>
      <c r="T292" s="1663">
        <v>20</v>
      </c>
      <c r="U292" s="1663" t="s">
        <v>12216</v>
      </c>
      <c r="V292" s="1663" t="s">
        <v>12217</v>
      </c>
      <c r="W292" s="1663"/>
      <c r="X292" s="1663"/>
      <c r="Y292" s="1663"/>
      <c r="Z292" s="1663"/>
      <c r="AA292" s="1663">
        <v>1</v>
      </c>
      <c r="AB292" s="1663">
        <v>0</v>
      </c>
      <c r="AC292" s="1663">
        <v>0</v>
      </c>
      <c r="AD292" s="1663">
        <v>1025</v>
      </c>
      <c r="AE292" s="1663">
        <v>0</v>
      </c>
      <c r="AF292" s="1663">
        <v>666.25</v>
      </c>
      <c r="AG292" s="1663">
        <v>0</v>
      </c>
      <c r="AH292" s="1663"/>
      <c r="AI292" s="1663"/>
      <c r="AJ292" s="1663"/>
      <c r="AK292" s="1663">
        <v>1</v>
      </c>
      <c r="AL292" s="1671">
        <v>17523427</v>
      </c>
    </row>
    <row r="293" spans="2:38">
      <c r="B293" s="1667">
        <v>10</v>
      </c>
      <c r="C293" s="1668">
        <v>1</v>
      </c>
      <c r="D293" s="1668">
        <v>12</v>
      </c>
      <c r="E293" s="1668" t="s">
        <v>9594</v>
      </c>
      <c r="F293" s="1668" t="s">
        <v>11701</v>
      </c>
      <c r="G293" s="1668" t="s">
        <v>11778</v>
      </c>
      <c r="H293" s="1668" t="s">
        <v>11833</v>
      </c>
      <c r="I293" s="1668" t="s">
        <v>9982</v>
      </c>
      <c r="J293" s="1668" t="s">
        <v>11834</v>
      </c>
      <c r="K293" s="1668" t="s">
        <v>11782</v>
      </c>
      <c r="L293" s="1668" t="s">
        <v>11783</v>
      </c>
      <c r="M293" s="1668" t="s">
        <v>10027</v>
      </c>
      <c r="N293" s="1668" t="s">
        <v>11835</v>
      </c>
      <c r="O293" s="1668" t="s">
        <v>12218</v>
      </c>
      <c r="P293" s="1668" t="s">
        <v>12166</v>
      </c>
      <c r="Q293" s="1668" t="s">
        <v>10656</v>
      </c>
      <c r="R293" s="1668" t="s">
        <v>11817</v>
      </c>
      <c r="S293" s="1668" t="s">
        <v>11837</v>
      </c>
      <c r="T293" s="1668">
        <v>6</v>
      </c>
      <c r="U293" s="1668" t="s">
        <v>12219</v>
      </c>
      <c r="V293" s="1668" t="s">
        <v>12220</v>
      </c>
      <c r="W293" s="1668"/>
      <c r="X293" s="1668"/>
      <c r="Y293" s="1668"/>
      <c r="Z293" s="1668"/>
      <c r="AA293" s="1668">
        <v>1</v>
      </c>
      <c r="AB293" s="1668">
        <v>0</v>
      </c>
      <c r="AC293" s="1668">
        <v>0</v>
      </c>
      <c r="AD293" s="1668">
        <v>668</v>
      </c>
      <c r="AE293" s="1668">
        <v>0</v>
      </c>
      <c r="AF293" s="1668">
        <v>434.2</v>
      </c>
      <c r="AG293" s="1668">
        <v>0</v>
      </c>
      <c r="AH293" s="1668"/>
      <c r="AI293" s="1668"/>
      <c r="AJ293" s="1668"/>
      <c r="AK293" s="1668">
        <v>1</v>
      </c>
      <c r="AL293" s="1672">
        <v>17523427</v>
      </c>
    </row>
    <row r="296" spans="2:38" ht="12.75" thickBot="1">
      <c r="B296" s="1673" t="s">
        <v>11842</v>
      </c>
    </row>
    <row r="297" spans="2:38" ht="34.5" thickBot="1">
      <c r="B297" s="1676" t="s">
        <v>11705</v>
      </c>
      <c r="C297" s="1676" t="s">
        <v>11706</v>
      </c>
      <c r="D297" s="1676" t="s">
        <v>11707</v>
      </c>
      <c r="E297" s="1676" t="s">
        <v>11708</v>
      </c>
      <c r="F297" s="1676" t="s">
        <v>477</v>
      </c>
      <c r="G297" s="1676" t="s">
        <v>11709</v>
      </c>
      <c r="H297" s="1676" t="s">
        <v>11765</v>
      </c>
      <c r="I297" s="1676" t="s">
        <v>11766</v>
      </c>
      <c r="J297" s="1676" t="s">
        <v>11767</v>
      </c>
      <c r="K297" s="1676" t="s">
        <v>11768</v>
      </c>
      <c r="L297" s="1676" t="s">
        <v>11583</v>
      </c>
      <c r="M297" s="1676" t="s">
        <v>11769</v>
      </c>
      <c r="N297" s="1676" t="s">
        <v>11770</v>
      </c>
      <c r="O297" s="1676" t="s">
        <v>11764</v>
      </c>
      <c r="P297" s="1676" t="s">
        <v>11773</v>
      </c>
      <c r="Q297" s="1676" t="s">
        <v>11774</v>
      </c>
      <c r="R297" s="1676" t="s">
        <v>11771</v>
      </c>
      <c r="S297" s="1676" t="s">
        <v>11775</v>
      </c>
      <c r="T297" s="1676" t="s">
        <v>11772</v>
      </c>
      <c r="U297" s="1676" t="s">
        <v>11776</v>
      </c>
      <c r="V297" s="1676" t="s">
        <v>11777</v>
      </c>
      <c r="W297" s="1676"/>
      <c r="X297" s="1676"/>
      <c r="Y297" s="1676"/>
      <c r="Z297" s="1676"/>
      <c r="AA297" s="1676" t="s">
        <v>9628</v>
      </c>
      <c r="AB297" s="1676" t="s">
        <v>11719</v>
      </c>
      <c r="AC297" s="1676" t="s">
        <v>11691</v>
      </c>
      <c r="AD297" s="1676" t="s">
        <v>11692</v>
      </c>
      <c r="AE297" s="1676" t="s">
        <v>11720</v>
      </c>
      <c r="AF297" s="1676" t="s">
        <v>11693</v>
      </c>
      <c r="AG297" s="1676" t="s">
        <v>11721</v>
      </c>
      <c r="AH297" s="1676" t="s">
        <v>11694</v>
      </c>
      <c r="AI297" s="1676" t="s">
        <v>11722</v>
      </c>
      <c r="AJ297" s="1676" t="s">
        <v>10358</v>
      </c>
      <c r="AK297" s="1676" t="s">
        <v>11723</v>
      </c>
      <c r="AL297" s="1676" t="s">
        <v>11724</v>
      </c>
    </row>
    <row r="298" spans="2:38">
      <c r="B298" s="1678" t="s">
        <v>11725</v>
      </c>
      <c r="C298" s="1679"/>
      <c r="D298" s="1679"/>
      <c r="E298" s="1679"/>
      <c r="F298" s="1679"/>
      <c r="G298" s="1679"/>
      <c r="H298" s="1679"/>
      <c r="I298" s="1679"/>
      <c r="J298" s="1679"/>
      <c r="K298" s="1679"/>
      <c r="L298" s="1679"/>
      <c r="M298" s="1679"/>
      <c r="N298" s="1679"/>
      <c r="O298" s="1679"/>
      <c r="P298" s="1679"/>
      <c r="Q298" s="1679"/>
      <c r="R298" s="1679"/>
      <c r="S298" s="1679"/>
      <c r="T298" s="1679"/>
      <c r="U298" s="1679"/>
      <c r="V298" s="1679"/>
      <c r="W298" s="1679"/>
      <c r="X298" s="1679"/>
      <c r="Y298" s="1679"/>
      <c r="Z298" s="1679"/>
      <c r="AA298" s="1679"/>
      <c r="AB298" s="1679"/>
      <c r="AC298" s="1679"/>
      <c r="AD298" s="1679"/>
      <c r="AE298" s="1679"/>
      <c r="AF298" s="1679"/>
      <c r="AG298" s="1679"/>
      <c r="AH298" s="1679"/>
      <c r="AI298" s="1679"/>
      <c r="AJ298" s="1679"/>
      <c r="AK298" s="1679"/>
      <c r="AL298" s="1680"/>
    </row>
    <row r="301" spans="2:38" ht="12.75" thickBot="1">
      <c r="B301" s="1673" t="s">
        <v>12221</v>
      </c>
    </row>
    <row r="302" spans="2:38" ht="34.5" thickBot="1">
      <c r="B302" s="1676" t="s">
        <v>11705</v>
      </c>
      <c r="C302" s="1676" t="s">
        <v>11706</v>
      </c>
      <c r="D302" s="1676" t="s">
        <v>11707</v>
      </c>
      <c r="E302" s="1676" t="s">
        <v>11708</v>
      </c>
      <c r="F302" s="1676" t="s">
        <v>477</v>
      </c>
      <c r="G302" s="1676" t="s">
        <v>11709</v>
      </c>
      <c r="H302" s="1676" t="s">
        <v>11743</v>
      </c>
      <c r="I302" s="1676" t="s">
        <v>9595</v>
      </c>
      <c r="J302" s="1676" t="s">
        <v>12222</v>
      </c>
      <c r="K302" s="1676" t="s">
        <v>623</v>
      </c>
      <c r="L302" s="1676" t="s">
        <v>11714</v>
      </c>
      <c r="M302" s="1676" t="s">
        <v>12223</v>
      </c>
      <c r="N302" s="1676" t="s">
        <v>12224</v>
      </c>
      <c r="O302" s="1676" t="s">
        <v>12225</v>
      </c>
      <c r="P302" s="1676" t="s">
        <v>12226</v>
      </c>
      <c r="Q302" s="1676" t="s">
        <v>136</v>
      </c>
      <c r="R302" s="1676" t="s">
        <v>12227</v>
      </c>
      <c r="S302" s="1676" t="s">
        <v>12228</v>
      </c>
      <c r="T302" s="1676" t="s">
        <v>11850</v>
      </c>
      <c r="U302" s="1676"/>
      <c r="V302" s="1676"/>
      <c r="W302" s="1676"/>
      <c r="X302" s="1676"/>
      <c r="Y302" s="1676"/>
      <c r="Z302" s="1676"/>
      <c r="AA302" s="1676" t="s">
        <v>9628</v>
      </c>
      <c r="AB302" s="1676" t="s">
        <v>11719</v>
      </c>
      <c r="AC302" s="1676" t="s">
        <v>11691</v>
      </c>
      <c r="AD302" s="1676" t="s">
        <v>11692</v>
      </c>
      <c r="AE302" s="1676" t="s">
        <v>11720</v>
      </c>
      <c r="AF302" s="1676" t="s">
        <v>11693</v>
      </c>
      <c r="AG302" s="1676" t="s">
        <v>11721</v>
      </c>
      <c r="AH302" s="1676" t="s">
        <v>11694</v>
      </c>
      <c r="AI302" s="1676" t="s">
        <v>11722</v>
      </c>
      <c r="AJ302" s="1676" t="s">
        <v>10358</v>
      </c>
      <c r="AK302" s="1676" t="s">
        <v>11723</v>
      </c>
      <c r="AL302" s="1676" t="s">
        <v>11724</v>
      </c>
    </row>
    <row r="303" spans="2:38">
      <c r="B303" s="1675">
        <v>11</v>
      </c>
      <c r="C303" s="1674">
        <v>1</v>
      </c>
      <c r="D303" s="1674">
        <v>1</v>
      </c>
      <c r="E303" s="1674" t="s">
        <v>9594</v>
      </c>
      <c r="F303" s="1674" t="s">
        <v>11381</v>
      </c>
      <c r="G303" s="1674" t="s">
        <v>12166</v>
      </c>
      <c r="H303" s="1674" t="s">
        <v>11852</v>
      </c>
      <c r="I303" s="1674" t="s">
        <v>12166</v>
      </c>
      <c r="J303" s="1674"/>
      <c r="K303" s="1674" t="s">
        <v>12229</v>
      </c>
      <c r="L303" s="1674" t="s">
        <v>12230</v>
      </c>
      <c r="M303" s="1674" t="s">
        <v>12229</v>
      </c>
      <c r="N303" s="1674" t="s">
        <v>12231</v>
      </c>
      <c r="O303" s="1674" t="s">
        <v>12232</v>
      </c>
      <c r="P303" s="1674" t="s">
        <v>12233</v>
      </c>
      <c r="Q303" s="1674"/>
      <c r="R303" s="1674"/>
      <c r="S303" s="1674"/>
      <c r="T303" s="1674" t="s">
        <v>11862</v>
      </c>
      <c r="U303" s="1674"/>
      <c r="V303" s="1674"/>
      <c r="W303" s="1674"/>
      <c r="X303" s="1674"/>
      <c r="Y303" s="1674"/>
      <c r="Z303" s="1674"/>
      <c r="AA303" s="1674">
        <v>2</v>
      </c>
      <c r="AB303" s="1674">
        <v>0</v>
      </c>
      <c r="AC303" s="1674">
        <v>0</v>
      </c>
      <c r="AD303" s="1674">
        <v>470</v>
      </c>
      <c r="AE303" s="1674">
        <v>1000</v>
      </c>
      <c r="AF303" s="1674">
        <v>131.6</v>
      </c>
      <c r="AG303" s="1674">
        <v>0</v>
      </c>
      <c r="AH303" s="1674"/>
      <c r="AI303" s="1674"/>
      <c r="AJ303" s="1674"/>
      <c r="AK303" s="1674">
        <v>1</v>
      </c>
      <c r="AL303" s="1677">
        <v>17523428</v>
      </c>
    </row>
    <row r="304" spans="2:38">
      <c r="B304" s="1666">
        <v>11</v>
      </c>
      <c r="C304" s="1663">
        <v>1</v>
      </c>
      <c r="D304" s="1663">
        <v>2</v>
      </c>
      <c r="E304" s="1663" t="s">
        <v>9594</v>
      </c>
      <c r="F304" s="1663" t="s">
        <v>11381</v>
      </c>
      <c r="G304" s="1663" t="s">
        <v>12166</v>
      </c>
      <c r="H304" s="1663" t="s">
        <v>11852</v>
      </c>
      <c r="I304" s="1663" t="s">
        <v>12166</v>
      </c>
      <c r="J304" s="1663"/>
      <c r="K304" s="1663" t="s">
        <v>12234</v>
      </c>
      <c r="L304" s="1663" t="s">
        <v>12235</v>
      </c>
      <c r="M304" s="1663" t="s">
        <v>12234</v>
      </c>
      <c r="N304" s="1663" t="s">
        <v>12231</v>
      </c>
      <c r="O304" s="1663" t="s">
        <v>12232</v>
      </c>
      <c r="P304" s="1663" t="s">
        <v>12233</v>
      </c>
      <c r="Q304" s="1663"/>
      <c r="R304" s="1663"/>
      <c r="S304" s="1663"/>
      <c r="T304" s="1663" t="s">
        <v>11862</v>
      </c>
      <c r="U304" s="1663"/>
      <c r="V304" s="1663"/>
      <c r="W304" s="1663"/>
      <c r="X304" s="1663"/>
      <c r="Y304" s="1663"/>
      <c r="Z304" s="1663"/>
      <c r="AA304" s="1663">
        <v>4</v>
      </c>
      <c r="AB304" s="1663">
        <v>0</v>
      </c>
      <c r="AC304" s="1663">
        <v>0</v>
      </c>
      <c r="AD304" s="1663">
        <v>6250</v>
      </c>
      <c r="AE304" s="1663">
        <v>5000</v>
      </c>
      <c r="AF304" s="1663">
        <v>1750</v>
      </c>
      <c r="AG304" s="1663">
        <v>0</v>
      </c>
      <c r="AH304" s="1663"/>
      <c r="AI304" s="1663"/>
      <c r="AJ304" s="1663"/>
      <c r="AK304" s="1663">
        <v>1</v>
      </c>
      <c r="AL304" s="1671">
        <v>17523428</v>
      </c>
    </row>
    <row r="305" spans="2:38">
      <c r="B305" s="1666">
        <v>11</v>
      </c>
      <c r="C305" s="1663">
        <v>1</v>
      </c>
      <c r="D305" s="1663">
        <v>3</v>
      </c>
      <c r="E305" s="1663" t="s">
        <v>9594</v>
      </c>
      <c r="F305" s="1663" t="s">
        <v>11381</v>
      </c>
      <c r="G305" s="1663" t="s">
        <v>12166</v>
      </c>
      <c r="H305" s="1663" t="s">
        <v>11852</v>
      </c>
      <c r="I305" s="1663" t="s">
        <v>12166</v>
      </c>
      <c r="J305" s="1663"/>
      <c r="K305" s="1663" t="s">
        <v>12236</v>
      </c>
      <c r="L305" s="1663" t="s">
        <v>12179</v>
      </c>
      <c r="M305" s="1663" t="s">
        <v>12236</v>
      </c>
      <c r="N305" s="1663" t="s">
        <v>12231</v>
      </c>
      <c r="O305" s="1663" t="s">
        <v>12232</v>
      </c>
      <c r="P305" s="1663" t="s">
        <v>12233</v>
      </c>
      <c r="Q305" s="1663"/>
      <c r="R305" s="1663"/>
      <c r="S305" s="1663"/>
      <c r="T305" s="1663" t="s">
        <v>11862</v>
      </c>
      <c r="U305" s="1663"/>
      <c r="V305" s="1663"/>
      <c r="W305" s="1663"/>
      <c r="X305" s="1663"/>
      <c r="Y305" s="1663"/>
      <c r="Z305" s="1663"/>
      <c r="AA305" s="1663">
        <v>1</v>
      </c>
      <c r="AB305" s="1663">
        <v>0</v>
      </c>
      <c r="AC305" s="1663">
        <v>0</v>
      </c>
      <c r="AD305" s="1663">
        <v>17800</v>
      </c>
      <c r="AE305" s="1663">
        <v>10000</v>
      </c>
      <c r="AF305" s="1663">
        <v>4984</v>
      </c>
      <c r="AG305" s="1663">
        <v>0</v>
      </c>
      <c r="AH305" s="1663"/>
      <c r="AI305" s="1663"/>
      <c r="AJ305" s="1663"/>
      <c r="AK305" s="1663">
        <v>1</v>
      </c>
      <c r="AL305" s="1671">
        <v>17523428</v>
      </c>
    </row>
    <row r="306" spans="2:38">
      <c r="B306" s="1666">
        <v>11</v>
      </c>
      <c r="C306" s="1663">
        <v>1</v>
      </c>
      <c r="D306" s="1663">
        <v>4</v>
      </c>
      <c r="E306" s="1663" t="s">
        <v>9594</v>
      </c>
      <c r="F306" s="1663" t="s">
        <v>11381</v>
      </c>
      <c r="G306" s="1663" t="s">
        <v>12166</v>
      </c>
      <c r="H306" s="1663" t="s">
        <v>11866</v>
      </c>
      <c r="I306" s="1663" t="s">
        <v>12166</v>
      </c>
      <c r="J306" s="1663"/>
      <c r="K306" s="1663" t="s">
        <v>12236</v>
      </c>
      <c r="L306" s="1663" t="s">
        <v>12179</v>
      </c>
      <c r="M306" s="1663" t="s">
        <v>12009</v>
      </c>
      <c r="N306" s="1663" t="s">
        <v>12231</v>
      </c>
      <c r="O306" s="1663" t="s">
        <v>12232</v>
      </c>
      <c r="P306" s="1663" t="s">
        <v>12233</v>
      </c>
      <c r="Q306" s="1663"/>
      <c r="R306" s="1663"/>
      <c r="S306" s="1663"/>
      <c r="T306" s="1663" t="s">
        <v>11862</v>
      </c>
      <c r="U306" s="1663"/>
      <c r="V306" s="1663"/>
      <c r="W306" s="1663"/>
      <c r="X306" s="1663"/>
      <c r="Y306" s="1663"/>
      <c r="Z306" s="1663"/>
      <c r="AA306" s="1663">
        <v>0</v>
      </c>
      <c r="AB306" s="1663">
        <v>0</v>
      </c>
      <c r="AC306" s="1663">
        <v>0</v>
      </c>
      <c r="AD306" s="1663">
        <v>12025</v>
      </c>
      <c r="AE306" s="1663">
        <v>10000</v>
      </c>
      <c r="AF306" s="1663">
        <v>3367</v>
      </c>
      <c r="AG306" s="1663">
        <v>0</v>
      </c>
      <c r="AH306" s="1663"/>
      <c r="AI306" s="1663"/>
      <c r="AJ306" s="1663"/>
      <c r="AK306" s="1663">
        <v>1</v>
      </c>
      <c r="AL306" s="1671">
        <v>17523428</v>
      </c>
    </row>
    <row r="307" spans="2:38">
      <c r="B307" s="1666">
        <v>11</v>
      </c>
      <c r="C307" s="1663">
        <v>1</v>
      </c>
      <c r="D307" s="1663">
        <v>5</v>
      </c>
      <c r="E307" s="1663" t="s">
        <v>9594</v>
      </c>
      <c r="F307" s="1663" t="s">
        <v>11381</v>
      </c>
      <c r="G307" s="1663" t="s">
        <v>12166</v>
      </c>
      <c r="H307" s="1663" t="s">
        <v>12237</v>
      </c>
      <c r="I307" s="1663" t="s">
        <v>12166</v>
      </c>
      <c r="J307" s="1663"/>
      <c r="K307" s="1663" t="s">
        <v>12238</v>
      </c>
      <c r="L307" s="1663" t="s">
        <v>12237</v>
      </c>
      <c r="M307" s="1663" t="s">
        <v>12238</v>
      </c>
      <c r="N307" s="1663" t="s">
        <v>12231</v>
      </c>
      <c r="O307" s="1663" t="s">
        <v>12232</v>
      </c>
      <c r="P307" s="1663" t="s">
        <v>12233</v>
      </c>
      <c r="Q307" s="1663"/>
      <c r="R307" s="1663"/>
      <c r="S307" s="1663"/>
      <c r="T307" s="1663" t="s">
        <v>11862</v>
      </c>
      <c r="U307" s="1663"/>
      <c r="V307" s="1663"/>
      <c r="W307" s="1663"/>
      <c r="X307" s="1663"/>
      <c r="Y307" s="1663"/>
      <c r="Z307" s="1663"/>
      <c r="AA307" s="1663">
        <v>2</v>
      </c>
      <c r="AB307" s="1663">
        <v>0</v>
      </c>
      <c r="AC307" s="1663">
        <v>0</v>
      </c>
      <c r="AD307" s="1663">
        <v>263</v>
      </c>
      <c r="AE307" s="1663">
        <v>1500</v>
      </c>
      <c r="AF307" s="1663">
        <v>184.1</v>
      </c>
      <c r="AG307" s="1663">
        <v>0</v>
      </c>
      <c r="AH307" s="1663"/>
      <c r="AI307" s="1663"/>
      <c r="AJ307" s="1663"/>
      <c r="AK307" s="1663">
        <v>1</v>
      </c>
      <c r="AL307" s="1671">
        <v>17523428</v>
      </c>
    </row>
    <row r="308" spans="2:38">
      <c r="B308" s="1666">
        <v>11</v>
      </c>
      <c r="C308" s="1663">
        <v>1</v>
      </c>
      <c r="D308" s="1663">
        <v>6</v>
      </c>
      <c r="E308" s="1663" t="s">
        <v>9594</v>
      </c>
      <c r="F308" s="1663" t="s">
        <v>11381</v>
      </c>
      <c r="G308" s="1663" t="s">
        <v>12166</v>
      </c>
      <c r="H308" s="1663" t="s">
        <v>12237</v>
      </c>
      <c r="I308" s="1663" t="s">
        <v>12166</v>
      </c>
      <c r="J308" s="1663"/>
      <c r="K308" s="1663" t="s">
        <v>12239</v>
      </c>
      <c r="L308" s="1663" t="s">
        <v>12237</v>
      </c>
      <c r="M308" s="1663" t="s">
        <v>12239</v>
      </c>
      <c r="N308" s="1663" t="s">
        <v>12231</v>
      </c>
      <c r="O308" s="1663" t="s">
        <v>12232</v>
      </c>
      <c r="P308" s="1663" t="s">
        <v>12233</v>
      </c>
      <c r="Q308" s="1663"/>
      <c r="R308" s="1663"/>
      <c r="S308" s="1663"/>
      <c r="T308" s="1663" t="s">
        <v>11862</v>
      </c>
      <c r="U308" s="1663"/>
      <c r="V308" s="1663"/>
      <c r="W308" s="1663"/>
      <c r="X308" s="1663"/>
      <c r="Y308" s="1663"/>
      <c r="Z308" s="1663"/>
      <c r="AA308" s="1663">
        <v>2</v>
      </c>
      <c r="AB308" s="1663">
        <v>0</v>
      </c>
      <c r="AC308" s="1663">
        <v>0</v>
      </c>
      <c r="AD308" s="1663">
        <v>449</v>
      </c>
      <c r="AE308" s="1663">
        <v>1500</v>
      </c>
      <c r="AF308" s="1663">
        <v>314.3</v>
      </c>
      <c r="AG308" s="1663">
        <v>0</v>
      </c>
      <c r="AH308" s="1663"/>
      <c r="AI308" s="1663"/>
      <c r="AJ308" s="1663"/>
      <c r="AK308" s="1663">
        <v>1</v>
      </c>
      <c r="AL308" s="1671">
        <v>17523428</v>
      </c>
    </row>
    <row r="309" spans="2:38">
      <c r="B309" s="1666">
        <v>11</v>
      </c>
      <c r="C309" s="1663">
        <v>1</v>
      </c>
      <c r="D309" s="1663">
        <v>7</v>
      </c>
      <c r="E309" s="1663" t="s">
        <v>9594</v>
      </c>
      <c r="F309" s="1663" t="s">
        <v>11381</v>
      </c>
      <c r="G309" s="1663" t="s">
        <v>12166</v>
      </c>
      <c r="H309" s="1663" t="s">
        <v>12237</v>
      </c>
      <c r="I309" s="1663" t="s">
        <v>12166</v>
      </c>
      <c r="J309" s="1663"/>
      <c r="K309" s="1663" t="s">
        <v>12240</v>
      </c>
      <c r="L309" s="1663" t="s">
        <v>12237</v>
      </c>
      <c r="M309" s="1663" t="s">
        <v>12240</v>
      </c>
      <c r="N309" s="1663" t="s">
        <v>12231</v>
      </c>
      <c r="O309" s="1663" t="s">
        <v>12232</v>
      </c>
      <c r="P309" s="1663" t="s">
        <v>12233</v>
      </c>
      <c r="Q309" s="1663"/>
      <c r="R309" s="1663"/>
      <c r="S309" s="1663"/>
      <c r="T309" s="1663" t="s">
        <v>11862</v>
      </c>
      <c r="U309" s="1663"/>
      <c r="V309" s="1663"/>
      <c r="W309" s="1663"/>
      <c r="X309" s="1663"/>
      <c r="Y309" s="1663"/>
      <c r="Z309" s="1663"/>
      <c r="AA309" s="1663">
        <v>2</v>
      </c>
      <c r="AB309" s="1663">
        <v>0</v>
      </c>
      <c r="AC309" s="1663">
        <v>0</v>
      </c>
      <c r="AD309" s="1663">
        <v>633</v>
      </c>
      <c r="AE309" s="1663">
        <v>1500</v>
      </c>
      <c r="AF309" s="1663">
        <v>443.1</v>
      </c>
      <c r="AG309" s="1663">
        <v>0</v>
      </c>
      <c r="AH309" s="1663"/>
      <c r="AI309" s="1663"/>
      <c r="AJ309" s="1663"/>
      <c r="AK309" s="1663">
        <v>1</v>
      </c>
      <c r="AL309" s="1671">
        <v>17523428</v>
      </c>
    </row>
    <row r="310" spans="2:38">
      <c r="B310" s="1666">
        <v>11</v>
      </c>
      <c r="C310" s="1663">
        <v>1</v>
      </c>
      <c r="D310" s="1663">
        <v>8</v>
      </c>
      <c r="E310" s="1663" t="s">
        <v>9594</v>
      </c>
      <c r="F310" s="1663" t="s">
        <v>11381</v>
      </c>
      <c r="G310" s="1663" t="s">
        <v>12166</v>
      </c>
      <c r="H310" s="1663" t="s">
        <v>12237</v>
      </c>
      <c r="I310" s="1663" t="s">
        <v>12166</v>
      </c>
      <c r="J310" s="1663"/>
      <c r="K310" s="1663" t="s">
        <v>11996</v>
      </c>
      <c r="L310" s="1663" t="s">
        <v>12237</v>
      </c>
      <c r="M310" s="1663" t="s">
        <v>11996</v>
      </c>
      <c r="N310" s="1663" t="s">
        <v>12231</v>
      </c>
      <c r="O310" s="1663" t="s">
        <v>12232</v>
      </c>
      <c r="P310" s="1663" t="s">
        <v>12233</v>
      </c>
      <c r="Q310" s="1663"/>
      <c r="R310" s="1663"/>
      <c r="S310" s="1663"/>
      <c r="T310" s="1663" t="s">
        <v>11862</v>
      </c>
      <c r="U310" s="1663"/>
      <c r="V310" s="1663"/>
      <c r="W310" s="1663"/>
      <c r="X310" s="1663"/>
      <c r="Y310" s="1663"/>
      <c r="Z310" s="1663"/>
      <c r="AA310" s="1663">
        <v>1</v>
      </c>
      <c r="AB310" s="1663">
        <v>0</v>
      </c>
      <c r="AC310" s="1663">
        <v>0</v>
      </c>
      <c r="AD310" s="1663">
        <v>813</v>
      </c>
      <c r="AE310" s="1663">
        <v>1500</v>
      </c>
      <c r="AF310" s="1663">
        <v>569.1</v>
      </c>
      <c r="AG310" s="1663">
        <v>0</v>
      </c>
      <c r="AH310" s="1663"/>
      <c r="AI310" s="1663"/>
      <c r="AJ310" s="1663"/>
      <c r="AK310" s="1663">
        <v>1</v>
      </c>
      <c r="AL310" s="1671">
        <v>17523428</v>
      </c>
    </row>
    <row r="311" spans="2:38">
      <c r="B311" s="1666">
        <v>11</v>
      </c>
      <c r="C311" s="1663">
        <v>1</v>
      </c>
      <c r="D311" s="1663">
        <v>9</v>
      </c>
      <c r="E311" s="1663" t="s">
        <v>9594</v>
      </c>
      <c r="F311" s="1663" t="s">
        <v>11381</v>
      </c>
      <c r="G311" s="1663" t="s">
        <v>12166</v>
      </c>
      <c r="H311" s="1663" t="s">
        <v>12237</v>
      </c>
      <c r="I311" s="1663" t="s">
        <v>12166</v>
      </c>
      <c r="J311" s="1663"/>
      <c r="K311" s="1663" t="s">
        <v>12009</v>
      </c>
      <c r="L311" s="1663" t="s">
        <v>12237</v>
      </c>
      <c r="M311" s="1663" t="s">
        <v>12009</v>
      </c>
      <c r="N311" s="1663" t="s">
        <v>12231</v>
      </c>
      <c r="O311" s="1663" t="s">
        <v>12232</v>
      </c>
      <c r="P311" s="1663" t="s">
        <v>12233</v>
      </c>
      <c r="Q311" s="1663"/>
      <c r="R311" s="1663"/>
      <c r="S311" s="1663"/>
      <c r="T311" s="1663" t="s">
        <v>11862</v>
      </c>
      <c r="U311" s="1663"/>
      <c r="V311" s="1663"/>
      <c r="W311" s="1663"/>
      <c r="X311" s="1663"/>
      <c r="Y311" s="1663"/>
      <c r="Z311" s="1663"/>
      <c r="AA311" s="1663">
        <v>1</v>
      </c>
      <c r="AB311" s="1663">
        <v>0</v>
      </c>
      <c r="AC311" s="1663">
        <v>0</v>
      </c>
      <c r="AD311" s="1663">
        <v>1400</v>
      </c>
      <c r="AE311" s="1663">
        <v>1500</v>
      </c>
      <c r="AF311" s="1663">
        <v>980</v>
      </c>
      <c r="AG311" s="1663">
        <v>0</v>
      </c>
      <c r="AH311" s="1663"/>
      <c r="AI311" s="1663"/>
      <c r="AJ311" s="1663"/>
      <c r="AK311" s="1663">
        <v>1</v>
      </c>
      <c r="AL311" s="1671">
        <v>17523428</v>
      </c>
    </row>
    <row r="312" spans="2:38">
      <c r="B312" s="1667">
        <v>11</v>
      </c>
      <c r="C312" s="1668">
        <v>1</v>
      </c>
      <c r="D312" s="1668">
        <v>10</v>
      </c>
      <c r="E312" s="1668" t="s">
        <v>9594</v>
      </c>
      <c r="F312" s="1668" t="s">
        <v>11381</v>
      </c>
      <c r="G312" s="1668" t="s">
        <v>12166</v>
      </c>
      <c r="H312" s="1668" t="s">
        <v>12237</v>
      </c>
      <c r="I312" s="1668" t="s">
        <v>12166</v>
      </c>
      <c r="J312" s="1668"/>
      <c r="K312" s="1668" t="s">
        <v>12241</v>
      </c>
      <c r="L312" s="1668" t="s">
        <v>12237</v>
      </c>
      <c r="M312" s="1668" t="s">
        <v>12242</v>
      </c>
      <c r="N312" s="1668" t="s">
        <v>12231</v>
      </c>
      <c r="O312" s="1668" t="s">
        <v>12232</v>
      </c>
      <c r="P312" s="1668" t="s">
        <v>12233</v>
      </c>
      <c r="Q312" s="1668"/>
      <c r="R312" s="1668"/>
      <c r="S312" s="1668"/>
      <c r="T312" s="1668" t="s">
        <v>11862</v>
      </c>
      <c r="U312" s="1668"/>
      <c r="V312" s="1668"/>
      <c r="W312" s="1668"/>
      <c r="X312" s="1668"/>
      <c r="Y312" s="1668"/>
      <c r="Z312" s="1668"/>
      <c r="AA312" s="1668">
        <v>3</v>
      </c>
      <c r="AB312" s="1668">
        <v>0</v>
      </c>
      <c r="AC312" s="1668">
        <v>0</v>
      </c>
      <c r="AD312" s="1668">
        <v>4505</v>
      </c>
      <c r="AE312" s="1668">
        <v>1500</v>
      </c>
      <c r="AF312" s="1668">
        <v>2703</v>
      </c>
      <c r="AG312" s="1668">
        <v>0</v>
      </c>
      <c r="AH312" s="1668"/>
      <c r="AI312" s="1668"/>
      <c r="AJ312" s="1668"/>
      <c r="AK312" s="1668">
        <v>1</v>
      </c>
      <c r="AL312" s="1672">
        <v>17523428</v>
      </c>
    </row>
    <row r="315" spans="2:38" ht="12.75" thickBot="1">
      <c r="B315" s="1673" t="s">
        <v>12243</v>
      </c>
    </row>
    <row r="316" spans="2:38" ht="34.5" thickBot="1">
      <c r="B316" s="1676" t="s">
        <v>11705</v>
      </c>
      <c r="C316" s="1676" t="s">
        <v>11706</v>
      </c>
      <c r="D316" s="1676" t="s">
        <v>11707</v>
      </c>
      <c r="E316" s="1676" t="s">
        <v>11708</v>
      </c>
      <c r="F316" s="1676" t="s">
        <v>477</v>
      </c>
      <c r="G316" s="1676" t="s">
        <v>11709</v>
      </c>
      <c r="H316" s="1676" t="s">
        <v>11743</v>
      </c>
      <c r="I316" s="1676" t="s">
        <v>9595</v>
      </c>
      <c r="J316" s="1676" t="s">
        <v>12222</v>
      </c>
      <c r="K316" s="1676" t="s">
        <v>623</v>
      </c>
      <c r="L316" s="1676" t="s">
        <v>11714</v>
      </c>
      <c r="M316" s="1676" t="s">
        <v>12223</v>
      </c>
      <c r="N316" s="1676" t="s">
        <v>12224</v>
      </c>
      <c r="O316" s="1676" t="s">
        <v>12225</v>
      </c>
      <c r="P316" s="1676" t="s">
        <v>12226</v>
      </c>
      <c r="Q316" s="1676" t="s">
        <v>136</v>
      </c>
      <c r="R316" s="1676" t="s">
        <v>12227</v>
      </c>
      <c r="S316" s="1676" t="s">
        <v>12228</v>
      </c>
      <c r="T316" s="1676" t="s">
        <v>11850</v>
      </c>
      <c r="U316" s="1676"/>
      <c r="V316" s="1676"/>
      <c r="W316" s="1676"/>
      <c r="X316" s="1676"/>
      <c r="Y316" s="1676"/>
      <c r="Z316" s="1676"/>
      <c r="AA316" s="1676" t="s">
        <v>9628</v>
      </c>
      <c r="AB316" s="1676" t="s">
        <v>11719</v>
      </c>
      <c r="AC316" s="1676" t="s">
        <v>11691</v>
      </c>
      <c r="AD316" s="1676" t="s">
        <v>11692</v>
      </c>
      <c r="AE316" s="1676" t="s">
        <v>11720</v>
      </c>
      <c r="AF316" s="1676" t="s">
        <v>11693</v>
      </c>
      <c r="AG316" s="1676" t="s">
        <v>11721</v>
      </c>
      <c r="AH316" s="1676" t="s">
        <v>11694</v>
      </c>
      <c r="AI316" s="1676" t="s">
        <v>11722</v>
      </c>
      <c r="AJ316" s="1676" t="s">
        <v>10358</v>
      </c>
      <c r="AK316" s="1676" t="s">
        <v>11723</v>
      </c>
      <c r="AL316" s="1676" t="s">
        <v>11724</v>
      </c>
    </row>
    <row r="317" spans="2:38">
      <c r="B317" s="1678" t="s">
        <v>11725</v>
      </c>
      <c r="C317" s="1679"/>
      <c r="D317" s="1679"/>
      <c r="E317" s="1679"/>
      <c r="F317" s="1679"/>
      <c r="G317" s="1679"/>
      <c r="H317" s="1679"/>
      <c r="I317" s="1679"/>
      <c r="J317" s="1679"/>
      <c r="K317" s="1679"/>
      <c r="L317" s="1679"/>
      <c r="M317" s="1679"/>
      <c r="N317" s="1679"/>
      <c r="O317" s="1679"/>
      <c r="P317" s="1679"/>
      <c r="Q317" s="1679"/>
      <c r="R317" s="1679"/>
      <c r="S317" s="1679"/>
      <c r="T317" s="1679"/>
      <c r="U317" s="1679"/>
      <c r="V317" s="1679"/>
      <c r="W317" s="1679"/>
      <c r="X317" s="1679"/>
      <c r="Y317" s="1679"/>
      <c r="Z317" s="1679"/>
      <c r="AA317" s="1679"/>
      <c r="AB317" s="1679"/>
      <c r="AC317" s="1679"/>
      <c r="AD317" s="1679"/>
      <c r="AE317" s="1679"/>
      <c r="AF317" s="1679"/>
      <c r="AG317" s="1679"/>
      <c r="AH317" s="1679"/>
      <c r="AI317" s="1679"/>
      <c r="AJ317" s="1679"/>
      <c r="AK317" s="1679"/>
      <c r="AL317" s="1680"/>
    </row>
    <row r="320" spans="2:38" ht="12.75" thickBot="1">
      <c r="B320" s="1673" t="s">
        <v>12244</v>
      </c>
    </row>
    <row r="321" spans="2:38" ht="34.5" thickBot="1">
      <c r="B321" s="1676" t="s">
        <v>11705</v>
      </c>
      <c r="C321" s="1676" t="s">
        <v>11706</v>
      </c>
      <c r="D321" s="1676" t="s">
        <v>11707</v>
      </c>
      <c r="E321" s="1676" t="s">
        <v>11708</v>
      </c>
      <c r="F321" s="1676" t="s">
        <v>477</v>
      </c>
      <c r="G321" s="1676" t="s">
        <v>11709</v>
      </c>
      <c r="H321" s="1676" t="s">
        <v>11743</v>
      </c>
      <c r="I321" s="1676" t="s">
        <v>9595</v>
      </c>
      <c r="J321" s="1676" t="s">
        <v>623</v>
      </c>
      <c r="K321" s="1676" t="s">
        <v>11850</v>
      </c>
      <c r="L321" s="1676"/>
      <c r="M321" s="1676"/>
      <c r="N321" s="1676"/>
      <c r="O321" s="1676"/>
      <c r="P321" s="1676"/>
      <c r="Q321" s="1676"/>
      <c r="R321" s="1676"/>
      <c r="S321" s="1676"/>
      <c r="T321" s="1676"/>
      <c r="U321" s="1676"/>
      <c r="V321" s="1676"/>
      <c r="W321" s="1676"/>
      <c r="X321" s="1676"/>
      <c r="Y321" s="1676"/>
      <c r="Z321" s="1676"/>
      <c r="AA321" s="1676" t="s">
        <v>9628</v>
      </c>
      <c r="AB321" s="1676" t="s">
        <v>11719</v>
      </c>
      <c r="AC321" s="1676" t="s">
        <v>11691</v>
      </c>
      <c r="AD321" s="1676" t="s">
        <v>11692</v>
      </c>
      <c r="AE321" s="1676" t="s">
        <v>11720</v>
      </c>
      <c r="AF321" s="1676" t="s">
        <v>11693</v>
      </c>
      <c r="AG321" s="1676" t="s">
        <v>11721</v>
      </c>
      <c r="AH321" s="1676" t="s">
        <v>11694</v>
      </c>
      <c r="AI321" s="1676" t="s">
        <v>11722</v>
      </c>
      <c r="AJ321" s="1676" t="s">
        <v>10358</v>
      </c>
      <c r="AK321" s="1676" t="s">
        <v>11723</v>
      </c>
      <c r="AL321" s="1676" t="s">
        <v>11724</v>
      </c>
    </row>
    <row r="322" spans="2:38">
      <c r="B322" s="1678" t="s">
        <v>11725</v>
      </c>
      <c r="C322" s="1679"/>
      <c r="D322" s="1679"/>
      <c r="E322" s="1679"/>
      <c r="F322" s="1679"/>
      <c r="G322" s="1679"/>
      <c r="H322" s="1679"/>
      <c r="I322" s="1679"/>
      <c r="J322" s="1679"/>
      <c r="K322" s="1679"/>
      <c r="L322" s="1679"/>
      <c r="M322" s="1679"/>
      <c r="N322" s="1679"/>
      <c r="O322" s="1679"/>
      <c r="P322" s="1679"/>
      <c r="Q322" s="1679"/>
      <c r="R322" s="1679"/>
      <c r="S322" s="1679"/>
      <c r="T322" s="1679"/>
      <c r="U322" s="1679"/>
      <c r="V322" s="1679"/>
      <c r="W322" s="1679"/>
      <c r="X322" s="1679"/>
      <c r="Y322" s="1679"/>
      <c r="Z322" s="1679"/>
      <c r="AA322" s="1679"/>
      <c r="AB322" s="1679"/>
      <c r="AC322" s="1679"/>
      <c r="AD322" s="1679"/>
      <c r="AE322" s="1679"/>
      <c r="AF322" s="1679"/>
      <c r="AG322" s="1679"/>
      <c r="AH322" s="1679"/>
      <c r="AI322" s="1679"/>
      <c r="AJ322" s="1679"/>
      <c r="AK322" s="1679"/>
      <c r="AL322" s="1680"/>
    </row>
    <row r="325" spans="2:38" ht="12.75" thickBot="1">
      <c r="B325" s="1673" t="s">
        <v>12245</v>
      </c>
    </row>
    <row r="326" spans="2:38" ht="34.5" thickBot="1">
      <c r="B326" s="1676" t="s">
        <v>11705</v>
      </c>
      <c r="C326" s="1676" t="s">
        <v>11706</v>
      </c>
      <c r="D326" s="1676" t="s">
        <v>11707</v>
      </c>
      <c r="E326" s="1676" t="s">
        <v>11708</v>
      </c>
      <c r="F326" s="1676" t="s">
        <v>477</v>
      </c>
      <c r="G326" s="1676" t="s">
        <v>11709</v>
      </c>
      <c r="H326" s="1676" t="s">
        <v>11743</v>
      </c>
      <c r="I326" s="1676" t="s">
        <v>9595</v>
      </c>
      <c r="J326" s="1676" t="s">
        <v>623</v>
      </c>
      <c r="K326" s="1676" t="s">
        <v>11850</v>
      </c>
      <c r="L326" s="1676"/>
      <c r="M326" s="1676"/>
      <c r="N326" s="1676"/>
      <c r="O326" s="1676"/>
      <c r="P326" s="1676"/>
      <c r="Q326" s="1676"/>
      <c r="R326" s="1676"/>
      <c r="S326" s="1676"/>
      <c r="T326" s="1676"/>
      <c r="U326" s="1676"/>
      <c r="V326" s="1676"/>
      <c r="W326" s="1676"/>
      <c r="X326" s="1676"/>
      <c r="Y326" s="1676"/>
      <c r="Z326" s="1676"/>
      <c r="AA326" s="1676" t="s">
        <v>9628</v>
      </c>
      <c r="AB326" s="1676" t="s">
        <v>11719</v>
      </c>
      <c r="AC326" s="1676" t="s">
        <v>11691</v>
      </c>
      <c r="AD326" s="1676" t="s">
        <v>11692</v>
      </c>
      <c r="AE326" s="1676" t="s">
        <v>11720</v>
      </c>
      <c r="AF326" s="1676" t="s">
        <v>11693</v>
      </c>
      <c r="AG326" s="1676" t="s">
        <v>11721</v>
      </c>
      <c r="AH326" s="1676" t="s">
        <v>11694</v>
      </c>
      <c r="AI326" s="1676" t="s">
        <v>11722</v>
      </c>
      <c r="AJ326" s="1676" t="s">
        <v>10358</v>
      </c>
      <c r="AK326" s="1676" t="s">
        <v>11723</v>
      </c>
      <c r="AL326" s="1676" t="s">
        <v>11724</v>
      </c>
    </row>
    <row r="327" spans="2:38">
      <c r="B327" s="1678" t="s">
        <v>11725</v>
      </c>
      <c r="C327" s="1679"/>
      <c r="D327" s="1679"/>
      <c r="E327" s="1679"/>
      <c r="F327" s="1679"/>
      <c r="G327" s="1679"/>
      <c r="H327" s="1679"/>
      <c r="I327" s="1679"/>
      <c r="J327" s="1679"/>
      <c r="K327" s="1679"/>
      <c r="L327" s="1679"/>
      <c r="M327" s="1679"/>
      <c r="N327" s="1679"/>
      <c r="O327" s="1679"/>
      <c r="P327" s="1679"/>
      <c r="Q327" s="1679"/>
      <c r="R327" s="1679"/>
      <c r="S327" s="1679"/>
      <c r="T327" s="1679"/>
      <c r="U327" s="1679"/>
      <c r="V327" s="1679"/>
      <c r="W327" s="1679"/>
      <c r="X327" s="1679"/>
      <c r="Y327" s="1679"/>
      <c r="Z327" s="1679"/>
      <c r="AA327" s="1679"/>
      <c r="AB327" s="1679"/>
      <c r="AC327" s="1679"/>
      <c r="AD327" s="1679"/>
      <c r="AE327" s="1679"/>
      <c r="AF327" s="1679"/>
      <c r="AG327" s="1679"/>
      <c r="AH327" s="1679"/>
      <c r="AI327" s="1679"/>
      <c r="AJ327" s="1679"/>
      <c r="AK327" s="1679"/>
      <c r="AL327" s="1680"/>
    </row>
    <row r="330" spans="2:38" ht="12.75" thickBot="1">
      <c r="B330" s="1673" t="s">
        <v>11892</v>
      </c>
    </row>
    <row r="331" spans="2:38" ht="34.5" thickBot="1">
      <c r="B331" s="1676" t="s">
        <v>11705</v>
      </c>
      <c r="C331" s="1676" t="s">
        <v>11706</v>
      </c>
      <c r="D331" s="1676" t="s">
        <v>11707</v>
      </c>
      <c r="E331" s="1676" t="s">
        <v>11708</v>
      </c>
      <c r="F331" s="1676" t="s">
        <v>477</v>
      </c>
      <c r="G331" s="1676" t="s">
        <v>11709</v>
      </c>
      <c r="H331" s="1676" t="s">
        <v>11893</v>
      </c>
      <c r="I331" s="1676" t="s">
        <v>11845</v>
      </c>
      <c r="J331" s="1676" t="s">
        <v>11894</v>
      </c>
      <c r="K331" s="1676" t="s">
        <v>9206</v>
      </c>
      <c r="L331" s="1676" t="s">
        <v>11895</v>
      </c>
      <c r="M331" s="1676" t="s">
        <v>11896</v>
      </c>
      <c r="N331" s="1676" t="s">
        <v>11897</v>
      </c>
      <c r="O331" s="1676" t="s">
        <v>11898</v>
      </c>
      <c r="P331" s="1676" t="s">
        <v>11846</v>
      </c>
      <c r="Q331" s="1676" t="s">
        <v>11899</v>
      </c>
      <c r="R331" s="1676" t="s">
        <v>135</v>
      </c>
      <c r="S331" s="1676" t="s">
        <v>11900</v>
      </c>
      <c r="T331" s="1676" t="s">
        <v>11901</v>
      </c>
      <c r="U331" s="1676" t="s">
        <v>11902</v>
      </c>
      <c r="V331" s="1676" t="s">
        <v>11903</v>
      </c>
      <c r="W331" s="1676" t="s">
        <v>11904</v>
      </c>
      <c r="X331" s="1676" t="s">
        <v>11905</v>
      </c>
      <c r="Y331" s="1676" t="s">
        <v>11906</v>
      </c>
      <c r="Z331" s="1676" t="s">
        <v>11907</v>
      </c>
      <c r="AA331" s="1676" t="s">
        <v>9628</v>
      </c>
      <c r="AB331" s="1676" t="s">
        <v>11719</v>
      </c>
      <c r="AC331" s="1676" t="s">
        <v>11691</v>
      </c>
      <c r="AD331" s="1676" t="s">
        <v>11692</v>
      </c>
      <c r="AE331" s="1676" t="s">
        <v>11720</v>
      </c>
      <c r="AF331" s="1676" t="s">
        <v>11693</v>
      </c>
      <c r="AG331" s="1676" t="s">
        <v>11721</v>
      </c>
      <c r="AH331" s="1676" t="s">
        <v>11694</v>
      </c>
      <c r="AI331" s="1676" t="s">
        <v>11722</v>
      </c>
      <c r="AJ331" s="1676" t="s">
        <v>10358</v>
      </c>
      <c r="AK331" s="1676" t="s">
        <v>11723</v>
      </c>
      <c r="AL331" s="1676" t="s">
        <v>11724</v>
      </c>
    </row>
    <row r="332" spans="2:38">
      <c r="B332" s="1675">
        <v>12</v>
      </c>
      <c r="C332" s="1674">
        <v>1</v>
      </c>
      <c r="D332" s="1674">
        <v>1</v>
      </c>
      <c r="E332" s="1674" t="s">
        <v>11908</v>
      </c>
      <c r="F332" s="1674" t="s">
        <v>11702</v>
      </c>
      <c r="G332" s="1674" t="s">
        <v>11909</v>
      </c>
      <c r="H332" s="1674" t="s">
        <v>12246</v>
      </c>
      <c r="I332" s="1674" t="s">
        <v>11910</v>
      </c>
      <c r="J332" s="1674" t="s">
        <v>10027</v>
      </c>
      <c r="K332" s="1674" t="s">
        <v>10027</v>
      </c>
      <c r="L332" s="1674" t="s">
        <v>12246</v>
      </c>
      <c r="M332" s="1674"/>
      <c r="N332" s="1674"/>
      <c r="O332" s="1674">
        <v>8805855.0020000003</v>
      </c>
      <c r="P332" s="1674" t="s">
        <v>11914</v>
      </c>
      <c r="Q332" s="1674" t="s">
        <v>12247</v>
      </c>
      <c r="R332" s="1674"/>
      <c r="S332" s="1674">
        <v>50000</v>
      </c>
      <c r="T332" s="1674" t="s">
        <v>12052</v>
      </c>
      <c r="U332" s="1674" t="s">
        <v>8005</v>
      </c>
      <c r="V332" s="1674"/>
      <c r="W332" s="1674">
        <v>2131</v>
      </c>
      <c r="X332" s="1674" t="s">
        <v>12248</v>
      </c>
      <c r="Y332" s="1674" t="s">
        <v>11917</v>
      </c>
      <c r="Z332" s="1674"/>
      <c r="AA332" s="1674">
        <v>1</v>
      </c>
      <c r="AB332" s="1674">
        <v>0</v>
      </c>
      <c r="AC332" s="1674">
        <v>0</v>
      </c>
      <c r="AD332" s="1674">
        <v>1125.01</v>
      </c>
      <c r="AE332" s="1674">
        <v>3750</v>
      </c>
      <c r="AF332" s="1674">
        <v>1012.509</v>
      </c>
      <c r="AG332" s="1674">
        <v>0</v>
      </c>
      <c r="AH332" s="1674"/>
      <c r="AI332" s="1674"/>
      <c r="AJ332" s="1674"/>
      <c r="AK332" s="1674">
        <v>1</v>
      </c>
      <c r="AL332" s="1677">
        <v>17523429</v>
      </c>
    </row>
    <row r="333" spans="2:38">
      <c r="B333" s="1666">
        <v>12</v>
      </c>
      <c r="C333" s="1663">
        <v>1</v>
      </c>
      <c r="D333" s="1663">
        <v>2</v>
      </c>
      <c r="E333" s="1663" t="s">
        <v>11908</v>
      </c>
      <c r="F333" s="1663" t="s">
        <v>11702</v>
      </c>
      <c r="G333" s="1663" t="s">
        <v>11909</v>
      </c>
      <c r="H333" s="1663" t="s">
        <v>12249</v>
      </c>
      <c r="I333" s="1663" t="s">
        <v>11910</v>
      </c>
      <c r="J333" s="1663" t="s">
        <v>10027</v>
      </c>
      <c r="K333" s="1663" t="s">
        <v>10027</v>
      </c>
      <c r="L333" s="1663" t="s">
        <v>12249</v>
      </c>
      <c r="M333" s="1663"/>
      <c r="N333" s="1663"/>
      <c r="O333" s="1663">
        <v>8805864.0020000003</v>
      </c>
      <c r="P333" s="1663" t="s">
        <v>11914</v>
      </c>
      <c r="Q333" s="1663" t="s">
        <v>12247</v>
      </c>
      <c r="R333" s="1663"/>
      <c r="S333" s="1663">
        <v>50000</v>
      </c>
      <c r="T333" s="1663" t="s">
        <v>12052</v>
      </c>
      <c r="U333" s="1663" t="s">
        <v>8005</v>
      </c>
      <c r="V333" s="1663"/>
      <c r="W333" s="1663">
        <v>4006</v>
      </c>
      <c r="X333" s="1663" t="s">
        <v>12250</v>
      </c>
      <c r="Y333" s="1663" t="s">
        <v>11917</v>
      </c>
      <c r="Z333" s="1663"/>
      <c r="AA333" s="1663">
        <v>1</v>
      </c>
      <c r="AB333" s="1663">
        <v>0</v>
      </c>
      <c r="AC333" s="1663">
        <v>0</v>
      </c>
      <c r="AD333" s="1663">
        <v>1525.01</v>
      </c>
      <c r="AE333" s="1663">
        <v>1250</v>
      </c>
      <c r="AF333" s="1663">
        <v>1372.509</v>
      </c>
      <c r="AG333" s="1663">
        <v>0</v>
      </c>
      <c r="AH333" s="1663"/>
      <c r="AI333" s="1663"/>
      <c r="AJ333" s="1663"/>
      <c r="AK333" s="1663">
        <v>1</v>
      </c>
      <c r="AL333" s="1671">
        <v>17523429</v>
      </c>
    </row>
    <row r="334" spans="2:38">
      <c r="B334" s="1666">
        <v>12</v>
      </c>
      <c r="C334" s="1663">
        <v>1</v>
      </c>
      <c r="D334" s="1663">
        <v>3</v>
      </c>
      <c r="E334" s="1663" t="s">
        <v>11908</v>
      </c>
      <c r="F334" s="1663" t="s">
        <v>11702</v>
      </c>
      <c r="G334" s="1663" t="s">
        <v>11909</v>
      </c>
      <c r="H334" s="1663" t="s">
        <v>12251</v>
      </c>
      <c r="I334" s="1663" t="s">
        <v>11910</v>
      </c>
      <c r="J334" s="1663" t="s">
        <v>10027</v>
      </c>
      <c r="K334" s="1663" t="s">
        <v>10027</v>
      </c>
      <c r="L334" s="1663" t="s">
        <v>12251</v>
      </c>
      <c r="M334" s="1663"/>
      <c r="N334" s="1663"/>
      <c r="O334" s="1663">
        <v>8805866.0010000002</v>
      </c>
      <c r="P334" s="1663" t="s">
        <v>11914</v>
      </c>
      <c r="Q334" s="1663" t="s">
        <v>12247</v>
      </c>
      <c r="R334" s="1663"/>
      <c r="S334" s="1663">
        <v>50000</v>
      </c>
      <c r="T334" s="1663" t="s">
        <v>12048</v>
      </c>
      <c r="U334" s="1663" t="s">
        <v>8005</v>
      </c>
      <c r="V334" s="1663"/>
      <c r="W334" s="1663">
        <v>3030</v>
      </c>
      <c r="X334" s="1663" t="s">
        <v>12252</v>
      </c>
      <c r="Y334" s="1663" t="s">
        <v>11917</v>
      </c>
      <c r="Z334" s="1663"/>
      <c r="AA334" s="1663">
        <v>1</v>
      </c>
      <c r="AB334" s="1663">
        <v>0</v>
      </c>
      <c r="AC334" s="1663">
        <v>0</v>
      </c>
      <c r="AD334" s="1663">
        <v>1125</v>
      </c>
      <c r="AE334" s="1663">
        <v>3750</v>
      </c>
      <c r="AF334" s="1663">
        <v>1012.5</v>
      </c>
      <c r="AG334" s="1663">
        <v>0</v>
      </c>
      <c r="AH334" s="1663"/>
      <c r="AI334" s="1663"/>
      <c r="AJ334" s="1663"/>
      <c r="AK334" s="1663">
        <v>1</v>
      </c>
      <c r="AL334" s="1671">
        <v>17523429</v>
      </c>
    </row>
    <row r="335" spans="2:38">
      <c r="B335" s="1666">
        <v>12</v>
      </c>
      <c r="C335" s="1663">
        <v>1</v>
      </c>
      <c r="D335" s="1663">
        <v>4</v>
      </c>
      <c r="E335" s="1663" t="s">
        <v>11908</v>
      </c>
      <c r="F335" s="1663" t="s">
        <v>11702</v>
      </c>
      <c r="G335" s="1663" t="s">
        <v>11909</v>
      </c>
      <c r="H335" s="1663" t="s">
        <v>12253</v>
      </c>
      <c r="I335" s="1663" t="s">
        <v>11910</v>
      </c>
      <c r="J335" s="1663" t="s">
        <v>10027</v>
      </c>
      <c r="K335" s="1663" t="s">
        <v>10027</v>
      </c>
      <c r="L335" s="1663" t="s">
        <v>12253</v>
      </c>
      <c r="M335" s="1663"/>
      <c r="N335" s="1663"/>
      <c r="O335" s="1663">
        <v>8805875.0010000002</v>
      </c>
      <c r="P335" s="1663" t="s">
        <v>11914</v>
      </c>
      <c r="Q335" s="1663" t="s">
        <v>12247</v>
      </c>
      <c r="R335" s="1663"/>
      <c r="S335" s="1663">
        <v>50000</v>
      </c>
      <c r="T335" s="1663" t="s">
        <v>12048</v>
      </c>
      <c r="U335" s="1663" t="s">
        <v>8005</v>
      </c>
      <c r="V335" s="1663"/>
      <c r="W335" s="1663">
        <v>3000</v>
      </c>
      <c r="X335" s="1663" t="s">
        <v>12254</v>
      </c>
      <c r="Y335" s="1663" t="s">
        <v>11917</v>
      </c>
      <c r="Z335" s="1663"/>
      <c r="AA335" s="1663">
        <v>1</v>
      </c>
      <c r="AB335" s="1663">
        <v>0</v>
      </c>
      <c r="AC335" s="1663">
        <v>0</v>
      </c>
      <c r="AD335" s="1663">
        <v>725</v>
      </c>
      <c r="AE335" s="1663">
        <v>1250</v>
      </c>
      <c r="AF335" s="1663">
        <v>652.5</v>
      </c>
      <c r="AG335" s="1663">
        <v>0</v>
      </c>
      <c r="AH335" s="1663"/>
      <c r="AI335" s="1663"/>
      <c r="AJ335" s="1663"/>
      <c r="AK335" s="1663">
        <v>1</v>
      </c>
      <c r="AL335" s="1671">
        <v>17523429</v>
      </c>
    </row>
    <row r="336" spans="2:38">
      <c r="B336" s="1666">
        <v>12</v>
      </c>
      <c r="C336" s="1663">
        <v>1</v>
      </c>
      <c r="D336" s="1663">
        <v>5</v>
      </c>
      <c r="E336" s="1663" t="s">
        <v>11908</v>
      </c>
      <c r="F336" s="1663" t="s">
        <v>11702</v>
      </c>
      <c r="G336" s="1663" t="s">
        <v>11909</v>
      </c>
      <c r="H336" s="1663" t="s">
        <v>12255</v>
      </c>
      <c r="I336" s="1663" t="s">
        <v>12256</v>
      </c>
      <c r="J336" s="1663" t="s">
        <v>10027</v>
      </c>
      <c r="K336" s="1663" t="s">
        <v>10027</v>
      </c>
      <c r="L336" s="1663" t="s">
        <v>12255</v>
      </c>
      <c r="M336" s="1663"/>
      <c r="N336" s="1663"/>
      <c r="O336" s="1663">
        <v>8780211.0010000002</v>
      </c>
      <c r="P336" s="1663" t="s">
        <v>12257</v>
      </c>
      <c r="Q336" s="1663" t="s">
        <v>12247</v>
      </c>
      <c r="R336" s="1663" t="s">
        <v>12258</v>
      </c>
      <c r="S336" s="1663">
        <v>20000</v>
      </c>
      <c r="T336" s="1663" t="s">
        <v>12258</v>
      </c>
      <c r="U336" s="1663" t="s">
        <v>8005</v>
      </c>
      <c r="V336" s="1663"/>
      <c r="W336" s="1663" t="s">
        <v>12259</v>
      </c>
      <c r="X336" s="1663" t="s">
        <v>12260</v>
      </c>
      <c r="Y336" s="1663" t="s">
        <v>11917</v>
      </c>
      <c r="Z336" s="1663"/>
      <c r="AA336" s="1663">
        <v>1</v>
      </c>
      <c r="AB336" s="1663">
        <v>0</v>
      </c>
      <c r="AC336" s="1663">
        <v>0</v>
      </c>
      <c r="AD336" s="1663">
        <v>1310.23</v>
      </c>
      <c r="AE336" s="1663">
        <v>1746.98</v>
      </c>
      <c r="AF336" s="1663">
        <v>1179.2070000000001</v>
      </c>
      <c r="AG336" s="1663">
        <v>0</v>
      </c>
      <c r="AH336" s="1663"/>
      <c r="AI336" s="1663"/>
      <c r="AJ336" s="1663"/>
      <c r="AK336" s="1663">
        <v>1</v>
      </c>
      <c r="AL336" s="1671">
        <v>17523429</v>
      </c>
    </row>
    <row r="337" spans="2:38">
      <c r="B337" s="1666">
        <v>12</v>
      </c>
      <c r="C337" s="1663">
        <v>1</v>
      </c>
      <c r="D337" s="1663">
        <v>6</v>
      </c>
      <c r="E337" s="1663" t="s">
        <v>11908</v>
      </c>
      <c r="F337" s="1663" t="s">
        <v>11702</v>
      </c>
      <c r="G337" s="1663" t="s">
        <v>11909</v>
      </c>
      <c r="H337" s="1663" t="s">
        <v>12261</v>
      </c>
      <c r="I337" s="1663" t="s">
        <v>12256</v>
      </c>
      <c r="J337" s="1663" t="s">
        <v>10027</v>
      </c>
      <c r="K337" s="1663" t="s">
        <v>10027</v>
      </c>
      <c r="L337" s="1663" t="s">
        <v>12261</v>
      </c>
      <c r="M337" s="1663"/>
      <c r="N337" s="1663"/>
      <c r="O337" s="1663">
        <v>8780180.0010000002</v>
      </c>
      <c r="P337" s="1663" t="s">
        <v>12257</v>
      </c>
      <c r="Q337" s="1663" t="s">
        <v>12247</v>
      </c>
      <c r="R337" s="1663" t="s">
        <v>12262</v>
      </c>
      <c r="S337" s="1663">
        <v>10000</v>
      </c>
      <c r="T337" s="1663" t="s">
        <v>12263</v>
      </c>
      <c r="U337" s="1663" t="s">
        <v>8005</v>
      </c>
      <c r="V337" s="1663"/>
      <c r="W337" s="1663" t="s">
        <v>12264</v>
      </c>
      <c r="X337" s="1663"/>
      <c r="Y337" s="1663" t="s">
        <v>11917</v>
      </c>
      <c r="Z337" s="1663"/>
      <c r="AA337" s="1663">
        <v>1</v>
      </c>
      <c r="AB337" s="1663">
        <v>0</v>
      </c>
      <c r="AC337" s="1663">
        <v>0</v>
      </c>
      <c r="AD337" s="1663">
        <v>1746.98</v>
      </c>
      <c r="AE337" s="1663">
        <v>1746.98</v>
      </c>
      <c r="AF337" s="1663">
        <v>1572.2819999999999</v>
      </c>
      <c r="AG337" s="1663">
        <v>0</v>
      </c>
      <c r="AH337" s="1663"/>
      <c r="AI337" s="1663"/>
      <c r="AJ337" s="1663"/>
      <c r="AK337" s="1663">
        <v>1</v>
      </c>
      <c r="AL337" s="1671">
        <v>17523429</v>
      </c>
    </row>
    <row r="338" spans="2:38">
      <c r="B338" s="1666">
        <v>12</v>
      </c>
      <c r="C338" s="1663">
        <v>1</v>
      </c>
      <c r="D338" s="1663">
        <v>7</v>
      </c>
      <c r="E338" s="1663" t="s">
        <v>11908</v>
      </c>
      <c r="F338" s="1663" t="s">
        <v>11702</v>
      </c>
      <c r="G338" s="1663" t="s">
        <v>11909</v>
      </c>
      <c r="H338" s="1663" t="s">
        <v>12265</v>
      </c>
      <c r="I338" s="1663" t="s">
        <v>11953</v>
      </c>
      <c r="J338" s="1663" t="s">
        <v>10027</v>
      </c>
      <c r="K338" s="1663" t="s">
        <v>10027</v>
      </c>
      <c r="L338" s="1663" t="s">
        <v>12265</v>
      </c>
      <c r="M338" s="1663"/>
      <c r="N338" s="1663"/>
      <c r="O338" s="1663">
        <v>8782091.0010000002</v>
      </c>
      <c r="P338" s="1663" t="s">
        <v>11956</v>
      </c>
      <c r="Q338" s="1663" t="s">
        <v>12247</v>
      </c>
      <c r="R338" s="1663"/>
      <c r="S338" s="1663">
        <v>2000</v>
      </c>
      <c r="T338" s="1663" t="s">
        <v>12266</v>
      </c>
      <c r="U338" s="1663" t="s">
        <v>8005</v>
      </c>
      <c r="V338" s="1663"/>
      <c r="W338" s="1663">
        <v>47320</v>
      </c>
      <c r="X338" s="1663">
        <v>47320</v>
      </c>
      <c r="Y338" s="1663" t="s">
        <v>11917</v>
      </c>
      <c r="Z338" s="1663"/>
      <c r="AA338" s="1663">
        <v>1</v>
      </c>
      <c r="AB338" s="1663">
        <v>0</v>
      </c>
      <c r="AC338" s="1663">
        <v>0</v>
      </c>
      <c r="AD338" s="1663">
        <v>750.01</v>
      </c>
      <c r="AE338" s="1663">
        <v>4040</v>
      </c>
      <c r="AF338" s="1663">
        <v>675.00900000000001</v>
      </c>
      <c r="AG338" s="1663">
        <v>0</v>
      </c>
      <c r="AH338" s="1663"/>
      <c r="AI338" s="1663"/>
      <c r="AJ338" s="1663"/>
      <c r="AK338" s="1663">
        <v>1</v>
      </c>
      <c r="AL338" s="1671">
        <v>17523429</v>
      </c>
    </row>
    <row r="339" spans="2:38">
      <c r="B339" s="1666">
        <v>12</v>
      </c>
      <c r="C339" s="1663">
        <v>1</v>
      </c>
      <c r="D339" s="1663">
        <v>8</v>
      </c>
      <c r="E339" s="1663" t="s">
        <v>11908</v>
      </c>
      <c r="F339" s="1663" t="s">
        <v>11702</v>
      </c>
      <c r="G339" s="1663" t="s">
        <v>11909</v>
      </c>
      <c r="H339" s="1663" t="s">
        <v>12267</v>
      </c>
      <c r="I339" s="1663" t="s">
        <v>11953</v>
      </c>
      <c r="J339" s="1663" t="s">
        <v>10027</v>
      </c>
      <c r="K339" s="1663" t="s">
        <v>10027</v>
      </c>
      <c r="L339" s="1663" t="s">
        <v>12267</v>
      </c>
      <c r="M339" s="1663"/>
      <c r="N339" s="1663"/>
      <c r="O339" s="1663">
        <v>8782090.0010000002</v>
      </c>
      <c r="P339" s="1663" t="s">
        <v>11956</v>
      </c>
      <c r="Q339" s="1663" t="s">
        <v>12247</v>
      </c>
      <c r="R339" s="1663" t="s">
        <v>12268</v>
      </c>
      <c r="S339" s="1663">
        <v>10000</v>
      </c>
      <c r="T339" s="1663" t="s">
        <v>12269</v>
      </c>
      <c r="U339" s="1663" t="s">
        <v>8005</v>
      </c>
      <c r="V339" s="1663"/>
      <c r="W339" s="1663">
        <v>74190</v>
      </c>
      <c r="X339" s="1663" t="s">
        <v>12270</v>
      </c>
      <c r="Y339" s="1663" t="s">
        <v>11917</v>
      </c>
      <c r="Z339" s="1663"/>
      <c r="AA339" s="1663">
        <v>1</v>
      </c>
      <c r="AB339" s="1663">
        <v>0</v>
      </c>
      <c r="AC339" s="1663">
        <v>0</v>
      </c>
      <c r="AD339" s="1663">
        <v>750.01</v>
      </c>
      <c r="AE339" s="1663">
        <v>4040</v>
      </c>
      <c r="AF339" s="1663">
        <v>675.00900000000001</v>
      </c>
      <c r="AG339" s="1663">
        <v>0</v>
      </c>
      <c r="AH339" s="1663"/>
      <c r="AI339" s="1663"/>
      <c r="AJ339" s="1663"/>
      <c r="AK339" s="1663">
        <v>1</v>
      </c>
      <c r="AL339" s="1671">
        <v>17523429</v>
      </c>
    </row>
    <row r="340" spans="2:38">
      <c r="B340" s="1666">
        <v>12</v>
      </c>
      <c r="C340" s="1663">
        <v>1</v>
      </c>
      <c r="D340" s="1663">
        <v>9</v>
      </c>
      <c r="E340" s="1663" t="s">
        <v>11908</v>
      </c>
      <c r="F340" s="1663" t="s">
        <v>11702</v>
      </c>
      <c r="G340" s="1663" t="s">
        <v>11909</v>
      </c>
      <c r="H340" s="1663" t="s">
        <v>12271</v>
      </c>
      <c r="I340" s="1663" t="s">
        <v>446</v>
      </c>
      <c r="J340" s="1663" t="s">
        <v>10027</v>
      </c>
      <c r="K340" s="1663" t="s">
        <v>10027</v>
      </c>
      <c r="L340" s="1663" t="s">
        <v>12271</v>
      </c>
      <c r="M340" s="1663"/>
      <c r="N340" s="1663"/>
      <c r="O340" s="1663" t="s">
        <v>12272</v>
      </c>
      <c r="P340" s="1663" t="s">
        <v>11971</v>
      </c>
      <c r="Q340" s="1663" t="s">
        <v>12247</v>
      </c>
      <c r="R340" s="1663" t="s">
        <v>12271</v>
      </c>
      <c r="S340" s="1663" t="s">
        <v>12273</v>
      </c>
      <c r="T340" s="1663" t="s">
        <v>12274</v>
      </c>
      <c r="U340" s="1663" t="s">
        <v>8005</v>
      </c>
      <c r="V340" s="1663"/>
      <c r="W340" s="1663">
        <v>64347</v>
      </c>
      <c r="X340" s="1663" t="s">
        <v>12275</v>
      </c>
      <c r="Y340" s="1663" t="s">
        <v>11917</v>
      </c>
      <c r="Z340" s="1663"/>
      <c r="AA340" s="1663">
        <v>1</v>
      </c>
      <c r="AB340" s="1663">
        <v>0</v>
      </c>
      <c r="AC340" s="1663">
        <v>0</v>
      </c>
      <c r="AD340" s="1663">
        <v>400.03</v>
      </c>
      <c r="AE340" s="1663">
        <v>770.99</v>
      </c>
      <c r="AF340" s="1663">
        <v>360.02699999999999</v>
      </c>
      <c r="AG340" s="1663">
        <v>0</v>
      </c>
      <c r="AH340" s="1663"/>
      <c r="AI340" s="1663"/>
      <c r="AJ340" s="1663"/>
      <c r="AK340" s="1663">
        <v>1</v>
      </c>
      <c r="AL340" s="1671">
        <v>17523429</v>
      </c>
    </row>
    <row r="341" spans="2:38">
      <c r="B341" s="1666">
        <v>12</v>
      </c>
      <c r="C341" s="1663">
        <v>1</v>
      </c>
      <c r="D341" s="1663">
        <v>10</v>
      </c>
      <c r="E341" s="1663" t="s">
        <v>11908</v>
      </c>
      <c r="F341" s="1663" t="s">
        <v>11702</v>
      </c>
      <c r="G341" s="1663" t="s">
        <v>11909</v>
      </c>
      <c r="H341" s="1663" t="s">
        <v>11978</v>
      </c>
      <c r="I341" s="1663" t="s">
        <v>492</v>
      </c>
      <c r="J341" s="1663" t="s">
        <v>10027</v>
      </c>
      <c r="K341" s="1663" t="s">
        <v>10027</v>
      </c>
      <c r="L341" s="1663" t="s">
        <v>11978</v>
      </c>
      <c r="M341" s="1663"/>
      <c r="N341" s="1663"/>
      <c r="O341" s="1663">
        <v>8805887.0010000002</v>
      </c>
      <c r="P341" s="1663" t="s">
        <v>11978</v>
      </c>
      <c r="Q341" s="1663" t="s">
        <v>12247</v>
      </c>
      <c r="R341" s="1663" t="s">
        <v>12276</v>
      </c>
      <c r="S341" s="1663">
        <v>20000</v>
      </c>
      <c r="T341" s="1663" t="s">
        <v>12277</v>
      </c>
      <c r="U341" s="1663" t="s">
        <v>8005</v>
      </c>
      <c r="V341" s="1663"/>
      <c r="W341" s="1663"/>
      <c r="X341" s="1663" t="s">
        <v>12278</v>
      </c>
      <c r="Y341" s="1663" t="s">
        <v>11917</v>
      </c>
      <c r="Z341" s="1663"/>
      <c r="AA341" s="1663">
        <v>1</v>
      </c>
      <c r="AB341" s="1663">
        <v>0</v>
      </c>
      <c r="AC341" s="1663">
        <v>0</v>
      </c>
      <c r="AD341" s="1663">
        <v>177.14</v>
      </c>
      <c r="AE341" s="1663">
        <v>413.32</v>
      </c>
      <c r="AF341" s="1663">
        <v>159.42599999999999</v>
      </c>
      <c r="AG341" s="1663">
        <v>0</v>
      </c>
      <c r="AH341" s="1663"/>
      <c r="AI341" s="1663"/>
      <c r="AJ341" s="1663"/>
      <c r="AK341" s="1663">
        <v>1</v>
      </c>
      <c r="AL341" s="1671">
        <v>17523429</v>
      </c>
    </row>
    <row r="342" spans="2:38">
      <c r="B342" s="1666">
        <v>12</v>
      </c>
      <c r="C342" s="1663">
        <v>1</v>
      </c>
      <c r="D342" s="1663">
        <v>11</v>
      </c>
      <c r="E342" s="1663" t="s">
        <v>11908</v>
      </c>
      <c r="F342" s="1663" t="s">
        <v>11702</v>
      </c>
      <c r="G342" s="1663" t="s">
        <v>11909</v>
      </c>
      <c r="H342" s="1663" t="s">
        <v>12279</v>
      </c>
      <c r="I342" s="1663" t="s">
        <v>11991</v>
      </c>
      <c r="J342" s="1663" t="s">
        <v>10027</v>
      </c>
      <c r="K342" s="1663" t="s">
        <v>10027</v>
      </c>
      <c r="L342" s="1663" t="s">
        <v>12279</v>
      </c>
      <c r="M342" s="1663"/>
      <c r="N342" s="1663"/>
      <c r="O342" s="1663">
        <v>8780242.0010000002</v>
      </c>
      <c r="P342" s="1663" t="s">
        <v>11994</v>
      </c>
      <c r="Q342" s="1663" t="s">
        <v>12247</v>
      </c>
      <c r="R342" s="1663" t="s">
        <v>12280</v>
      </c>
      <c r="S342" s="1663">
        <v>50000</v>
      </c>
      <c r="T342" s="1663" t="s">
        <v>12281</v>
      </c>
      <c r="U342" s="1663" t="s">
        <v>8005</v>
      </c>
      <c r="V342" s="1663"/>
      <c r="W342" s="1663">
        <v>66647</v>
      </c>
      <c r="X342" s="1663"/>
      <c r="Y342" s="1663" t="s">
        <v>11917</v>
      </c>
      <c r="Z342" s="1663"/>
      <c r="AA342" s="1663">
        <v>1</v>
      </c>
      <c r="AB342" s="1663">
        <v>0</v>
      </c>
      <c r="AC342" s="1663">
        <v>0</v>
      </c>
      <c r="AD342" s="1663">
        <v>1275.01</v>
      </c>
      <c r="AE342" s="1663">
        <v>0</v>
      </c>
      <c r="AF342" s="1663">
        <v>1147.509</v>
      </c>
      <c r="AG342" s="1663">
        <v>0</v>
      </c>
      <c r="AH342" s="1663"/>
      <c r="AI342" s="1663"/>
      <c r="AJ342" s="1663"/>
      <c r="AK342" s="1663">
        <v>1</v>
      </c>
      <c r="AL342" s="1671">
        <v>17523429</v>
      </c>
    </row>
    <row r="343" spans="2:38">
      <c r="B343" s="1666">
        <v>12</v>
      </c>
      <c r="C343" s="1663">
        <v>1</v>
      </c>
      <c r="D343" s="1663">
        <v>12</v>
      </c>
      <c r="E343" s="1663" t="s">
        <v>11908</v>
      </c>
      <c r="F343" s="1663" t="s">
        <v>11702</v>
      </c>
      <c r="G343" s="1663" t="s">
        <v>11909</v>
      </c>
      <c r="H343" s="1663" t="s">
        <v>12282</v>
      </c>
      <c r="I343" s="1663" t="s">
        <v>11991</v>
      </c>
      <c r="J343" s="1663" t="s">
        <v>10027</v>
      </c>
      <c r="K343" s="1663" t="s">
        <v>10027</v>
      </c>
      <c r="L343" s="1663" t="s">
        <v>12282</v>
      </c>
      <c r="M343" s="1663"/>
      <c r="N343" s="1663"/>
      <c r="O343" s="1663">
        <v>8780217.0050000008</v>
      </c>
      <c r="P343" s="1663" t="s">
        <v>11994</v>
      </c>
      <c r="Q343" s="1663" t="s">
        <v>12247</v>
      </c>
      <c r="R343" s="1663" t="s">
        <v>12283</v>
      </c>
      <c r="S343" s="1663">
        <v>100000</v>
      </c>
      <c r="T343" s="1663" t="s">
        <v>12281</v>
      </c>
      <c r="U343" s="1663" t="s">
        <v>8005</v>
      </c>
      <c r="V343" s="1663"/>
      <c r="W343" s="1663">
        <v>66269</v>
      </c>
      <c r="X343" s="1663"/>
      <c r="Y343" s="1663" t="s">
        <v>11917</v>
      </c>
      <c r="Z343" s="1663"/>
      <c r="AA343" s="1663">
        <v>1</v>
      </c>
      <c r="AB343" s="1663">
        <v>0</v>
      </c>
      <c r="AC343" s="1663">
        <v>0</v>
      </c>
      <c r="AD343" s="1663">
        <v>2459.0100000000002</v>
      </c>
      <c r="AE343" s="1663">
        <v>0</v>
      </c>
      <c r="AF343" s="1663">
        <v>2213.1089999999999</v>
      </c>
      <c r="AG343" s="1663">
        <v>0</v>
      </c>
      <c r="AH343" s="1663"/>
      <c r="AI343" s="1663"/>
      <c r="AJ343" s="1663"/>
      <c r="AK343" s="1663">
        <v>1</v>
      </c>
      <c r="AL343" s="1671">
        <v>17523429</v>
      </c>
    </row>
    <row r="344" spans="2:38">
      <c r="B344" s="1666">
        <v>12</v>
      </c>
      <c r="C344" s="1663">
        <v>1</v>
      </c>
      <c r="D344" s="1663">
        <v>13</v>
      </c>
      <c r="E344" s="1663" t="s">
        <v>11908</v>
      </c>
      <c r="F344" s="1663" t="s">
        <v>11702</v>
      </c>
      <c r="G344" s="1663" t="s">
        <v>11909</v>
      </c>
      <c r="H344" s="1663" t="s">
        <v>12284</v>
      </c>
      <c r="I344" s="1663" t="s">
        <v>12014</v>
      </c>
      <c r="J344" s="1663" t="s">
        <v>10027</v>
      </c>
      <c r="K344" s="1663" t="s">
        <v>10027</v>
      </c>
      <c r="L344" s="1663" t="s">
        <v>12284</v>
      </c>
      <c r="M344" s="1663"/>
      <c r="N344" s="1663"/>
      <c r="O344" s="1663">
        <v>8782089.0010000002</v>
      </c>
      <c r="P344" s="1663" t="s">
        <v>12017</v>
      </c>
      <c r="Q344" s="1663" t="s">
        <v>12247</v>
      </c>
      <c r="R344" s="1663"/>
      <c r="S344" s="1663">
        <v>10000</v>
      </c>
      <c r="T344" s="1663" t="s">
        <v>12072</v>
      </c>
      <c r="U344" s="1663" t="s">
        <v>8005</v>
      </c>
      <c r="V344" s="1663"/>
      <c r="W344" s="1663">
        <v>3400</v>
      </c>
      <c r="X344" s="1663"/>
      <c r="Y344" s="1663" t="s">
        <v>11917</v>
      </c>
      <c r="Z344" s="1663"/>
      <c r="AA344" s="1663">
        <v>1</v>
      </c>
      <c r="AB344" s="1663">
        <v>0</v>
      </c>
      <c r="AC344" s="1663">
        <v>0</v>
      </c>
      <c r="AD344" s="1663">
        <v>650</v>
      </c>
      <c r="AE344" s="1663">
        <v>3500</v>
      </c>
      <c r="AF344" s="1663">
        <v>585</v>
      </c>
      <c r="AG344" s="1663">
        <v>0</v>
      </c>
      <c r="AH344" s="1663"/>
      <c r="AI344" s="1663"/>
      <c r="AJ344" s="1663"/>
      <c r="AK344" s="1663">
        <v>1</v>
      </c>
      <c r="AL344" s="1671">
        <v>17523429</v>
      </c>
    </row>
    <row r="345" spans="2:38">
      <c r="B345" s="1666">
        <v>12</v>
      </c>
      <c r="C345" s="1663">
        <v>1</v>
      </c>
      <c r="D345" s="1663">
        <v>14</v>
      </c>
      <c r="E345" s="1663" t="s">
        <v>11908</v>
      </c>
      <c r="F345" s="1663" t="s">
        <v>11702</v>
      </c>
      <c r="G345" s="1663" t="s">
        <v>11909</v>
      </c>
      <c r="H345" s="1663" t="s">
        <v>12285</v>
      </c>
      <c r="I345" s="1663" t="s">
        <v>12014</v>
      </c>
      <c r="J345" s="1663" t="s">
        <v>10027</v>
      </c>
      <c r="K345" s="1663" t="s">
        <v>10027</v>
      </c>
      <c r="L345" s="1663" t="s">
        <v>12285</v>
      </c>
      <c r="M345" s="1663"/>
      <c r="N345" s="1663"/>
      <c r="O345" s="1663">
        <v>8782087.0010000002</v>
      </c>
      <c r="P345" s="1663" t="s">
        <v>12017</v>
      </c>
      <c r="Q345" s="1663" t="s">
        <v>12247</v>
      </c>
      <c r="R345" s="1663" t="s">
        <v>12286</v>
      </c>
      <c r="S345" s="1663">
        <v>8000</v>
      </c>
      <c r="T345" s="1663" t="s">
        <v>12072</v>
      </c>
      <c r="U345" s="1663" t="s">
        <v>8005</v>
      </c>
      <c r="V345" s="1663"/>
      <c r="W345" s="1663">
        <v>1180</v>
      </c>
      <c r="X345" s="1663" t="s">
        <v>12287</v>
      </c>
      <c r="Y345" s="1663" t="s">
        <v>11917</v>
      </c>
      <c r="Z345" s="1663"/>
      <c r="AA345" s="1663">
        <v>1</v>
      </c>
      <c r="AB345" s="1663">
        <v>0</v>
      </c>
      <c r="AC345" s="1663">
        <v>0</v>
      </c>
      <c r="AD345" s="1663">
        <v>550</v>
      </c>
      <c r="AE345" s="1663">
        <v>3500</v>
      </c>
      <c r="AF345" s="1663">
        <v>495</v>
      </c>
      <c r="AG345" s="1663">
        <v>0</v>
      </c>
      <c r="AH345" s="1663"/>
      <c r="AI345" s="1663"/>
      <c r="AJ345" s="1663"/>
      <c r="AK345" s="1663">
        <v>1</v>
      </c>
      <c r="AL345" s="1671">
        <v>17523429</v>
      </c>
    </row>
    <row r="346" spans="2:38">
      <c r="B346" s="1667">
        <v>12</v>
      </c>
      <c r="C346" s="1668">
        <v>1</v>
      </c>
      <c r="D346" s="1668">
        <v>15</v>
      </c>
      <c r="E346" s="1668" t="s">
        <v>11908</v>
      </c>
      <c r="F346" s="1668" t="s">
        <v>11702</v>
      </c>
      <c r="G346" s="1668" t="s">
        <v>11909</v>
      </c>
      <c r="H346" s="1668" t="s">
        <v>12033</v>
      </c>
      <c r="I346" s="1668" t="s">
        <v>12030</v>
      </c>
      <c r="J346" s="1668" t="s">
        <v>10027</v>
      </c>
      <c r="K346" s="1668" t="s">
        <v>10027</v>
      </c>
      <c r="L346" s="1668" t="s">
        <v>12033</v>
      </c>
      <c r="M346" s="1668"/>
      <c r="N346" s="1668"/>
      <c r="O346" s="1668">
        <v>8782093.0010000002</v>
      </c>
      <c r="P346" s="1668" t="s">
        <v>12033</v>
      </c>
      <c r="Q346" s="1668" t="s">
        <v>12247</v>
      </c>
      <c r="R346" s="1668"/>
      <c r="S346" s="1668">
        <v>8000</v>
      </c>
      <c r="T346" s="1668" t="s">
        <v>12288</v>
      </c>
      <c r="U346" s="1668" t="s">
        <v>8005</v>
      </c>
      <c r="V346" s="1668"/>
      <c r="W346" s="1668" t="s">
        <v>12036</v>
      </c>
      <c r="X346" s="1668"/>
      <c r="Y346" s="1668" t="s">
        <v>11917</v>
      </c>
      <c r="Z346" s="1668"/>
      <c r="AA346" s="1668">
        <v>1</v>
      </c>
      <c r="AB346" s="1668">
        <v>0</v>
      </c>
      <c r="AC346" s="1668">
        <v>0</v>
      </c>
      <c r="AD346" s="1668">
        <v>325</v>
      </c>
      <c r="AE346" s="1668">
        <v>2000</v>
      </c>
      <c r="AF346" s="1668">
        <v>292.5</v>
      </c>
      <c r="AG346" s="1668">
        <v>0</v>
      </c>
      <c r="AH346" s="1668"/>
      <c r="AI346" s="1668"/>
      <c r="AJ346" s="1668"/>
      <c r="AK346" s="1668">
        <v>1</v>
      </c>
      <c r="AL346" s="1672">
        <v>17523429</v>
      </c>
    </row>
    <row r="349" spans="2:38" ht="12.75" thickBot="1">
      <c r="B349" s="1673" t="s">
        <v>12289</v>
      </c>
    </row>
    <row r="350" spans="2:38" ht="34.5" thickBot="1">
      <c r="B350" s="1676" t="s">
        <v>11705</v>
      </c>
      <c r="C350" s="1676" t="s">
        <v>11706</v>
      </c>
      <c r="D350" s="1676" t="s">
        <v>11707</v>
      </c>
      <c r="E350" s="1676" t="s">
        <v>11708</v>
      </c>
      <c r="F350" s="1676" t="s">
        <v>477</v>
      </c>
      <c r="G350" s="1676" t="s">
        <v>11709</v>
      </c>
      <c r="H350" s="1676" t="s">
        <v>11893</v>
      </c>
      <c r="I350" s="1676" t="s">
        <v>11845</v>
      </c>
      <c r="J350" s="1676" t="s">
        <v>11776</v>
      </c>
      <c r="K350" s="1676" t="s">
        <v>11846</v>
      </c>
      <c r="L350" s="1676" t="s">
        <v>11899</v>
      </c>
      <c r="M350" s="1676" t="s">
        <v>12041</v>
      </c>
      <c r="N350" s="1676" t="s">
        <v>135</v>
      </c>
      <c r="O350" s="1676" t="s">
        <v>12290</v>
      </c>
      <c r="P350" s="1676" t="s">
        <v>12291</v>
      </c>
      <c r="Q350" s="1676"/>
      <c r="R350" s="1676"/>
      <c r="S350" s="1676"/>
      <c r="T350" s="1676"/>
      <c r="U350" s="1676"/>
      <c r="V350" s="1676"/>
      <c r="W350" s="1676"/>
      <c r="X350" s="1676"/>
      <c r="Y350" s="1676"/>
      <c r="Z350" s="1676"/>
      <c r="AA350" s="1676" t="s">
        <v>9628</v>
      </c>
      <c r="AB350" s="1676" t="s">
        <v>11719</v>
      </c>
      <c r="AC350" s="1676" t="s">
        <v>11691</v>
      </c>
      <c r="AD350" s="1676" t="s">
        <v>11692</v>
      </c>
      <c r="AE350" s="1676" t="s">
        <v>11720</v>
      </c>
      <c r="AF350" s="1676" t="s">
        <v>11693</v>
      </c>
      <c r="AG350" s="1676" t="s">
        <v>11721</v>
      </c>
      <c r="AH350" s="1676" t="s">
        <v>11694</v>
      </c>
      <c r="AI350" s="1676" t="s">
        <v>11722</v>
      </c>
      <c r="AJ350" s="1676" t="s">
        <v>10358</v>
      </c>
      <c r="AK350" s="1676" t="s">
        <v>11723</v>
      </c>
      <c r="AL350" s="1676" t="s">
        <v>11724</v>
      </c>
    </row>
    <row r="351" spans="2:38">
      <c r="B351" s="1675">
        <v>13</v>
      </c>
      <c r="C351" s="1674">
        <v>1</v>
      </c>
      <c r="D351" s="1674">
        <v>1</v>
      </c>
      <c r="E351" s="1674" t="s">
        <v>11908</v>
      </c>
      <c r="F351" s="1674" t="s">
        <v>11703</v>
      </c>
      <c r="G351" s="1674" t="s">
        <v>12292</v>
      </c>
      <c r="H351" s="1674" t="s">
        <v>12246</v>
      </c>
      <c r="I351" s="1674" t="s">
        <v>11910</v>
      </c>
      <c r="J351" s="1674" t="s">
        <v>12246</v>
      </c>
      <c r="K351" s="1674" t="s">
        <v>11914</v>
      </c>
      <c r="L351" s="1674" t="s">
        <v>12247</v>
      </c>
      <c r="M351" s="1674" t="s">
        <v>12046</v>
      </c>
      <c r="N351" s="1674"/>
      <c r="O351" s="1674" t="s">
        <v>12049</v>
      </c>
      <c r="P351" s="1674" t="s">
        <v>12052</v>
      </c>
      <c r="Q351" s="1674"/>
      <c r="R351" s="1674"/>
      <c r="S351" s="1674"/>
      <c r="T351" s="1674"/>
      <c r="U351" s="1674"/>
      <c r="V351" s="1674"/>
      <c r="W351" s="1674"/>
      <c r="X351" s="1674"/>
      <c r="Y351" s="1674"/>
      <c r="Z351" s="1674"/>
      <c r="AA351" s="1674">
        <v>0</v>
      </c>
      <c r="AB351" s="1674">
        <v>0</v>
      </c>
      <c r="AC351" s="1674">
        <v>0</v>
      </c>
      <c r="AD351" s="1674">
        <v>0</v>
      </c>
      <c r="AE351" s="1674">
        <v>0</v>
      </c>
      <c r="AF351" s="1674">
        <v>0</v>
      </c>
      <c r="AG351" s="1674">
        <v>0</v>
      </c>
      <c r="AH351" s="1674"/>
      <c r="AI351" s="1674"/>
      <c r="AJ351" s="1674"/>
      <c r="AK351" s="1674">
        <v>1</v>
      </c>
      <c r="AL351" s="1677">
        <v>17523430</v>
      </c>
    </row>
    <row r="352" spans="2:38">
      <c r="B352" s="1666">
        <v>13</v>
      </c>
      <c r="C352" s="1663">
        <v>1</v>
      </c>
      <c r="D352" s="1663">
        <v>2</v>
      </c>
      <c r="E352" s="1663" t="s">
        <v>11908</v>
      </c>
      <c r="F352" s="1663" t="s">
        <v>11703</v>
      </c>
      <c r="G352" s="1663" t="s">
        <v>12292</v>
      </c>
      <c r="H352" s="1663" t="s">
        <v>12249</v>
      </c>
      <c r="I352" s="1663" t="s">
        <v>11910</v>
      </c>
      <c r="J352" s="1663" t="s">
        <v>12249</v>
      </c>
      <c r="K352" s="1663" t="s">
        <v>11914</v>
      </c>
      <c r="L352" s="1663" t="s">
        <v>12247</v>
      </c>
      <c r="M352" s="1663" t="s">
        <v>12046</v>
      </c>
      <c r="N352" s="1663"/>
      <c r="O352" s="1663" t="s">
        <v>12049</v>
      </c>
      <c r="P352" s="1663" t="s">
        <v>12052</v>
      </c>
      <c r="Q352" s="1663"/>
      <c r="R352" s="1663"/>
      <c r="S352" s="1663"/>
      <c r="T352" s="1663"/>
      <c r="U352" s="1663"/>
      <c r="V352" s="1663"/>
      <c r="W352" s="1663"/>
      <c r="X352" s="1663"/>
      <c r="Y352" s="1663"/>
      <c r="Z352" s="1663"/>
      <c r="AA352" s="1663">
        <v>0</v>
      </c>
      <c r="AB352" s="1663">
        <v>0</v>
      </c>
      <c r="AC352" s="1663">
        <v>0</v>
      </c>
      <c r="AD352" s="1663">
        <v>0</v>
      </c>
      <c r="AE352" s="1663">
        <v>0</v>
      </c>
      <c r="AF352" s="1663">
        <v>0</v>
      </c>
      <c r="AG352" s="1663">
        <v>0</v>
      </c>
      <c r="AH352" s="1663"/>
      <c r="AI352" s="1663"/>
      <c r="AJ352" s="1663"/>
      <c r="AK352" s="1663">
        <v>1</v>
      </c>
      <c r="AL352" s="1671">
        <v>17523430</v>
      </c>
    </row>
    <row r="353" spans="2:38">
      <c r="B353" s="1666">
        <v>13</v>
      </c>
      <c r="C353" s="1663">
        <v>1</v>
      </c>
      <c r="D353" s="1663">
        <v>3</v>
      </c>
      <c r="E353" s="1663" t="s">
        <v>11908</v>
      </c>
      <c r="F353" s="1663" t="s">
        <v>11703</v>
      </c>
      <c r="G353" s="1663" t="s">
        <v>12292</v>
      </c>
      <c r="H353" s="1663" t="s">
        <v>12251</v>
      </c>
      <c r="I353" s="1663" t="s">
        <v>11910</v>
      </c>
      <c r="J353" s="1663" t="s">
        <v>12251</v>
      </c>
      <c r="K353" s="1663" t="s">
        <v>11914</v>
      </c>
      <c r="L353" s="1663" t="s">
        <v>12247</v>
      </c>
      <c r="M353" s="1663" t="s">
        <v>12046</v>
      </c>
      <c r="N353" s="1663"/>
      <c r="O353" s="1663" t="s">
        <v>12049</v>
      </c>
      <c r="P353" s="1663" t="s">
        <v>12048</v>
      </c>
      <c r="Q353" s="1663"/>
      <c r="R353" s="1663"/>
      <c r="S353" s="1663"/>
      <c r="T353" s="1663"/>
      <c r="U353" s="1663"/>
      <c r="V353" s="1663"/>
      <c r="W353" s="1663"/>
      <c r="X353" s="1663"/>
      <c r="Y353" s="1663"/>
      <c r="Z353" s="1663"/>
      <c r="AA353" s="1663">
        <v>0</v>
      </c>
      <c r="AB353" s="1663">
        <v>0</v>
      </c>
      <c r="AC353" s="1663">
        <v>0</v>
      </c>
      <c r="AD353" s="1663">
        <v>0</v>
      </c>
      <c r="AE353" s="1663">
        <v>0</v>
      </c>
      <c r="AF353" s="1663">
        <v>0</v>
      </c>
      <c r="AG353" s="1663">
        <v>0</v>
      </c>
      <c r="AH353" s="1663"/>
      <c r="AI353" s="1663"/>
      <c r="AJ353" s="1663"/>
      <c r="AK353" s="1663">
        <v>1</v>
      </c>
      <c r="AL353" s="1671">
        <v>17523430</v>
      </c>
    </row>
    <row r="354" spans="2:38">
      <c r="B354" s="1666">
        <v>13</v>
      </c>
      <c r="C354" s="1663">
        <v>1</v>
      </c>
      <c r="D354" s="1663">
        <v>4</v>
      </c>
      <c r="E354" s="1663" t="s">
        <v>11908</v>
      </c>
      <c r="F354" s="1663" t="s">
        <v>11703</v>
      </c>
      <c r="G354" s="1663" t="s">
        <v>12292</v>
      </c>
      <c r="H354" s="1663" t="s">
        <v>12253</v>
      </c>
      <c r="I354" s="1663" t="s">
        <v>11910</v>
      </c>
      <c r="J354" s="1663" t="s">
        <v>12253</v>
      </c>
      <c r="K354" s="1663" t="s">
        <v>11914</v>
      </c>
      <c r="L354" s="1663" t="s">
        <v>12247</v>
      </c>
      <c r="M354" s="1663" t="s">
        <v>12046</v>
      </c>
      <c r="N354" s="1663"/>
      <c r="O354" s="1663" t="s">
        <v>12049</v>
      </c>
      <c r="P354" s="1663" t="s">
        <v>12048</v>
      </c>
      <c r="Q354" s="1663"/>
      <c r="R354" s="1663"/>
      <c r="S354" s="1663"/>
      <c r="T354" s="1663"/>
      <c r="U354" s="1663"/>
      <c r="V354" s="1663"/>
      <c r="W354" s="1663"/>
      <c r="X354" s="1663"/>
      <c r="Y354" s="1663"/>
      <c r="Z354" s="1663"/>
      <c r="AA354" s="1663">
        <v>0</v>
      </c>
      <c r="AB354" s="1663">
        <v>0</v>
      </c>
      <c r="AC354" s="1663">
        <v>0</v>
      </c>
      <c r="AD354" s="1663">
        <v>0</v>
      </c>
      <c r="AE354" s="1663">
        <v>0</v>
      </c>
      <c r="AF354" s="1663">
        <v>0</v>
      </c>
      <c r="AG354" s="1663">
        <v>0</v>
      </c>
      <c r="AH354" s="1663"/>
      <c r="AI354" s="1663"/>
      <c r="AJ354" s="1663"/>
      <c r="AK354" s="1663">
        <v>1</v>
      </c>
      <c r="AL354" s="1671">
        <v>17523430</v>
      </c>
    </row>
    <row r="355" spans="2:38">
      <c r="B355" s="1666">
        <v>13</v>
      </c>
      <c r="C355" s="1663">
        <v>1</v>
      </c>
      <c r="D355" s="1663">
        <v>5</v>
      </c>
      <c r="E355" s="1663" t="s">
        <v>11908</v>
      </c>
      <c r="F355" s="1663" t="s">
        <v>11703</v>
      </c>
      <c r="G355" s="1663" t="s">
        <v>12292</v>
      </c>
      <c r="H355" s="1663" t="s">
        <v>12255</v>
      </c>
      <c r="I355" s="1663" t="s">
        <v>12256</v>
      </c>
      <c r="J355" s="1663" t="s">
        <v>12255</v>
      </c>
      <c r="K355" s="1663" t="s">
        <v>12257</v>
      </c>
      <c r="L355" s="1663" t="s">
        <v>12247</v>
      </c>
      <c r="M355" s="1663" t="s">
        <v>12068</v>
      </c>
      <c r="N355" s="1663" t="s">
        <v>12258</v>
      </c>
      <c r="O355" s="1663" t="s">
        <v>12049</v>
      </c>
      <c r="P355" s="1663" t="s">
        <v>12258</v>
      </c>
      <c r="Q355" s="1663"/>
      <c r="R355" s="1663"/>
      <c r="S355" s="1663"/>
      <c r="T355" s="1663"/>
      <c r="U355" s="1663"/>
      <c r="V355" s="1663"/>
      <c r="W355" s="1663"/>
      <c r="X355" s="1663"/>
      <c r="Y355" s="1663"/>
      <c r="Z355" s="1663"/>
      <c r="AA355" s="1663">
        <v>0</v>
      </c>
      <c r="AB355" s="1663">
        <v>0</v>
      </c>
      <c r="AC355" s="1663">
        <v>0</v>
      </c>
      <c r="AD355" s="1663">
        <v>0</v>
      </c>
      <c r="AE355" s="1663">
        <v>0</v>
      </c>
      <c r="AF355" s="1663">
        <v>0</v>
      </c>
      <c r="AG355" s="1663">
        <v>0</v>
      </c>
      <c r="AH355" s="1663"/>
      <c r="AI355" s="1663"/>
      <c r="AJ355" s="1663"/>
      <c r="AK355" s="1663">
        <v>1</v>
      </c>
      <c r="AL355" s="1671">
        <v>17523430</v>
      </c>
    </row>
    <row r="356" spans="2:38">
      <c r="B356" s="1666">
        <v>13</v>
      </c>
      <c r="C356" s="1663">
        <v>1</v>
      </c>
      <c r="D356" s="1663">
        <v>6</v>
      </c>
      <c r="E356" s="1663" t="s">
        <v>11908</v>
      </c>
      <c r="F356" s="1663" t="s">
        <v>11703</v>
      </c>
      <c r="G356" s="1663" t="s">
        <v>12292</v>
      </c>
      <c r="H356" s="1663" t="s">
        <v>12261</v>
      </c>
      <c r="I356" s="1663" t="s">
        <v>12256</v>
      </c>
      <c r="J356" s="1663" t="s">
        <v>12261</v>
      </c>
      <c r="K356" s="1663" t="s">
        <v>12257</v>
      </c>
      <c r="L356" s="1663" t="s">
        <v>12247</v>
      </c>
      <c r="M356" s="1663" t="s">
        <v>12068</v>
      </c>
      <c r="N356" s="1663" t="s">
        <v>12262</v>
      </c>
      <c r="O356" s="1663" t="s">
        <v>12049</v>
      </c>
      <c r="P356" s="1663" t="s">
        <v>12263</v>
      </c>
      <c r="Q356" s="1663"/>
      <c r="R356" s="1663"/>
      <c r="S356" s="1663"/>
      <c r="T356" s="1663"/>
      <c r="U356" s="1663"/>
      <c r="V356" s="1663"/>
      <c r="W356" s="1663"/>
      <c r="X356" s="1663"/>
      <c r="Y356" s="1663"/>
      <c r="Z356" s="1663"/>
      <c r="AA356" s="1663">
        <v>0</v>
      </c>
      <c r="AB356" s="1663">
        <v>0</v>
      </c>
      <c r="AC356" s="1663">
        <v>0</v>
      </c>
      <c r="AD356" s="1663">
        <v>0</v>
      </c>
      <c r="AE356" s="1663">
        <v>0</v>
      </c>
      <c r="AF356" s="1663">
        <v>0</v>
      </c>
      <c r="AG356" s="1663">
        <v>0</v>
      </c>
      <c r="AH356" s="1663"/>
      <c r="AI356" s="1663"/>
      <c r="AJ356" s="1663"/>
      <c r="AK356" s="1663">
        <v>1</v>
      </c>
      <c r="AL356" s="1671">
        <v>17523430</v>
      </c>
    </row>
    <row r="357" spans="2:38">
      <c r="B357" s="1666">
        <v>13</v>
      </c>
      <c r="C357" s="1663">
        <v>1</v>
      </c>
      <c r="D357" s="1663">
        <v>7</v>
      </c>
      <c r="E357" s="1663" t="s">
        <v>11908</v>
      </c>
      <c r="F357" s="1663" t="s">
        <v>11703</v>
      </c>
      <c r="G357" s="1663" t="s">
        <v>12292</v>
      </c>
      <c r="H357" s="1663" t="s">
        <v>12265</v>
      </c>
      <c r="I357" s="1663" t="s">
        <v>11953</v>
      </c>
      <c r="J357" s="1663" t="s">
        <v>12265</v>
      </c>
      <c r="K357" s="1663" t="s">
        <v>11956</v>
      </c>
      <c r="L357" s="1663" t="s">
        <v>12247</v>
      </c>
      <c r="M357" s="1663" t="s">
        <v>12062</v>
      </c>
      <c r="N357" s="1663"/>
      <c r="O357" s="1663" t="s">
        <v>12049</v>
      </c>
      <c r="P357" s="1663" t="s">
        <v>12266</v>
      </c>
      <c r="Q357" s="1663"/>
      <c r="R357" s="1663"/>
      <c r="S357" s="1663"/>
      <c r="T357" s="1663"/>
      <c r="U357" s="1663"/>
      <c r="V357" s="1663"/>
      <c r="W357" s="1663"/>
      <c r="X357" s="1663"/>
      <c r="Y357" s="1663"/>
      <c r="Z357" s="1663"/>
      <c r="AA357" s="1663">
        <v>0</v>
      </c>
      <c r="AB357" s="1663">
        <v>0</v>
      </c>
      <c r="AC357" s="1663">
        <v>0</v>
      </c>
      <c r="AD357" s="1663">
        <v>0</v>
      </c>
      <c r="AE357" s="1663">
        <v>0</v>
      </c>
      <c r="AF357" s="1663">
        <v>0</v>
      </c>
      <c r="AG357" s="1663">
        <v>0</v>
      </c>
      <c r="AH357" s="1663"/>
      <c r="AI357" s="1663"/>
      <c r="AJ357" s="1663"/>
      <c r="AK357" s="1663">
        <v>1</v>
      </c>
      <c r="AL357" s="1671">
        <v>17523430</v>
      </c>
    </row>
    <row r="358" spans="2:38">
      <c r="B358" s="1666">
        <v>13</v>
      </c>
      <c r="C358" s="1663">
        <v>1</v>
      </c>
      <c r="D358" s="1663">
        <v>8</v>
      </c>
      <c r="E358" s="1663" t="s">
        <v>11908</v>
      </c>
      <c r="F358" s="1663" t="s">
        <v>11703</v>
      </c>
      <c r="G358" s="1663" t="s">
        <v>12292</v>
      </c>
      <c r="H358" s="1663" t="s">
        <v>12267</v>
      </c>
      <c r="I358" s="1663" t="s">
        <v>11953</v>
      </c>
      <c r="J358" s="1663" t="s">
        <v>12267</v>
      </c>
      <c r="K358" s="1663" t="s">
        <v>11956</v>
      </c>
      <c r="L358" s="1663" t="s">
        <v>12247</v>
      </c>
      <c r="M358" s="1663" t="s">
        <v>12062</v>
      </c>
      <c r="N358" s="1663" t="s">
        <v>12268</v>
      </c>
      <c r="O358" s="1663" t="s">
        <v>12049</v>
      </c>
      <c r="P358" s="1663" t="s">
        <v>12269</v>
      </c>
      <c r="Q358" s="1663"/>
      <c r="R358" s="1663"/>
      <c r="S358" s="1663"/>
      <c r="T358" s="1663"/>
      <c r="U358" s="1663"/>
      <c r="V358" s="1663"/>
      <c r="W358" s="1663"/>
      <c r="X358" s="1663"/>
      <c r="Y358" s="1663"/>
      <c r="Z358" s="1663"/>
      <c r="AA358" s="1663">
        <v>0</v>
      </c>
      <c r="AB358" s="1663">
        <v>0</v>
      </c>
      <c r="AC358" s="1663">
        <v>0</v>
      </c>
      <c r="AD358" s="1663">
        <v>0</v>
      </c>
      <c r="AE358" s="1663">
        <v>0</v>
      </c>
      <c r="AF358" s="1663">
        <v>0</v>
      </c>
      <c r="AG358" s="1663">
        <v>0</v>
      </c>
      <c r="AH358" s="1663"/>
      <c r="AI358" s="1663"/>
      <c r="AJ358" s="1663"/>
      <c r="AK358" s="1663">
        <v>1</v>
      </c>
      <c r="AL358" s="1671">
        <v>17523430</v>
      </c>
    </row>
    <row r="359" spans="2:38">
      <c r="B359" s="1666">
        <v>13</v>
      </c>
      <c r="C359" s="1663">
        <v>1</v>
      </c>
      <c r="D359" s="1663">
        <v>9</v>
      </c>
      <c r="E359" s="1663" t="s">
        <v>11908</v>
      </c>
      <c r="F359" s="1663" t="s">
        <v>11703</v>
      </c>
      <c r="G359" s="1663" t="s">
        <v>12292</v>
      </c>
      <c r="H359" s="1663" t="s">
        <v>12271</v>
      </c>
      <c r="I359" s="1663" t="s">
        <v>446</v>
      </c>
      <c r="J359" s="1663" t="s">
        <v>12271</v>
      </c>
      <c r="K359" s="1663" t="s">
        <v>11971</v>
      </c>
      <c r="L359" s="1663" t="s">
        <v>12247</v>
      </c>
      <c r="M359" s="1663" t="s">
        <v>12062</v>
      </c>
      <c r="N359" s="1663" t="s">
        <v>12271</v>
      </c>
      <c r="O359" s="1663" t="s">
        <v>12049</v>
      </c>
      <c r="P359" s="1663" t="s">
        <v>12274</v>
      </c>
      <c r="Q359" s="1663"/>
      <c r="R359" s="1663"/>
      <c r="S359" s="1663"/>
      <c r="T359" s="1663"/>
      <c r="U359" s="1663"/>
      <c r="V359" s="1663"/>
      <c r="W359" s="1663"/>
      <c r="X359" s="1663"/>
      <c r="Y359" s="1663"/>
      <c r="Z359" s="1663"/>
      <c r="AA359" s="1663">
        <v>0</v>
      </c>
      <c r="AB359" s="1663">
        <v>0</v>
      </c>
      <c r="AC359" s="1663">
        <v>0</v>
      </c>
      <c r="AD359" s="1663">
        <v>0</v>
      </c>
      <c r="AE359" s="1663">
        <v>0</v>
      </c>
      <c r="AF359" s="1663">
        <v>0</v>
      </c>
      <c r="AG359" s="1663">
        <v>0</v>
      </c>
      <c r="AH359" s="1663"/>
      <c r="AI359" s="1663"/>
      <c r="AJ359" s="1663"/>
      <c r="AK359" s="1663">
        <v>1</v>
      </c>
      <c r="AL359" s="1671">
        <v>17523430</v>
      </c>
    </row>
    <row r="360" spans="2:38">
      <c r="B360" s="1666">
        <v>13</v>
      </c>
      <c r="C360" s="1663">
        <v>1</v>
      </c>
      <c r="D360" s="1663">
        <v>10</v>
      </c>
      <c r="E360" s="1663" t="s">
        <v>11908</v>
      </c>
      <c r="F360" s="1663" t="s">
        <v>11703</v>
      </c>
      <c r="G360" s="1663" t="s">
        <v>12292</v>
      </c>
      <c r="H360" s="1663" t="s">
        <v>11978</v>
      </c>
      <c r="I360" s="1663" t="s">
        <v>492</v>
      </c>
      <c r="J360" s="1663" t="s">
        <v>11978</v>
      </c>
      <c r="K360" s="1663" t="s">
        <v>11978</v>
      </c>
      <c r="L360" s="1663" t="s">
        <v>12247</v>
      </c>
      <c r="M360" s="1663" t="s">
        <v>12046</v>
      </c>
      <c r="N360" s="1663" t="s">
        <v>12276</v>
      </c>
      <c r="O360" s="1663" t="s">
        <v>12049</v>
      </c>
      <c r="P360" s="1663" t="s">
        <v>12277</v>
      </c>
      <c r="Q360" s="1663"/>
      <c r="R360" s="1663"/>
      <c r="S360" s="1663"/>
      <c r="T360" s="1663"/>
      <c r="U360" s="1663"/>
      <c r="V360" s="1663"/>
      <c r="W360" s="1663"/>
      <c r="X360" s="1663"/>
      <c r="Y360" s="1663"/>
      <c r="Z360" s="1663"/>
      <c r="AA360" s="1663">
        <v>0</v>
      </c>
      <c r="AB360" s="1663">
        <v>0</v>
      </c>
      <c r="AC360" s="1663">
        <v>0</v>
      </c>
      <c r="AD360" s="1663">
        <v>0</v>
      </c>
      <c r="AE360" s="1663">
        <v>0</v>
      </c>
      <c r="AF360" s="1663">
        <v>0</v>
      </c>
      <c r="AG360" s="1663">
        <v>0</v>
      </c>
      <c r="AH360" s="1663"/>
      <c r="AI360" s="1663"/>
      <c r="AJ360" s="1663"/>
      <c r="AK360" s="1663">
        <v>1</v>
      </c>
      <c r="AL360" s="1671">
        <v>17523430</v>
      </c>
    </row>
    <row r="361" spans="2:38">
      <c r="B361" s="1666">
        <v>13</v>
      </c>
      <c r="C361" s="1663">
        <v>1</v>
      </c>
      <c r="D361" s="1663">
        <v>11</v>
      </c>
      <c r="E361" s="1663" t="s">
        <v>11908</v>
      </c>
      <c r="F361" s="1663" t="s">
        <v>11703</v>
      </c>
      <c r="G361" s="1663" t="s">
        <v>12292</v>
      </c>
      <c r="H361" s="1663" t="s">
        <v>12279</v>
      </c>
      <c r="I361" s="1663" t="s">
        <v>11991</v>
      </c>
      <c r="J361" s="1663" t="s">
        <v>12279</v>
      </c>
      <c r="K361" s="1663" t="s">
        <v>11994</v>
      </c>
      <c r="L361" s="1663" t="s">
        <v>12247</v>
      </c>
      <c r="M361" s="1663" t="s">
        <v>12068</v>
      </c>
      <c r="N361" s="1663" t="s">
        <v>12280</v>
      </c>
      <c r="O361" s="1663" t="s">
        <v>12049</v>
      </c>
      <c r="P361" s="1663" t="s">
        <v>12281</v>
      </c>
      <c r="Q361" s="1663"/>
      <c r="R361" s="1663"/>
      <c r="S361" s="1663"/>
      <c r="T361" s="1663"/>
      <c r="U361" s="1663"/>
      <c r="V361" s="1663"/>
      <c r="W361" s="1663"/>
      <c r="X361" s="1663"/>
      <c r="Y361" s="1663"/>
      <c r="Z361" s="1663"/>
      <c r="AA361" s="1663">
        <v>0</v>
      </c>
      <c r="AB361" s="1663">
        <v>0</v>
      </c>
      <c r="AC361" s="1663">
        <v>0</v>
      </c>
      <c r="AD361" s="1663">
        <v>0</v>
      </c>
      <c r="AE361" s="1663">
        <v>0</v>
      </c>
      <c r="AF361" s="1663">
        <v>0</v>
      </c>
      <c r="AG361" s="1663">
        <v>0</v>
      </c>
      <c r="AH361" s="1663"/>
      <c r="AI361" s="1663"/>
      <c r="AJ361" s="1663"/>
      <c r="AK361" s="1663">
        <v>1</v>
      </c>
      <c r="AL361" s="1671">
        <v>17523430</v>
      </c>
    </row>
    <row r="362" spans="2:38">
      <c r="B362" s="1666">
        <v>13</v>
      </c>
      <c r="C362" s="1663">
        <v>1</v>
      </c>
      <c r="D362" s="1663">
        <v>12</v>
      </c>
      <c r="E362" s="1663" t="s">
        <v>11908</v>
      </c>
      <c r="F362" s="1663" t="s">
        <v>11703</v>
      </c>
      <c r="G362" s="1663" t="s">
        <v>12292</v>
      </c>
      <c r="H362" s="1663" t="s">
        <v>12282</v>
      </c>
      <c r="I362" s="1663" t="s">
        <v>11991</v>
      </c>
      <c r="J362" s="1663" t="s">
        <v>12282</v>
      </c>
      <c r="K362" s="1663" t="s">
        <v>11994</v>
      </c>
      <c r="L362" s="1663" t="s">
        <v>12247</v>
      </c>
      <c r="M362" s="1663" t="s">
        <v>12068</v>
      </c>
      <c r="N362" s="1663" t="s">
        <v>12283</v>
      </c>
      <c r="O362" s="1663" t="s">
        <v>12049</v>
      </c>
      <c r="P362" s="1663" t="s">
        <v>12281</v>
      </c>
      <c r="Q362" s="1663"/>
      <c r="R362" s="1663"/>
      <c r="S362" s="1663"/>
      <c r="T362" s="1663"/>
      <c r="U362" s="1663"/>
      <c r="V362" s="1663"/>
      <c r="W362" s="1663"/>
      <c r="X362" s="1663"/>
      <c r="Y362" s="1663"/>
      <c r="Z362" s="1663"/>
      <c r="AA362" s="1663">
        <v>0</v>
      </c>
      <c r="AB362" s="1663">
        <v>0</v>
      </c>
      <c r="AC362" s="1663">
        <v>0</v>
      </c>
      <c r="AD362" s="1663">
        <v>0</v>
      </c>
      <c r="AE362" s="1663">
        <v>0</v>
      </c>
      <c r="AF362" s="1663">
        <v>0</v>
      </c>
      <c r="AG362" s="1663">
        <v>0</v>
      </c>
      <c r="AH362" s="1663"/>
      <c r="AI362" s="1663"/>
      <c r="AJ362" s="1663"/>
      <c r="AK362" s="1663">
        <v>1</v>
      </c>
      <c r="AL362" s="1671">
        <v>17523430</v>
      </c>
    </row>
    <row r="363" spans="2:38">
      <c r="B363" s="1666">
        <v>13</v>
      </c>
      <c r="C363" s="1663">
        <v>1</v>
      </c>
      <c r="D363" s="1663">
        <v>13</v>
      </c>
      <c r="E363" s="1663" t="s">
        <v>11908</v>
      </c>
      <c r="F363" s="1663" t="s">
        <v>11703</v>
      </c>
      <c r="G363" s="1663" t="s">
        <v>12292</v>
      </c>
      <c r="H363" s="1663" t="s">
        <v>12284</v>
      </c>
      <c r="I363" s="1663" t="s">
        <v>12014</v>
      </c>
      <c r="J363" s="1663" t="s">
        <v>12284</v>
      </c>
      <c r="K363" s="1663" t="s">
        <v>12017</v>
      </c>
      <c r="L363" s="1663" t="s">
        <v>12247</v>
      </c>
      <c r="M363" s="1663" t="s">
        <v>12062</v>
      </c>
      <c r="N363" s="1663"/>
      <c r="O363" s="1663" t="s">
        <v>12049</v>
      </c>
      <c r="P363" s="1663" t="s">
        <v>12072</v>
      </c>
      <c r="Q363" s="1663"/>
      <c r="R363" s="1663"/>
      <c r="S363" s="1663"/>
      <c r="T363" s="1663"/>
      <c r="U363" s="1663"/>
      <c r="V363" s="1663"/>
      <c r="W363" s="1663"/>
      <c r="X363" s="1663"/>
      <c r="Y363" s="1663"/>
      <c r="Z363" s="1663"/>
      <c r="AA363" s="1663">
        <v>0</v>
      </c>
      <c r="AB363" s="1663">
        <v>0</v>
      </c>
      <c r="AC363" s="1663">
        <v>0</v>
      </c>
      <c r="AD363" s="1663">
        <v>0</v>
      </c>
      <c r="AE363" s="1663">
        <v>0</v>
      </c>
      <c r="AF363" s="1663">
        <v>0</v>
      </c>
      <c r="AG363" s="1663">
        <v>0</v>
      </c>
      <c r="AH363" s="1663"/>
      <c r="AI363" s="1663"/>
      <c r="AJ363" s="1663"/>
      <c r="AK363" s="1663">
        <v>1</v>
      </c>
      <c r="AL363" s="1671">
        <v>17523430</v>
      </c>
    </row>
    <row r="364" spans="2:38">
      <c r="B364" s="1666">
        <v>13</v>
      </c>
      <c r="C364" s="1663">
        <v>1</v>
      </c>
      <c r="D364" s="1663">
        <v>14</v>
      </c>
      <c r="E364" s="1663" t="s">
        <v>11908</v>
      </c>
      <c r="F364" s="1663" t="s">
        <v>11703</v>
      </c>
      <c r="G364" s="1663" t="s">
        <v>12292</v>
      </c>
      <c r="H364" s="1663" t="s">
        <v>12285</v>
      </c>
      <c r="I364" s="1663" t="s">
        <v>12014</v>
      </c>
      <c r="J364" s="1663" t="s">
        <v>12285</v>
      </c>
      <c r="K364" s="1663" t="s">
        <v>12017</v>
      </c>
      <c r="L364" s="1663" t="s">
        <v>12247</v>
      </c>
      <c r="M364" s="1663" t="s">
        <v>12062</v>
      </c>
      <c r="N364" s="1663" t="s">
        <v>12286</v>
      </c>
      <c r="O364" s="1663" t="s">
        <v>12049</v>
      </c>
      <c r="P364" s="1663" t="s">
        <v>12072</v>
      </c>
      <c r="Q364" s="1663"/>
      <c r="R364" s="1663"/>
      <c r="S364" s="1663"/>
      <c r="T364" s="1663"/>
      <c r="U364" s="1663"/>
      <c r="V364" s="1663"/>
      <c r="W364" s="1663"/>
      <c r="X364" s="1663"/>
      <c r="Y364" s="1663"/>
      <c r="Z364" s="1663"/>
      <c r="AA364" s="1663">
        <v>0</v>
      </c>
      <c r="AB364" s="1663">
        <v>0</v>
      </c>
      <c r="AC364" s="1663">
        <v>0</v>
      </c>
      <c r="AD364" s="1663">
        <v>0</v>
      </c>
      <c r="AE364" s="1663">
        <v>0</v>
      </c>
      <c r="AF364" s="1663">
        <v>0</v>
      </c>
      <c r="AG364" s="1663">
        <v>0</v>
      </c>
      <c r="AH364" s="1663"/>
      <c r="AI364" s="1663"/>
      <c r="AJ364" s="1663"/>
      <c r="AK364" s="1663">
        <v>1</v>
      </c>
      <c r="AL364" s="1671">
        <v>17523430</v>
      </c>
    </row>
    <row r="365" spans="2:38">
      <c r="B365" s="1667">
        <v>13</v>
      </c>
      <c r="C365" s="1668">
        <v>1</v>
      </c>
      <c r="D365" s="1668">
        <v>15</v>
      </c>
      <c r="E365" s="1668" t="s">
        <v>11908</v>
      </c>
      <c r="F365" s="1668" t="s">
        <v>11703</v>
      </c>
      <c r="G365" s="1668" t="s">
        <v>12292</v>
      </c>
      <c r="H365" s="1668" t="s">
        <v>12033</v>
      </c>
      <c r="I365" s="1668" t="s">
        <v>12030</v>
      </c>
      <c r="J365" s="1668" t="s">
        <v>12033</v>
      </c>
      <c r="K365" s="1668" t="s">
        <v>12033</v>
      </c>
      <c r="L365" s="1668" t="s">
        <v>12247</v>
      </c>
      <c r="M365" s="1668" t="s">
        <v>12062</v>
      </c>
      <c r="N365" s="1668"/>
      <c r="O365" s="1668" t="s">
        <v>12049</v>
      </c>
      <c r="P365" s="1668" t="s">
        <v>12288</v>
      </c>
      <c r="Q365" s="1668"/>
      <c r="R365" s="1668"/>
      <c r="S365" s="1668"/>
      <c r="T365" s="1668"/>
      <c r="U365" s="1668"/>
      <c r="V365" s="1668"/>
      <c r="W365" s="1668"/>
      <c r="X365" s="1668"/>
      <c r="Y365" s="1668"/>
      <c r="Z365" s="1668"/>
      <c r="AA365" s="1668">
        <v>0</v>
      </c>
      <c r="AB365" s="1668">
        <v>0</v>
      </c>
      <c r="AC365" s="1668">
        <v>0</v>
      </c>
      <c r="AD365" s="1668">
        <v>0</v>
      </c>
      <c r="AE365" s="1668">
        <v>0</v>
      </c>
      <c r="AF365" s="1668">
        <v>0</v>
      </c>
      <c r="AG365" s="1668">
        <v>0</v>
      </c>
      <c r="AH365" s="1668"/>
      <c r="AI365" s="1668"/>
      <c r="AJ365" s="1668"/>
      <c r="AK365" s="1668">
        <v>1</v>
      </c>
      <c r="AL365" s="1672">
        <v>17523430</v>
      </c>
    </row>
    <row r="368" spans="2:38" ht="12.75" thickBot="1">
      <c r="B368" s="1673" t="s">
        <v>12293</v>
      </c>
    </row>
    <row r="369" spans="2:38" ht="34.5" thickBot="1">
      <c r="B369" s="1676" t="s">
        <v>11705</v>
      </c>
      <c r="C369" s="1676" t="s">
        <v>11706</v>
      </c>
      <c r="D369" s="1676" t="s">
        <v>11707</v>
      </c>
      <c r="E369" s="1676" t="s">
        <v>11708</v>
      </c>
      <c r="F369" s="1676" t="s">
        <v>477</v>
      </c>
      <c r="G369" s="1676" t="s">
        <v>11709</v>
      </c>
      <c r="H369" s="1676" t="s">
        <v>11743</v>
      </c>
      <c r="I369" s="1676" t="s">
        <v>9595</v>
      </c>
      <c r="J369" s="1676" t="s">
        <v>623</v>
      </c>
      <c r="K369" s="1676" t="s">
        <v>11717</v>
      </c>
      <c r="L369" s="1676" t="s">
        <v>11893</v>
      </c>
      <c r="M369" s="1676" t="s">
        <v>10477</v>
      </c>
      <c r="N369" s="1676" t="s">
        <v>11769</v>
      </c>
      <c r="O369" s="1676" t="s">
        <v>10717</v>
      </c>
      <c r="P369" s="1676" t="s">
        <v>11845</v>
      </c>
      <c r="Q369" s="1676" t="s">
        <v>12041</v>
      </c>
      <c r="R369" s="1676" t="s">
        <v>11846</v>
      </c>
      <c r="S369" s="1676" t="s">
        <v>11848</v>
      </c>
      <c r="T369" s="1676" t="s">
        <v>11849</v>
      </c>
      <c r="U369" s="1676"/>
      <c r="V369" s="1676"/>
      <c r="W369" s="1676"/>
      <c r="X369" s="1676"/>
      <c r="Y369" s="1676"/>
      <c r="Z369" s="1676"/>
      <c r="AA369" s="1676" t="s">
        <v>9628</v>
      </c>
      <c r="AB369" s="1676" t="s">
        <v>11719</v>
      </c>
      <c r="AC369" s="1676" t="s">
        <v>11691</v>
      </c>
      <c r="AD369" s="1676" t="s">
        <v>11692</v>
      </c>
      <c r="AE369" s="1676" t="s">
        <v>11720</v>
      </c>
      <c r="AF369" s="1676" t="s">
        <v>11693</v>
      </c>
      <c r="AG369" s="1676" t="s">
        <v>11721</v>
      </c>
      <c r="AH369" s="1676" t="s">
        <v>11694</v>
      </c>
      <c r="AI369" s="1676" t="s">
        <v>11722</v>
      </c>
      <c r="AJ369" s="1676" t="s">
        <v>10358</v>
      </c>
      <c r="AK369" s="1676" t="s">
        <v>11723</v>
      </c>
      <c r="AL369" s="1676" t="s">
        <v>11724</v>
      </c>
    </row>
    <row r="370" spans="2:38">
      <c r="B370" s="1675">
        <v>13</v>
      </c>
      <c r="C370" s="1674">
        <v>2</v>
      </c>
      <c r="D370" s="1674">
        <v>1</v>
      </c>
      <c r="E370" s="1674" t="s">
        <v>11908</v>
      </c>
      <c r="F370" s="1674" t="s">
        <v>11703</v>
      </c>
      <c r="G370" s="1674" t="s">
        <v>12247</v>
      </c>
      <c r="H370" s="1674" t="s">
        <v>12294</v>
      </c>
      <c r="I370" s="1674" t="s">
        <v>12247</v>
      </c>
      <c r="J370" s="1674" t="s">
        <v>12295</v>
      </c>
      <c r="K370" s="1674" t="s">
        <v>11855</v>
      </c>
      <c r="L370" s="1674" t="s">
        <v>12246</v>
      </c>
      <c r="M370" s="1674" t="s">
        <v>12237</v>
      </c>
      <c r="N370" s="1674" t="s">
        <v>9891</v>
      </c>
      <c r="O370" s="1674" t="s">
        <v>12049</v>
      </c>
      <c r="P370" s="1674" t="s">
        <v>11910</v>
      </c>
      <c r="Q370" s="1674" t="s">
        <v>12046</v>
      </c>
      <c r="R370" s="1674" t="s">
        <v>11914</v>
      </c>
      <c r="S370" s="1674">
        <v>15217</v>
      </c>
      <c r="T370" s="1674">
        <v>15197</v>
      </c>
      <c r="U370" s="1674"/>
      <c r="V370" s="1674"/>
      <c r="W370" s="1674"/>
      <c r="X370" s="1674"/>
      <c r="Y370" s="1674"/>
      <c r="Z370" s="1674"/>
      <c r="AA370" s="1674">
        <v>1</v>
      </c>
      <c r="AB370" s="1674">
        <v>0</v>
      </c>
      <c r="AC370" s="1674">
        <v>0</v>
      </c>
      <c r="AD370" s="1674">
        <v>5790</v>
      </c>
      <c r="AE370" s="1674">
        <v>4462</v>
      </c>
      <c r="AF370" s="1674">
        <v>1158</v>
      </c>
      <c r="AG370" s="1674">
        <v>0</v>
      </c>
      <c r="AH370" s="1674"/>
      <c r="AI370" s="1674"/>
      <c r="AJ370" s="1674"/>
      <c r="AK370" s="1674">
        <v>1</v>
      </c>
      <c r="AL370" s="1677">
        <v>17523430</v>
      </c>
    </row>
    <row r="371" spans="2:38">
      <c r="B371" s="1666">
        <v>13</v>
      </c>
      <c r="C371" s="1663">
        <v>2</v>
      </c>
      <c r="D371" s="1663">
        <v>2</v>
      </c>
      <c r="E371" s="1663" t="s">
        <v>11908</v>
      </c>
      <c r="F371" s="1663" t="s">
        <v>11703</v>
      </c>
      <c r="G371" s="1663" t="s">
        <v>12247</v>
      </c>
      <c r="H371" s="1663" t="s">
        <v>12294</v>
      </c>
      <c r="I371" s="1663" t="s">
        <v>12247</v>
      </c>
      <c r="J371" s="1663" t="s">
        <v>12295</v>
      </c>
      <c r="K371" s="1663" t="s">
        <v>11855</v>
      </c>
      <c r="L371" s="1663" t="s">
        <v>12249</v>
      </c>
      <c r="M371" s="1663" t="s">
        <v>12237</v>
      </c>
      <c r="N371" s="1663" t="s">
        <v>9891</v>
      </c>
      <c r="O371" s="1663" t="s">
        <v>12049</v>
      </c>
      <c r="P371" s="1663" t="s">
        <v>11910</v>
      </c>
      <c r="Q371" s="1663" t="s">
        <v>12046</v>
      </c>
      <c r="R371" s="1663" t="s">
        <v>11914</v>
      </c>
      <c r="S371" s="1663">
        <v>15217</v>
      </c>
      <c r="T371" s="1663">
        <v>15197</v>
      </c>
      <c r="U371" s="1663"/>
      <c r="V371" s="1663"/>
      <c r="W371" s="1663"/>
      <c r="X371" s="1663"/>
      <c r="Y371" s="1663"/>
      <c r="Z371" s="1663"/>
      <c r="AA371" s="1663">
        <v>1</v>
      </c>
      <c r="AB371" s="1663">
        <v>0</v>
      </c>
      <c r="AC371" s="1663">
        <v>0</v>
      </c>
      <c r="AD371" s="1663">
        <v>5790</v>
      </c>
      <c r="AE371" s="1663">
        <v>4462</v>
      </c>
      <c r="AF371" s="1663">
        <v>1158</v>
      </c>
      <c r="AG371" s="1663">
        <v>0</v>
      </c>
      <c r="AH371" s="1663"/>
      <c r="AI371" s="1663"/>
      <c r="AJ371" s="1663"/>
      <c r="AK371" s="1663">
        <v>1</v>
      </c>
      <c r="AL371" s="1671">
        <v>17523430</v>
      </c>
    </row>
    <row r="372" spans="2:38">
      <c r="B372" s="1666">
        <v>13</v>
      </c>
      <c r="C372" s="1663">
        <v>2</v>
      </c>
      <c r="D372" s="1663">
        <v>3</v>
      </c>
      <c r="E372" s="1663" t="s">
        <v>11908</v>
      </c>
      <c r="F372" s="1663" t="s">
        <v>11703</v>
      </c>
      <c r="G372" s="1663" t="s">
        <v>12247</v>
      </c>
      <c r="H372" s="1663" t="s">
        <v>12294</v>
      </c>
      <c r="I372" s="1663" t="s">
        <v>12247</v>
      </c>
      <c r="J372" s="1663" t="s">
        <v>12295</v>
      </c>
      <c r="K372" s="1663" t="s">
        <v>11855</v>
      </c>
      <c r="L372" s="1663" t="s">
        <v>12251</v>
      </c>
      <c r="M372" s="1663" t="s">
        <v>12237</v>
      </c>
      <c r="N372" s="1663" t="s">
        <v>9891</v>
      </c>
      <c r="O372" s="1663" t="s">
        <v>12049</v>
      </c>
      <c r="P372" s="1663" t="s">
        <v>11910</v>
      </c>
      <c r="Q372" s="1663" t="s">
        <v>12046</v>
      </c>
      <c r="R372" s="1663" t="s">
        <v>11914</v>
      </c>
      <c r="S372" s="1663">
        <v>15217</v>
      </c>
      <c r="T372" s="1663">
        <v>15197</v>
      </c>
      <c r="U372" s="1663"/>
      <c r="V372" s="1663"/>
      <c r="W372" s="1663"/>
      <c r="X372" s="1663"/>
      <c r="Y372" s="1663"/>
      <c r="Z372" s="1663"/>
      <c r="AA372" s="1663">
        <v>1</v>
      </c>
      <c r="AB372" s="1663">
        <v>0</v>
      </c>
      <c r="AC372" s="1663">
        <v>0</v>
      </c>
      <c r="AD372" s="1663">
        <v>5790</v>
      </c>
      <c r="AE372" s="1663">
        <v>4462</v>
      </c>
      <c r="AF372" s="1663">
        <v>1158</v>
      </c>
      <c r="AG372" s="1663">
        <v>0</v>
      </c>
      <c r="AH372" s="1663"/>
      <c r="AI372" s="1663"/>
      <c r="AJ372" s="1663"/>
      <c r="AK372" s="1663">
        <v>1</v>
      </c>
      <c r="AL372" s="1671">
        <v>17523430</v>
      </c>
    </row>
    <row r="373" spans="2:38">
      <c r="B373" s="1666">
        <v>13</v>
      </c>
      <c r="C373" s="1663">
        <v>2</v>
      </c>
      <c r="D373" s="1663">
        <v>4</v>
      </c>
      <c r="E373" s="1663" t="s">
        <v>11908</v>
      </c>
      <c r="F373" s="1663" t="s">
        <v>11703</v>
      </c>
      <c r="G373" s="1663" t="s">
        <v>12247</v>
      </c>
      <c r="H373" s="1663" t="s">
        <v>12294</v>
      </c>
      <c r="I373" s="1663" t="s">
        <v>12247</v>
      </c>
      <c r="J373" s="1663" t="s">
        <v>12295</v>
      </c>
      <c r="K373" s="1663" t="s">
        <v>11855</v>
      </c>
      <c r="L373" s="1663" t="s">
        <v>12253</v>
      </c>
      <c r="M373" s="1663" t="s">
        <v>12237</v>
      </c>
      <c r="N373" s="1663" t="s">
        <v>9891</v>
      </c>
      <c r="O373" s="1663" t="s">
        <v>12049</v>
      </c>
      <c r="P373" s="1663" t="s">
        <v>11910</v>
      </c>
      <c r="Q373" s="1663" t="s">
        <v>12046</v>
      </c>
      <c r="R373" s="1663" t="s">
        <v>11914</v>
      </c>
      <c r="S373" s="1663">
        <v>15217</v>
      </c>
      <c r="T373" s="1663">
        <v>15197</v>
      </c>
      <c r="U373" s="1663"/>
      <c r="V373" s="1663"/>
      <c r="W373" s="1663"/>
      <c r="X373" s="1663"/>
      <c r="Y373" s="1663"/>
      <c r="Z373" s="1663"/>
      <c r="AA373" s="1663">
        <v>1</v>
      </c>
      <c r="AB373" s="1663">
        <v>0</v>
      </c>
      <c r="AC373" s="1663">
        <v>0</v>
      </c>
      <c r="AD373" s="1663">
        <v>5790</v>
      </c>
      <c r="AE373" s="1663">
        <v>4462</v>
      </c>
      <c r="AF373" s="1663">
        <v>1158</v>
      </c>
      <c r="AG373" s="1663">
        <v>0</v>
      </c>
      <c r="AH373" s="1663"/>
      <c r="AI373" s="1663"/>
      <c r="AJ373" s="1663"/>
      <c r="AK373" s="1663">
        <v>1</v>
      </c>
      <c r="AL373" s="1671">
        <v>17523430</v>
      </c>
    </row>
    <row r="374" spans="2:38">
      <c r="B374" s="1666">
        <v>13</v>
      </c>
      <c r="C374" s="1663">
        <v>2</v>
      </c>
      <c r="D374" s="1663">
        <v>5</v>
      </c>
      <c r="E374" s="1663" t="s">
        <v>11908</v>
      </c>
      <c r="F374" s="1663" t="s">
        <v>11703</v>
      </c>
      <c r="G374" s="1663" t="s">
        <v>12247</v>
      </c>
      <c r="H374" s="1663" t="s">
        <v>12294</v>
      </c>
      <c r="I374" s="1663" t="s">
        <v>12247</v>
      </c>
      <c r="J374" s="1663" t="s">
        <v>12296</v>
      </c>
      <c r="K374" s="1663" t="s">
        <v>11855</v>
      </c>
      <c r="L374" s="1663" t="s">
        <v>12255</v>
      </c>
      <c r="M374" s="1663" t="s">
        <v>12237</v>
      </c>
      <c r="N374" s="1663" t="s">
        <v>9891</v>
      </c>
      <c r="O374" s="1663" t="s">
        <v>12049</v>
      </c>
      <c r="P374" s="1663" t="s">
        <v>12256</v>
      </c>
      <c r="Q374" s="1663" t="s">
        <v>12068</v>
      </c>
      <c r="R374" s="1663" t="s">
        <v>12257</v>
      </c>
      <c r="S374" s="1663">
        <v>14808</v>
      </c>
      <c r="T374" s="1663">
        <v>15196</v>
      </c>
      <c r="U374" s="1663"/>
      <c r="V374" s="1663"/>
      <c r="W374" s="1663"/>
      <c r="X374" s="1663"/>
      <c r="Y374" s="1663"/>
      <c r="Z374" s="1663"/>
      <c r="AA374" s="1663">
        <v>1</v>
      </c>
      <c r="AB374" s="1663">
        <v>0</v>
      </c>
      <c r="AC374" s="1663">
        <v>0</v>
      </c>
      <c r="AD374" s="1663">
        <v>2904</v>
      </c>
      <c r="AE374" s="1663">
        <v>1500</v>
      </c>
      <c r="AF374" s="1663">
        <v>638.88</v>
      </c>
      <c r="AG374" s="1663">
        <v>0</v>
      </c>
      <c r="AH374" s="1663"/>
      <c r="AI374" s="1663"/>
      <c r="AJ374" s="1663"/>
      <c r="AK374" s="1663">
        <v>1</v>
      </c>
      <c r="AL374" s="1671">
        <v>17523430</v>
      </c>
    </row>
    <row r="375" spans="2:38">
      <c r="B375" s="1666">
        <v>13</v>
      </c>
      <c r="C375" s="1663">
        <v>2</v>
      </c>
      <c r="D375" s="1663">
        <v>6</v>
      </c>
      <c r="E375" s="1663" t="s">
        <v>11908</v>
      </c>
      <c r="F375" s="1663" t="s">
        <v>11703</v>
      </c>
      <c r="G375" s="1663" t="s">
        <v>12247</v>
      </c>
      <c r="H375" s="1663" t="s">
        <v>12294</v>
      </c>
      <c r="I375" s="1663" t="s">
        <v>12247</v>
      </c>
      <c r="J375" s="1663" t="s">
        <v>12297</v>
      </c>
      <c r="K375" s="1663" t="s">
        <v>11855</v>
      </c>
      <c r="L375" s="1663" t="s">
        <v>12261</v>
      </c>
      <c r="M375" s="1663" t="s">
        <v>12237</v>
      </c>
      <c r="N375" s="1663" t="s">
        <v>9891</v>
      </c>
      <c r="O375" s="1663" t="s">
        <v>12049</v>
      </c>
      <c r="P375" s="1663" t="s">
        <v>12256</v>
      </c>
      <c r="Q375" s="1663" t="s">
        <v>12068</v>
      </c>
      <c r="R375" s="1663" t="s">
        <v>12257</v>
      </c>
      <c r="S375" s="1663">
        <v>14806</v>
      </c>
      <c r="T375" s="1663">
        <v>15196</v>
      </c>
      <c r="U375" s="1663"/>
      <c r="V375" s="1663"/>
      <c r="W375" s="1663"/>
      <c r="X375" s="1663"/>
      <c r="Y375" s="1663"/>
      <c r="Z375" s="1663"/>
      <c r="AA375" s="1663">
        <v>1</v>
      </c>
      <c r="AB375" s="1663">
        <v>0</v>
      </c>
      <c r="AC375" s="1663">
        <v>0</v>
      </c>
      <c r="AD375" s="1663">
        <v>2092</v>
      </c>
      <c r="AE375" s="1663">
        <v>1500</v>
      </c>
      <c r="AF375" s="1663">
        <v>460.24</v>
      </c>
      <c r="AG375" s="1663">
        <v>0</v>
      </c>
      <c r="AH375" s="1663"/>
      <c r="AI375" s="1663"/>
      <c r="AJ375" s="1663"/>
      <c r="AK375" s="1663">
        <v>1</v>
      </c>
      <c r="AL375" s="1671">
        <v>17523430</v>
      </c>
    </row>
    <row r="376" spans="2:38">
      <c r="B376" s="1666">
        <v>13</v>
      </c>
      <c r="C376" s="1663">
        <v>2</v>
      </c>
      <c r="D376" s="1663">
        <v>7</v>
      </c>
      <c r="E376" s="1663" t="s">
        <v>11908</v>
      </c>
      <c r="F376" s="1663" t="s">
        <v>11703</v>
      </c>
      <c r="G376" s="1663" t="s">
        <v>12247</v>
      </c>
      <c r="H376" s="1663" t="s">
        <v>12294</v>
      </c>
      <c r="I376" s="1663" t="s">
        <v>12247</v>
      </c>
      <c r="J376" s="1663" t="s">
        <v>12298</v>
      </c>
      <c r="K376" s="1663" t="s">
        <v>11855</v>
      </c>
      <c r="L376" s="1663" t="s">
        <v>12265</v>
      </c>
      <c r="M376" s="1663" t="s">
        <v>12237</v>
      </c>
      <c r="N376" s="1663" t="s">
        <v>9891</v>
      </c>
      <c r="O376" s="1663" t="s">
        <v>12049</v>
      </c>
      <c r="P376" s="1663" t="s">
        <v>11953</v>
      </c>
      <c r="Q376" s="1663" t="s">
        <v>12062</v>
      </c>
      <c r="R376" s="1663" t="s">
        <v>11956</v>
      </c>
      <c r="S376" s="1663">
        <v>15206</v>
      </c>
      <c r="T376" s="1663">
        <v>15195</v>
      </c>
      <c r="U376" s="1663"/>
      <c r="V376" s="1663"/>
      <c r="W376" s="1663"/>
      <c r="X376" s="1663"/>
      <c r="Y376" s="1663"/>
      <c r="Z376" s="1663"/>
      <c r="AA376" s="1663">
        <v>1</v>
      </c>
      <c r="AB376" s="1663">
        <v>0</v>
      </c>
      <c r="AC376" s="1663">
        <v>0</v>
      </c>
      <c r="AD376" s="1663">
        <v>528</v>
      </c>
      <c r="AE376" s="1663">
        <v>1000</v>
      </c>
      <c r="AF376" s="1663">
        <v>168.96</v>
      </c>
      <c r="AG376" s="1663">
        <v>0</v>
      </c>
      <c r="AH376" s="1663"/>
      <c r="AI376" s="1663"/>
      <c r="AJ376" s="1663"/>
      <c r="AK376" s="1663">
        <v>1</v>
      </c>
      <c r="AL376" s="1671">
        <v>17523430</v>
      </c>
    </row>
    <row r="377" spans="2:38">
      <c r="B377" s="1666">
        <v>13</v>
      </c>
      <c r="C377" s="1663">
        <v>2</v>
      </c>
      <c r="D377" s="1663">
        <v>8</v>
      </c>
      <c r="E377" s="1663" t="s">
        <v>11908</v>
      </c>
      <c r="F377" s="1663" t="s">
        <v>11703</v>
      </c>
      <c r="G377" s="1663" t="s">
        <v>12247</v>
      </c>
      <c r="H377" s="1663" t="s">
        <v>12294</v>
      </c>
      <c r="I377" s="1663" t="s">
        <v>12247</v>
      </c>
      <c r="J377" s="1663" t="s">
        <v>12297</v>
      </c>
      <c r="K377" s="1663" t="s">
        <v>11855</v>
      </c>
      <c r="L377" s="1663" t="s">
        <v>12267</v>
      </c>
      <c r="M377" s="1663" t="s">
        <v>12237</v>
      </c>
      <c r="N377" s="1663" t="s">
        <v>9891</v>
      </c>
      <c r="O377" s="1663" t="s">
        <v>12049</v>
      </c>
      <c r="P377" s="1663" t="s">
        <v>11953</v>
      </c>
      <c r="Q377" s="1663" t="s">
        <v>12062</v>
      </c>
      <c r="R377" s="1663" t="s">
        <v>11956</v>
      </c>
      <c r="S377" s="1663">
        <v>14806</v>
      </c>
      <c r="T377" s="1663">
        <v>15196</v>
      </c>
      <c r="U377" s="1663"/>
      <c r="V377" s="1663"/>
      <c r="W377" s="1663"/>
      <c r="X377" s="1663"/>
      <c r="Y377" s="1663"/>
      <c r="Z377" s="1663"/>
      <c r="AA377" s="1663">
        <v>1</v>
      </c>
      <c r="AB377" s="1663">
        <v>0</v>
      </c>
      <c r="AC377" s="1663">
        <v>0</v>
      </c>
      <c r="AD377" s="1663">
        <v>990</v>
      </c>
      <c r="AE377" s="1663">
        <v>1500</v>
      </c>
      <c r="AF377" s="1663">
        <v>316.8</v>
      </c>
      <c r="AG377" s="1663">
        <v>0</v>
      </c>
      <c r="AH377" s="1663"/>
      <c r="AI377" s="1663"/>
      <c r="AJ377" s="1663"/>
      <c r="AK377" s="1663">
        <v>1</v>
      </c>
      <c r="AL377" s="1671">
        <v>17523430</v>
      </c>
    </row>
    <row r="378" spans="2:38">
      <c r="B378" s="1666">
        <v>13</v>
      </c>
      <c r="C378" s="1663">
        <v>2</v>
      </c>
      <c r="D378" s="1663">
        <v>9</v>
      </c>
      <c r="E378" s="1663" t="s">
        <v>11908</v>
      </c>
      <c r="F378" s="1663" t="s">
        <v>11703</v>
      </c>
      <c r="G378" s="1663" t="s">
        <v>12247</v>
      </c>
      <c r="H378" s="1663" t="s">
        <v>12294</v>
      </c>
      <c r="I378" s="1663" t="s">
        <v>12247</v>
      </c>
      <c r="J378" s="1663" t="s">
        <v>12297</v>
      </c>
      <c r="K378" s="1663" t="s">
        <v>11855</v>
      </c>
      <c r="L378" s="1663" t="s">
        <v>12271</v>
      </c>
      <c r="M378" s="1663" t="s">
        <v>12237</v>
      </c>
      <c r="N378" s="1663" t="s">
        <v>9891</v>
      </c>
      <c r="O378" s="1663" t="s">
        <v>12049</v>
      </c>
      <c r="P378" s="1663" t="s">
        <v>446</v>
      </c>
      <c r="Q378" s="1663" t="s">
        <v>12062</v>
      </c>
      <c r="R378" s="1663" t="s">
        <v>11971</v>
      </c>
      <c r="S378" s="1663">
        <v>14806</v>
      </c>
      <c r="T378" s="1663">
        <v>15196</v>
      </c>
      <c r="U378" s="1663"/>
      <c r="V378" s="1663"/>
      <c r="W378" s="1663"/>
      <c r="X378" s="1663"/>
      <c r="Y378" s="1663"/>
      <c r="Z378" s="1663"/>
      <c r="AA378" s="1663">
        <v>1</v>
      </c>
      <c r="AB378" s="1663">
        <v>0</v>
      </c>
      <c r="AC378" s="1663">
        <v>0</v>
      </c>
      <c r="AD378" s="1663">
        <v>996</v>
      </c>
      <c r="AE378" s="1663">
        <v>1500</v>
      </c>
      <c r="AF378" s="1663">
        <v>199.2</v>
      </c>
      <c r="AG378" s="1663">
        <v>0</v>
      </c>
      <c r="AH378" s="1663"/>
      <c r="AI378" s="1663"/>
      <c r="AJ378" s="1663"/>
      <c r="AK378" s="1663">
        <v>1</v>
      </c>
      <c r="AL378" s="1671">
        <v>17523430</v>
      </c>
    </row>
    <row r="379" spans="2:38">
      <c r="B379" s="1666">
        <v>13</v>
      </c>
      <c r="C379" s="1663">
        <v>2</v>
      </c>
      <c r="D379" s="1663">
        <v>10</v>
      </c>
      <c r="E379" s="1663" t="s">
        <v>11908</v>
      </c>
      <c r="F379" s="1663" t="s">
        <v>11703</v>
      </c>
      <c r="G379" s="1663" t="s">
        <v>12247</v>
      </c>
      <c r="H379" s="1663" t="s">
        <v>12294</v>
      </c>
      <c r="I379" s="1663" t="s">
        <v>12247</v>
      </c>
      <c r="J379" s="1663" t="s">
        <v>12296</v>
      </c>
      <c r="K379" s="1663" t="s">
        <v>11855</v>
      </c>
      <c r="L379" s="1663" t="s">
        <v>11978</v>
      </c>
      <c r="M379" s="1663" t="s">
        <v>12237</v>
      </c>
      <c r="N379" s="1663" t="s">
        <v>9891</v>
      </c>
      <c r="O379" s="1663" t="s">
        <v>12049</v>
      </c>
      <c r="P379" s="1663" t="s">
        <v>492</v>
      </c>
      <c r="Q379" s="1663" t="s">
        <v>12046</v>
      </c>
      <c r="R379" s="1663" t="s">
        <v>11978</v>
      </c>
      <c r="S379" s="1663">
        <v>14808</v>
      </c>
      <c r="T379" s="1663">
        <v>15196</v>
      </c>
      <c r="U379" s="1663"/>
      <c r="V379" s="1663"/>
      <c r="W379" s="1663"/>
      <c r="X379" s="1663"/>
      <c r="Y379" s="1663"/>
      <c r="Z379" s="1663"/>
      <c r="AA379" s="1663">
        <v>1</v>
      </c>
      <c r="AB379" s="1663">
        <v>0</v>
      </c>
      <c r="AC379" s="1663">
        <v>0</v>
      </c>
      <c r="AD379" s="1663">
        <v>5260</v>
      </c>
      <c r="AE379" s="1663">
        <v>3400</v>
      </c>
      <c r="AF379" s="1663">
        <v>789</v>
      </c>
      <c r="AG379" s="1663">
        <v>0</v>
      </c>
      <c r="AH379" s="1663"/>
      <c r="AI379" s="1663"/>
      <c r="AJ379" s="1663"/>
      <c r="AK379" s="1663">
        <v>1</v>
      </c>
      <c r="AL379" s="1671">
        <v>17523430</v>
      </c>
    </row>
    <row r="380" spans="2:38">
      <c r="B380" s="1666">
        <v>13</v>
      </c>
      <c r="C380" s="1663">
        <v>2</v>
      </c>
      <c r="D380" s="1663">
        <v>11</v>
      </c>
      <c r="E380" s="1663" t="s">
        <v>11908</v>
      </c>
      <c r="F380" s="1663" t="s">
        <v>11703</v>
      </c>
      <c r="G380" s="1663" t="s">
        <v>12247</v>
      </c>
      <c r="H380" s="1663" t="s">
        <v>12294</v>
      </c>
      <c r="I380" s="1663" t="s">
        <v>12247</v>
      </c>
      <c r="J380" s="1663" t="s">
        <v>12295</v>
      </c>
      <c r="K380" s="1663" t="s">
        <v>11855</v>
      </c>
      <c r="L380" s="1663" t="s">
        <v>12279</v>
      </c>
      <c r="M380" s="1663" t="s">
        <v>12237</v>
      </c>
      <c r="N380" s="1663" t="s">
        <v>9891</v>
      </c>
      <c r="O380" s="1663" t="s">
        <v>12049</v>
      </c>
      <c r="P380" s="1663" t="s">
        <v>11991</v>
      </c>
      <c r="Q380" s="1663" t="s">
        <v>12068</v>
      </c>
      <c r="R380" s="1663" t="s">
        <v>11994</v>
      </c>
      <c r="S380" s="1663">
        <v>15217</v>
      </c>
      <c r="T380" s="1663">
        <v>15197</v>
      </c>
      <c r="U380" s="1663"/>
      <c r="V380" s="1663"/>
      <c r="W380" s="1663"/>
      <c r="X380" s="1663"/>
      <c r="Y380" s="1663"/>
      <c r="Z380" s="1663"/>
      <c r="AA380" s="1663">
        <v>1</v>
      </c>
      <c r="AB380" s="1663">
        <v>0</v>
      </c>
      <c r="AC380" s="1663">
        <v>0</v>
      </c>
      <c r="AD380" s="1663">
        <v>5895</v>
      </c>
      <c r="AE380" s="1663">
        <v>1500</v>
      </c>
      <c r="AF380" s="1663">
        <v>884.25</v>
      </c>
      <c r="AG380" s="1663">
        <v>0</v>
      </c>
      <c r="AH380" s="1663"/>
      <c r="AI380" s="1663"/>
      <c r="AJ380" s="1663"/>
      <c r="AK380" s="1663">
        <v>1</v>
      </c>
      <c r="AL380" s="1671">
        <v>17523430</v>
      </c>
    </row>
    <row r="381" spans="2:38">
      <c r="B381" s="1666">
        <v>13</v>
      </c>
      <c r="C381" s="1663">
        <v>2</v>
      </c>
      <c r="D381" s="1663">
        <v>12</v>
      </c>
      <c r="E381" s="1663" t="s">
        <v>11908</v>
      </c>
      <c r="F381" s="1663" t="s">
        <v>11703</v>
      </c>
      <c r="G381" s="1663" t="s">
        <v>12247</v>
      </c>
      <c r="H381" s="1663" t="s">
        <v>12294</v>
      </c>
      <c r="I381" s="1663" t="s">
        <v>12247</v>
      </c>
      <c r="J381" s="1663" t="s">
        <v>12299</v>
      </c>
      <c r="K381" s="1663" t="s">
        <v>11855</v>
      </c>
      <c r="L381" s="1663" t="s">
        <v>12282</v>
      </c>
      <c r="M381" s="1663" t="s">
        <v>12237</v>
      </c>
      <c r="N381" s="1663" t="s">
        <v>9891</v>
      </c>
      <c r="O381" s="1663" t="s">
        <v>12049</v>
      </c>
      <c r="P381" s="1663" t="s">
        <v>11991</v>
      </c>
      <c r="Q381" s="1663" t="s">
        <v>12068</v>
      </c>
      <c r="R381" s="1663" t="s">
        <v>11994</v>
      </c>
      <c r="S381" s="1663">
        <v>15219</v>
      </c>
      <c r="T381" s="1663">
        <v>15197</v>
      </c>
      <c r="U381" s="1663"/>
      <c r="V381" s="1663"/>
      <c r="W381" s="1663"/>
      <c r="X381" s="1663"/>
      <c r="Y381" s="1663"/>
      <c r="Z381" s="1663"/>
      <c r="AA381" s="1663">
        <v>1</v>
      </c>
      <c r="AB381" s="1663">
        <v>0</v>
      </c>
      <c r="AC381" s="1663">
        <v>0</v>
      </c>
      <c r="AD381" s="1663">
        <v>7420</v>
      </c>
      <c r="AE381" s="1663">
        <v>1500</v>
      </c>
      <c r="AF381" s="1663">
        <v>1113</v>
      </c>
      <c r="AG381" s="1663">
        <v>0</v>
      </c>
      <c r="AH381" s="1663"/>
      <c r="AI381" s="1663"/>
      <c r="AJ381" s="1663"/>
      <c r="AK381" s="1663">
        <v>1</v>
      </c>
      <c r="AL381" s="1671">
        <v>17523430</v>
      </c>
    </row>
    <row r="382" spans="2:38">
      <c r="B382" s="1666">
        <v>13</v>
      </c>
      <c r="C382" s="1663">
        <v>2</v>
      </c>
      <c r="D382" s="1663">
        <v>13</v>
      </c>
      <c r="E382" s="1663" t="s">
        <v>11908</v>
      </c>
      <c r="F382" s="1663" t="s">
        <v>11703</v>
      </c>
      <c r="G382" s="1663" t="s">
        <v>12247</v>
      </c>
      <c r="H382" s="1663" t="s">
        <v>12294</v>
      </c>
      <c r="I382" s="1663" t="s">
        <v>12247</v>
      </c>
      <c r="J382" s="1663" t="s">
        <v>12297</v>
      </c>
      <c r="K382" s="1663" t="s">
        <v>11855</v>
      </c>
      <c r="L382" s="1663" t="s">
        <v>12284</v>
      </c>
      <c r="M382" s="1663" t="s">
        <v>12237</v>
      </c>
      <c r="N382" s="1663" t="s">
        <v>9891</v>
      </c>
      <c r="O382" s="1663" t="s">
        <v>12049</v>
      </c>
      <c r="P382" s="1663" t="s">
        <v>12014</v>
      </c>
      <c r="Q382" s="1663" t="s">
        <v>12062</v>
      </c>
      <c r="R382" s="1663" t="s">
        <v>12017</v>
      </c>
      <c r="S382" s="1663">
        <v>14806</v>
      </c>
      <c r="T382" s="1663">
        <v>15196</v>
      </c>
      <c r="U382" s="1663"/>
      <c r="V382" s="1663"/>
      <c r="W382" s="1663"/>
      <c r="X382" s="1663"/>
      <c r="Y382" s="1663"/>
      <c r="Z382" s="1663"/>
      <c r="AA382" s="1663">
        <v>1</v>
      </c>
      <c r="AB382" s="1663">
        <v>0</v>
      </c>
      <c r="AC382" s="1663">
        <v>0</v>
      </c>
      <c r="AD382" s="1663">
        <v>1872</v>
      </c>
      <c r="AE382" s="1663">
        <v>2294</v>
      </c>
      <c r="AF382" s="1663">
        <v>374.4</v>
      </c>
      <c r="AG382" s="1663">
        <v>0</v>
      </c>
      <c r="AH382" s="1663"/>
      <c r="AI382" s="1663"/>
      <c r="AJ382" s="1663"/>
      <c r="AK382" s="1663">
        <v>1</v>
      </c>
      <c r="AL382" s="1671">
        <v>17523430</v>
      </c>
    </row>
    <row r="383" spans="2:38">
      <c r="B383" s="1666">
        <v>13</v>
      </c>
      <c r="C383" s="1663">
        <v>2</v>
      </c>
      <c r="D383" s="1663">
        <v>14</v>
      </c>
      <c r="E383" s="1663" t="s">
        <v>11908</v>
      </c>
      <c r="F383" s="1663" t="s">
        <v>11703</v>
      </c>
      <c r="G383" s="1663" t="s">
        <v>12247</v>
      </c>
      <c r="H383" s="1663" t="s">
        <v>12294</v>
      </c>
      <c r="I383" s="1663" t="s">
        <v>12247</v>
      </c>
      <c r="J383" s="1663" t="s">
        <v>12300</v>
      </c>
      <c r="K383" s="1663" t="s">
        <v>11855</v>
      </c>
      <c r="L383" s="1663" t="s">
        <v>12285</v>
      </c>
      <c r="M383" s="1663" t="s">
        <v>12237</v>
      </c>
      <c r="N383" s="1663" t="s">
        <v>9891</v>
      </c>
      <c r="O383" s="1663" t="s">
        <v>12049</v>
      </c>
      <c r="P383" s="1663" t="s">
        <v>12014</v>
      </c>
      <c r="Q383" s="1663" t="s">
        <v>12062</v>
      </c>
      <c r="R383" s="1663" t="s">
        <v>12017</v>
      </c>
      <c r="S383" s="1663">
        <v>14805</v>
      </c>
      <c r="T383" s="1663">
        <v>15196</v>
      </c>
      <c r="U383" s="1663"/>
      <c r="V383" s="1663"/>
      <c r="W383" s="1663"/>
      <c r="X383" s="1663"/>
      <c r="Y383" s="1663"/>
      <c r="Z383" s="1663"/>
      <c r="AA383" s="1663">
        <v>1</v>
      </c>
      <c r="AB383" s="1663">
        <v>0</v>
      </c>
      <c r="AC383" s="1663">
        <v>0</v>
      </c>
      <c r="AD383" s="1663">
        <v>1566</v>
      </c>
      <c r="AE383" s="1663">
        <v>2294</v>
      </c>
      <c r="AF383" s="1663">
        <v>313.2</v>
      </c>
      <c r="AG383" s="1663">
        <v>0</v>
      </c>
      <c r="AH383" s="1663"/>
      <c r="AI383" s="1663"/>
      <c r="AJ383" s="1663"/>
      <c r="AK383" s="1663">
        <v>1</v>
      </c>
      <c r="AL383" s="1671">
        <v>17523430</v>
      </c>
    </row>
    <row r="384" spans="2:38">
      <c r="B384" s="1667">
        <v>13</v>
      </c>
      <c r="C384" s="1668">
        <v>2</v>
      </c>
      <c r="D384" s="1668">
        <v>15</v>
      </c>
      <c r="E384" s="1668" t="s">
        <v>11908</v>
      </c>
      <c r="F384" s="1668" t="s">
        <v>11703</v>
      </c>
      <c r="G384" s="1668" t="s">
        <v>12247</v>
      </c>
      <c r="H384" s="1668" t="s">
        <v>12294</v>
      </c>
      <c r="I384" s="1668" t="s">
        <v>12247</v>
      </c>
      <c r="J384" s="1668" t="s">
        <v>12300</v>
      </c>
      <c r="K384" s="1668" t="s">
        <v>11855</v>
      </c>
      <c r="L384" s="1668" t="s">
        <v>12033</v>
      </c>
      <c r="M384" s="1668" t="s">
        <v>12237</v>
      </c>
      <c r="N384" s="1668" t="s">
        <v>9891</v>
      </c>
      <c r="O384" s="1668" t="s">
        <v>12301</v>
      </c>
      <c r="P384" s="1668" t="s">
        <v>12030</v>
      </c>
      <c r="Q384" s="1668" t="s">
        <v>12062</v>
      </c>
      <c r="R384" s="1668" t="s">
        <v>12033</v>
      </c>
      <c r="S384" s="1668">
        <v>14805</v>
      </c>
      <c r="T384" s="1668">
        <v>15196</v>
      </c>
      <c r="U384" s="1668"/>
      <c r="V384" s="1668"/>
      <c r="W384" s="1668"/>
      <c r="X384" s="1668"/>
      <c r="Y384" s="1668"/>
      <c r="Z384" s="1668"/>
      <c r="AA384" s="1668">
        <v>1</v>
      </c>
      <c r="AB384" s="1668">
        <v>0</v>
      </c>
      <c r="AC384" s="1668">
        <v>0</v>
      </c>
      <c r="AD384" s="1668">
        <v>582</v>
      </c>
      <c r="AE384" s="1668">
        <v>1294</v>
      </c>
      <c r="AF384" s="1668">
        <v>128.04</v>
      </c>
      <c r="AG384" s="1668">
        <v>0</v>
      </c>
      <c r="AH384" s="1668"/>
      <c r="AI384" s="1668"/>
      <c r="AJ384" s="1668"/>
      <c r="AK384" s="1668">
        <v>1</v>
      </c>
      <c r="AL384" s="1672">
        <v>17523430</v>
      </c>
    </row>
    <row r="387" spans="2:38" ht="12.75" thickBot="1">
      <c r="B387" s="1673" t="s">
        <v>12302</v>
      </c>
    </row>
    <row r="388" spans="2:38" ht="34.5" thickBot="1">
      <c r="B388" s="1676" t="s">
        <v>11705</v>
      </c>
      <c r="C388" s="1676" t="s">
        <v>11706</v>
      </c>
      <c r="D388" s="1676" t="s">
        <v>11707</v>
      </c>
      <c r="E388" s="1676" t="s">
        <v>11708</v>
      </c>
      <c r="F388" s="1676" t="s">
        <v>477</v>
      </c>
      <c r="G388" s="1676" t="s">
        <v>11709</v>
      </c>
      <c r="H388" s="1676" t="s">
        <v>11743</v>
      </c>
      <c r="I388" s="1676" t="s">
        <v>9595</v>
      </c>
      <c r="J388" s="1676" t="s">
        <v>623</v>
      </c>
      <c r="K388" s="1676" t="s">
        <v>11717</v>
      </c>
      <c r="L388" s="1676" t="s">
        <v>11893</v>
      </c>
      <c r="M388" s="1676" t="s">
        <v>10477</v>
      </c>
      <c r="N388" s="1676" t="s">
        <v>11769</v>
      </c>
      <c r="O388" s="1676" t="s">
        <v>10717</v>
      </c>
      <c r="P388" s="1676" t="s">
        <v>11845</v>
      </c>
      <c r="Q388" s="1676" t="s">
        <v>12303</v>
      </c>
      <c r="R388" s="1676" t="s">
        <v>11846</v>
      </c>
      <c r="S388" s="1676" t="s">
        <v>12041</v>
      </c>
      <c r="T388" s="1676" t="s">
        <v>11848</v>
      </c>
      <c r="U388" s="1676" t="s">
        <v>11849</v>
      </c>
      <c r="V388" s="1676"/>
      <c r="W388" s="1676"/>
      <c r="X388" s="1676"/>
      <c r="Y388" s="1676"/>
      <c r="Z388" s="1676"/>
      <c r="AA388" s="1676" t="s">
        <v>9628</v>
      </c>
      <c r="AB388" s="1676" t="s">
        <v>11719</v>
      </c>
      <c r="AC388" s="1676" t="s">
        <v>11691</v>
      </c>
      <c r="AD388" s="1676" t="s">
        <v>11692</v>
      </c>
      <c r="AE388" s="1676" t="s">
        <v>11720</v>
      </c>
      <c r="AF388" s="1676" t="s">
        <v>11693</v>
      </c>
      <c r="AG388" s="1676" t="s">
        <v>11721</v>
      </c>
      <c r="AH388" s="1676" t="s">
        <v>11694</v>
      </c>
      <c r="AI388" s="1676" t="s">
        <v>11722</v>
      </c>
      <c r="AJ388" s="1676" t="s">
        <v>10358</v>
      </c>
      <c r="AK388" s="1676" t="s">
        <v>11723</v>
      </c>
      <c r="AL388" s="1676" t="s">
        <v>11724</v>
      </c>
    </row>
    <row r="389" spans="2:38">
      <c r="B389" s="1678" t="s">
        <v>11725</v>
      </c>
      <c r="C389" s="1679"/>
      <c r="D389" s="1679"/>
      <c r="E389" s="1679"/>
      <c r="F389" s="1679"/>
      <c r="G389" s="1679"/>
      <c r="H389" s="1679"/>
      <c r="I389" s="1679"/>
      <c r="J389" s="1679"/>
      <c r="K389" s="1679"/>
      <c r="L389" s="1679"/>
      <c r="M389" s="1679"/>
      <c r="N389" s="1679"/>
      <c r="O389" s="1679"/>
      <c r="P389" s="1679"/>
      <c r="Q389" s="1679"/>
      <c r="R389" s="1679"/>
      <c r="S389" s="1679"/>
      <c r="T389" s="1679"/>
      <c r="U389" s="1679"/>
      <c r="V389" s="1679"/>
      <c r="W389" s="1679"/>
      <c r="X389" s="1679"/>
      <c r="Y389" s="1679"/>
      <c r="Z389" s="1679"/>
      <c r="AA389" s="1679"/>
      <c r="AB389" s="1679"/>
      <c r="AC389" s="1679"/>
      <c r="AD389" s="1679"/>
      <c r="AE389" s="1679"/>
      <c r="AF389" s="1679"/>
      <c r="AG389" s="1679"/>
      <c r="AH389" s="1679"/>
      <c r="AI389" s="1679"/>
      <c r="AJ389" s="1679"/>
      <c r="AK389" s="1679"/>
      <c r="AL389" s="1680"/>
    </row>
    <row r="392" spans="2:38" ht="12.75" thickBot="1">
      <c r="B392" s="1673" t="s">
        <v>12304</v>
      </c>
    </row>
    <row r="393" spans="2:38" ht="34.5" thickBot="1">
      <c r="B393" s="1676" t="s">
        <v>11705</v>
      </c>
      <c r="C393" s="1676" t="s">
        <v>11706</v>
      </c>
      <c r="D393" s="1676" t="s">
        <v>11707</v>
      </c>
      <c r="E393" s="1676" t="s">
        <v>11708</v>
      </c>
      <c r="F393" s="1676" t="s">
        <v>477</v>
      </c>
      <c r="G393" s="1676" t="s">
        <v>11709</v>
      </c>
      <c r="H393" s="1676" t="s">
        <v>11743</v>
      </c>
      <c r="I393" s="1676" t="s">
        <v>9595</v>
      </c>
      <c r="J393" s="1676" t="s">
        <v>623</v>
      </c>
      <c r="K393" s="1676" t="s">
        <v>11717</v>
      </c>
      <c r="L393" s="1676" t="s">
        <v>11893</v>
      </c>
      <c r="M393" s="1676" t="s">
        <v>10477</v>
      </c>
      <c r="N393" s="1676" t="s">
        <v>11769</v>
      </c>
      <c r="O393" s="1676" t="s">
        <v>10717</v>
      </c>
      <c r="P393" s="1676" t="s">
        <v>11845</v>
      </c>
      <c r="Q393" s="1676" t="s">
        <v>12041</v>
      </c>
      <c r="R393" s="1676" t="s">
        <v>11846</v>
      </c>
      <c r="S393" s="1676" t="s">
        <v>11848</v>
      </c>
      <c r="T393" s="1676" t="s">
        <v>11849</v>
      </c>
      <c r="U393" s="1676"/>
      <c r="V393" s="1676"/>
      <c r="W393" s="1676"/>
      <c r="X393" s="1676"/>
      <c r="Y393" s="1676"/>
      <c r="Z393" s="1676"/>
      <c r="AA393" s="1676" t="s">
        <v>9628</v>
      </c>
      <c r="AB393" s="1676" t="s">
        <v>11719</v>
      </c>
      <c r="AC393" s="1676" t="s">
        <v>11691</v>
      </c>
      <c r="AD393" s="1676" t="s">
        <v>11692</v>
      </c>
      <c r="AE393" s="1676" t="s">
        <v>11720</v>
      </c>
      <c r="AF393" s="1676" t="s">
        <v>11693</v>
      </c>
      <c r="AG393" s="1676" t="s">
        <v>11721</v>
      </c>
      <c r="AH393" s="1676" t="s">
        <v>11694</v>
      </c>
      <c r="AI393" s="1676" t="s">
        <v>11722</v>
      </c>
      <c r="AJ393" s="1676" t="s">
        <v>10358</v>
      </c>
      <c r="AK393" s="1676" t="s">
        <v>11723</v>
      </c>
      <c r="AL393" s="1676" t="s">
        <v>11724</v>
      </c>
    </row>
    <row r="394" spans="2:38">
      <c r="B394" s="1678" t="s">
        <v>11725</v>
      </c>
      <c r="C394" s="1679"/>
      <c r="D394" s="1679"/>
      <c r="E394" s="1679"/>
      <c r="F394" s="1679"/>
      <c r="G394" s="1679"/>
      <c r="H394" s="1679"/>
      <c r="I394" s="1679"/>
      <c r="J394" s="1679"/>
      <c r="K394" s="1679"/>
      <c r="L394" s="1679"/>
      <c r="M394" s="1679"/>
      <c r="N394" s="1679"/>
      <c r="O394" s="1679"/>
      <c r="P394" s="1679"/>
      <c r="Q394" s="1679"/>
      <c r="R394" s="1679"/>
      <c r="S394" s="1679"/>
      <c r="T394" s="1679"/>
      <c r="U394" s="1679"/>
      <c r="V394" s="1679"/>
      <c r="W394" s="1679"/>
      <c r="X394" s="1679"/>
      <c r="Y394" s="1679"/>
      <c r="Z394" s="1679"/>
      <c r="AA394" s="1679"/>
      <c r="AB394" s="1679"/>
      <c r="AC394" s="1679"/>
      <c r="AD394" s="1679"/>
      <c r="AE394" s="1679"/>
      <c r="AF394" s="1679"/>
      <c r="AG394" s="1679"/>
      <c r="AH394" s="1679"/>
      <c r="AI394" s="1679"/>
      <c r="AJ394" s="1679"/>
      <c r="AK394" s="1679"/>
      <c r="AL394" s="1680"/>
    </row>
    <row r="397" spans="2:38" ht="12.75" thickBot="1">
      <c r="B397" s="1673" t="s">
        <v>12305</v>
      </c>
    </row>
    <row r="398" spans="2:38" ht="34.5" thickBot="1">
      <c r="B398" s="1676" t="s">
        <v>11705</v>
      </c>
      <c r="C398" s="1676" t="s">
        <v>11706</v>
      </c>
      <c r="D398" s="1676" t="s">
        <v>11707</v>
      </c>
      <c r="E398" s="1676" t="s">
        <v>11708</v>
      </c>
      <c r="F398" s="1676" t="s">
        <v>477</v>
      </c>
      <c r="G398" s="1676" t="s">
        <v>11709</v>
      </c>
      <c r="H398" s="1676" t="s">
        <v>11743</v>
      </c>
      <c r="I398" s="1676" t="s">
        <v>9595</v>
      </c>
      <c r="J398" s="1676" t="s">
        <v>623</v>
      </c>
      <c r="K398" s="1676" t="s">
        <v>11717</v>
      </c>
      <c r="L398" s="1676" t="s">
        <v>11893</v>
      </c>
      <c r="M398" s="1676" t="s">
        <v>11769</v>
      </c>
      <c r="N398" s="1676" t="s">
        <v>10717</v>
      </c>
      <c r="O398" s="1676" t="s">
        <v>11845</v>
      </c>
      <c r="P398" s="1676" t="s">
        <v>12041</v>
      </c>
      <c r="Q398" s="1676" t="s">
        <v>11846</v>
      </c>
      <c r="R398" s="1676" t="s">
        <v>11848</v>
      </c>
      <c r="S398" s="1676" t="s">
        <v>11849</v>
      </c>
      <c r="T398" s="1676" t="s">
        <v>11885</v>
      </c>
      <c r="U398" s="1676"/>
      <c r="V398" s="1676"/>
      <c r="W398" s="1676"/>
      <c r="X398" s="1676"/>
      <c r="Y398" s="1676"/>
      <c r="Z398" s="1676"/>
      <c r="AA398" s="1676" t="s">
        <v>9628</v>
      </c>
      <c r="AB398" s="1676" t="s">
        <v>11719</v>
      </c>
      <c r="AC398" s="1676" t="s">
        <v>11691</v>
      </c>
      <c r="AD398" s="1676" t="s">
        <v>11692</v>
      </c>
      <c r="AE398" s="1676" t="s">
        <v>11720</v>
      </c>
      <c r="AF398" s="1676" t="s">
        <v>11693</v>
      </c>
      <c r="AG398" s="1676" t="s">
        <v>11721</v>
      </c>
      <c r="AH398" s="1676" t="s">
        <v>11694</v>
      </c>
      <c r="AI398" s="1676" t="s">
        <v>11722</v>
      </c>
      <c r="AJ398" s="1676" t="s">
        <v>10358</v>
      </c>
      <c r="AK398" s="1676" t="s">
        <v>11723</v>
      </c>
      <c r="AL398" s="1676" t="s">
        <v>11724</v>
      </c>
    </row>
    <row r="399" spans="2:38">
      <c r="B399" s="1678" t="s">
        <v>11725</v>
      </c>
      <c r="C399" s="1679"/>
      <c r="D399" s="1679"/>
      <c r="E399" s="1679"/>
      <c r="F399" s="1679"/>
      <c r="G399" s="1679"/>
      <c r="H399" s="1679"/>
      <c r="I399" s="1679"/>
      <c r="J399" s="1679"/>
      <c r="K399" s="1679"/>
      <c r="L399" s="1679"/>
      <c r="M399" s="1679"/>
      <c r="N399" s="1679"/>
      <c r="O399" s="1679"/>
      <c r="P399" s="1679"/>
      <c r="Q399" s="1679"/>
      <c r="R399" s="1679"/>
      <c r="S399" s="1679"/>
      <c r="T399" s="1679"/>
      <c r="U399" s="1679"/>
      <c r="V399" s="1679"/>
      <c r="W399" s="1679"/>
      <c r="X399" s="1679"/>
      <c r="Y399" s="1679"/>
      <c r="Z399" s="1679"/>
      <c r="AA399" s="1679"/>
      <c r="AB399" s="1679"/>
      <c r="AC399" s="1679"/>
      <c r="AD399" s="1679"/>
      <c r="AE399" s="1679"/>
      <c r="AF399" s="1679"/>
      <c r="AG399" s="1679"/>
      <c r="AH399" s="1679"/>
      <c r="AI399" s="1679"/>
      <c r="AJ399" s="1679"/>
      <c r="AK399" s="1679"/>
      <c r="AL399" s="1680"/>
    </row>
    <row r="402" spans="2:38" ht="12.75" thickBot="1">
      <c r="B402" s="1673" t="s">
        <v>12306</v>
      </c>
    </row>
    <row r="403" spans="2:38" ht="34.5" thickBot="1">
      <c r="B403" s="1676" t="s">
        <v>11705</v>
      </c>
      <c r="C403" s="1676" t="s">
        <v>11706</v>
      </c>
      <c r="D403" s="1676" t="s">
        <v>11707</v>
      </c>
      <c r="E403" s="1676" t="s">
        <v>11708</v>
      </c>
      <c r="F403" s="1676" t="s">
        <v>477</v>
      </c>
      <c r="G403" s="1676" t="s">
        <v>11709</v>
      </c>
      <c r="H403" s="1676" t="s">
        <v>11743</v>
      </c>
      <c r="I403" s="1676" t="s">
        <v>9595</v>
      </c>
      <c r="J403" s="1676" t="s">
        <v>623</v>
      </c>
      <c r="K403" s="1676" t="s">
        <v>11717</v>
      </c>
      <c r="L403" s="1676" t="s">
        <v>11893</v>
      </c>
      <c r="M403" s="1676" t="s">
        <v>12102</v>
      </c>
      <c r="N403" s="1676" t="s">
        <v>12103</v>
      </c>
      <c r="O403" s="1676" t="s">
        <v>11769</v>
      </c>
      <c r="P403" s="1676" t="s">
        <v>10717</v>
      </c>
      <c r="Q403" s="1676" t="s">
        <v>11845</v>
      </c>
      <c r="R403" s="1676" t="s">
        <v>12041</v>
      </c>
      <c r="S403" s="1676" t="s">
        <v>11846</v>
      </c>
      <c r="T403" s="1676" t="s">
        <v>11848</v>
      </c>
      <c r="U403" s="1676" t="s">
        <v>11849</v>
      </c>
      <c r="V403" s="1676" t="s">
        <v>11885</v>
      </c>
      <c r="W403" s="1676"/>
      <c r="X403" s="1676"/>
      <c r="Y403" s="1676"/>
      <c r="Z403" s="1676"/>
      <c r="AA403" s="1676" t="s">
        <v>9628</v>
      </c>
      <c r="AB403" s="1676" t="s">
        <v>11719</v>
      </c>
      <c r="AC403" s="1676" t="s">
        <v>11691</v>
      </c>
      <c r="AD403" s="1676" t="s">
        <v>11692</v>
      </c>
      <c r="AE403" s="1676" t="s">
        <v>11720</v>
      </c>
      <c r="AF403" s="1676" t="s">
        <v>11693</v>
      </c>
      <c r="AG403" s="1676" t="s">
        <v>11721</v>
      </c>
      <c r="AH403" s="1676" t="s">
        <v>11694</v>
      </c>
      <c r="AI403" s="1676" t="s">
        <v>11722</v>
      </c>
      <c r="AJ403" s="1676" t="s">
        <v>10358</v>
      </c>
      <c r="AK403" s="1676" t="s">
        <v>11723</v>
      </c>
      <c r="AL403" s="1676" t="s">
        <v>11724</v>
      </c>
    </row>
    <row r="404" spans="2:38">
      <c r="B404" s="1678" t="s">
        <v>11725</v>
      </c>
      <c r="C404" s="1679"/>
      <c r="D404" s="1679"/>
      <c r="E404" s="1679"/>
      <c r="F404" s="1679"/>
      <c r="G404" s="1679"/>
      <c r="H404" s="1679"/>
      <c r="I404" s="1679"/>
      <c r="J404" s="1679"/>
      <c r="K404" s="1679"/>
      <c r="L404" s="1679"/>
      <c r="M404" s="1679"/>
      <c r="N404" s="1679"/>
      <c r="O404" s="1679"/>
      <c r="P404" s="1679"/>
      <c r="Q404" s="1679"/>
      <c r="R404" s="1679"/>
      <c r="S404" s="1679"/>
      <c r="T404" s="1679"/>
      <c r="U404" s="1679"/>
      <c r="V404" s="1679"/>
      <c r="W404" s="1679"/>
      <c r="X404" s="1679"/>
      <c r="Y404" s="1679"/>
      <c r="Z404" s="1679"/>
      <c r="AA404" s="1679"/>
      <c r="AB404" s="1679"/>
      <c r="AC404" s="1679"/>
      <c r="AD404" s="1679"/>
      <c r="AE404" s="1679"/>
      <c r="AF404" s="1679"/>
      <c r="AG404" s="1679"/>
      <c r="AH404" s="1679"/>
      <c r="AI404" s="1679"/>
      <c r="AJ404" s="1679"/>
      <c r="AK404" s="1679"/>
      <c r="AL404" s="1680"/>
    </row>
  </sheetData>
  <sheetProtection formatColumns="0" formatRows="0"/>
  <dataValidations count="1">
    <dataValidation type="list" allowBlank="1" showInputMessage="1" showErrorMessage="1" sqref="D2" xr:uid="{00000000-0002-0000-0400-000000000000}">
      <formula1>"1,2,3"</formula1>
    </dataValidation>
  </dataValidations>
  <pageMargins left="0.7" right="0.7" top="0.75" bottom="0.75" header="0.3" footer="0.3"/>
  <pageSetup orientation="portrait" r:id="rId1"/>
  <headerFooter>
    <oddFooter>&amp;CAT&amp;&amp;T Proprietary (Internal Use Only)</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07906" r:id="rId4" name="Button 2">
              <controlPr defaultSize="0" print="0" autoFill="0" autoPict="0" macro="[0]!wsInvReport.exportinv">
                <anchor>
                  <from>
                    <xdr:col>1</xdr:col>
                    <xdr:colOff>485775</xdr:colOff>
                    <xdr:row>3</xdr:row>
                    <xdr:rowOff>47625</xdr:rowOff>
                  </from>
                  <to>
                    <xdr:col>4</xdr:col>
                    <xdr:colOff>247650</xdr:colOff>
                    <xdr:row>4</xdr:row>
                    <xdr:rowOff>104775</xdr:rowOff>
                  </to>
                </anchor>
              </controlPr>
            </control>
          </mc:Choice>
        </mc:AlternateContent>
        <mc:AlternateContent xmlns:mc="http://schemas.openxmlformats.org/markup-compatibility/2006">
          <mc:Choice Requires="x14">
            <control shapeId="507908" r:id="rId5" name="Button 4">
              <controlPr defaultSize="0" print="0" autoFill="0" autoPict="0" macro="[0]!wsInvReport.ClearInv">
                <anchor>
                  <from>
                    <xdr:col>1</xdr:col>
                    <xdr:colOff>457200</xdr:colOff>
                    <xdr:row>5</xdr:row>
                    <xdr:rowOff>47625</xdr:rowOff>
                  </from>
                  <to>
                    <xdr:col>4</xdr:col>
                    <xdr:colOff>219075</xdr:colOff>
                    <xdr:row>6</xdr:row>
                    <xdr:rowOff>114300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wsStep0"/>
  <dimension ref="A1:AG140"/>
  <sheetViews>
    <sheetView showGridLines="0" zoomScale="90" zoomScaleNormal="90" workbookViewId="0">
      <selection activeCell="C3" sqref="C3"/>
    </sheetView>
  </sheetViews>
  <sheetFormatPr defaultColWidth="9.140625" defaultRowHeight="12.75"/>
  <cols>
    <col min="1" max="1" width="1.140625" style="1684" customWidth="1"/>
    <col min="2" max="2" width="25.7109375" style="1684" customWidth="1"/>
    <col min="3" max="3" width="30.7109375" style="1684" customWidth="1"/>
    <col min="4" max="4" width="1.42578125" style="1684" customWidth="1"/>
    <col min="5" max="5" width="17.28515625" style="1684" customWidth="1"/>
    <col min="6" max="6" width="30.42578125" style="1684" customWidth="1"/>
    <col min="7" max="7" width="2.28515625" style="1684" customWidth="1"/>
    <col min="8" max="8" width="17.85546875" style="1684" customWidth="1"/>
    <col min="9" max="9" width="5.28515625" style="1684" customWidth="1"/>
    <col min="10" max="10" width="3.5703125" style="1684" customWidth="1"/>
    <col min="11" max="11" width="48.7109375" style="1684" customWidth="1"/>
    <col min="12" max="12" width="12.7109375" style="1684" customWidth="1"/>
    <col min="13" max="13" width="9.140625" style="1684"/>
    <col min="14" max="14" width="13.140625" style="1684" customWidth="1"/>
    <col min="15" max="26" width="9.140625" style="1684"/>
    <col min="27" max="33" width="9.140625" style="1684" hidden="1" customWidth="1"/>
    <col min="34" max="16384" width="9.140625" style="1684"/>
  </cols>
  <sheetData>
    <row r="1" spans="1:30" ht="65.25" customHeight="1">
      <c r="A1" s="1683"/>
      <c r="B1" s="1683"/>
      <c r="C1" s="1683"/>
      <c r="D1" s="1683"/>
      <c r="E1" s="1683"/>
      <c r="F1" s="1683"/>
      <c r="H1" s="1683"/>
      <c r="I1" s="1683"/>
      <c r="J1" s="1683"/>
      <c r="AA1" s="1684" t="s">
        <v>209</v>
      </c>
      <c r="AD1" s="1684" t="s">
        <v>231</v>
      </c>
    </row>
    <row r="2" spans="1:30" ht="24.75" customHeight="1">
      <c r="A2" s="1683"/>
      <c r="B2" s="1683" t="s">
        <v>10088</v>
      </c>
      <c r="C2" s="1683"/>
      <c r="D2" s="1683"/>
      <c r="E2" s="1683"/>
      <c r="F2" s="1683"/>
      <c r="H2" s="1683"/>
      <c r="I2" s="1683"/>
      <c r="J2" s="1683"/>
      <c r="AA2" s="1684" t="s">
        <v>232</v>
      </c>
      <c r="AD2" s="1684" t="s">
        <v>204</v>
      </c>
    </row>
    <row r="3" spans="1:30">
      <c r="A3" s="1683"/>
      <c r="B3" s="1685" t="s">
        <v>417</v>
      </c>
      <c r="C3" s="1755"/>
      <c r="D3" s="1683"/>
      <c r="E3" s="1683"/>
      <c r="F3" s="1683"/>
      <c r="H3" s="1683"/>
      <c r="I3" s="1683"/>
      <c r="J3" s="1683"/>
      <c r="AA3" s="1684" t="s">
        <v>233</v>
      </c>
      <c r="AD3" s="1684" t="s">
        <v>205</v>
      </c>
    </row>
    <row r="4" spans="1:30">
      <c r="A4" s="1683"/>
      <c r="B4" s="1685" t="s">
        <v>316</v>
      </c>
      <c r="C4" s="1687">
        <v>43384</v>
      </c>
      <c r="D4" s="1683"/>
      <c r="F4" s="1683"/>
      <c r="H4" s="1683"/>
      <c r="I4" s="1683"/>
      <c r="J4" s="1683"/>
      <c r="AA4" s="1684" t="s">
        <v>234</v>
      </c>
      <c r="AD4" s="1684" t="s">
        <v>206</v>
      </c>
    </row>
    <row r="5" spans="1:30">
      <c r="A5" s="1688"/>
      <c r="B5" s="1685" t="s">
        <v>418</v>
      </c>
      <c r="C5" s="1689" t="b">
        <v>0</v>
      </c>
      <c r="D5" s="1683"/>
      <c r="E5" s="1685" t="s">
        <v>10052</v>
      </c>
      <c r="F5" s="1690" t="str">
        <f>IF(oppty.CustomerContract&amp;""&lt;&gt;"",oppty.CustomerContract,"")</f>
        <v/>
      </c>
      <c r="H5" s="1683"/>
      <c r="I5" s="1683"/>
      <c r="J5" s="1683"/>
      <c r="AA5" s="1684" t="s">
        <v>11200</v>
      </c>
      <c r="AD5" s="1684" t="s">
        <v>11200</v>
      </c>
    </row>
    <row r="6" spans="1:30">
      <c r="A6" s="1688"/>
      <c r="B6" s="1685" t="s">
        <v>60</v>
      </c>
      <c r="C6" s="1686" t="s">
        <v>8005</v>
      </c>
      <c r="D6" s="1691"/>
      <c r="I6" s="1683"/>
      <c r="J6" s="1683"/>
      <c r="AA6" s="1684" t="s">
        <v>235</v>
      </c>
      <c r="AD6" s="1684" t="s">
        <v>207</v>
      </c>
    </row>
    <row r="7" spans="1:30">
      <c r="A7" s="1688"/>
      <c r="B7" s="1692" t="s">
        <v>230</v>
      </c>
      <c r="C7" s="1686"/>
      <c r="D7" s="1691"/>
      <c r="E7" s="1693"/>
      <c r="I7" s="1683"/>
      <c r="J7" s="1683"/>
      <c r="AA7" s="1684" t="s">
        <v>236</v>
      </c>
      <c r="AD7" s="1684" t="s">
        <v>208</v>
      </c>
    </row>
    <row r="8" spans="1:30">
      <c r="A8" s="1688"/>
      <c r="B8" s="1685" t="str">
        <f>IF(OR(oppty.opptyType="",oppty.opptyType="Acquisition",oppty.opptyType="Growth"),"","Remaining Term in Months")</f>
        <v/>
      </c>
      <c r="C8" s="1686"/>
      <c r="D8" s="1691"/>
      <c r="E8" s="1693"/>
      <c r="I8" s="1683"/>
      <c r="J8" s="1683"/>
      <c r="AA8" s="1684" t="s">
        <v>9289</v>
      </c>
      <c r="AD8" s="1684" t="s">
        <v>9290</v>
      </c>
    </row>
    <row r="9" spans="1:30">
      <c r="A9" s="1688"/>
      <c r="B9" s="1692" t="s">
        <v>313</v>
      </c>
      <c r="C9" s="1686"/>
      <c r="D9" s="1691"/>
      <c r="I9" s="1683"/>
      <c r="AA9" s="1684" t="s">
        <v>9291</v>
      </c>
      <c r="AD9" s="1684" t="s">
        <v>9292</v>
      </c>
    </row>
    <row r="10" spans="1:30">
      <c r="A10" s="1683"/>
      <c r="B10" s="1694"/>
      <c r="C10" s="1695"/>
      <c r="D10" s="1683"/>
      <c r="I10" s="1683"/>
      <c r="AA10" s="1684" t="s">
        <v>9279</v>
      </c>
    </row>
    <row r="11" spans="1:30" ht="13.5">
      <c r="A11" s="1688"/>
      <c r="B11" s="1685" t="s">
        <v>9275</v>
      </c>
      <c r="C11" s="1696"/>
      <c r="D11" s="1683"/>
      <c r="E11" s="1697" t="s">
        <v>8043</v>
      </c>
      <c r="F11" s="1698"/>
      <c r="H11" s="1699" t="s">
        <v>9199</v>
      </c>
      <c r="I11" s="1683"/>
      <c r="K11" s="1700" t="s">
        <v>416</v>
      </c>
    </row>
    <row r="12" spans="1:30" ht="13.5">
      <c r="A12" s="1688"/>
      <c r="B12" s="1685" t="s">
        <v>10343</v>
      </c>
      <c r="C12" s="1686"/>
      <c r="D12" s="1691"/>
      <c r="E12" s="1697" t="s">
        <v>8044</v>
      </c>
      <c r="F12" s="1698"/>
      <c r="H12" s="1701"/>
      <c r="I12" s="1683"/>
      <c r="K12" s="1702"/>
    </row>
    <row r="13" spans="1:30">
      <c r="A13" s="1683"/>
      <c r="B13" s="1692" t="s">
        <v>345</v>
      </c>
      <c r="C13" s="1686"/>
      <c r="D13" s="1683"/>
      <c r="E13" s="1699" t="s">
        <v>8078</v>
      </c>
      <c r="F13" s="1703" t="str">
        <f>IF(ddIms2Status="Returned to Sales","Returned for editing",ddIms2Status&amp;"")</f>
        <v/>
      </c>
      <c r="H13" s="1704"/>
      <c r="I13" s="1683"/>
      <c r="K13" s="1702"/>
    </row>
    <row r="14" spans="1:30">
      <c r="A14" s="1683"/>
      <c r="B14" s="1705" t="s">
        <v>8068</v>
      </c>
      <c r="C14" s="1706"/>
      <c r="D14" s="1683"/>
      <c r="E14" s="1699" t="s">
        <v>8070</v>
      </c>
      <c r="F14" s="1703" t="str">
        <f>IF(loadedInModel,"Submitted and loaded by BAM",IF(assignedToBam,"Submitted to ICB &amp; assigned",IF(submittedToIcb,"Submitted to ICB, unassigned",IF(OR(submittedToCost,submittedToCostPP),"Submitted to Cost(NSS)",""))))</f>
        <v/>
      </c>
      <c r="H14" s="1704"/>
      <c r="K14" s="1702"/>
    </row>
    <row r="15" spans="1:30">
      <c r="A15" s="1683"/>
      <c r="B15" s="1685" t="s">
        <v>8069</v>
      </c>
      <c r="C15" s="1686"/>
      <c r="D15" s="1683"/>
      <c r="E15" s="1699" t="s">
        <v>10924</v>
      </c>
      <c r="F15" s="1707"/>
      <c r="G15" s="1683"/>
      <c r="H15" s="1704"/>
      <c r="I15" s="1683"/>
      <c r="K15" s="1702"/>
    </row>
    <row r="16" spans="1:30">
      <c r="A16" s="1683"/>
      <c r="B16" s="1708"/>
      <c r="C16" s="1709"/>
      <c r="D16" s="1683"/>
      <c r="E16" s="1683"/>
      <c r="F16" s="1683"/>
      <c r="H16" s="1704"/>
      <c r="I16" s="1683"/>
      <c r="K16" s="1702"/>
    </row>
    <row r="17" spans="1:11">
      <c r="A17" s="1683"/>
      <c r="B17" s="1710"/>
      <c r="C17" s="1683"/>
      <c r="D17" s="1683"/>
      <c r="E17" s="1699" t="s">
        <v>8052</v>
      </c>
      <c r="F17" s="1711"/>
      <c r="H17" s="1704"/>
      <c r="I17" s="1683"/>
      <c r="K17" s="1702"/>
    </row>
    <row r="18" spans="1:11">
      <c r="B18" s="1710"/>
      <c r="C18" s="1683"/>
      <c r="D18" s="1683"/>
      <c r="E18" s="1699" t="s">
        <v>8053</v>
      </c>
      <c r="F18" s="1703" t="str">
        <f>IF(locked,"Locked by " &amp; lockedBy,IF(loadedInModel,"Read Only (in ICB Model)",IF(OR(submittedToCostPP,submittedToCost),"Read Only (in costing/NSS)",IF(readOnly,"Read Only","Read/Write"))))</f>
        <v>Read/Write</v>
      </c>
      <c r="H18" s="1704"/>
      <c r="I18" s="1683"/>
      <c r="K18" s="1702"/>
    </row>
    <row r="19" spans="1:11">
      <c r="B19" s="1712"/>
      <c r="C19" s="1713"/>
      <c r="D19" s="1683"/>
      <c r="F19" s="1683"/>
      <c r="H19" s="1704"/>
      <c r="I19" s="1683"/>
      <c r="K19" s="1702"/>
    </row>
    <row r="20" spans="1:11">
      <c r="A20" s="1683"/>
      <c r="B20" s="1710"/>
      <c r="C20" s="1683"/>
      <c r="D20" s="1683"/>
      <c r="H20" s="1704"/>
      <c r="I20" s="1683"/>
      <c r="K20" s="1702"/>
    </row>
    <row r="21" spans="1:11">
      <c r="A21" s="1683"/>
      <c r="B21" s="1714"/>
      <c r="C21" s="1715"/>
      <c r="D21" s="1683"/>
      <c r="H21" s="1704"/>
      <c r="I21" s="1683"/>
      <c r="K21" s="1702"/>
    </row>
    <row r="22" spans="1:11">
      <c r="A22" s="1688"/>
      <c r="B22" s="1692" t="s">
        <v>314</v>
      </c>
      <c r="C22" s="1686"/>
      <c r="D22" s="1691"/>
      <c r="E22" s="1716" t="s">
        <v>312</v>
      </c>
      <c r="F22" s="1717"/>
      <c r="H22" s="1704"/>
      <c r="I22" s="1683"/>
      <c r="K22" s="1702"/>
    </row>
    <row r="23" spans="1:11">
      <c r="A23" s="1688"/>
      <c r="B23" s="1692" t="s">
        <v>315</v>
      </c>
      <c r="C23" s="1686"/>
      <c r="D23" s="1691"/>
      <c r="E23" s="1718"/>
      <c r="F23" s="1719"/>
      <c r="H23" s="1704"/>
      <c r="I23" s="1683"/>
      <c r="K23" s="1702"/>
    </row>
    <row r="24" spans="1:11">
      <c r="A24" s="1688"/>
      <c r="B24" s="1692" t="s">
        <v>317</v>
      </c>
      <c r="C24" s="1686"/>
      <c r="D24" s="1691"/>
      <c r="E24" s="1720"/>
      <c r="F24" s="1721"/>
      <c r="H24" s="1704"/>
      <c r="I24" s="1683"/>
      <c r="K24" s="1702"/>
    </row>
    <row r="25" spans="1:11">
      <c r="A25" s="1688"/>
      <c r="B25" s="1692" t="s">
        <v>9274</v>
      </c>
      <c r="C25" s="1686"/>
      <c r="D25" s="1691"/>
      <c r="E25" s="1720"/>
      <c r="F25" s="1721"/>
      <c r="H25" s="1704"/>
      <c r="I25" s="1683"/>
      <c r="K25" s="1702"/>
    </row>
    <row r="26" spans="1:11">
      <c r="A26" s="1688"/>
      <c r="B26" s="1692" t="s">
        <v>318</v>
      </c>
      <c r="C26" s="1686"/>
      <c r="D26" s="1691"/>
      <c r="E26" s="1720"/>
      <c r="F26" s="1721"/>
      <c r="H26" s="1704"/>
      <c r="I26" s="1683"/>
      <c r="K26" s="1702"/>
    </row>
    <row r="27" spans="1:11">
      <c r="A27" s="1688"/>
      <c r="B27" s="1692" t="s">
        <v>319</v>
      </c>
      <c r="C27" s="1686"/>
      <c r="D27" s="1691"/>
      <c r="E27" s="1720"/>
      <c r="F27" s="1721"/>
      <c r="H27" s="1704"/>
      <c r="I27" s="1683"/>
      <c r="K27" s="1702"/>
    </row>
    <row r="28" spans="1:11">
      <c r="A28" s="1688"/>
      <c r="B28" s="1685" t="s">
        <v>9686</v>
      </c>
      <c r="C28" s="1706"/>
      <c r="D28" s="1691"/>
      <c r="E28" s="1720"/>
      <c r="F28" s="1721"/>
      <c r="H28" s="1704"/>
      <c r="I28" s="1683"/>
      <c r="K28" s="1702"/>
    </row>
    <row r="29" spans="1:11">
      <c r="A29" s="1688"/>
      <c r="B29" s="1722" t="s">
        <v>232</v>
      </c>
      <c r="C29" s="1686"/>
      <c r="D29" s="1691"/>
      <c r="E29" s="1720"/>
      <c r="F29" s="1721"/>
      <c r="H29" s="1704"/>
      <c r="I29" s="1683"/>
      <c r="K29" s="1702"/>
    </row>
    <row r="30" spans="1:11">
      <c r="A30" s="1688"/>
      <c r="B30" s="1685" t="str">
        <f>VLOOKUP(oppty.RequestLabel,Sys_All,2,FALSE)</f>
        <v>ICB-PS Case #</v>
      </c>
      <c r="C30" s="1686"/>
      <c r="D30" s="1691"/>
      <c r="E30" s="1720"/>
      <c r="F30" s="1721"/>
      <c r="H30" s="1704"/>
      <c r="I30" s="1683"/>
      <c r="K30" s="1702"/>
    </row>
    <row r="31" spans="1:11" ht="12.75" hidden="1" customHeight="1">
      <c r="A31" s="1688"/>
      <c r="B31" s="1723" t="s">
        <v>9707</v>
      </c>
      <c r="C31" s="1724"/>
      <c r="D31" s="1691"/>
      <c r="E31" s="1720"/>
      <c r="F31" s="1721"/>
      <c r="H31" s="1704"/>
      <c r="I31" s="1683"/>
      <c r="K31" s="1702"/>
    </row>
    <row r="32" spans="1:11" ht="12.75" hidden="1" customHeight="1">
      <c r="A32" s="1688"/>
      <c r="B32" s="1723" t="s">
        <v>9706</v>
      </c>
      <c r="C32" s="1724"/>
      <c r="D32" s="1691"/>
      <c r="E32" s="1720"/>
      <c r="F32" s="1721"/>
      <c r="H32" s="1704"/>
      <c r="I32" s="1683"/>
      <c r="J32" s="1683"/>
      <c r="K32" s="1702"/>
    </row>
    <row r="33" spans="1:11">
      <c r="A33" s="1688"/>
      <c r="B33" s="1692" t="s">
        <v>61</v>
      </c>
      <c r="C33" s="1755"/>
      <c r="D33" s="1691"/>
      <c r="E33" s="1720"/>
      <c r="F33" s="1721"/>
      <c r="H33" s="1704"/>
      <c r="I33" s="1683"/>
      <c r="J33" s="1683"/>
      <c r="K33" s="1702"/>
    </row>
    <row r="34" spans="1:11">
      <c r="A34" s="1688"/>
      <c r="B34" s="1692" t="s">
        <v>62</v>
      </c>
      <c r="C34" s="1755"/>
      <c r="D34" s="1691"/>
      <c r="E34" s="1720"/>
      <c r="F34" s="1721"/>
      <c r="H34" s="1704"/>
      <c r="I34" s="1683"/>
      <c r="J34" s="1683"/>
      <c r="K34" s="1702"/>
    </row>
    <row r="35" spans="1:11">
      <c r="A35" s="1683"/>
      <c r="B35" s="1692" t="s">
        <v>475</v>
      </c>
      <c r="C35" s="1686"/>
      <c r="D35" s="1683"/>
      <c r="E35" s="1720"/>
      <c r="F35" s="1721"/>
      <c r="H35" s="1704"/>
      <c r="I35" s="1683"/>
      <c r="J35" s="1683"/>
      <c r="K35" s="1702"/>
    </row>
    <row r="36" spans="1:11">
      <c r="A36" s="1688"/>
      <c r="B36" s="1685" t="s">
        <v>476</v>
      </c>
      <c r="C36" s="1686"/>
      <c r="D36" s="1683"/>
      <c r="E36" s="1720"/>
      <c r="F36" s="1721"/>
      <c r="H36" s="1704"/>
      <c r="I36" s="1683"/>
      <c r="J36" s="1683"/>
      <c r="K36" s="1702"/>
    </row>
    <row r="37" spans="1:11" ht="13.7" customHeight="1">
      <c r="A37" s="1688"/>
      <c r="B37" s="1725" t="s">
        <v>8072</v>
      </c>
      <c r="C37" s="1726"/>
      <c r="D37" s="1691"/>
      <c r="E37" s="1720"/>
      <c r="F37" s="1721"/>
      <c r="H37" s="1704"/>
      <c r="I37" s="1683"/>
      <c r="J37" s="1683"/>
      <c r="K37" s="1702"/>
    </row>
    <row r="38" spans="1:11" ht="109.5" customHeight="1">
      <c r="A38" s="1688"/>
      <c r="B38" s="1727" t="str">
        <f>"Comments: 
Max Length 250 Characters 
("&amp;250 - LEN(oppty.dealComments)&amp;" remaining)"</f>
        <v>Comments: 
Max Length 250 Characters 
(250 remaining)</v>
      </c>
      <c r="C38" s="1728"/>
      <c r="D38" s="1691"/>
      <c r="E38" s="1729"/>
      <c r="F38" s="1730"/>
      <c r="H38" s="1731"/>
      <c r="I38" s="1683"/>
      <c r="J38" s="1683"/>
      <c r="K38" s="1702"/>
    </row>
    <row r="39" spans="1:11" ht="13.7" customHeight="1">
      <c r="D39" s="1683"/>
      <c r="H39" s="1683"/>
      <c r="I39" s="1683"/>
      <c r="J39" s="1683"/>
      <c r="K39" s="1702"/>
    </row>
    <row r="40" spans="1:11" ht="13.7" customHeight="1">
      <c r="D40" s="1683"/>
      <c r="I40" s="1683"/>
      <c r="J40" s="1683"/>
      <c r="K40" s="1702"/>
    </row>
    <row r="41" spans="1:11" ht="13.7" customHeight="1">
      <c r="D41" s="1683"/>
      <c r="I41" s="1683"/>
      <c r="J41" s="1683"/>
      <c r="K41" s="1702"/>
    </row>
    <row r="42" spans="1:11" ht="13.7" customHeight="1">
      <c r="D42" s="1683"/>
      <c r="I42" s="1683"/>
      <c r="J42" s="1683"/>
      <c r="K42" s="1702"/>
    </row>
    <row r="43" spans="1:11">
      <c r="D43" s="1683"/>
      <c r="I43" s="1683"/>
      <c r="J43" s="1683"/>
      <c r="K43" s="1702"/>
    </row>
    <row r="44" spans="1:11">
      <c r="D44" s="1683"/>
      <c r="I44" s="1683"/>
      <c r="J44" s="1683"/>
    </row>
    <row r="45" spans="1:11">
      <c r="J45" s="1683"/>
    </row>
    <row r="46" spans="1:11">
      <c r="J46" s="1683"/>
    </row>
    <row r="47" spans="1:11">
      <c r="J47" s="1683"/>
    </row>
    <row r="48" spans="1:11">
      <c r="J48" s="1683"/>
    </row>
    <row r="49" spans="5:10">
      <c r="J49" s="1683"/>
    </row>
    <row r="50" spans="5:10">
      <c r="J50" s="1683"/>
    </row>
    <row r="51" spans="5:10">
      <c r="J51" s="1683"/>
    </row>
    <row r="52" spans="5:10">
      <c r="J52" s="1683"/>
    </row>
    <row r="53" spans="5:10">
      <c r="J53" s="1683"/>
    </row>
    <row r="54" spans="5:10">
      <c r="J54" s="1683"/>
    </row>
    <row r="55" spans="5:10">
      <c r="J55" s="1683"/>
    </row>
    <row r="56" spans="5:10">
      <c r="J56" s="1683"/>
    </row>
    <row r="57" spans="5:10">
      <c r="J57" s="1683"/>
    </row>
    <row r="58" spans="5:10">
      <c r="J58" s="1683"/>
    </row>
    <row r="59" spans="5:10">
      <c r="J59" s="1683"/>
    </row>
    <row r="60" spans="5:10">
      <c r="J60" s="1683"/>
    </row>
    <row r="61" spans="5:10">
      <c r="J61" s="1683"/>
    </row>
    <row r="62" spans="5:10">
      <c r="J62" s="1683"/>
    </row>
    <row r="63" spans="5:10">
      <c r="E63" s="1683"/>
      <c r="F63" s="1683"/>
      <c r="H63" s="1683"/>
      <c r="J63" s="1683"/>
    </row>
    <row r="64" spans="5:10">
      <c r="E64" s="1683"/>
      <c r="F64" s="1683"/>
      <c r="H64" s="1683"/>
      <c r="J64" s="1683"/>
    </row>
    <row r="65" spans="1:10">
      <c r="E65" s="1683"/>
      <c r="F65" s="1683"/>
      <c r="H65" s="1683"/>
      <c r="J65" s="1683"/>
    </row>
    <row r="66" spans="1:10">
      <c r="E66" s="1683"/>
      <c r="F66" s="1683"/>
      <c r="H66" s="1683"/>
      <c r="J66" s="1683"/>
    </row>
    <row r="67" spans="1:10">
      <c r="A67" s="1683"/>
      <c r="E67" s="1683"/>
      <c r="F67" s="1683"/>
      <c r="H67" s="1683"/>
      <c r="J67" s="1683"/>
    </row>
    <row r="68" spans="1:10">
      <c r="A68" s="1683"/>
      <c r="B68" s="1683"/>
      <c r="C68" s="1683"/>
      <c r="D68" s="1683"/>
      <c r="E68" s="1683"/>
      <c r="F68" s="1683"/>
      <c r="H68" s="1683"/>
      <c r="I68" s="1683"/>
      <c r="J68" s="1683"/>
    </row>
    <row r="69" spans="1:10">
      <c r="A69" s="1683"/>
      <c r="B69" s="1683"/>
      <c r="C69" s="1683"/>
      <c r="D69" s="1683"/>
      <c r="E69" s="1683"/>
      <c r="F69" s="1683"/>
      <c r="H69" s="1683"/>
      <c r="I69" s="1683"/>
      <c r="J69" s="1683"/>
    </row>
    <row r="70" spans="1:10">
      <c r="A70" s="1683"/>
      <c r="B70" s="1683"/>
      <c r="C70" s="1683"/>
      <c r="D70" s="1683"/>
      <c r="E70" s="1683"/>
      <c r="F70" s="1683"/>
      <c r="H70" s="1683"/>
      <c r="I70" s="1683"/>
      <c r="J70" s="1683"/>
    </row>
    <row r="71" spans="1:10">
      <c r="A71" s="1683"/>
      <c r="B71" s="1683"/>
      <c r="C71" s="1683"/>
      <c r="D71" s="1683"/>
      <c r="E71" s="1683"/>
      <c r="F71" s="1683"/>
      <c r="H71" s="1683"/>
      <c r="I71" s="1683"/>
      <c r="J71" s="1683"/>
    </row>
    <row r="72" spans="1:10">
      <c r="A72" s="1683"/>
      <c r="B72" s="1683"/>
      <c r="C72" s="1683"/>
      <c r="D72" s="1683"/>
      <c r="E72" s="1683"/>
      <c r="F72" s="1683"/>
      <c r="H72" s="1683"/>
      <c r="I72" s="1683"/>
      <c r="J72" s="1683"/>
    </row>
    <row r="73" spans="1:10">
      <c r="A73" s="1683"/>
      <c r="B73" s="1683"/>
      <c r="C73" s="1683"/>
      <c r="D73" s="1683"/>
      <c r="E73" s="1683"/>
      <c r="F73" s="1683"/>
      <c r="H73" s="1683"/>
      <c r="I73" s="1683"/>
      <c r="J73" s="1683"/>
    </row>
    <row r="74" spans="1:10">
      <c r="A74" s="1683"/>
      <c r="B74" s="1683"/>
      <c r="C74" s="1683"/>
      <c r="D74" s="1683"/>
      <c r="E74" s="1683"/>
      <c r="F74" s="1683"/>
      <c r="H74" s="1683"/>
      <c r="I74" s="1683"/>
      <c r="J74" s="1683"/>
    </row>
    <row r="75" spans="1:10">
      <c r="A75" s="1683"/>
      <c r="B75" s="1683"/>
      <c r="C75" s="1683"/>
      <c r="D75" s="1683"/>
      <c r="E75" s="1683"/>
      <c r="F75" s="1683"/>
      <c r="H75" s="1683"/>
      <c r="I75" s="1683"/>
      <c r="J75" s="1683"/>
    </row>
    <row r="76" spans="1:10">
      <c r="A76" s="1683"/>
      <c r="B76" s="1683"/>
      <c r="C76" s="1683"/>
      <c r="D76" s="1683"/>
      <c r="E76" s="1683"/>
      <c r="F76" s="1683"/>
      <c r="H76" s="1683"/>
      <c r="I76" s="1683"/>
      <c r="J76" s="1683"/>
    </row>
    <row r="77" spans="1:10">
      <c r="A77" s="1683"/>
      <c r="B77" s="1683"/>
      <c r="C77" s="1683"/>
      <c r="D77" s="1683"/>
      <c r="E77" s="1683"/>
      <c r="F77" s="1683"/>
      <c r="H77" s="1683"/>
      <c r="I77" s="1683"/>
      <c r="J77" s="1683"/>
    </row>
    <row r="78" spans="1:10">
      <c r="A78" s="1683"/>
      <c r="B78" s="1683"/>
      <c r="C78" s="1683"/>
      <c r="D78" s="1683"/>
      <c r="E78" s="1683"/>
      <c r="F78" s="1683"/>
      <c r="H78" s="1683"/>
      <c r="I78" s="1683"/>
      <c r="J78" s="1683"/>
    </row>
    <row r="79" spans="1:10">
      <c r="A79" s="1683"/>
      <c r="B79" s="1683"/>
      <c r="C79" s="1683"/>
      <c r="D79" s="1683"/>
      <c r="E79" s="1683"/>
      <c r="F79" s="1683"/>
      <c r="H79" s="1683"/>
      <c r="I79" s="1683"/>
      <c r="J79" s="1683"/>
    </row>
    <row r="80" spans="1:10">
      <c r="A80" s="1683"/>
      <c r="B80" s="1683"/>
      <c r="C80" s="1683"/>
      <c r="D80" s="1683"/>
      <c r="E80" s="1683"/>
      <c r="F80" s="1683"/>
      <c r="H80" s="1683"/>
      <c r="I80" s="1683"/>
      <c r="J80" s="1683"/>
    </row>
    <row r="81" spans="1:10">
      <c r="A81" s="1683"/>
      <c r="B81" s="1683"/>
      <c r="C81" s="1683"/>
      <c r="D81" s="1683"/>
      <c r="E81" s="1683"/>
      <c r="F81" s="1683"/>
      <c r="H81" s="1683"/>
      <c r="I81" s="1683"/>
      <c r="J81" s="1683"/>
    </row>
    <row r="82" spans="1:10">
      <c r="A82" s="1683"/>
      <c r="B82" s="1683"/>
      <c r="C82" s="1683"/>
      <c r="D82" s="1683"/>
      <c r="E82" s="1683"/>
      <c r="F82" s="1683"/>
      <c r="H82" s="1683"/>
      <c r="I82" s="1683"/>
      <c r="J82" s="1683"/>
    </row>
    <row r="83" spans="1:10">
      <c r="A83" s="1683"/>
      <c r="B83" s="1683"/>
      <c r="C83" s="1683"/>
      <c r="D83" s="1683"/>
      <c r="E83" s="1683"/>
      <c r="F83" s="1683"/>
      <c r="H83" s="1683"/>
      <c r="I83" s="1683"/>
      <c r="J83" s="1683"/>
    </row>
    <row r="84" spans="1:10">
      <c r="A84" s="1683"/>
      <c r="B84" s="1683"/>
      <c r="C84" s="1683"/>
      <c r="D84" s="1683"/>
      <c r="E84" s="1683"/>
      <c r="F84" s="1683"/>
      <c r="H84" s="1683"/>
      <c r="I84" s="1683"/>
      <c r="J84" s="1683"/>
    </row>
    <row r="85" spans="1:10">
      <c r="A85" s="1683"/>
      <c r="B85" s="1683"/>
      <c r="C85" s="1683"/>
      <c r="D85" s="1683"/>
      <c r="E85" s="1683"/>
      <c r="F85" s="1683"/>
      <c r="H85" s="1683"/>
      <c r="I85" s="1683"/>
      <c r="J85" s="1683"/>
    </row>
    <row r="86" spans="1:10">
      <c r="A86" s="1683"/>
      <c r="B86" s="1683"/>
      <c r="C86" s="1683"/>
      <c r="D86" s="1683"/>
      <c r="E86" s="1683"/>
      <c r="F86" s="1683"/>
      <c r="H86" s="1683"/>
      <c r="I86" s="1683"/>
      <c r="J86" s="1683"/>
    </row>
    <row r="87" spans="1:10">
      <c r="A87" s="1683"/>
      <c r="B87" s="1683"/>
      <c r="C87" s="1683"/>
      <c r="D87" s="1683"/>
      <c r="E87" s="1683"/>
      <c r="F87" s="1683"/>
      <c r="H87" s="1683"/>
      <c r="I87" s="1683"/>
    </row>
    <row r="88" spans="1:10">
      <c r="A88" s="1683"/>
      <c r="B88" s="1683"/>
      <c r="C88" s="1683"/>
      <c r="D88" s="1683"/>
      <c r="E88" s="1683"/>
      <c r="F88" s="1683"/>
      <c r="H88" s="1683"/>
      <c r="I88" s="1683"/>
    </row>
    <row r="89" spans="1:10">
      <c r="A89" s="1683"/>
      <c r="B89" s="1683"/>
      <c r="C89" s="1683"/>
      <c r="D89" s="1683"/>
      <c r="E89" s="1683"/>
      <c r="F89" s="1683"/>
      <c r="H89" s="1683"/>
      <c r="I89" s="1683"/>
    </row>
    <row r="90" spans="1:10">
      <c r="A90" s="1683"/>
      <c r="B90" s="1683"/>
      <c r="C90" s="1683"/>
      <c r="D90" s="1683"/>
      <c r="E90" s="1683"/>
      <c r="F90" s="1683"/>
      <c r="H90" s="1683"/>
      <c r="I90" s="1683"/>
    </row>
    <row r="91" spans="1:10">
      <c r="A91" s="1683"/>
      <c r="B91" s="1683"/>
      <c r="C91" s="1683"/>
      <c r="D91" s="1683"/>
      <c r="E91" s="1683"/>
      <c r="F91" s="1683"/>
      <c r="H91" s="1683"/>
      <c r="I91" s="1683"/>
    </row>
    <row r="92" spans="1:10">
      <c r="A92" s="1683"/>
      <c r="B92" s="1683"/>
      <c r="C92" s="1683"/>
      <c r="D92" s="1683"/>
      <c r="E92" s="1683"/>
      <c r="F92" s="1683"/>
      <c r="H92" s="1683"/>
      <c r="I92" s="1683"/>
    </row>
    <row r="93" spans="1:10">
      <c r="A93" s="1683"/>
      <c r="B93" s="1683"/>
      <c r="C93" s="1683"/>
      <c r="D93" s="1683"/>
      <c r="E93" s="1683"/>
      <c r="F93" s="1683"/>
      <c r="H93" s="1683"/>
      <c r="I93" s="1683"/>
    </row>
    <row r="94" spans="1:10">
      <c r="A94" s="1683"/>
      <c r="B94" s="1683"/>
      <c r="C94" s="1683"/>
      <c r="D94" s="1683"/>
      <c r="E94" s="1683"/>
      <c r="F94" s="1683"/>
      <c r="H94" s="1683"/>
      <c r="I94" s="1683"/>
    </row>
    <row r="95" spans="1:10">
      <c r="A95" s="1683"/>
      <c r="B95" s="1683"/>
      <c r="C95" s="1683"/>
      <c r="D95" s="1683"/>
      <c r="E95" s="1683"/>
      <c r="F95" s="1683"/>
      <c r="H95" s="1683"/>
      <c r="I95" s="1683"/>
    </row>
    <row r="96" spans="1:10">
      <c r="A96" s="1683"/>
      <c r="B96" s="1683"/>
      <c r="C96" s="1683"/>
      <c r="D96" s="1683"/>
      <c r="E96" s="1683"/>
      <c r="F96" s="1683"/>
      <c r="H96" s="1683"/>
      <c r="I96" s="1683"/>
    </row>
    <row r="97" spans="1:9">
      <c r="A97" s="1683"/>
      <c r="B97" s="1683"/>
      <c r="C97" s="1683"/>
      <c r="D97" s="1683"/>
      <c r="E97" s="1683"/>
      <c r="F97" s="1683"/>
      <c r="H97" s="1683"/>
      <c r="I97" s="1683"/>
    </row>
    <row r="98" spans="1:9">
      <c r="A98" s="1683"/>
      <c r="B98" s="1683"/>
      <c r="C98" s="1683"/>
      <c r="D98" s="1683"/>
      <c r="E98" s="1683"/>
      <c r="F98" s="1683"/>
      <c r="H98" s="1683"/>
      <c r="I98" s="1683"/>
    </row>
    <row r="99" spans="1:9">
      <c r="A99" s="1683"/>
      <c r="B99" s="1683"/>
      <c r="C99" s="1683"/>
      <c r="D99" s="1683"/>
      <c r="E99" s="1683"/>
      <c r="F99" s="1683"/>
      <c r="H99" s="1683"/>
      <c r="I99" s="1683"/>
    </row>
    <row r="100" spans="1:9">
      <c r="A100" s="1683"/>
      <c r="B100" s="1683"/>
      <c r="C100" s="1683"/>
      <c r="D100" s="1683"/>
      <c r="E100" s="1683"/>
      <c r="F100" s="1683"/>
      <c r="H100" s="1683"/>
      <c r="I100" s="1683"/>
    </row>
    <row r="101" spans="1:9">
      <c r="A101" s="1683"/>
      <c r="B101" s="1683"/>
      <c r="C101" s="1683"/>
      <c r="D101" s="1683"/>
      <c r="E101" s="1683"/>
      <c r="F101" s="1683"/>
      <c r="H101" s="1683"/>
      <c r="I101" s="1683"/>
    </row>
    <row r="102" spans="1:9">
      <c r="A102" s="1683"/>
      <c r="B102" s="1683"/>
      <c r="C102" s="1683"/>
      <c r="D102" s="1683"/>
      <c r="E102" s="1683"/>
      <c r="F102" s="1683"/>
      <c r="H102" s="1683"/>
      <c r="I102" s="1683"/>
    </row>
    <row r="103" spans="1:9">
      <c r="A103" s="1683"/>
      <c r="B103" s="1683"/>
      <c r="C103" s="1683"/>
      <c r="D103" s="1683"/>
      <c r="E103" s="1683"/>
      <c r="F103" s="1683"/>
      <c r="H103" s="1683"/>
      <c r="I103" s="1683"/>
    </row>
    <row r="104" spans="1:9">
      <c r="A104" s="1683"/>
      <c r="B104" s="1683"/>
      <c r="C104" s="1683"/>
      <c r="D104" s="1683"/>
      <c r="E104" s="1683"/>
      <c r="F104" s="1683"/>
      <c r="H104" s="1683"/>
      <c r="I104" s="1683"/>
    </row>
    <row r="105" spans="1:9">
      <c r="A105" s="1683"/>
      <c r="B105" s="1683"/>
      <c r="C105" s="1683"/>
      <c r="D105" s="1683"/>
      <c r="E105" s="1683"/>
      <c r="F105" s="1683"/>
      <c r="H105" s="1683"/>
      <c r="I105" s="1683"/>
    </row>
    <row r="106" spans="1:9">
      <c r="A106" s="1683"/>
      <c r="B106" s="1683"/>
      <c r="C106" s="1683"/>
      <c r="D106" s="1683"/>
      <c r="E106" s="1683"/>
      <c r="F106" s="1683"/>
      <c r="H106" s="1683"/>
      <c r="I106" s="1683"/>
    </row>
    <row r="107" spans="1:9">
      <c r="A107" s="1683"/>
      <c r="B107" s="1683"/>
      <c r="C107" s="1683"/>
      <c r="D107" s="1683"/>
      <c r="E107" s="1683"/>
      <c r="F107" s="1683"/>
      <c r="H107" s="1683"/>
      <c r="I107" s="1683"/>
    </row>
    <row r="108" spans="1:9">
      <c r="A108" s="1683"/>
      <c r="B108" s="1683"/>
      <c r="C108" s="1683"/>
      <c r="D108" s="1683"/>
      <c r="E108" s="1683"/>
      <c r="F108" s="1683"/>
      <c r="H108" s="1683"/>
      <c r="I108" s="1683"/>
    </row>
    <row r="109" spans="1:9">
      <c r="A109" s="1683"/>
      <c r="B109" s="1683"/>
      <c r="C109" s="1683"/>
      <c r="D109" s="1683"/>
      <c r="E109" s="1683"/>
      <c r="F109" s="1683"/>
      <c r="H109" s="1683"/>
      <c r="I109" s="1683"/>
    </row>
    <row r="110" spans="1:9">
      <c r="A110" s="1683"/>
      <c r="B110" s="1683"/>
      <c r="C110" s="1683"/>
      <c r="D110" s="1683"/>
      <c r="E110" s="1683"/>
      <c r="F110" s="1683"/>
      <c r="H110" s="1683"/>
      <c r="I110" s="1683"/>
    </row>
    <row r="111" spans="1:9">
      <c r="A111" s="1683"/>
      <c r="B111" s="1683"/>
      <c r="C111" s="1683"/>
      <c r="D111" s="1683"/>
      <c r="E111" s="1683"/>
      <c r="F111" s="1683"/>
      <c r="H111" s="1683"/>
      <c r="I111" s="1683"/>
    </row>
    <row r="112" spans="1:9">
      <c r="A112" s="1683"/>
      <c r="B112" s="1683"/>
      <c r="C112" s="1683"/>
      <c r="D112" s="1683"/>
      <c r="E112" s="1683"/>
      <c r="F112" s="1683"/>
      <c r="H112" s="1683"/>
      <c r="I112" s="1683"/>
    </row>
    <row r="113" spans="1:9">
      <c r="A113" s="1683"/>
      <c r="B113" s="1683"/>
      <c r="C113" s="1683"/>
      <c r="D113" s="1683"/>
      <c r="E113" s="1683"/>
      <c r="F113" s="1683"/>
      <c r="H113" s="1732"/>
      <c r="I113" s="1683"/>
    </row>
    <row r="114" spans="1:9">
      <c r="A114" s="1683"/>
      <c r="B114" s="1683"/>
      <c r="C114" s="1683"/>
      <c r="D114" s="1683"/>
      <c r="E114" s="1683"/>
      <c r="F114" s="1683"/>
      <c r="H114" s="1732"/>
      <c r="I114" s="1683"/>
    </row>
    <row r="115" spans="1:9">
      <c r="A115" s="1683"/>
      <c r="B115" s="1683"/>
      <c r="C115" s="1683"/>
      <c r="D115" s="1683"/>
      <c r="E115" s="1683"/>
      <c r="F115" s="1683"/>
      <c r="H115" s="1732"/>
      <c r="I115" s="1683"/>
    </row>
    <row r="116" spans="1:9">
      <c r="A116" s="1683"/>
      <c r="B116" s="1683"/>
      <c r="C116" s="1683"/>
      <c r="D116" s="1683"/>
      <c r="E116" s="1683"/>
      <c r="F116" s="1683"/>
      <c r="H116" s="1732"/>
      <c r="I116" s="1683"/>
    </row>
    <row r="117" spans="1:9">
      <c r="A117" s="1683"/>
      <c r="B117" s="1733"/>
      <c r="C117" s="1683"/>
      <c r="D117" s="1683"/>
      <c r="E117" s="1683"/>
      <c r="F117" s="1683"/>
      <c r="H117" s="1732"/>
      <c r="I117" s="1683"/>
    </row>
    <row r="118" spans="1:9">
      <c r="A118" s="1688"/>
      <c r="B118" s="1734" t="s">
        <v>260</v>
      </c>
      <c r="C118" s="1735"/>
      <c r="D118" s="1683"/>
      <c r="E118" s="1683"/>
      <c r="F118" s="1683"/>
      <c r="I118" s="1683"/>
    </row>
    <row r="119" spans="1:9">
      <c r="A119" s="1688"/>
      <c r="B119" s="1736" t="s">
        <v>8065</v>
      </c>
      <c r="C119" s="1737" t="b">
        <v>0</v>
      </c>
      <c r="D119" s="1691"/>
      <c r="E119" s="1683"/>
      <c r="F119" s="1683"/>
      <c r="I119" s="1683"/>
    </row>
    <row r="120" spans="1:9">
      <c r="A120" s="1688"/>
      <c r="B120" s="1736" t="s">
        <v>479</v>
      </c>
      <c r="C120" s="1738">
        <v>1</v>
      </c>
      <c r="D120" s="1691"/>
      <c r="E120" s="1683"/>
      <c r="I120" s="1683"/>
    </row>
    <row r="121" spans="1:9">
      <c r="A121" s="1683"/>
      <c r="B121" s="1739" t="s">
        <v>38</v>
      </c>
      <c r="C121" s="1740">
        <v>1</v>
      </c>
      <c r="D121" s="1683"/>
      <c r="E121" s="1683"/>
      <c r="I121" s="1683"/>
    </row>
    <row r="122" spans="1:9">
      <c r="B122" s="1739" t="s">
        <v>39</v>
      </c>
      <c r="C122" s="1741">
        <v>2011</v>
      </c>
      <c r="D122" s="1683"/>
      <c r="E122" s="1683"/>
      <c r="I122" s="1683"/>
    </row>
    <row r="123" spans="1:9">
      <c r="B123" s="1739" t="s">
        <v>321</v>
      </c>
      <c r="C123" s="1740" t="b">
        <v>0</v>
      </c>
      <c r="E123" s="1683"/>
    </row>
    <row r="124" spans="1:9">
      <c r="B124" s="1739" t="s">
        <v>474</v>
      </c>
      <c r="C124" s="1740" t="b">
        <v>0</v>
      </c>
      <c r="E124" s="1683"/>
    </row>
    <row r="125" spans="1:9">
      <c r="B125" s="1742" t="s">
        <v>9280</v>
      </c>
      <c r="C125" s="1743" t="b">
        <v>0</v>
      </c>
      <c r="E125" s="1683"/>
    </row>
    <row r="126" spans="1:9">
      <c r="B126" s="1742" t="s">
        <v>9827</v>
      </c>
      <c r="C126" s="1743" t="b">
        <v>0</v>
      </c>
      <c r="E126" s="1683"/>
    </row>
    <row r="127" spans="1:9">
      <c r="B127" s="1742" t="s">
        <v>9829</v>
      </c>
      <c r="C127" s="1743"/>
      <c r="E127" s="1683"/>
    </row>
    <row r="128" spans="1:9">
      <c r="B128" s="1742" t="s">
        <v>9828</v>
      </c>
      <c r="C128" s="1743"/>
      <c r="E128" s="1683"/>
    </row>
    <row r="129" spans="2:5">
      <c r="B129" s="1742" t="s">
        <v>10913</v>
      </c>
      <c r="C129" s="1743" t="b">
        <v>0</v>
      </c>
      <c r="E129" s="1683"/>
    </row>
    <row r="130" spans="2:5">
      <c r="B130" s="1739" t="s">
        <v>396</v>
      </c>
      <c r="C130" s="1744" t="b">
        <v>0</v>
      </c>
      <c r="E130" s="1683"/>
    </row>
    <row r="131" spans="2:5">
      <c r="B131" s="1739" t="s">
        <v>8041</v>
      </c>
      <c r="C131" s="1703"/>
      <c r="E131" s="1683"/>
    </row>
    <row r="132" spans="2:5">
      <c r="B132" s="1742" t="s">
        <v>9277</v>
      </c>
      <c r="C132" s="1703" t="b">
        <v>0</v>
      </c>
    </row>
    <row r="133" spans="2:5">
      <c r="B133" s="1742" t="s">
        <v>8011</v>
      </c>
      <c r="C133" s="1745" t="b">
        <v>0</v>
      </c>
    </row>
    <row r="134" spans="2:5">
      <c r="B134" s="1739" t="s">
        <v>8009</v>
      </c>
      <c r="C134" s="1744" t="b">
        <v>0</v>
      </c>
    </row>
    <row r="135" spans="2:5">
      <c r="B135" s="1739" t="s">
        <v>8071</v>
      </c>
      <c r="C135" s="1744" t="b">
        <v>0</v>
      </c>
    </row>
    <row r="136" spans="2:5">
      <c r="B136" s="1739" t="s">
        <v>8064</v>
      </c>
      <c r="C136" s="1744" t="b">
        <v>0</v>
      </c>
    </row>
    <row r="137" spans="2:5">
      <c r="B137" s="1739" t="s">
        <v>8077</v>
      </c>
      <c r="C137" s="1744" t="b">
        <v>0</v>
      </c>
    </row>
    <row r="138" spans="2:5">
      <c r="B138" s="1739" t="s">
        <v>8010</v>
      </c>
      <c r="C138" s="1744" t="b">
        <v>0</v>
      </c>
    </row>
    <row r="139" spans="2:5">
      <c r="B139" s="1739" t="s">
        <v>8066</v>
      </c>
      <c r="C139" s="1744" t="b">
        <v>0</v>
      </c>
    </row>
    <row r="140" spans="2:5">
      <c r="B140" s="1739" t="s">
        <v>8067</v>
      </c>
      <c r="C140" s="1744"/>
    </row>
  </sheetData>
  <sheetProtection formatCells="0" formatColumns="0" formatRows="0"/>
  <phoneticPr fontId="3" type="noConversion"/>
  <conditionalFormatting sqref="C131:C132 F18 F13:F14">
    <cfRule type="expression" dxfId="103" priority="11">
      <formula>C13&lt;&gt;""</formula>
    </cfRule>
  </conditionalFormatting>
  <conditionalFormatting sqref="E14:F15 E17:F18 E22:F38">
    <cfRule type="expression" dxfId="102" priority="6">
      <formula>OR(oppty.eRateMktRatesMode=TRUE,oppty.VoltageMode=TRUE)</formula>
    </cfRule>
  </conditionalFormatting>
  <conditionalFormatting sqref="E5:F5">
    <cfRule type="expression" dxfId="101" priority="3">
      <formula>oppty.VoltageMode</formula>
    </cfRule>
  </conditionalFormatting>
  <conditionalFormatting sqref="K11">
    <cfRule type="expression" dxfId="100" priority="1">
      <formula>errorMsg1&lt;&gt;""</formula>
    </cfRule>
  </conditionalFormatting>
  <dataValidations xWindow="405" yWindow="720" count="18">
    <dataValidation type="list" allowBlank="1" showInputMessage="1" showErrorMessage="1" sqref="C123:C126" xr:uid="{00000000-0002-0000-0500-000000000000}">
      <formula1>"TRUE,FALSE"</formula1>
    </dataValidation>
    <dataValidation type="decimal" operator="greaterThan" allowBlank="1" showInputMessage="1" showErrorMessage="1" errorTitle="Must enter a number with decimal" error="Must enter a number with decimal" promptTitle="Must enter a number with decimal" sqref="C36" xr:uid="{00000000-0002-0000-0500-000001000000}">
      <formula1>0</formula1>
    </dataValidation>
    <dataValidation type="list" operator="greaterThan" allowBlank="1" showInputMessage="1" showErrorMessage="1" errorTitle="Must enter a number with decimal" error="Must enter a number with decimal" promptTitle="Must enter a number with decimal" sqref="C37" xr:uid="{00000000-0002-0000-0500-000002000000}">
      <formula1>vlImsThresholds.sThreshold</formula1>
    </dataValidation>
    <dataValidation type="list" allowBlank="1" showInputMessage="1" showErrorMessage="1" sqref="C4" xr:uid="{00000000-0002-0000-0500-000003000000}">
      <formula1>dates</formula1>
    </dataValidation>
    <dataValidation type="list" allowBlank="1" showInputMessage="1" showErrorMessage="1" sqref="C6" xr:uid="{00000000-0002-0000-0500-000004000000}">
      <formula1>"Primary,Alternate"</formula1>
    </dataValidation>
    <dataValidation type="list" allowBlank="1" showInputMessage="1" showErrorMessage="1" sqref="C7" xr:uid="{00000000-0002-0000-0500-000005000000}">
      <formula1>svlImsContractTypes.sContractType</formula1>
    </dataValidation>
    <dataValidation type="list" allowBlank="1" showInputMessage="1" showErrorMessage="1" sqref="C23" xr:uid="{00000000-0002-0000-0500-000006000000}">
      <formula1>kvlSalesChannels</formula1>
    </dataValidation>
    <dataValidation type="list" allowBlank="1" showInputMessage="1" showErrorMessage="1" sqref="C24" xr:uid="{00000000-0002-0000-0500-000007000000}">
      <formula1>kvlBus</formula1>
    </dataValidation>
    <dataValidation type="list" allowBlank="1" showInputMessage="1" showErrorMessage="1" sqref="C25" xr:uid="{00000000-0002-0000-0500-000008000000}">
      <formula1>kvlSalesVps</formula1>
    </dataValidation>
    <dataValidation type="list" allowBlank="1" showInputMessage="1" showErrorMessage="1" sqref="C26" xr:uid="{00000000-0002-0000-0500-000009000000}">
      <formula1>svlImsSalesStates.sSalesState</formula1>
    </dataValidation>
    <dataValidation type="list" allowBlank="1" showInputMessage="1" showErrorMessage="1" sqref="C27" xr:uid="{00000000-0002-0000-0500-00000A000000}">
      <formula1>svlImsSalesPersons.sSalesperson</formula1>
    </dataValidation>
    <dataValidation type="list" allowBlank="1" showInputMessage="1" showErrorMessage="1" sqref="C9" xr:uid="{00000000-0002-0000-0500-00000B000000}">
      <formula1>svlImsAffiliates.sAffiliate</formula1>
    </dataValidation>
    <dataValidation type="list" allowBlank="1" showInputMessage="1" showErrorMessage="1" sqref="C22" xr:uid="{00000000-0002-0000-0500-00000C000000}">
      <formula1>svlImsSegments.sSegment</formula1>
    </dataValidation>
    <dataValidation type="whole" allowBlank="1" showInputMessage="1" showErrorMessage="1" sqref="C8" xr:uid="{00000000-0002-0000-0500-00000D000000}">
      <formula1>0</formula1>
      <formula2>120</formula2>
    </dataValidation>
    <dataValidation type="custom" allowBlank="1" showErrorMessage="1" errorTitle="Form 470 Number" error="A 9 or 15-digit number is required" promptTitle="Form 470 Number" sqref="C31:C32" xr:uid="{00000000-0002-0000-0500-00000E000000}">
      <formula1>AND(ISNUMBER(C31),OR(LEN(C31)=9,LEN(C31)=15))</formula1>
    </dataValidation>
    <dataValidation type="list" allowBlank="1" showInputMessage="1" promptTitle="Competitor" prompt="Please select a competitor from the list.  If your competitor is not in the list, select &quot;Other…&quot; and type in the competitor name manually.  Response must be obtained in compliance with applicable law and with AT&amp;T's code of Business Conduct." sqref="C35" xr:uid="{00000000-0002-0000-0500-00000F000000}">
      <formula1>sLookupTables_Competitors.Competitor</formula1>
    </dataValidation>
    <dataValidation type="list" allowBlank="1" showInputMessage="1" showErrorMessage="1" sqref="B29" xr:uid="{00000000-0002-0000-0500-000010000000}">
      <formula1>$AA$1:$AA$9</formula1>
    </dataValidation>
    <dataValidation type="textLength" allowBlank="1" showInputMessage="1" showErrorMessage="1" errorTitle="ERROR" error="Value entered is not 6 characters long." sqref="H12:H38" xr:uid="{00000000-0002-0000-0500-000011000000}">
      <formula1>6</formula1>
      <formula2>6</formula2>
    </dataValidation>
  </dataValidations>
  <pageMargins left="0.75" right="0.75" top="1" bottom="1" header="0.5" footer="0.5"/>
  <pageSetup orientation="portrait" r:id="rId1"/>
  <headerFooter alignWithMargins="0">
    <oddFooter>&amp;CAT&amp;&amp;T Proprietary (Internal Use Only)</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8" r:id="rId4" name="btnStartNewDeal">
              <controlPr defaultSize="0" autoFill="0" autoPict="0" macro="[0]!startNewDealButton">
                <anchor>
                  <from>
                    <xdr:col>4</xdr:col>
                    <xdr:colOff>19050</xdr:colOff>
                    <xdr:row>0</xdr:row>
                    <xdr:rowOff>85725</xdr:rowOff>
                  </from>
                  <to>
                    <xdr:col>5</xdr:col>
                    <xdr:colOff>238125</xdr:colOff>
                    <xdr:row>0</xdr:row>
                    <xdr:rowOff>361950</xdr:rowOff>
                  </to>
                </anchor>
              </controlPr>
            </control>
          </mc:Choice>
        </mc:AlternateContent>
        <mc:AlternateContent xmlns:mc="http://schemas.openxmlformats.org/markup-compatibility/2006">
          <mc:Choice Requires="x14">
            <control shapeId="2059" r:id="rId5" name="Button 11">
              <controlPr defaultSize="0" autoFill="0" autoPict="0" macro="[0]!Step0_Next">
                <anchor>
                  <from>
                    <xdr:col>5</xdr:col>
                    <xdr:colOff>409575</xdr:colOff>
                    <xdr:row>0</xdr:row>
                    <xdr:rowOff>85725</xdr:rowOff>
                  </from>
                  <to>
                    <xdr:col>5</xdr:col>
                    <xdr:colOff>1962150</xdr:colOff>
                    <xdr:row>0</xdr:row>
                    <xdr:rowOff>361950</xdr:rowOff>
                  </to>
                </anchor>
              </controlPr>
            </control>
          </mc:Choice>
        </mc:AlternateContent>
        <mc:AlternateContent xmlns:mc="http://schemas.openxmlformats.org/markup-compatibility/2006">
          <mc:Choice Requires="x14">
            <control shapeId="2060" r:id="rId6" name="Button 12">
              <controlPr defaultSize="0" autoFill="0" autoPict="0" macro="[0]!no_ecrm">
                <anchor moveWithCells="1">
                  <from>
                    <xdr:col>2</xdr:col>
                    <xdr:colOff>152400</xdr:colOff>
                    <xdr:row>16</xdr:row>
                    <xdr:rowOff>0</xdr:rowOff>
                  </from>
                  <to>
                    <xdr:col>2</xdr:col>
                    <xdr:colOff>1828800</xdr:colOff>
                    <xdr:row>17</xdr:row>
                    <xdr:rowOff>123825</xdr:rowOff>
                  </to>
                </anchor>
              </controlPr>
            </control>
          </mc:Choice>
        </mc:AlternateContent>
        <mc:AlternateContent xmlns:mc="http://schemas.openxmlformats.org/markup-compatibility/2006">
          <mc:Choice Requires="x14">
            <control shapeId="2061" r:id="rId7" name="Button 13">
              <controlPr defaultSize="0" autoFill="0" autoPict="0" macro="[0]!clear_ecrm">
                <anchor moveWithCells="1">
                  <from>
                    <xdr:col>1</xdr:col>
                    <xdr:colOff>904875</xdr:colOff>
                    <xdr:row>18</xdr:row>
                    <xdr:rowOff>95250</xdr:rowOff>
                  </from>
                  <to>
                    <xdr:col>2</xdr:col>
                    <xdr:colOff>1047750</xdr:colOff>
                    <xdr:row>20</xdr:row>
                    <xdr:rowOff>57150</xdr:rowOff>
                  </to>
                </anchor>
              </controlPr>
            </control>
          </mc:Choice>
        </mc:AlternateContent>
        <mc:AlternateContent xmlns:mc="http://schemas.openxmlformats.org/markup-compatibility/2006">
          <mc:Choice Requires="x14">
            <control shapeId="2062" r:id="rId8" name="Button 14">
              <controlPr defaultSize="0" autoFill="0" autoPict="0" macro="[0]!FindECRM">
                <anchor moveWithCells="1">
                  <from>
                    <xdr:col>1</xdr:col>
                    <xdr:colOff>219075</xdr:colOff>
                    <xdr:row>15</xdr:row>
                    <xdr:rowOff>152400</xdr:rowOff>
                  </from>
                  <to>
                    <xdr:col>2</xdr:col>
                    <xdr:colOff>57150</xdr:colOff>
                    <xdr:row>17</xdr:row>
                    <xdr:rowOff>123825</xdr:rowOff>
                  </to>
                </anchor>
              </controlPr>
            </control>
          </mc:Choice>
        </mc:AlternateContent>
        <mc:AlternateContent xmlns:mc="http://schemas.openxmlformats.org/markup-compatibility/2006">
          <mc:Choice Requires="x14">
            <control shapeId="2082" r:id="rId9" name="Drop Down 34">
              <controlPr defaultSize="0" autoFill="0" autoPict="0">
                <anchor moveWithCells="1">
                  <from>
                    <xdr:col>1</xdr:col>
                    <xdr:colOff>0</xdr:colOff>
                    <xdr:row>0</xdr:row>
                    <xdr:rowOff>123825</xdr:rowOff>
                  </from>
                  <to>
                    <xdr:col>1</xdr:col>
                    <xdr:colOff>1266825</xdr:colOff>
                    <xdr:row>0</xdr:row>
                    <xdr:rowOff>323850</xdr:rowOff>
                  </to>
                </anchor>
              </controlPr>
            </control>
          </mc:Choice>
        </mc:AlternateContent>
        <mc:AlternateContent xmlns:mc="http://schemas.openxmlformats.org/markup-compatibility/2006">
          <mc:Choice Requires="x14">
            <control shapeId="2083" r:id="rId10" name="btnSaveDeal">
              <controlPr defaultSize="0" autoFill="0" autoPict="0" macro="[0]!saveDealButton">
                <anchor>
                  <from>
                    <xdr:col>5</xdr:col>
                    <xdr:colOff>409575</xdr:colOff>
                    <xdr:row>0</xdr:row>
                    <xdr:rowOff>466725</xdr:rowOff>
                  </from>
                  <to>
                    <xdr:col>5</xdr:col>
                    <xdr:colOff>1962150</xdr:colOff>
                    <xdr:row>0</xdr:row>
                    <xdr:rowOff>742950</xdr:rowOff>
                  </to>
                </anchor>
              </controlPr>
            </control>
          </mc:Choice>
        </mc:AlternateContent>
        <mc:AlternateContent xmlns:mc="http://schemas.openxmlformats.org/markup-compatibility/2006">
          <mc:Choice Requires="x14">
            <control shapeId="2085" r:id="rId11" name="Button 37">
              <controlPr defaultSize="0" autoFill="0" autoPict="0" macro="[0]!LoadDealButton">
                <anchor>
                  <from>
                    <xdr:col>4</xdr:col>
                    <xdr:colOff>19050</xdr:colOff>
                    <xdr:row>0</xdr:row>
                    <xdr:rowOff>466725</xdr:rowOff>
                  </from>
                  <to>
                    <xdr:col>5</xdr:col>
                    <xdr:colOff>238125</xdr:colOff>
                    <xdr:row>0</xdr:row>
                    <xdr:rowOff>742950</xdr:rowOff>
                  </to>
                </anchor>
              </controlPr>
            </control>
          </mc:Choice>
        </mc:AlternateContent>
        <mc:AlternateContent xmlns:mc="http://schemas.openxmlformats.org/markup-compatibility/2006">
          <mc:Choice Requires="x14">
            <control shapeId="2094" r:id="rId12" name="btnRefreshDealStatus">
              <controlPr defaultSize="0" autoFill="0" autoPict="0" macro="[0]!getPermissionAndSubmissionStatusFromScreen">
                <anchor moveWithCells="1">
                  <from>
                    <xdr:col>4</xdr:col>
                    <xdr:colOff>942975</xdr:colOff>
                    <xdr:row>18</xdr:row>
                    <xdr:rowOff>142875</xdr:rowOff>
                  </from>
                  <to>
                    <xdr:col>5</xdr:col>
                    <xdr:colOff>1162050</xdr:colOff>
                    <xdr:row>20</xdr:row>
                    <xdr:rowOff>19050</xdr:rowOff>
                  </to>
                </anchor>
              </controlPr>
            </control>
          </mc:Choice>
        </mc:AlternateContent>
        <mc:AlternateContent xmlns:mc="http://schemas.openxmlformats.org/markup-compatibility/2006">
          <mc:Choice Requires="x14">
            <control shapeId="2096" r:id="rId13" name="btnOpenAllTabs">
              <controlPr defaultSize="0" autoFill="0" autoPict="0" macro="[0]!OpenAll">
                <anchor>
                  <from>
                    <xdr:col>6</xdr:col>
                    <xdr:colOff>85725</xdr:colOff>
                    <xdr:row>0</xdr:row>
                    <xdr:rowOff>85725</xdr:rowOff>
                  </from>
                  <to>
                    <xdr:col>8</xdr:col>
                    <xdr:colOff>114300</xdr:colOff>
                    <xdr:row>0</xdr:row>
                    <xdr:rowOff>361950</xdr:rowOff>
                  </to>
                </anchor>
              </controlPr>
            </control>
          </mc:Choice>
        </mc:AlternateContent>
        <mc:AlternateContent xmlns:mc="http://schemas.openxmlformats.org/markup-compatibility/2006">
          <mc:Choice Requires="x14">
            <control shapeId="2097" r:id="rId14" name="btnSaveWNewDealNum">
              <controlPr defaultSize="0" autoFill="0" autoPict="0" macro="[0]!saveAsNewDealButton">
                <anchor>
                  <from>
                    <xdr:col>6</xdr:col>
                    <xdr:colOff>85725</xdr:colOff>
                    <xdr:row>0</xdr:row>
                    <xdr:rowOff>466725</xdr:rowOff>
                  </from>
                  <to>
                    <xdr:col>8</xdr:col>
                    <xdr:colOff>133350</xdr:colOff>
                    <xdr:row>0</xdr:row>
                    <xdr:rowOff>733425</xdr:rowOff>
                  </to>
                </anchor>
              </controlPr>
            </control>
          </mc:Choice>
        </mc:AlternateContent>
        <mc:AlternateContent xmlns:mc="http://schemas.openxmlformats.org/markup-compatibility/2006">
          <mc:Choice Requires="x14">
            <control shapeId="2098" r:id="rId15" name="btnCustomerContracts">
              <controlPr defaultSize="0" autoFill="0" autoPict="0" macro="[0]!checkAvailableContracts">
                <anchor>
                  <from>
                    <xdr:col>4</xdr:col>
                    <xdr:colOff>76200</xdr:colOff>
                    <xdr:row>1</xdr:row>
                    <xdr:rowOff>85725</xdr:rowOff>
                  </from>
                  <to>
                    <xdr:col>5</xdr:col>
                    <xdr:colOff>295275</xdr:colOff>
                    <xdr:row>2</xdr:row>
                    <xdr:rowOff>19050</xdr:rowOff>
                  </to>
                </anchor>
              </controlPr>
            </control>
          </mc:Choice>
        </mc:AlternateContent>
        <mc:AlternateContent xmlns:mc="http://schemas.openxmlformats.org/markup-compatibility/2006">
          <mc:Choice Requires="x14">
            <control shapeId="2101" r:id="rId16" name="btnERateCDT">
              <controlPr defaultSize="0" print="0" autoFill="0" autoPict="0" macro="[0]!simplifyCDT">
                <anchor>
                  <from>
                    <xdr:col>1</xdr:col>
                    <xdr:colOff>1362075</xdr:colOff>
                    <xdr:row>0</xdr:row>
                    <xdr:rowOff>400050</xdr:rowOff>
                  </from>
                  <to>
                    <xdr:col>2</xdr:col>
                    <xdr:colOff>676275</xdr:colOff>
                    <xdr:row>1</xdr:row>
                    <xdr:rowOff>66675</xdr:rowOff>
                  </to>
                </anchor>
              </controlPr>
            </control>
          </mc:Choice>
        </mc:AlternateContent>
        <mc:AlternateContent xmlns:mc="http://schemas.openxmlformats.org/markup-compatibility/2006">
          <mc:Choice Requires="x14">
            <control shapeId="2103" r:id="rId17" name="btnResetCDT">
              <controlPr defaultSize="0" print="0" autoFill="0" autoPict="0" macro="[0]!ResetCDT">
                <anchor>
                  <from>
                    <xdr:col>1</xdr:col>
                    <xdr:colOff>123825</xdr:colOff>
                    <xdr:row>0</xdr:row>
                    <xdr:rowOff>409575</xdr:rowOff>
                  </from>
                  <to>
                    <xdr:col>1</xdr:col>
                    <xdr:colOff>1152525</xdr:colOff>
                    <xdr:row>1</xdr:row>
                    <xdr:rowOff>57150</xdr:rowOff>
                  </to>
                </anchor>
              </controlPr>
            </control>
          </mc:Choice>
        </mc:AlternateContent>
        <mc:AlternateContent xmlns:mc="http://schemas.openxmlformats.org/markup-compatibility/2006">
          <mc:Choice Requires="x14">
            <control shapeId="2107" r:id="rId18" name="btnProposal">
              <controlPr defaultSize="0" autoFill="0" autoPict="0" macro="[0]!wsStep0.Open_Prop">
                <anchor>
                  <from>
                    <xdr:col>6</xdr:col>
                    <xdr:colOff>85725</xdr:colOff>
                    <xdr:row>1</xdr:row>
                    <xdr:rowOff>38100</xdr:rowOff>
                  </from>
                  <to>
                    <xdr:col>8</xdr:col>
                    <xdr:colOff>123825</xdr:colOff>
                    <xdr:row>2</xdr:row>
                    <xdr:rowOff>9525</xdr:rowOff>
                  </to>
                </anchor>
              </controlPr>
            </control>
          </mc:Choice>
        </mc:AlternateContent>
        <mc:AlternateContent xmlns:mc="http://schemas.openxmlformats.org/markup-compatibility/2006">
          <mc:Choice Requires="x14">
            <control shapeId="2110" r:id="rId19" name="btnVoltageRL">
              <controlPr defaultSize="0" autoFill="0" autoPict="0" macro="[0]!CreateVoltageRLButton">
                <anchor>
                  <from>
                    <xdr:col>4</xdr:col>
                    <xdr:colOff>19050</xdr:colOff>
                    <xdr:row>1</xdr:row>
                    <xdr:rowOff>38100</xdr:rowOff>
                  </from>
                  <to>
                    <xdr:col>5</xdr:col>
                    <xdr:colOff>1962150</xdr:colOff>
                    <xdr:row>2</xdr:row>
                    <xdr:rowOff>0</xdr:rowOff>
                  </to>
                </anchor>
              </controlPr>
            </control>
          </mc:Choice>
        </mc:AlternateContent>
        <mc:AlternateContent xmlns:mc="http://schemas.openxmlformats.org/markup-compatibility/2006">
          <mc:Choice Requires="x14">
            <control shapeId="2111" r:id="rId20" name="btnCDTPopup">
              <controlPr defaultSize="0" print="0" autoFill="0" autoPict="0" macro="[0]!showCDTPopUp">
                <anchor>
                  <from>
                    <xdr:col>1</xdr:col>
                    <xdr:colOff>1371600</xdr:colOff>
                    <xdr:row>0</xdr:row>
                    <xdr:rowOff>76200</xdr:rowOff>
                  </from>
                  <to>
                    <xdr:col>2</xdr:col>
                    <xdr:colOff>1962150</xdr:colOff>
                    <xdr:row>0</xdr:row>
                    <xdr:rowOff>314325</xdr:rowOff>
                  </to>
                </anchor>
              </controlPr>
            </control>
          </mc:Choice>
        </mc:AlternateContent>
        <mc:AlternateContent xmlns:mc="http://schemas.openxmlformats.org/markup-compatibility/2006">
          <mc:Choice Requires="x14">
            <control shapeId="2112" r:id="rId21" name="btnRevertToStandard">
              <controlPr defaultSize="0" autoFill="0" autoPict="0" macro="[0]!ResetCDT">
                <anchor>
                  <from>
                    <xdr:col>4</xdr:col>
                    <xdr:colOff>9525</xdr:colOff>
                    <xdr:row>2</xdr:row>
                    <xdr:rowOff>123825</xdr:rowOff>
                  </from>
                  <to>
                    <xdr:col>5</xdr:col>
                    <xdr:colOff>1962150</xdr:colOff>
                    <xdr:row>10</xdr:row>
                    <xdr:rowOff>76200</xdr:rowOff>
                  </to>
                </anchor>
              </controlPr>
            </control>
          </mc:Choice>
        </mc:AlternateContent>
        <mc:AlternateContent xmlns:mc="http://schemas.openxmlformats.org/markup-compatibility/2006">
          <mc:Choice Requires="x14">
            <control shapeId="2114" r:id="rId22" name="btnVoltageCDT">
              <controlPr defaultSize="0" print="0" autoFill="0" autoPict="0" macro="[0]!VoltageCDTButton">
                <anchor>
                  <from>
                    <xdr:col>49</xdr:col>
                    <xdr:colOff>180975</xdr:colOff>
                    <xdr:row>10</xdr:row>
                    <xdr:rowOff>76200</xdr:rowOff>
                  </from>
                  <to>
                    <xdr:col>51</xdr:col>
                    <xdr:colOff>133350</xdr:colOff>
                    <xdr:row>14</xdr:row>
                    <xdr:rowOff>66675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wsProposal"/>
  <dimension ref="A1:H25"/>
  <sheetViews>
    <sheetView showGridLines="0" workbookViewId="0">
      <selection activeCell="B5" sqref="B5"/>
    </sheetView>
  </sheetViews>
  <sheetFormatPr defaultRowHeight="12.75"/>
  <cols>
    <col min="2" max="2" width="35.7109375" customWidth="1"/>
  </cols>
  <sheetData>
    <row r="1" spans="1:8" ht="18">
      <c r="A1" s="1243" t="s">
        <v>10311</v>
      </c>
    </row>
    <row r="2" spans="1:8" ht="18">
      <c r="B2" s="1243" t="s">
        <v>10312</v>
      </c>
    </row>
    <row r="4" spans="1:8">
      <c r="A4" s="1"/>
      <c r="B4" s="943"/>
      <c r="C4" s="944" t="s">
        <v>9811</v>
      </c>
      <c r="D4" s="944"/>
      <c r="E4" s="944"/>
      <c r="F4" s="944"/>
      <c r="G4" s="944"/>
      <c r="H4" s="945"/>
    </row>
    <row r="5" spans="1:8">
      <c r="A5" s="1"/>
      <c r="B5" s="1244" t="s">
        <v>365</v>
      </c>
      <c r="C5" s="954" t="s">
        <v>9812</v>
      </c>
      <c r="D5" s="946"/>
      <c r="E5" s="946"/>
      <c r="F5" s="946"/>
      <c r="G5" s="946"/>
      <c r="H5" s="947"/>
    </row>
    <row r="6" spans="1:8">
      <c r="A6" s="1"/>
      <c r="B6" s="942"/>
      <c r="C6" s="941"/>
      <c r="D6" s="941"/>
      <c r="E6" s="941"/>
      <c r="F6" s="941"/>
      <c r="G6" s="941"/>
      <c r="H6" s="941"/>
    </row>
    <row r="7" spans="1:8">
      <c r="A7" s="1"/>
      <c r="B7" s="955" t="s">
        <v>9805</v>
      </c>
      <c r="C7" s="948"/>
      <c r="D7" s="948"/>
      <c r="E7" s="948"/>
      <c r="F7" s="948"/>
      <c r="G7" s="948"/>
      <c r="H7" s="949"/>
    </row>
    <row r="8" spans="1:8">
      <c r="A8" s="1"/>
      <c r="B8" s="956" t="s">
        <v>9804</v>
      </c>
      <c r="C8" s="950"/>
      <c r="D8" s="950"/>
      <c r="E8" s="950"/>
      <c r="F8" s="950"/>
      <c r="G8" s="950"/>
      <c r="H8" s="951"/>
    </row>
    <row r="9" spans="1:8">
      <c r="A9" s="1"/>
      <c r="B9" s="957" t="s">
        <v>9803</v>
      </c>
      <c r="C9" s="952"/>
      <c r="D9" s="952"/>
      <c r="E9" s="952"/>
      <c r="F9" s="952"/>
      <c r="G9" s="952"/>
      <c r="H9" s="953"/>
    </row>
    <row r="10" spans="1:8" ht="43.5" customHeight="1">
      <c r="A10" s="1"/>
      <c r="B10" s="1245"/>
      <c r="C10" s="11" t="s">
        <v>9802</v>
      </c>
      <c r="D10" s="10"/>
      <c r="E10" s="10"/>
      <c r="F10" s="10"/>
      <c r="G10" s="10"/>
      <c r="H10" s="9"/>
    </row>
    <row r="11" spans="1:8">
      <c r="A11" s="1"/>
      <c r="B11" s="1245"/>
      <c r="C11" s="954" t="s">
        <v>9801</v>
      </c>
      <c r="D11" s="946"/>
      <c r="E11" s="946"/>
      <c r="F11" s="946"/>
      <c r="G11" s="946"/>
      <c r="H11" s="947"/>
    </row>
    <row r="12" spans="1:8" ht="39.75" customHeight="1">
      <c r="A12" s="1"/>
      <c r="B12" s="1245"/>
      <c r="C12" s="8" t="s">
        <v>9800</v>
      </c>
      <c r="D12" s="10"/>
      <c r="E12" s="10"/>
      <c r="F12" s="10"/>
      <c r="G12" s="10"/>
      <c r="H12" s="9"/>
    </row>
    <row r="13" spans="1:8">
      <c r="A13" s="1"/>
      <c r="B13" s="1245"/>
      <c r="C13" s="954" t="s">
        <v>9799</v>
      </c>
      <c r="D13" s="946"/>
      <c r="E13" s="946"/>
      <c r="F13" s="946"/>
      <c r="G13" s="946"/>
      <c r="H13" s="947"/>
    </row>
    <row r="14" spans="1:8" ht="49.7" customHeight="1">
      <c r="A14" s="1"/>
      <c r="B14" s="1245"/>
      <c r="C14" s="8" t="s">
        <v>9798</v>
      </c>
      <c r="D14" s="10"/>
      <c r="E14" s="10"/>
      <c r="F14" s="10"/>
      <c r="G14" s="10"/>
      <c r="H14" s="9"/>
    </row>
    <row r="15" spans="1:8" ht="30.75" customHeight="1">
      <c r="A15" s="1"/>
      <c r="B15" s="1245"/>
      <c r="C15" s="8" t="s">
        <v>9797</v>
      </c>
      <c r="D15" s="10"/>
      <c r="E15" s="10"/>
      <c r="F15" s="10"/>
      <c r="G15" s="10"/>
      <c r="H15" s="9"/>
    </row>
    <row r="16" spans="1:8" ht="5.25" customHeight="1">
      <c r="A16" s="1"/>
      <c r="B16" s="942"/>
      <c r="C16" s="958"/>
      <c r="D16" s="941"/>
      <c r="E16" s="941"/>
      <c r="F16" s="941"/>
      <c r="G16" s="941"/>
      <c r="H16" s="941"/>
    </row>
    <row r="17" spans="1:8">
      <c r="A17" s="1"/>
      <c r="B17" s="1244"/>
      <c r="C17" s="954" t="s">
        <v>9796</v>
      </c>
      <c r="D17" s="946"/>
      <c r="E17" s="946"/>
      <c r="F17" s="946"/>
      <c r="G17" s="946"/>
      <c r="H17" s="947"/>
    </row>
    <row r="18" spans="1:8">
      <c r="A18" s="1"/>
      <c r="B18" s="1244"/>
      <c r="C18" s="954" t="s">
        <v>9795</v>
      </c>
      <c r="D18" s="946"/>
      <c r="E18" s="946"/>
      <c r="F18" s="946"/>
      <c r="G18" s="946"/>
      <c r="H18" s="947"/>
    </row>
    <row r="19" spans="1:8">
      <c r="A19" s="1"/>
      <c r="B19" s="1244"/>
      <c r="C19" s="954" t="s">
        <v>9794</v>
      </c>
      <c r="D19" s="946"/>
      <c r="E19" s="946"/>
      <c r="F19" s="946"/>
      <c r="G19" s="946"/>
      <c r="H19" s="947"/>
    </row>
    <row r="20" spans="1:8">
      <c r="A20" s="1"/>
      <c r="B20" s="1244"/>
      <c r="C20" s="954" t="s">
        <v>9793</v>
      </c>
      <c r="D20" s="946"/>
      <c r="E20" s="946"/>
      <c r="F20" s="946"/>
      <c r="G20" s="946"/>
      <c r="H20" s="947"/>
    </row>
    <row r="21" spans="1:8">
      <c r="A21" s="1"/>
      <c r="B21" s="1244"/>
      <c r="C21" s="954" t="s">
        <v>9792</v>
      </c>
      <c r="D21" s="946"/>
      <c r="E21" s="946"/>
      <c r="F21" s="946"/>
      <c r="G21" s="946"/>
      <c r="H21" s="947"/>
    </row>
    <row r="22" spans="1:8">
      <c r="A22" s="1"/>
      <c r="B22" s="1244"/>
      <c r="C22" s="954" t="s">
        <v>9791</v>
      </c>
      <c r="D22" s="946"/>
      <c r="E22" s="946"/>
      <c r="F22" s="946"/>
      <c r="G22" s="946"/>
      <c r="H22" s="947"/>
    </row>
    <row r="23" spans="1:8">
      <c r="A23" s="1"/>
      <c r="B23" s="1244"/>
      <c r="C23" s="954" t="s">
        <v>9790</v>
      </c>
      <c r="D23" s="946"/>
      <c r="E23" s="946"/>
      <c r="F23" s="946"/>
      <c r="G23" s="946"/>
      <c r="H23" s="947"/>
    </row>
    <row r="24" spans="1:8">
      <c r="A24" s="1"/>
      <c r="B24" s="1246"/>
      <c r="C24" s="954" t="s">
        <v>9789</v>
      </c>
      <c r="D24" s="946"/>
      <c r="E24" s="946"/>
      <c r="F24" s="946"/>
      <c r="G24" s="946"/>
      <c r="H24" s="947"/>
    </row>
    <row r="25" spans="1:8">
      <c r="A25" s="1"/>
      <c r="B25" s="1244"/>
      <c r="C25" s="954" t="s">
        <v>9788</v>
      </c>
      <c r="D25" s="946"/>
      <c r="E25" s="946"/>
      <c r="F25" s="946"/>
      <c r="G25" s="946"/>
      <c r="H25" s="947"/>
    </row>
  </sheetData>
  <mergeCells count="4">
    <mergeCell ref="C10:H10"/>
    <mergeCell ref="C12:H12"/>
    <mergeCell ref="C14:H14"/>
    <mergeCell ref="C15:H15"/>
  </mergeCells>
  <dataValidations count="2">
    <dataValidation type="list" allowBlank="1" showInputMessage="1" showErrorMessage="1" sqref="B11" xr:uid="{00000000-0002-0000-0600-000000000000}">
      <formula1>"a,an"</formula1>
    </dataValidation>
    <dataValidation type="list" allowBlank="1" showInputMessage="1" showErrorMessage="1" sqref="B5" xr:uid="{00000000-0002-0000-0600-000001000000}">
      <formula1>"Yes,No"</formula1>
    </dataValidation>
  </dataValidations>
  <pageMargins left="0.7" right="0.7" top="0.75" bottom="0.75" header="0.3" footer="0.3"/>
  <pageSetup orientation="portrait" r:id="rId1"/>
  <headerFooter>
    <oddFooter>&amp;CAT&amp;&amp;T Proprietary (Internal Use Only)</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56035" r:id="rId4" name="Button 3">
              <controlPr defaultSize="0" autoFill="0" autoPict="0" macro="[0]!wsProposal.Close_Prop">
                <anchor>
                  <from>
                    <xdr:col>8</xdr:col>
                    <xdr:colOff>152400</xdr:colOff>
                    <xdr:row>0</xdr:row>
                    <xdr:rowOff>180975</xdr:rowOff>
                  </from>
                  <to>
                    <xdr:col>10</xdr:col>
                    <xdr:colOff>304800</xdr:colOff>
                    <xdr:row>2</xdr:row>
                    <xdr:rowOff>0</xdr:rowOff>
                  </to>
                </anchor>
              </controlPr>
            </control>
          </mc:Choice>
        </mc:AlternateContent>
        <mc:AlternateContent xmlns:mc="http://schemas.openxmlformats.org/markup-compatibility/2006">
          <mc:Choice Requires="x14">
            <control shapeId="556037" r:id="rId5" name="btnOpenAllTabs">
              <controlPr defaultSize="0" autoFill="0" autoPict="0" macro="[0]!OpenAll">
                <anchor>
                  <from>
                    <xdr:col>8</xdr:col>
                    <xdr:colOff>152400</xdr:colOff>
                    <xdr:row>2</xdr:row>
                    <xdr:rowOff>104775</xdr:rowOff>
                  </from>
                  <to>
                    <xdr:col>10</xdr:col>
                    <xdr:colOff>304800</xdr:colOff>
                    <xdr:row>4</xdr:row>
                    <xdr:rowOff>57150</xdr:rowOff>
                  </to>
                </anchor>
              </controlPr>
            </control>
          </mc:Choice>
        </mc:AlternateContent>
        <mc:AlternateContent xmlns:mc="http://schemas.openxmlformats.org/markup-compatibility/2006">
          <mc:Choice Requires="x14">
            <control shapeId="556039" r:id="rId6" name="Button 7">
              <controlPr defaultSize="0" autoFill="0" autoPict="0" macro="[0]!Step0_Next">
                <anchor>
                  <from>
                    <xdr:col>8</xdr:col>
                    <xdr:colOff>152400</xdr:colOff>
                    <xdr:row>5</xdr:row>
                    <xdr:rowOff>9525</xdr:rowOff>
                  </from>
                  <to>
                    <xdr:col>10</xdr:col>
                    <xdr:colOff>295275</xdr:colOff>
                    <xdr:row>6</xdr:row>
                    <xdr:rowOff>123825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sCustOpp"/>
  <dimension ref="A1:AC359"/>
  <sheetViews>
    <sheetView showGridLines="0" zoomScale="90" zoomScaleNormal="90" workbookViewId="0"/>
  </sheetViews>
  <sheetFormatPr defaultColWidth="9.140625" defaultRowHeight="12.75" outlineLevelRow="1"/>
  <cols>
    <col min="1" max="1" width="2.42578125" style="167" customWidth="1"/>
    <col min="2" max="2" width="23.7109375" style="167" customWidth="1"/>
    <col min="3" max="3" width="25.140625" style="167" customWidth="1"/>
    <col min="4" max="4" width="21.42578125" style="167" customWidth="1"/>
    <col min="5" max="5" width="20.42578125" style="167" customWidth="1"/>
    <col min="6" max="7" width="17" style="167" customWidth="1"/>
    <col min="8" max="8" width="20.42578125" style="167" customWidth="1"/>
    <col min="9" max="9" width="19.85546875" style="167" customWidth="1"/>
    <col min="10" max="10" width="20.42578125" style="167" customWidth="1"/>
    <col min="11" max="17" width="9.140625" style="167"/>
    <col min="18" max="18" width="10.85546875" style="167" customWidth="1"/>
    <col min="19" max="21" width="9.140625" style="167"/>
    <col min="22" max="29" width="9.140625" style="167" hidden="1" customWidth="1"/>
    <col min="30" max="16384" width="9.140625" style="167"/>
  </cols>
  <sheetData>
    <row r="1" spans="1:28" ht="29.25" customHeight="1">
      <c r="A1" s="142"/>
      <c r="AA1" s="397" t="s">
        <v>364</v>
      </c>
    </row>
    <row r="2" spans="1:28" ht="20.25">
      <c r="A2" s="222"/>
      <c r="B2" s="226" t="s">
        <v>7767</v>
      </c>
      <c r="C2" s="184"/>
      <c r="E2" s="227" t="s">
        <v>7862</v>
      </c>
      <c r="F2" s="184"/>
      <c r="G2" s="184"/>
      <c r="H2" s="184"/>
      <c r="I2" s="142"/>
      <c r="W2" s="241" t="s">
        <v>854</v>
      </c>
      <c r="AA2" s="125" t="s">
        <v>365</v>
      </c>
    </row>
    <row r="3" spans="1:28" ht="17.45" customHeight="1">
      <c r="A3" s="222"/>
      <c r="B3" s="228" t="s">
        <v>7860</v>
      </c>
      <c r="C3" s="184"/>
      <c r="D3" s="229"/>
      <c r="E3" s="184"/>
      <c r="F3" s="184"/>
      <c r="G3" s="184"/>
      <c r="H3" s="184"/>
      <c r="I3" s="142"/>
      <c r="W3" s="241" t="s">
        <v>1059</v>
      </c>
      <c r="X3" s="125" t="b">
        <v>0</v>
      </c>
      <c r="AB3" s="125">
        <v>12</v>
      </c>
    </row>
    <row r="4" spans="1:28" ht="15">
      <c r="A4" s="222"/>
      <c r="B4" s="230" t="s">
        <v>7768</v>
      </c>
      <c r="C4" s="231">
        <f>oppty.customerName</f>
        <v>0</v>
      </c>
      <c r="D4" s="184"/>
      <c r="E4" s="184"/>
      <c r="F4" s="184"/>
      <c r="G4" s="184"/>
      <c r="H4" s="184"/>
      <c r="I4" s="142"/>
      <c r="W4" s="241" t="s">
        <v>7912</v>
      </c>
      <c r="AB4" s="125">
        <v>36</v>
      </c>
    </row>
    <row r="5" spans="1:28" ht="12.75" hidden="1" customHeight="1">
      <c r="A5" s="108"/>
      <c r="B5" s="673" t="s">
        <v>536</v>
      </c>
      <c r="C5" s="38"/>
      <c r="D5" s="121"/>
      <c r="E5" s="121"/>
      <c r="F5" s="39"/>
      <c r="G5" s="203"/>
      <c r="H5" s="107"/>
      <c r="J5" s="97"/>
      <c r="K5" s="97"/>
      <c r="L5" s="97"/>
      <c r="M5" s="97"/>
      <c r="N5" s="97"/>
      <c r="O5" s="97"/>
      <c r="P5" s="97"/>
      <c r="Q5" s="97"/>
      <c r="R5" s="97"/>
      <c r="S5" s="97"/>
      <c r="T5" s="97"/>
      <c r="AB5" s="167">
        <v>60</v>
      </c>
    </row>
    <row r="6" spans="1:28" ht="12.75" hidden="1" customHeight="1">
      <c r="A6" s="108"/>
      <c r="B6" s="673" t="s">
        <v>537</v>
      </c>
      <c r="C6" s="38"/>
      <c r="D6" s="121"/>
      <c r="E6" s="121"/>
      <c r="F6" s="39"/>
      <c r="G6" s="203"/>
      <c r="H6" s="107"/>
      <c r="J6" s="97"/>
      <c r="K6" s="97"/>
      <c r="L6" s="97"/>
      <c r="M6" s="97"/>
      <c r="N6" s="97"/>
      <c r="O6" s="97"/>
      <c r="P6" s="97"/>
      <c r="Q6" s="97"/>
      <c r="R6" s="97"/>
      <c r="S6" s="97"/>
      <c r="T6" s="97"/>
      <c r="AB6" s="167">
        <v>72</v>
      </c>
    </row>
    <row r="7" spans="1:28" ht="12.75" hidden="1" customHeight="1">
      <c r="A7" s="108"/>
      <c r="B7" s="673" t="s">
        <v>50</v>
      </c>
      <c r="C7" s="38"/>
      <c r="D7" s="121"/>
      <c r="E7" s="121"/>
      <c r="F7" s="39"/>
      <c r="G7" s="203"/>
      <c r="H7" s="107"/>
      <c r="J7" s="97"/>
      <c r="K7" s="97"/>
      <c r="L7" s="97"/>
      <c r="M7" s="97"/>
      <c r="N7" s="97"/>
      <c r="O7" s="97"/>
      <c r="P7" s="97"/>
      <c r="Q7" s="97"/>
      <c r="R7" s="97"/>
      <c r="S7" s="97"/>
      <c r="T7" s="97"/>
      <c r="AB7" s="167">
        <v>84</v>
      </c>
    </row>
    <row r="8" spans="1:28" ht="12.75" hidden="1" customHeight="1">
      <c r="A8" s="108"/>
      <c r="B8" s="673" t="s">
        <v>18</v>
      </c>
      <c r="C8" s="38"/>
      <c r="D8" s="121"/>
      <c r="E8" s="121"/>
      <c r="F8" s="39"/>
      <c r="G8" s="203"/>
      <c r="H8" s="107"/>
      <c r="J8" s="97"/>
      <c r="K8" s="97"/>
      <c r="L8" s="97"/>
      <c r="M8" s="97"/>
      <c r="N8" s="97"/>
      <c r="O8" s="97"/>
      <c r="P8" s="97"/>
      <c r="Q8" s="97"/>
      <c r="R8" s="97"/>
      <c r="S8" s="97"/>
      <c r="T8" s="97"/>
      <c r="AB8" s="167">
        <v>96</v>
      </c>
    </row>
    <row r="9" spans="1:28" ht="12.75" hidden="1" customHeight="1">
      <c r="A9" s="97"/>
      <c r="B9" s="673" t="s">
        <v>500</v>
      </c>
      <c r="C9" s="38"/>
      <c r="D9" s="121"/>
      <c r="E9" s="121"/>
      <c r="F9" s="39"/>
      <c r="G9" s="203"/>
      <c r="H9" s="97"/>
      <c r="J9" s="97"/>
      <c r="K9" s="97"/>
      <c r="L9" s="97"/>
      <c r="M9" s="97"/>
      <c r="N9" s="97"/>
      <c r="O9" s="97"/>
      <c r="P9" s="97"/>
      <c r="Q9" s="97"/>
      <c r="R9" s="97"/>
      <c r="S9" s="97"/>
      <c r="T9" s="97"/>
      <c r="AB9" s="167">
        <v>108</v>
      </c>
    </row>
    <row r="10" spans="1:28" ht="12.75" hidden="1" customHeight="1">
      <c r="A10" s="97"/>
      <c r="B10" s="673" t="s">
        <v>501</v>
      </c>
      <c r="C10" s="38"/>
      <c r="D10" s="121"/>
      <c r="E10" s="121"/>
      <c r="F10" s="39"/>
      <c r="G10" s="203"/>
      <c r="H10" s="97"/>
      <c r="J10" s="97"/>
      <c r="K10" s="97"/>
      <c r="L10" s="97"/>
      <c r="M10" s="97"/>
      <c r="N10" s="97"/>
      <c r="O10" s="97"/>
      <c r="P10" s="97"/>
      <c r="Q10" s="97"/>
      <c r="R10" s="97"/>
      <c r="S10" s="97"/>
      <c r="T10" s="97"/>
      <c r="AB10" s="167">
        <v>120</v>
      </c>
    </row>
    <row r="11" spans="1:28" ht="12.75" hidden="1" customHeight="1">
      <c r="A11" s="97"/>
      <c r="H11" s="97"/>
      <c r="J11" s="97"/>
      <c r="K11" s="97"/>
      <c r="L11" s="97"/>
      <c r="M11" s="97"/>
      <c r="N11" s="97"/>
      <c r="O11" s="97"/>
      <c r="P11" s="97"/>
      <c r="Q11" s="97"/>
      <c r="R11" s="97"/>
      <c r="S11" s="97"/>
      <c r="T11" s="97"/>
    </row>
    <row r="12" spans="1:28" ht="12.2" customHeight="1">
      <c r="A12" s="97"/>
      <c r="H12" s="97"/>
      <c r="J12" s="97"/>
      <c r="K12" s="97"/>
      <c r="L12" s="97"/>
      <c r="M12" s="97"/>
      <c r="N12" s="97"/>
      <c r="O12" s="97"/>
      <c r="P12" s="97"/>
      <c r="Q12" s="97"/>
      <c r="R12" s="97"/>
      <c r="S12" s="97"/>
      <c r="T12" s="97"/>
      <c r="W12" s="241" t="s">
        <v>7913</v>
      </c>
    </row>
    <row r="13" spans="1:28" ht="15.75">
      <c r="A13" s="403"/>
      <c r="B13" s="402" t="s">
        <v>7916</v>
      </c>
      <c r="C13" s="399"/>
      <c r="D13" s="400"/>
      <c r="E13" s="400"/>
      <c r="F13" s="400"/>
      <c r="G13" s="399"/>
      <c r="H13" s="401"/>
      <c r="J13" s="97"/>
      <c r="K13" s="97"/>
      <c r="L13" s="97"/>
      <c r="M13" s="97"/>
      <c r="N13" s="97"/>
      <c r="O13" s="97"/>
      <c r="P13" s="97"/>
      <c r="Q13" s="97"/>
      <c r="R13" s="97"/>
      <c r="S13" s="97"/>
      <c r="T13" s="97"/>
    </row>
    <row r="14" spans="1:28" ht="12.75" hidden="1" customHeight="1">
      <c r="A14" s="403"/>
      <c r="B14" s="398" t="b">
        <v>0</v>
      </c>
      <c r="C14" s="398" t="b">
        <v>0</v>
      </c>
      <c r="D14" s="1042" t="b">
        <v>0</v>
      </c>
      <c r="E14" s="97"/>
      <c r="F14" s="1081" t="s">
        <v>579</v>
      </c>
      <c r="G14" s="392"/>
      <c r="H14" s="97"/>
      <c r="J14" s="97"/>
      <c r="K14" s="97"/>
      <c r="L14" s="97"/>
      <c r="M14" s="97"/>
      <c r="N14" s="97"/>
      <c r="O14" s="97"/>
      <c r="P14" s="97"/>
      <c r="Q14" s="97"/>
      <c r="R14" s="97"/>
      <c r="S14" s="97"/>
      <c r="T14" s="97"/>
    </row>
    <row r="15" spans="1:28" ht="12.75" hidden="1" customHeight="1">
      <c r="A15" s="403"/>
      <c r="B15" s="133"/>
      <c r="C15" s="133"/>
      <c r="D15" s="97"/>
      <c r="E15" s="97"/>
      <c r="F15" s="1081" t="s">
        <v>580</v>
      </c>
      <c r="G15" s="393"/>
      <c r="J15" s="97"/>
      <c r="K15" s="97"/>
      <c r="L15" s="97"/>
      <c r="M15" s="97"/>
      <c r="N15" s="97"/>
      <c r="O15" s="97"/>
      <c r="P15" s="97"/>
      <c r="Q15" s="97"/>
      <c r="R15" s="97"/>
      <c r="S15" s="97"/>
      <c r="T15" s="97"/>
    </row>
    <row r="16" spans="1:28" ht="12.75" hidden="1" customHeight="1">
      <c r="A16" s="403"/>
      <c r="B16" s="97"/>
      <c r="C16" s="97"/>
      <c r="D16" s="97"/>
      <c r="E16" s="1081" t="s">
        <v>577</v>
      </c>
      <c r="F16" s="97"/>
      <c r="G16" s="961"/>
      <c r="H16" s="833" t="s">
        <v>531</v>
      </c>
      <c r="J16" s="97"/>
      <c r="K16" s="97"/>
      <c r="L16" s="97"/>
      <c r="M16" s="97"/>
      <c r="N16" s="97"/>
      <c r="O16" s="97"/>
      <c r="P16" s="97"/>
      <c r="Q16" s="97"/>
      <c r="R16" s="97"/>
      <c r="S16" s="97"/>
      <c r="T16" s="97"/>
    </row>
    <row r="17" spans="1:20" ht="12.75" hidden="1" customHeight="1">
      <c r="A17" s="403"/>
      <c r="B17" s="399"/>
      <c r="C17" s="399"/>
      <c r="D17" s="400"/>
      <c r="E17" s="400"/>
      <c r="F17" s="400"/>
      <c r="G17" s="399"/>
      <c r="H17" s="401"/>
      <c r="J17" s="97"/>
      <c r="K17" s="97"/>
      <c r="L17" s="97"/>
      <c r="M17" s="97"/>
      <c r="N17" s="97"/>
      <c r="O17" s="97"/>
      <c r="P17" s="97"/>
      <c r="Q17" s="97"/>
      <c r="R17" s="97"/>
      <c r="S17" s="97"/>
      <c r="T17" s="97"/>
    </row>
    <row r="18" spans="1:20" ht="10.5" customHeight="1">
      <c r="A18" s="97"/>
      <c r="H18" s="97"/>
      <c r="J18" s="97"/>
      <c r="K18" s="97"/>
      <c r="L18" s="97"/>
      <c r="M18" s="97"/>
      <c r="N18" s="97"/>
      <c r="O18" s="97"/>
      <c r="P18" s="97"/>
      <c r="Q18" s="97"/>
      <c r="R18" s="97"/>
      <c r="S18" s="97"/>
      <c r="T18" s="97"/>
    </row>
    <row r="19" spans="1:20" ht="15.75">
      <c r="A19" s="403"/>
      <c r="B19" s="402" t="s">
        <v>7917</v>
      </c>
      <c r="C19" s="399"/>
      <c r="D19" s="400"/>
      <c r="E19" s="400"/>
      <c r="F19" s="400"/>
      <c r="G19" s="399"/>
      <c r="H19" s="401"/>
      <c r="J19" s="97"/>
      <c r="K19" s="97"/>
      <c r="L19" s="97"/>
      <c r="M19" s="97"/>
      <c r="N19" s="97"/>
      <c r="O19" s="97"/>
      <c r="P19" s="97"/>
      <c r="Q19" s="97"/>
      <c r="R19" s="97"/>
      <c r="S19" s="97"/>
      <c r="T19" s="97"/>
    </row>
    <row r="20" spans="1:20" ht="12.75" hidden="1" customHeight="1">
      <c r="A20" s="403"/>
      <c r="C20" s="674" t="s">
        <v>578</v>
      </c>
      <c r="D20" s="394" t="s">
        <v>365</v>
      </c>
      <c r="H20" s="97"/>
      <c r="J20" s="97"/>
      <c r="K20" s="97"/>
      <c r="L20" s="97"/>
      <c r="M20" s="97"/>
      <c r="N20" s="97"/>
      <c r="O20" s="97"/>
      <c r="P20" s="97"/>
      <c r="Q20" s="97"/>
      <c r="R20" s="97"/>
      <c r="S20" s="97"/>
      <c r="T20" s="97"/>
    </row>
    <row r="21" spans="1:20" ht="12.75" hidden="1" customHeight="1" thickBot="1">
      <c r="A21" s="404"/>
      <c r="B21" s="834" t="s">
        <v>7915</v>
      </c>
      <c r="C21" s="275"/>
      <c r="D21" s="275"/>
      <c r="E21" s="275"/>
      <c r="F21" s="275"/>
      <c r="G21" s="275"/>
      <c r="H21" s="275"/>
      <c r="I21" s="275"/>
      <c r="J21" s="275"/>
      <c r="K21" s="275"/>
      <c r="L21" s="275"/>
      <c r="M21" s="275"/>
      <c r="N21" s="275"/>
      <c r="O21" s="275"/>
      <c r="P21" s="275"/>
      <c r="Q21" s="275"/>
      <c r="R21" s="275"/>
      <c r="S21" s="275"/>
      <c r="T21" s="275"/>
    </row>
    <row r="22" spans="1:20" ht="12.75" hidden="1" customHeight="1">
      <c r="A22" s="404"/>
      <c r="B22" s="7"/>
      <c r="C22" s="6"/>
      <c r="D22" s="6"/>
      <c r="E22" s="6"/>
      <c r="F22" s="6"/>
      <c r="G22" s="11"/>
      <c r="H22" s="275"/>
      <c r="I22" s="275"/>
      <c r="J22" s="275"/>
      <c r="K22" s="275"/>
      <c r="L22" s="275"/>
      <c r="M22" s="275"/>
      <c r="N22" s="275"/>
      <c r="O22" s="275"/>
      <c r="P22" s="275"/>
      <c r="Q22" s="275"/>
      <c r="R22" s="275"/>
      <c r="S22" s="275"/>
      <c r="T22" s="275"/>
    </row>
    <row r="23" spans="1:20" ht="12.75" hidden="1" customHeight="1">
      <c r="A23" s="404"/>
      <c r="B23" s="11"/>
      <c r="C23" s="6"/>
      <c r="D23" s="6"/>
      <c r="E23" s="6"/>
      <c r="F23" s="6"/>
      <c r="G23" s="11"/>
      <c r="H23" s="275"/>
      <c r="I23" s="275"/>
      <c r="J23" s="275"/>
      <c r="K23" s="275"/>
      <c r="L23" s="275"/>
      <c r="M23" s="275"/>
      <c r="N23" s="275"/>
      <c r="O23" s="275"/>
      <c r="P23" s="275"/>
      <c r="Q23" s="275"/>
      <c r="R23" s="275"/>
      <c r="S23" s="275"/>
      <c r="T23" s="275"/>
    </row>
    <row r="24" spans="1:20" ht="12.75" hidden="1" customHeight="1">
      <c r="A24" s="404"/>
      <c r="B24" s="7"/>
      <c r="C24" s="6"/>
      <c r="D24" s="6"/>
      <c r="E24" s="6"/>
      <c r="F24" s="6"/>
      <c r="G24" s="11"/>
      <c r="H24" s="275"/>
      <c r="I24" s="275"/>
      <c r="J24" s="275"/>
      <c r="K24" s="275"/>
      <c r="L24" s="275"/>
      <c r="M24" s="275"/>
      <c r="N24" s="275"/>
      <c r="O24" s="275"/>
      <c r="P24" s="275"/>
      <c r="Q24" s="275"/>
      <c r="R24" s="275"/>
      <c r="S24" s="275"/>
      <c r="T24" s="275"/>
    </row>
    <row r="25" spans="1:20" ht="12.75" hidden="1" customHeight="1" thickBot="1">
      <c r="A25" s="404"/>
      <c r="B25" s="4"/>
      <c r="C25" s="3"/>
      <c r="D25" s="3"/>
      <c r="E25" s="3"/>
      <c r="F25" s="3"/>
      <c r="G25" s="2"/>
      <c r="H25" s="275"/>
      <c r="I25" s="275"/>
      <c r="J25" s="275"/>
      <c r="K25" s="275"/>
      <c r="L25" s="275"/>
      <c r="M25" s="275"/>
      <c r="N25" s="275"/>
      <c r="O25" s="275"/>
      <c r="P25" s="275"/>
      <c r="Q25" s="275"/>
      <c r="R25" s="275"/>
      <c r="S25" s="275"/>
      <c r="T25" s="275"/>
    </row>
    <row r="26" spans="1:20" ht="7.5" hidden="1" customHeight="1">
      <c r="A26" s="403"/>
      <c r="C26" s="97"/>
      <c r="D26" s="97"/>
      <c r="E26" s="97"/>
      <c r="F26" s="97"/>
      <c r="G26" s="97"/>
      <c r="H26" s="97"/>
      <c r="J26" s="97"/>
      <c r="K26" s="97"/>
      <c r="L26" s="97"/>
      <c r="M26" s="97"/>
      <c r="N26" s="97"/>
      <c r="O26" s="97"/>
      <c r="P26" s="97"/>
      <c r="Q26" s="97"/>
      <c r="R26" s="97"/>
      <c r="S26" s="97"/>
      <c r="T26" s="97"/>
    </row>
    <row r="27" spans="1:20" ht="12.75" hidden="1" customHeight="1">
      <c r="A27" s="403"/>
      <c r="B27" s="399"/>
      <c r="C27" s="399"/>
      <c r="D27" s="400"/>
      <c r="E27" s="400"/>
      <c r="F27" s="400"/>
      <c r="G27" s="399"/>
      <c r="H27" s="401"/>
      <c r="J27" s="97"/>
      <c r="K27" s="97"/>
      <c r="L27" s="97"/>
      <c r="M27" s="97"/>
      <c r="N27" s="97"/>
      <c r="O27" s="97"/>
      <c r="P27" s="97"/>
      <c r="Q27" s="97"/>
      <c r="R27" s="97"/>
      <c r="S27" s="97"/>
      <c r="T27" s="97"/>
    </row>
    <row r="28" spans="1:20" ht="15" customHeight="1">
      <c r="A28" s="97"/>
      <c r="B28" s="1081" t="s">
        <v>51</v>
      </c>
      <c r="C28" s="97"/>
      <c r="D28" s="97"/>
      <c r="E28" s="97"/>
      <c r="F28" s="97"/>
      <c r="G28" s="97"/>
      <c r="H28" s="97"/>
      <c r="J28" s="97"/>
      <c r="K28" s="97"/>
      <c r="L28" s="97"/>
      <c r="M28" s="97"/>
      <c r="N28" s="97"/>
      <c r="O28" s="97"/>
      <c r="P28" s="97"/>
      <c r="Q28" s="97"/>
      <c r="R28" s="97"/>
      <c r="S28" s="97"/>
      <c r="T28" s="97"/>
    </row>
    <row r="29" spans="1:20">
      <c r="A29" s="97"/>
      <c r="B29" s="97"/>
      <c r="C29" s="97"/>
      <c r="D29" s="97"/>
      <c r="E29" s="97"/>
      <c r="F29" s="97"/>
      <c r="G29" s="97"/>
      <c r="H29" s="97"/>
      <c r="J29" s="97"/>
      <c r="K29" s="97"/>
      <c r="L29" s="97"/>
      <c r="M29" s="97"/>
      <c r="N29" s="97"/>
      <c r="O29" s="97"/>
      <c r="P29" s="97"/>
      <c r="Q29" s="97"/>
      <c r="R29" s="97"/>
      <c r="S29" s="97"/>
      <c r="T29" s="97"/>
    </row>
    <row r="30" spans="1:20">
      <c r="A30" s="97"/>
      <c r="B30" s="97"/>
      <c r="C30" s="97"/>
      <c r="D30" s="97"/>
      <c r="E30" s="97"/>
      <c r="F30" s="97"/>
      <c r="G30" s="97"/>
      <c r="H30" s="97"/>
      <c r="J30" s="97"/>
      <c r="K30" s="97"/>
      <c r="L30" s="97"/>
      <c r="M30" s="97"/>
      <c r="N30" s="97"/>
      <c r="O30" s="97"/>
      <c r="P30" s="97"/>
      <c r="Q30" s="97"/>
      <c r="R30" s="97"/>
      <c r="S30" s="97"/>
      <c r="T30" s="97"/>
    </row>
    <row r="31" spans="1:20" ht="15.75">
      <c r="A31" s="222"/>
      <c r="B31" s="390" t="s">
        <v>7769</v>
      </c>
      <c r="C31" s="234"/>
      <c r="D31" s="234"/>
      <c r="E31" s="234"/>
      <c r="F31" s="234"/>
      <c r="G31" s="184"/>
      <c r="H31" s="184"/>
      <c r="J31" s="97"/>
      <c r="K31" s="97"/>
      <c r="L31" s="97"/>
      <c r="M31" s="97"/>
      <c r="N31" s="97"/>
      <c r="O31" s="97"/>
    </row>
    <row r="32" spans="1:20">
      <c r="A32" s="222"/>
      <c r="B32" s="235" t="s">
        <v>7770</v>
      </c>
      <c r="C32" s="236"/>
      <c r="D32" s="236"/>
      <c r="E32" s="236"/>
      <c r="F32" s="236"/>
      <c r="G32" s="184"/>
      <c r="H32" s="184"/>
      <c r="J32" s="97"/>
      <c r="K32" s="97"/>
      <c r="L32" s="97"/>
      <c r="M32" s="97"/>
      <c r="N32" s="97"/>
      <c r="O32" s="97"/>
    </row>
    <row r="33" spans="1:15" ht="41.25" customHeight="1">
      <c r="A33" s="222"/>
      <c r="B33" s="386" t="s">
        <v>7776</v>
      </c>
      <c r="C33" s="387" t="s">
        <v>7861</v>
      </c>
      <c r="D33" s="387" t="s">
        <v>7771</v>
      </c>
      <c r="E33" s="387" t="s">
        <v>7772</v>
      </c>
      <c r="F33" s="387" t="s">
        <v>7773</v>
      </c>
      <c r="G33" s="184"/>
      <c r="H33" s="184"/>
      <c r="J33" s="97"/>
      <c r="K33" s="97"/>
      <c r="L33" s="97"/>
      <c r="M33" s="97"/>
      <c r="N33" s="97"/>
      <c r="O33" s="97"/>
    </row>
    <row r="34" spans="1:15">
      <c r="A34" s="222"/>
      <c r="B34" s="201"/>
      <c r="C34" s="202">
        <v>0</v>
      </c>
      <c r="D34" s="202">
        <v>0</v>
      </c>
      <c r="E34" s="220">
        <f>C34-D34</f>
        <v>0</v>
      </c>
      <c r="F34" s="282" t="str">
        <f>IFERROR(E34/C34,"")</f>
        <v/>
      </c>
      <c r="G34" s="184"/>
      <c r="H34" s="184"/>
    </row>
    <row r="35" spans="1:15">
      <c r="A35" s="222"/>
      <c r="B35" s="201"/>
      <c r="C35" s="202">
        <v>0</v>
      </c>
      <c r="D35" s="202">
        <v>0</v>
      </c>
      <c r="E35" s="220">
        <f>C35-D35</f>
        <v>0</v>
      </c>
      <c r="F35" s="282" t="str">
        <f>IFERROR(E35/C35,"")</f>
        <v/>
      </c>
      <c r="G35" s="184"/>
      <c r="H35" s="184"/>
    </row>
    <row r="36" spans="1:15">
      <c r="A36" s="222"/>
      <c r="B36" s="201"/>
      <c r="C36" s="202">
        <v>0</v>
      </c>
      <c r="D36" s="202">
        <v>0</v>
      </c>
      <c r="E36" s="220">
        <f>C36-D36</f>
        <v>0</v>
      </c>
      <c r="F36" s="282" t="str">
        <f>IFERROR(E36/C36,"")</f>
        <v/>
      </c>
      <c r="G36" s="184"/>
      <c r="H36" s="184"/>
    </row>
    <row r="37" spans="1:15">
      <c r="A37" s="222"/>
      <c r="B37" s="201"/>
      <c r="C37" s="202">
        <v>0</v>
      </c>
      <c r="D37" s="202">
        <v>0</v>
      </c>
      <c r="E37" s="220">
        <f>C37-D37</f>
        <v>0</v>
      </c>
      <c r="F37" s="282" t="str">
        <f>IFERROR(E37/C37,"")</f>
        <v/>
      </c>
      <c r="G37" s="184"/>
      <c r="H37" s="184"/>
    </row>
    <row r="38" spans="1:15">
      <c r="A38" s="222"/>
      <c r="B38" s="201"/>
      <c r="C38" s="202">
        <v>0</v>
      </c>
      <c r="D38" s="202">
        <v>0</v>
      </c>
      <c r="E38" s="220">
        <f>C38-D38</f>
        <v>0</v>
      </c>
      <c r="F38" s="282" t="str">
        <f>IFERROR(E38/C38,"")</f>
        <v/>
      </c>
      <c r="G38" s="184"/>
      <c r="H38" s="184"/>
    </row>
    <row r="39" spans="1:15" ht="12.75" hidden="1" customHeight="1" outlineLevel="1">
      <c r="A39" s="222"/>
      <c r="B39" s="201"/>
      <c r="C39" s="202">
        <v>0</v>
      </c>
      <c r="D39" s="202">
        <v>0</v>
      </c>
      <c r="E39" s="220">
        <f>C39-D39</f>
        <v>0</v>
      </c>
      <c r="F39" s="282" t="str">
        <f>IFERROR(E39/C39,"")</f>
        <v/>
      </c>
      <c r="G39" s="184"/>
      <c r="H39" s="184"/>
    </row>
    <row r="40" spans="1:15" ht="12.75" hidden="1" customHeight="1" outlineLevel="1">
      <c r="A40" s="222"/>
      <c r="B40" s="201"/>
      <c r="C40" s="202">
        <v>0</v>
      </c>
      <c r="D40" s="202">
        <v>0</v>
      </c>
      <c r="E40" s="220">
        <f>C40-D40</f>
        <v>0</v>
      </c>
      <c r="F40" s="282" t="str">
        <f>IFERROR(E40/C40,"")</f>
        <v/>
      </c>
      <c r="G40" s="184"/>
      <c r="H40" s="184"/>
    </row>
    <row r="41" spans="1:15" ht="12.75" hidden="1" customHeight="1" outlineLevel="1">
      <c r="A41" s="222"/>
      <c r="B41" s="201"/>
      <c r="C41" s="202">
        <v>0</v>
      </c>
      <c r="D41" s="202">
        <v>0</v>
      </c>
      <c r="E41" s="220">
        <f>C41-D41</f>
        <v>0</v>
      </c>
      <c r="F41" s="282" t="str">
        <f>IFERROR(E41/C41,"")</f>
        <v/>
      </c>
      <c r="G41" s="184"/>
      <c r="H41" s="184"/>
    </row>
    <row r="42" spans="1:15" ht="12.75" hidden="1" customHeight="1" outlineLevel="1">
      <c r="A42" s="222"/>
      <c r="B42" s="201"/>
      <c r="C42" s="202">
        <v>0</v>
      </c>
      <c r="D42" s="202">
        <v>0</v>
      </c>
      <c r="E42" s="220">
        <f>C42-D42</f>
        <v>0</v>
      </c>
      <c r="F42" s="282" t="str">
        <f>IFERROR(E42/C42,"")</f>
        <v/>
      </c>
      <c r="G42" s="184"/>
      <c r="H42" s="184"/>
    </row>
    <row r="43" spans="1:15" ht="12.75" hidden="1" customHeight="1" outlineLevel="1">
      <c r="A43" s="222"/>
      <c r="B43" s="201"/>
      <c r="C43" s="202">
        <v>0</v>
      </c>
      <c r="D43" s="202">
        <v>0</v>
      </c>
      <c r="E43" s="220">
        <f>C43-D43</f>
        <v>0</v>
      </c>
      <c r="F43" s="282" t="str">
        <f>IFERROR(E43/C43,"")</f>
        <v/>
      </c>
      <c r="G43" s="184"/>
      <c r="H43" s="184"/>
    </row>
    <row r="44" spans="1:15" collapsed="1">
      <c r="A44" s="222"/>
      <c r="B44" s="395"/>
      <c r="C44" s="202">
        <v>0</v>
      </c>
      <c r="D44" s="202">
        <v>0</v>
      </c>
      <c r="E44" s="220">
        <f>C44-D44</f>
        <v>0</v>
      </c>
      <c r="F44" s="282" t="str">
        <f>IFERROR(E44/C44,"")</f>
        <v/>
      </c>
      <c r="G44" s="184"/>
      <c r="H44" s="184"/>
    </row>
    <row r="45" spans="1:15">
      <c r="A45" s="222"/>
      <c r="B45" s="177" t="s">
        <v>600</v>
      </c>
      <c r="C45" s="178">
        <f>SUM(C34:C44)</f>
        <v>0</v>
      </c>
      <c r="D45" s="178">
        <f>SUM(D34:D44)</f>
        <v>0</v>
      </c>
      <c r="E45" s="178">
        <f>SUM(E34:E44)</f>
        <v>0</v>
      </c>
      <c r="F45" s="179" t="str">
        <f>IFERROR(#REF!/#REF!,"")</f>
        <v/>
      </c>
      <c r="G45" s="184"/>
      <c r="H45" s="184"/>
    </row>
    <row r="46" spans="1:15">
      <c r="A46" s="222"/>
      <c r="B46" s="184"/>
      <c r="C46" s="184"/>
      <c r="D46" s="184"/>
      <c r="E46" s="184"/>
      <c r="F46" s="184"/>
      <c r="G46" s="184"/>
      <c r="H46" s="184"/>
    </row>
    <row r="47" spans="1:15">
      <c r="A47" s="222"/>
      <c r="B47" s="184"/>
      <c r="C47" s="184"/>
      <c r="D47" s="184"/>
      <c r="E47" s="184"/>
      <c r="F47" s="184"/>
      <c r="G47" s="184"/>
      <c r="H47" s="184"/>
    </row>
    <row r="48" spans="1:15" ht="15.75">
      <c r="A48" s="222"/>
      <c r="B48" s="390" t="s">
        <v>7775</v>
      </c>
      <c r="C48" s="237"/>
      <c r="D48" s="237"/>
      <c r="E48" s="232"/>
      <c r="F48" s="232"/>
      <c r="G48" s="232"/>
      <c r="H48" s="232"/>
    </row>
    <row r="49" spans="1:9">
      <c r="A49" s="222"/>
      <c r="B49" s="235" t="s">
        <v>9278</v>
      </c>
      <c r="C49" s="238"/>
      <c r="D49" s="238"/>
      <c r="E49" s="233"/>
      <c r="F49" s="233"/>
      <c r="G49" s="233"/>
      <c r="H49" s="233"/>
    </row>
    <row r="50" spans="1:9" ht="25.5">
      <c r="A50" s="222"/>
      <c r="B50" s="386" t="s">
        <v>7863</v>
      </c>
      <c r="C50" s="387" t="s">
        <v>7776</v>
      </c>
      <c r="D50" s="387" t="s">
        <v>7777</v>
      </c>
      <c r="E50" s="387" t="s">
        <v>7778</v>
      </c>
      <c r="F50" s="387" t="s">
        <v>7779</v>
      </c>
      <c r="G50" s="388" t="s">
        <v>7873</v>
      </c>
      <c r="H50" s="388" t="s">
        <v>7874</v>
      </c>
    </row>
    <row r="51" spans="1:9">
      <c r="A51" s="222"/>
      <c r="B51" s="204"/>
      <c r="C51" s="205"/>
      <c r="D51" s="202"/>
      <c r="E51" s="277"/>
      <c r="F51" s="220">
        <f>D51-E51</f>
        <v>0</v>
      </c>
      <c r="G51" s="208"/>
      <c r="H51" s="209"/>
    </row>
    <row r="52" spans="1:9">
      <c r="A52" s="222"/>
      <c r="B52" s="204"/>
      <c r="C52" s="205"/>
      <c r="D52" s="202"/>
      <c r="E52" s="277"/>
      <c r="F52" s="220">
        <f>D52-E52</f>
        <v>0</v>
      </c>
      <c r="G52" s="208"/>
      <c r="H52" s="209"/>
    </row>
    <row r="53" spans="1:9">
      <c r="A53" s="222"/>
      <c r="B53" s="204"/>
      <c r="C53" s="205"/>
      <c r="D53" s="202"/>
      <c r="E53" s="277"/>
      <c r="F53" s="220">
        <f>D53-E53</f>
        <v>0</v>
      </c>
      <c r="G53" s="208"/>
      <c r="H53" s="209"/>
    </row>
    <row r="54" spans="1:9">
      <c r="A54" s="222"/>
      <c r="B54" s="204"/>
      <c r="C54" s="205"/>
      <c r="D54" s="202"/>
      <c r="E54" s="277"/>
      <c r="F54" s="220">
        <f>D54-E54</f>
        <v>0</v>
      </c>
      <c r="G54" s="208"/>
      <c r="H54" s="209"/>
    </row>
    <row r="55" spans="1:9">
      <c r="A55" s="222"/>
      <c r="B55" s="204"/>
      <c r="C55" s="205"/>
      <c r="D55" s="202"/>
      <c r="E55" s="277"/>
      <c r="F55" s="220">
        <f>D55-E55</f>
        <v>0</v>
      </c>
      <c r="G55" s="208"/>
      <c r="H55" s="209"/>
    </row>
    <row r="56" spans="1:9">
      <c r="A56" s="222"/>
      <c r="B56" s="204"/>
      <c r="C56" s="205"/>
      <c r="D56" s="202"/>
      <c r="E56" s="277"/>
      <c r="F56" s="220">
        <f>D56-E56</f>
        <v>0</v>
      </c>
      <c r="G56" s="208"/>
      <c r="H56" s="209"/>
    </row>
    <row r="57" spans="1:9" ht="12.75" hidden="1" customHeight="1" outlineLevel="1">
      <c r="A57" s="222"/>
      <c r="B57" s="204"/>
      <c r="C57" s="205"/>
      <c r="D57" s="202"/>
      <c r="E57" s="277"/>
      <c r="F57" s="220">
        <f>D57-E57</f>
        <v>0</v>
      </c>
      <c r="G57" s="208"/>
      <c r="H57" s="209"/>
    </row>
    <row r="58" spans="1:9" ht="12.75" hidden="1" customHeight="1" outlineLevel="1">
      <c r="A58" s="222"/>
      <c r="B58" s="204"/>
      <c r="C58" s="205"/>
      <c r="D58" s="202"/>
      <c r="E58" s="277"/>
      <c r="F58" s="220">
        <f>D58-E58</f>
        <v>0</v>
      </c>
      <c r="G58" s="208"/>
      <c r="H58" s="209"/>
    </row>
    <row r="59" spans="1:9" ht="12.75" hidden="1" customHeight="1" outlineLevel="1">
      <c r="A59" s="222"/>
      <c r="B59" s="204"/>
      <c r="C59" s="205"/>
      <c r="D59" s="202"/>
      <c r="E59" s="277"/>
      <c r="F59" s="220">
        <f>D59-E59</f>
        <v>0</v>
      </c>
      <c r="G59" s="208"/>
      <c r="H59" s="209"/>
    </row>
    <row r="60" spans="1:9" ht="12.75" hidden="1" customHeight="1" outlineLevel="1">
      <c r="A60" s="222"/>
      <c r="B60" s="204"/>
      <c r="C60" s="205"/>
      <c r="D60" s="202"/>
      <c r="E60" s="277"/>
      <c r="F60" s="220">
        <f>D60-E60</f>
        <v>0</v>
      </c>
      <c r="G60" s="208"/>
      <c r="H60" s="209"/>
    </row>
    <row r="61" spans="1:9" collapsed="1">
      <c r="A61" s="222"/>
      <c r="B61" s="206"/>
      <c r="C61" s="207"/>
      <c r="D61" s="410"/>
      <c r="E61" s="278"/>
      <c r="F61" s="221">
        <f>D61-E61</f>
        <v>0</v>
      </c>
      <c r="G61" s="210"/>
      <c r="H61" s="211"/>
    </row>
    <row r="62" spans="1:9">
      <c r="A62" s="222"/>
      <c r="B62" s="184"/>
      <c r="C62" s="184"/>
      <c r="D62" s="184"/>
      <c r="E62" s="184"/>
      <c r="F62" s="184"/>
      <c r="G62" s="184"/>
      <c r="H62" s="184"/>
      <c r="I62" s="142"/>
    </row>
    <row r="63" spans="1:9" ht="15.75">
      <c r="A63" s="222"/>
      <c r="B63" s="390" t="s">
        <v>7857</v>
      </c>
      <c r="C63" s="184"/>
      <c r="D63" s="184"/>
      <c r="E63" s="184"/>
      <c r="F63" s="184"/>
      <c r="G63" s="184"/>
      <c r="H63" s="184"/>
    </row>
    <row r="64" spans="1:9" ht="13.5" thickBot="1">
      <c r="A64" s="222"/>
      <c r="B64" s="240" t="s">
        <v>7858</v>
      </c>
      <c r="C64" s="184"/>
      <c r="D64" s="184"/>
      <c r="E64" s="184"/>
      <c r="F64" s="184"/>
      <c r="G64" s="184"/>
      <c r="H64" s="184"/>
    </row>
    <row r="65" spans="1:8" ht="15" customHeight="1" thickBot="1">
      <c r="A65" s="222"/>
      <c r="B65" s="383"/>
      <c r="C65" s="1084" t="s">
        <v>7780</v>
      </c>
      <c r="D65" s="381" t="s">
        <v>7781</v>
      </c>
      <c r="E65" s="382" t="s">
        <v>7782</v>
      </c>
      <c r="F65" s="888" t="s">
        <v>7783</v>
      </c>
      <c r="G65" s="889"/>
      <c r="H65" s="890"/>
    </row>
    <row r="66" spans="1:8" ht="12.75" customHeight="1">
      <c r="A66" s="222"/>
      <c r="B66" s="384" t="s">
        <v>7784</v>
      </c>
      <c r="C66" s="212"/>
      <c r="D66" s="351"/>
      <c r="E66" s="352"/>
      <c r="F66" s="411"/>
      <c r="G66" s="412"/>
      <c r="H66" s="413"/>
    </row>
    <row r="67" spans="1:8" ht="13.5" thickBot="1">
      <c r="A67" s="222"/>
      <c r="B67" s="384" t="s">
        <v>7911</v>
      </c>
      <c r="C67" s="213"/>
      <c r="D67" s="353"/>
      <c r="E67" s="354"/>
      <c r="F67" s="374" t="s">
        <v>7785</v>
      </c>
      <c r="G67" s="214"/>
      <c r="H67" s="378"/>
    </row>
    <row r="68" spans="1:8" ht="52.5" customHeight="1" thickBot="1">
      <c r="A68" s="222"/>
      <c r="B68" s="385" t="s">
        <v>7786</v>
      </c>
      <c r="C68" s="389" t="s">
        <v>7859</v>
      </c>
      <c r="D68" s="379" t="s">
        <v>7787</v>
      </c>
      <c r="E68" s="380" t="s">
        <v>7787</v>
      </c>
      <c r="F68" s="375" t="s">
        <v>7788</v>
      </c>
      <c r="G68" s="376" t="s">
        <v>7875</v>
      </c>
      <c r="H68" s="377" t="s">
        <v>7876</v>
      </c>
    </row>
    <row r="69" spans="1:8">
      <c r="A69" s="222"/>
      <c r="B69" s="180"/>
      <c r="C69" s="1445" t="s">
        <v>7789</v>
      </c>
      <c r="D69" s="355"/>
      <c r="E69" s="356"/>
      <c r="F69" s="363"/>
      <c r="G69" s="364"/>
      <c r="H69" s="368"/>
    </row>
    <row r="70" spans="1:8" ht="15">
      <c r="A70" s="222"/>
      <c r="B70" s="215" t="s">
        <v>7790</v>
      </c>
      <c r="C70" s="216">
        <v>0</v>
      </c>
      <c r="D70" s="357">
        <v>0</v>
      </c>
      <c r="E70" s="358">
        <v>0</v>
      </c>
      <c r="F70" s="357"/>
      <c r="G70" s="365">
        <v>0</v>
      </c>
      <c r="H70" s="358">
        <v>0</v>
      </c>
    </row>
    <row r="71" spans="1:8">
      <c r="A71" s="222"/>
      <c r="B71" s="180"/>
      <c r="C71" s="1445" t="s">
        <v>7789</v>
      </c>
      <c r="D71" s="359"/>
      <c r="E71" s="360"/>
      <c r="F71" s="359"/>
      <c r="G71" s="366"/>
      <c r="H71" s="369"/>
    </row>
    <row r="72" spans="1:8" ht="15">
      <c r="A72" s="222"/>
      <c r="B72" s="215" t="s">
        <v>7790</v>
      </c>
      <c r="C72" s="216">
        <v>0</v>
      </c>
      <c r="D72" s="357">
        <v>0</v>
      </c>
      <c r="E72" s="358">
        <v>0</v>
      </c>
      <c r="F72" s="357"/>
      <c r="G72" s="365">
        <v>0</v>
      </c>
      <c r="H72" s="358">
        <v>0</v>
      </c>
    </row>
    <row r="73" spans="1:8">
      <c r="A73" s="222"/>
      <c r="B73" s="180"/>
      <c r="C73" s="1445" t="s">
        <v>7789</v>
      </c>
      <c r="D73" s="359"/>
      <c r="E73" s="360"/>
      <c r="F73" s="359"/>
      <c r="G73" s="366"/>
      <c r="H73" s="370"/>
    </row>
    <row r="74" spans="1:8" ht="15">
      <c r="A74" s="222"/>
      <c r="B74" s="215" t="s">
        <v>7790</v>
      </c>
      <c r="C74" s="216">
        <v>0</v>
      </c>
      <c r="D74" s="357">
        <v>0</v>
      </c>
      <c r="E74" s="358">
        <v>0</v>
      </c>
      <c r="F74" s="357"/>
      <c r="G74" s="365">
        <v>0</v>
      </c>
      <c r="H74" s="358">
        <v>0</v>
      </c>
    </row>
    <row r="75" spans="1:8">
      <c r="A75" s="222"/>
      <c r="B75" s="181"/>
      <c r="C75" s="1445" t="s">
        <v>7789</v>
      </c>
      <c r="D75" s="359"/>
      <c r="E75" s="360"/>
      <c r="F75" s="359"/>
      <c r="G75" s="366"/>
      <c r="H75" s="370"/>
    </row>
    <row r="76" spans="1:8" ht="15">
      <c r="A76" s="222"/>
      <c r="B76" s="215" t="s">
        <v>7790</v>
      </c>
      <c r="C76" s="216">
        <v>0</v>
      </c>
      <c r="D76" s="357">
        <v>0</v>
      </c>
      <c r="E76" s="358">
        <v>0</v>
      </c>
      <c r="F76" s="357"/>
      <c r="G76" s="365">
        <v>0</v>
      </c>
      <c r="H76" s="358">
        <v>0</v>
      </c>
    </row>
    <row r="77" spans="1:8">
      <c r="A77" s="222"/>
      <c r="B77" s="181"/>
      <c r="C77" s="1445" t="s">
        <v>7789</v>
      </c>
      <c r="D77" s="359"/>
      <c r="E77" s="360"/>
      <c r="F77" s="359"/>
      <c r="G77" s="366"/>
      <c r="H77" s="370"/>
    </row>
    <row r="78" spans="1:8" ht="15">
      <c r="A78" s="222"/>
      <c r="B78" s="215" t="s">
        <v>7790</v>
      </c>
      <c r="C78" s="216">
        <v>0</v>
      </c>
      <c r="D78" s="357">
        <v>0</v>
      </c>
      <c r="E78" s="358">
        <v>0</v>
      </c>
      <c r="F78" s="357"/>
      <c r="G78" s="365">
        <v>0</v>
      </c>
      <c r="H78" s="358">
        <v>0</v>
      </c>
    </row>
    <row r="79" spans="1:8" ht="12.75" hidden="1" customHeight="1" outlineLevel="1">
      <c r="A79" s="222"/>
      <c r="B79" s="181"/>
      <c r="C79" s="1445" t="s">
        <v>7789</v>
      </c>
      <c r="D79" s="359"/>
      <c r="E79" s="360"/>
      <c r="F79" s="359"/>
      <c r="G79" s="366"/>
      <c r="H79" s="370"/>
    </row>
    <row r="80" spans="1:8" ht="15" hidden="1" customHeight="1" outlineLevel="1">
      <c r="A80" s="222"/>
      <c r="B80" s="215" t="s">
        <v>7790</v>
      </c>
      <c r="C80" s="216">
        <v>0</v>
      </c>
      <c r="D80" s="357">
        <v>0</v>
      </c>
      <c r="E80" s="358">
        <v>0</v>
      </c>
      <c r="F80" s="357"/>
      <c r="G80" s="365">
        <v>0</v>
      </c>
      <c r="H80" s="358">
        <v>0</v>
      </c>
    </row>
    <row r="81" spans="1:8" ht="12.75" hidden="1" customHeight="1" outlineLevel="1">
      <c r="A81" s="222"/>
      <c r="B81" s="181"/>
      <c r="C81" s="1445" t="s">
        <v>7789</v>
      </c>
      <c r="D81" s="359"/>
      <c r="E81" s="360"/>
      <c r="F81" s="359"/>
      <c r="G81" s="366"/>
      <c r="H81" s="370"/>
    </row>
    <row r="82" spans="1:8" ht="15" hidden="1" customHeight="1" outlineLevel="1">
      <c r="A82" s="222"/>
      <c r="B82" s="215" t="s">
        <v>7790</v>
      </c>
      <c r="C82" s="216">
        <v>0</v>
      </c>
      <c r="D82" s="357">
        <v>0</v>
      </c>
      <c r="E82" s="358">
        <v>0</v>
      </c>
      <c r="F82" s="357"/>
      <c r="G82" s="365">
        <v>0</v>
      </c>
      <c r="H82" s="358">
        <v>0</v>
      </c>
    </row>
    <row r="83" spans="1:8" ht="12.75" hidden="1" customHeight="1" outlineLevel="1">
      <c r="A83" s="222"/>
      <c r="B83" s="181"/>
      <c r="C83" s="1445" t="s">
        <v>7789</v>
      </c>
      <c r="D83" s="359"/>
      <c r="E83" s="360"/>
      <c r="F83" s="359"/>
      <c r="G83" s="366"/>
      <c r="H83" s="370"/>
    </row>
    <row r="84" spans="1:8" ht="15" hidden="1" customHeight="1" outlineLevel="1">
      <c r="A84" s="222"/>
      <c r="B84" s="215" t="s">
        <v>7790</v>
      </c>
      <c r="C84" s="216">
        <v>0</v>
      </c>
      <c r="D84" s="357">
        <v>0</v>
      </c>
      <c r="E84" s="358">
        <v>0</v>
      </c>
      <c r="F84" s="357"/>
      <c r="G84" s="365">
        <v>0</v>
      </c>
      <c r="H84" s="358">
        <v>0</v>
      </c>
    </row>
    <row r="85" spans="1:8" ht="12.75" hidden="1" customHeight="1" outlineLevel="1">
      <c r="A85" s="222"/>
      <c r="B85" s="181"/>
      <c r="C85" s="1445" t="s">
        <v>7789</v>
      </c>
      <c r="D85" s="359"/>
      <c r="E85" s="360"/>
      <c r="F85" s="359"/>
      <c r="G85" s="366"/>
      <c r="H85" s="370"/>
    </row>
    <row r="86" spans="1:8" ht="15" hidden="1" customHeight="1" outlineLevel="1">
      <c r="A86" s="222"/>
      <c r="B86" s="215" t="s">
        <v>7790</v>
      </c>
      <c r="C86" s="216">
        <v>0</v>
      </c>
      <c r="D86" s="357">
        <v>0</v>
      </c>
      <c r="E86" s="358">
        <v>0</v>
      </c>
      <c r="F86" s="357"/>
      <c r="G86" s="365">
        <v>0</v>
      </c>
      <c r="H86" s="358">
        <v>0</v>
      </c>
    </row>
    <row r="87" spans="1:8" ht="12.75" hidden="1" customHeight="1" outlineLevel="1">
      <c r="A87" s="222"/>
      <c r="B87" s="180"/>
      <c r="C87" s="1445" t="s">
        <v>7789</v>
      </c>
      <c r="D87" s="359"/>
      <c r="E87" s="360"/>
      <c r="F87" s="359"/>
      <c r="G87" s="366"/>
      <c r="H87" s="370"/>
    </row>
    <row r="88" spans="1:8" ht="15" hidden="1" customHeight="1" outlineLevel="1">
      <c r="A88" s="222"/>
      <c r="B88" s="215" t="s">
        <v>7790</v>
      </c>
      <c r="C88" s="216">
        <v>0</v>
      </c>
      <c r="D88" s="357">
        <v>0</v>
      </c>
      <c r="E88" s="358">
        <v>0</v>
      </c>
      <c r="F88" s="357"/>
      <c r="G88" s="365">
        <v>0</v>
      </c>
      <c r="H88" s="358">
        <v>0</v>
      </c>
    </row>
    <row r="89" spans="1:8" collapsed="1">
      <c r="A89" s="222"/>
      <c r="B89" s="180"/>
      <c r="C89" s="1445" t="s">
        <v>7789</v>
      </c>
      <c r="D89" s="359"/>
      <c r="E89" s="360"/>
      <c r="F89" s="359"/>
      <c r="G89" s="366"/>
      <c r="H89" s="370"/>
    </row>
    <row r="90" spans="1:8" ht="15.75" thickBot="1">
      <c r="A90" s="396"/>
      <c r="B90" s="215" t="s">
        <v>7790</v>
      </c>
      <c r="C90" s="218">
        <v>0</v>
      </c>
      <c r="D90" s="361">
        <v>0</v>
      </c>
      <c r="E90" s="362">
        <v>0</v>
      </c>
      <c r="F90" s="361"/>
      <c r="G90" s="367">
        <v>0</v>
      </c>
      <c r="H90" s="362">
        <v>0</v>
      </c>
    </row>
    <row r="91" spans="1:8" ht="16.5" thickBot="1">
      <c r="A91" s="222"/>
      <c r="B91" s="182" t="s">
        <v>7791</v>
      </c>
      <c r="C91" s="183">
        <f>SUM(C69:C90)</f>
        <v>0</v>
      </c>
      <c r="D91" s="371">
        <f>SUM(D69:D90)</f>
        <v>0</v>
      </c>
      <c r="E91" s="372">
        <f>SUM(E69:E90)</f>
        <v>0</v>
      </c>
      <c r="G91" s="371">
        <f>SUM(G69:G90)</f>
        <v>0</v>
      </c>
      <c r="H91" s="373">
        <f>SUM(H69:H90)</f>
        <v>0</v>
      </c>
    </row>
    <row r="92" spans="1:8">
      <c r="A92" s="222"/>
      <c r="B92" s="142"/>
      <c r="C92" s="142"/>
      <c r="D92" s="142"/>
    </row>
    <row r="93" spans="1:8">
      <c r="A93" s="222"/>
      <c r="B93" s="142"/>
      <c r="C93" s="142"/>
      <c r="D93" s="142"/>
    </row>
    <row r="94" spans="1:8" ht="15">
      <c r="A94" s="222"/>
      <c r="B94" s="223"/>
      <c r="C94" s="296"/>
      <c r="D94" s="224" t="s">
        <v>7865</v>
      </c>
      <c r="E94" s="219">
        <v>0</v>
      </c>
    </row>
    <row r="95" spans="1:8">
      <c r="A95" s="142"/>
      <c r="B95" s="142"/>
      <c r="C95" s="142"/>
      <c r="D95" s="142"/>
    </row>
    <row r="96" spans="1:8" ht="13.5" thickBot="1">
      <c r="A96" s="222"/>
      <c r="B96" s="239" t="s">
        <v>52</v>
      </c>
      <c r="C96" s="184"/>
      <c r="D96" s="184"/>
      <c r="E96" s="184"/>
      <c r="F96" s="184"/>
      <c r="G96" s="184"/>
      <c r="H96" s="184"/>
    </row>
    <row r="97" spans="1:8">
      <c r="A97" s="222"/>
      <c r="B97" s="1"/>
      <c r="C97" s="1763"/>
      <c r="D97" s="1764"/>
      <c r="E97" s="184"/>
      <c r="F97" s="184"/>
      <c r="G97" s="184"/>
      <c r="H97" s="184"/>
    </row>
    <row r="98" spans="1:8">
      <c r="A98" s="222"/>
      <c r="B98" s="1765"/>
      <c r="C98" s="1766"/>
      <c r="D98" s="1767"/>
      <c r="E98" s="184"/>
      <c r="F98" s="184"/>
      <c r="G98" s="184"/>
      <c r="H98" s="184"/>
    </row>
    <row r="99" spans="1:8">
      <c r="A99" s="222"/>
      <c r="B99" s="1765"/>
      <c r="C99" s="1766"/>
      <c r="D99" s="1767"/>
      <c r="E99" s="184"/>
      <c r="F99" s="184"/>
      <c r="G99" s="184"/>
      <c r="H99" s="184"/>
    </row>
    <row r="100" spans="1:8" ht="13.5" thickBot="1">
      <c r="A100" s="222"/>
      <c r="B100" s="1768"/>
      <c r="C100" s="1769"/>
      <c r="D100" s="1770"/>
      <c r="E100" s="184"/>
      <c r="F100" s="184"/>
      <c r="G100" s="184"/>
      <c r="H100" s="184"/>
    </row>
    <row r="101" spans="1:8">
      <c r="A101" s="142"/>
      <c r="B101" s="142"/>
      <c r="C101" s="142"/>
      <c r="D101" s="142"/>
    </row>
    <row r="102" spans="1:8" ht="15.75">
      <c r="A102" s="222"/>
      <c r="B102" s="391" t="s">
        <v>7792</v>
      </c>
      <c r="C102" s="142"/>
      <c r="D102" s="142"/>
    </row>
    <row r="103" spans="1:8" ht="13.5" thickBot="1">
      <c r="A103" s="222"/>
      <c r="B103" s="866" t="s">
        <v>7793</v>
      </c>
      <c r="C103" s="142"/>
      <c r="D103" s="142"/>
    </row>
    <row r="104" spans="1:8">
      <c r="B104" s="1771"/>
      <c r="C104" s="1772"/>
      <c r="D104" s="1772"/>
      <c r="E104" s="1764"/>
    </row>
    <row r="105" spans="1:8">
      <c r="B105" s="1765"/>
      <c r="C105" s="1766"/>
      <c r="D105" s="1766"/>
      <c r="E105" s="1767"/>
    </row>
    <row r="106" spans="1:8">
      <c r="B106" s="1765"/>
      <c r="C106" s="1766"/>
      <c r="D106" s="1766"/>
      <c r="E106" s="1767"/>
    </row>
    <row r="107" spans="1:8">
      <c r="B107" s="1765"/>
      <c r="C107" s="1766"/>
      <c r="D107" s="1766"/>
      <c r="E107" s="1767"/>
    </row>
    <row r="108" spans="1:8">
      <c r="B108" s="1765"/>
      <c r="C108" s="1766"/>
      <c r="D108" s="1766"/>
      <c r="E108" s="1767"/>
    </row>
    <row r="109" spans="1:8">
      <c r="B109" s="1765"/>
      <c r="C109" s="1766"/>
      <c r="D109" s="1766"/>
      <c r="E109" s="1767"/>
    </row>
    <row r="110" spans="1:8" ht="13.5" thickBot="1">
      <c r="B110" s="1768"/>
      <c r="C110" s="1769"/>
      <c r="D110" s="1769"/>
      <c r="E110" s="1770"/>
    </row>
    <row r="253" spans="1:8" ht="15">
      <c r="A253" s="222"/>
      <c r="B253" s="230" t="s">
        <v>7768</v>
      </c>
      <c r="C253" s="231">
        <f>oppty.customerName</f>
        <v>0</v>
      </c>
      <c r="D253" s="184"/>
      <c r="E253" s="184"/>
      <c r="F253" s="184"/>
      <c r="G253" s="184"/>
      <c r="H253" s="184"/>
    </row>
    <row r="254" spans="1:8">
      <c r="A254" s="108"/>
      <c r="B254" s="37" t="s">
        <v>536</v>
      </c>
      <c r="C254" s="38"/>
      <c r="D254" s="121"/>
      <c r="E254" s="121"/>
      <c r="F254" s="39"/>
      <c r="G254" s="203"/>
      <c r="H254" s="107"/>
    </row>
    <row r="255" spans="1:8">
      <c r="A255" s="108"/>
      <c r="B255" s="37" t="s">
        <v>537</v>
      </c>
      <c r="C255" s="38"/>
      <c r="D255" s="121"/>
      <c r="E255" s="121"/>
      <c r="F255" s="39"/>
      <c r="G255" s="203"/>
      <c r="H255" s="107"/>
    </row>
    <row r="256" spans="1:8">
      <c r="A256" s="108"/>
      <c r="B256" s="37" t="s">
        <v>50</v>
      </c>
      <c r="C256" s="38"/>
      <c r="D256" s="121"/>
      <c r="E256" s="121"/>
      <c r="F256" s="39"/>
      <c r="G256" s="203"/>
      <c r="H256" s="107"/>
    </row>
    <row r="257" spans="1:8">
      <c r="A257" s="108"/>
      <c r="B257" s="37" t="s">
        <v>18</v>
      </c>
      <c r="C257" s="38"/>
      <c r="D257" s="121"/>
      <c r="E257" s="121"/>
      <c r="F257" s="39"/>
      <c r="G257" s="203"/>
      <c r="H257" s="107"/>
    </row>
    <row r="258" spans="1:8">
      <c r="A258" s="97"/>
      <c r="B258" s="37" t="s">
        <v>500</v>
      </c>
      <c r="C258" s="38"/>
      <c r="D258" s="121"/>
      <c r="E258" s="121"/>
      <c r="F258" s="39"/>
      <c r="G258" s="203"/>
      <c r="H258" s="97"/>
    </row>
    <row r="259" spans="1:8">
      <c r="A259" s="97"/>
      <c r="B259" s="37" t="s">
        <v>501</v>
      </c>
      <c r="C259" s="38"/>
      <c r="D259" s="121"/>
      <c r="E259" s="121"/>
      <c r="F259" s="39"/>
      <c r="G259" s="203"/>
      <c r="H259" s="97"/>
    </row>
    <row r="260" spans="1:8">
      <c r="A260" s="97"/>
      <c r="H260" s="97"/>
    </row>
    <row r="261" spans="1:8">
      <c r="A261" s="97"/>
      <c r="H261" s="97"/>
    </row>
    <row r="262" spans="1:8" ht="15.75">
      <c r="A262" s="403"/>
      <c r="B262" s="402" t="s">
        <v>7916</v>
      </c>
      <c r="C262" s="399"/>
      <c r="D262" s="400"/>
      <c r="E262" s="400"/>
      <c r="F262" s="400"/>
      <c r="G262" s="399"/>
      <c r="H262" s="401"/>
    </row>
    <row r="263" spans="1:8">
      <c r="A263" s="403"/>
      <c r="B263" s="398" t="b">
        <v>0</v>
      </c>
      <c r="C263" s="398" t="b">
        <v>0</v>
      </c>
      <c r="D263" s="1043" t="b">
        <v>0</v>
      </c>
      <c r="E263" s="97"/>
      <c r="F263" s="97" t="s">
        <v>579</v>
      </c>
      <c r="G263" s="392"/>
      <c r="H263" s="97"/>
    </row>
    <row r="264" spans="1:8">
      <c r="A264" s="403"/>
      <c r="B264" s="133"/>
      <c r="C264" s="133"/>
      <c r="D264" s="97"/>
      <c r="E264" s="97"/>
      <c r="F264" s="97" t="s">
        <v>580</v>
      </c>
      <c r="G264" s="393"/>
    </row>
    <row r="265" spans="1:8">
      <c r="A265" s="403"/>
      <c r="B265" s="97"/>
      <c r="C265" s="97"/>
      <c r="D265" s="97"/>
      <c r="E265" s="97" t="s">
        <v>577</v>
      </c>
      <c r="F265" s="97"/>
      <c r="G265" s="393"/>
      <c r="H265" s="275" t="s">
        <v>531</v>
      </c>
    </row>
    <row r="266" spans="1:8">
      <c r="A266" s="403"/>
      <c r="B266" s="399"/>
      <c r="C266" s="399"/>
      <c r="D266" s="400"/>
      <c r="E266" s="400"/>
      <c r="F266" s="400"/>
      <c r="G266" s="400"/>
      <c r="H266" s="401"/>
    </row>
    <row r="267" spans="1:8">
      <c r="A267" s="97"/>
      <c r="H267" s="97"/>
    </row>
    <row r="268" spans="1:8" ht="15.75">
      <c r="A268" s="403"/>
      <c r="B268" s="402" t="s">
        <v>7917</v>
      </c>
      <c r="C268" s="399"/>
      <c r="D268" s="400"/>
      <c r="E268" s="400"/>
      <c r="F268" s="400"/>
      <c r="G268" s="399"/>
      <c r="H268" s="401"/>
    </row>
    <row r="269" spans="1:8">
      <c r="A269" s="403"/>
      <c r="C269" s="349" t="s">
        <v>578</v>
      </c>
      <c r="D269" s="394" t="s">
        <v>365</v>
      </c>
      <c r="H269" s="97"/>
    </row>
    <row r="270" spans="1:8">
      <c r="A270" s="404"/>
      <c r="B270" s="405" t="s">
        <v>7915</v>
      </c>
      <c r="C270" s="275"/>
      <c r="D270" s="275"/>
      <c r="E270" s="275"/>
      <c r="F270" s="275"/>
      <c r="G270" s="275"/>
      <c r="H270" s="275"/>
    </row>
    <row r="271" spans="1:8">
      <c r="A271" s="404"/>
      <c r="B271" s="1773"/>
      <c r="C271" s="1774"/>
      <c r="D271" s="1774"/>
      <c r="E271" s="1774"/>
      <c r="F271" s="1774"/>
      <c r="G271" s="1775"/>
      <c r="H271" s="275"/>
    </row>
    <row r="272" spans="1:8">
      <c r="A272" s="404"/>
      <c r="B272" s="1776"/>
      <c r="C272" s="1777"/>
      <c r="D272" s="1777"/>
      <c r="E272" s="1777"/>
      <c r="F272" s="1777"/>
      <c r="G272" s="1778"/>
      <c r="H272" s="275"/>
    </row>
    <row r="273" spans="1:8">
      <c r="A273" s="404"/>
      <c r="B273" s="1776"/>
      <c r="C273" s="1777"/>
      <c r="D273" s="1777"/>
      <c r="E273" s="1777"/>
      <c r="F273" s="1777"/>
      <c r="G273" s="1778"/>
      <c r="H273" s="275"/>
    </row>
    <row r="274" spans="1:8">
      <c r="A274" s="404"/>
      <c r="B274" s="1779"/>
      <c r="C274" s="1780"/>
      <c r="D274" s="1780"/>
      <c r="E274" s="1780"/>
      <c r="F274" s="1780"/>
      <c r="G274" s="1781"/>
      <c r="H274" s="275"/>
    </row>
    <row r="275" spans="1:8">
      <c r="A275" s="403"/>
      <c r="C275" s="97"/>
      <c r="D275" s="97"/>
      <c r="E275" s="97"/>
      <c r="F275" s="97"/>
      <c r="G275" s="97"/>
      <c r="H275" s="97"/>
    </row>
    <row r="276" spans="1:8">
      <c r="A276" s="403"/>
      <c r="B276" s="399"/>
      <c r="C276" s="399"/>
      <c r="D276" s="400"/>
      <c r="E276" s="400"/>
      <c r="F276" s="400"/>
      <c r="G276" s="400"/>
      <c r="H276" s="401"/>
    </row>
    <row r="277" spans="1:8">
      <c r="A277" s="97"/>
      <c r="B277" s="97" t="s">
        <v>51</v>
      </c>
      <c r="C277" s="97"/>
      <c r="D277" s="97"/>
      <c r="E277" s="97"/>
      <c r="F277" s="97"/>
      <c r="G277" s="97"/>
      <c r="H277" s="97"/>
    </row>
    <row r="278" spans="1:8">
      <c r="A278" s="97"/>
      <c r="B278" s="97"/>
      <c r="C278" s="97"/>
      <c r="D278" s="97"/>
      <c r="E278" s="97"/>
      <c r="F278" s="97"/>
      <c r="G278" s="97"/>
      <c r="H278" s="97"/>
    </row>
    <row r="279" spans="1:8">
      <c r="A279" s="97"/>
      <c r="B279" s="97"/>
      <c r="C279" s="97"/>
      <c r="D279" s="97"/>
      <c r="E279" s="97"/>
      <c r="F279" s="97"/>
      <c r="G279" s="97"/>
      <c r="H279" s="97"/>
    </row>
    <row r="280" spans="1:8" ht="15.75">
      <c r="A280" s="222"/>
      <c r="B280" s="390" t="s">
        <v>7769</v>
      </c>
      <c r="C280" s="234"/>
      <c r="D280" s="234"/>
      <c r="E280" s="234"/>
      <c r="F280" s="234"/>
      <c r="G280" s="184"/>
      <c r="H280" s="184"/>
    </row>
    <row r="281" spans="1:8">
      <c r="A281" s="222"/>
      <c r="B281" s="235" t="s">
        <v>7770</v>
      </c>
      <c r="C281" s="236"/>
      <c r="D281" s="236"/>
      <c r="E281" s="236"/>
      <c r="F281" s="236"/>
      <c r="G281" s="184"/>
      <c r="H281" s="184"/>
    </row>
    <row r="282" spans="1:8" ht="25.5">
      <c r="A282" s="222"/>
      <c r="B282" s="386" t="s">
        <v>7776</v>
      </c>
      <c r="C282" s="387" t="s">
        <v>7861</v>
      </c>
      <c r="D282" s="387" t="s">
        <v>7771</v>
      </c>
      <c r="E282" s="387" t="s">
        <v>7772</v>
      </c>
      <c r="F282" s="387" t="s">
        <v>7773</v>
      </c>
      <c r="G282" s="184"/>
      <c r="H282" s="184"/>
    </row>
    <row r="283" spans="1:8">
      <c r="A283" s="222"/>
      <c r="B283" s="201"/>
      <c r="C283" s="202">
        <v>0</v>
      </c>
      <c r="D283" s="202">
        <v>0</v>
      </c>
      <c r="E283" s="220">
        <f>C283-D283</f>
        <v>0</v>
      </c>
      <c r="F283" s="282" t="str">
        <f>IFERROR(E283/C283,"")</f>
        <v/>
      </c>
      <c r="G283" s="184"/>
      <c r="H283" s="184"/>
    </row>
    <row r="284" spans="1:8">
      <c r="A284" s="222"/>
      <c r="B284" s="201"/>
      <c r="C284" s="202">
        <v>0</v>
      </c>
      <c r="D284" s="202">
        <v>0</v>
      </c>
      <c r="E284" s="220">
        <f t="shared" ref="E284:E293" si="0">C284-D284</f>
        <v>0</v>
      </c>
      <c r="F284" s="282" t="str">
        <f t="shared" ref="F284:F293" si="1">IFERROR(E284/C284,"")</f>
        <v/>
      </c>
      <c r="G284" s="184"/>
      <c r="H284" s="184"/>
    </row>
    <row r="285" spans="1:8">
      <c r="A285" s="222"/>
      <c r="B285" s="201"/>
      <c r="C285" s="202">
        <v>0</v>
      </c>
      <c r="D285" s="202">
        <v>0</v>
      </c>
      <c r="E285" s="220">
        <f t="shared" si="0"/>
        <v>0</v>
      </c>
      <c r="F285" s="282" t="str">
        <f t="shared" si="1"/>
        <v/>
      </c>
      <c r="G285" s="184"/>
      <c r="H285" s="184"/>
    </row>
    <row r="286" spans="1:8">
      <c r="A286" s="222"/>
      <c r="B286" s="201"/>
      <c r="C286" s="202">
        <v>0</v>
      </c>
      <c r="D286" s="202">
        <v>0</v>
      </c>
      <c r="E286" s="220">
        <f t="shared" si="0"/>
        <v>0</v>
      </c>
      <c r="F286" s="282" t="str">
        <f t="shared" si="1"/>
        <v/>
      </c>
      <c r="G286" s="184"/>
      <c r="H286" s="184"/>
    </row>
    <row r="287" spans="1:8">
      <c r="A287" s="222"/>
      <c r="B287" s="201"/>
      <c r="C287" s="202">
        <v>0</v>
      </c>
      <c r="D287" s="202">
        <v>0</v>
      </c>
      <c r="E287" s="220">
        <f t="shared" si="0"/>
        <v>0</v>
      </c>
      <c r="F287" s="282" t="str">
        <f t="shared" si="1"/>
        <v/>
      </c>
      <c r="G287" s="184"/>
      <c r="H287" s="184"/>
    </row>
    <row r="288" spans="1:8">
      <c r="A288" s="222"/>
      <c r="B288" s="201"/>
      <c r="C288" s="202">
        <v>0</v>
      </c>
      <c r="D288" s="202">
        <v>0</v>
      </c>
      <c r="E288" s="220">
        <f t="shared" si="0"/>
        <v>0</v>
      </c>
      <c r="F288" s="282" t="str">
        <f t="shared" si="1"/>
        <v/>
      </c>
      <c r="G288" s="184"/>
      <c r="H288" s="184"/>
    </row>
    <row r="289" spans="1:8">
      <c r="A289" s="222"/>
      <c r="B289" s="201"/>
      <c r="C289" s="202">
        <v>0</v>
      </c>
      <c r="D289" s="202">
        <v>0</v>
      </c>
      <c r="E289" s="220">
        <f t="shared" si="0"/>
        <v>0</v>
      </c>
      <c r="F289" s="282" t="str">
        <f t="shared" si="1"/>
        <v/>
      </c>
      <c r="G289" s="184"/>
      <c r="H289" s="184"/>
    </row>
    <row r="290" spans="1:8">
      <c r="A290" s="222"/>
      <c r="B290" s="201"/>
      <c r="C290" s="202">
        <v>0</v>
      </c>
      <c r="D290" s="202">
        <v>0</v>
      </c>
      <c r="E290" s="220">
        <f t="shared" si="0"/>
        <v>0</v>
      </c>
      <c r="F290" s="282" t="str">
        <f t="shared" si="1"/>
        <v/>
      </c>
      <c r="G290" s="184"/>
      <c r="H290" s="184"/>
    </row>
    <row r="291" spans="1:8">
      <c r="A291" s="222"/>
      <c r="B291" s="201"/>
      <c r="C291" s="202">
        <v>0</v>
      </c>
      <c r="D291" s="202">
        <v>0</v>
      </c>
      <c r="E291" s="220">
        <f t="shared" si="0"/>
        <v>0</v>
      </c>
      <c r="F291" s="282" t="str">
        <f t="shared" si="1"/>
        <v/>
      </c>
      <c r="G291" s="184"/>
      <c r="H291" s="184"/>
    </row>
    <row r="292" spans="1:8">
      <c r="A292" s="222"/>
      <c r="B292" s="201"/>
      <c r="C292" s="202">
        <v>0</v>
      </c>
      <c r="D292" s="202">
        <v>0</v>
      </c>
      <c r="E292" s="220">
        <f t="shared" si="0"/>
        <v>0</v>
      </c>
      <c r="F292" s="282" t="str">
        <f t="shared" si="1"/>
        <v/>
      </c>
      <c r="G292" s="184"/>
      <c r="H292" s="184"/>
    </row>
    <row r="293" spans="1:8">
      <c r="A293" s="222"/>
      <c r="B293" s="395"/>
      <c r="C293" s="202">
        <v>0</v>
      </c>
      <c r="D293" s="202">
        <v>0</v>
      </c>
      <c r="E293" s="220">
        <f t="shared" si="0"/>
        <v>0</v>
      </c>
      <c r="F293" s="282" t="str">
        <f t="shared" si="1"/>
        <v/>
      </c>
      <c r="G293" s="184"/>
      <c r="H293" s="184"/>
    </row>
    <row r="294" spans="1:8">
      <c r="A294" s="222"/>
      <c r="B294" s="177" t="s">
        <v>600</v>
      </c>
      <c r="C294" s="178">
        <f>SUM(C283:C293)</f>
        <v>0</v>
      </c>
      <c r="D294" s="178">
        <f t="shared" ref="D294:E294" si="2">SUM(D283:D293)</f>
        <v>0</v>
      </c>
      <c r="E294" s="178">
        <f t="shared" si="2"/>
        <v>0</v>
      </c>
      <c r="F294" s="179" t="str">
        <f>IFERROR(#REF!/#REF!,"")</f>
        <v/>
      </c>
      <c r="G294" s="184"/>
      <c r="H294" s="184"/>
    </row>
    <row r="295" spans="1:8">
      <c r="A295" s="222"/>
      <c r="B295" s="184"/>
      <c r="C295" s="184"/>
      <c r="D295" s="184"/>
      <c r="E295" s="184"/>
      <c r="F295" s="184"/>
      <c r="G295" s="184"/>
      <c r="H295" s="184"/>
    </row>
    <row r="296" spans="1:8">
      <c r="A296" s="222"/>
      <c r="B296" s="184"/>
      <c r="C296" s="184"/>
      <c r="D296" s="184"/>
      <c r="E296" s="184"/>
      <c r="F296" s="184"/>
      <c r="G296" s="184"/>
      <c r="H296" s="184"/>
    </row>
    <row r="297" spans="1:8" ht="15.75">
      <c r="A297" s="222"/>
      <c r="B297" s="390" t="s">
        <v>7775</v>
      </c>
      <c r="C297" s="237"/>
      <c r="D297" s="237"/>
      <c r="E297" s="232"/>
      <c r="F297" s="232"/>
      <c r="G297" s="232"/>
      <c r="H297" s="232"/>
    </row>
    <row r="298" spans="1:8">
      <c r="A298" s="222"/>
      <c r="B298" s="235" t="s">
        <v>9278</v>
      </c>
      <c r="C298" s="238"/>
      <c r="D298" s="238"/>
      <c r="E298" s="233"/>
      <c r="F298" s="233"/>
      <c r="G298" s="233"/>
      <c r="H298" s="233"/>
    </row>
    <row r="299" spans="1:8" ht="25.5">
      <c r="A299" s="222"/>
      <c r="B299" s="386" t="s">
        <v>7863</v>
      </c>
      <c r="C299" s="387" t="s">
        <v>7776</v>
      </c>
      <c r="D299" s="387" t="s">
        <v>7777</v>
      </c>
      <c r="E299" s="387" t="s">
        <v>7778</v>
      </c>
      <c r="F299" s="387" t="s">
        <v>7779</v>
      </c>
      <c r="G299" s="388" t="s">
        <v>7873</v>
      </c>
      <c r="H299" s="388" t="s">
        <v>7874</v>
      </c>
    </row>
    <row r="300" spans="1:8">
      <c r="A300" s="222"/>
      <c r="B300" s="204"/>
      <c r="C300" s="205"/>
      <c r="D300" s="202"/>
      <c r="E300" s="277"/>
      <c r="F300" s="220">
        <f>D300-E300</f>
        <v>0</v>
      </c>
      <c r="G300" s="208"/>
      <c r="H300" s="209"/>
    </row>
    <row r="301" spans="1:8">
      <c r="A301" s="222"/>
      <c r="B301" s="204"/>
      <c r="C301" s="205"/>
      <c r="D301" s="202"/>
      <c r="E301" s="277"/>
      <c r="F301" s="220">
        <f t="shared" ref="F301:F310" si="3">D301-E301</f>
        <v>0</v>
      </c>
      <c r="G301" s="208"/>
      <c r="H301" s="209"/>
    </row>
    <row r="302" spans="1:8">
      <c r="A302" s="222"/>
      <c r="B302" s="204"/>
      <c r="C302" s="205"/>
      <c r="D302" s="202"/>
      <c r="E302" s="277"/>
      <c r="F302" s="220">
        <f t="shared" si="3"/>
        <v>0</v>
      </c>
      <c r="G302" s="208"/>
      <c r="H302" s="209"/>
    </row>
    <row r="303" spans="1:8">
      <c r="A303" s="222"/>
      <c r="B303" s="204"/>
      <c r="C303" s="205"/>
      <c r="D303" s="202"/>
      <c r="E303" s="277"/>
      <c r="F303" s="220">
        <f t="shared" si="3"/>
        <v>0</v>
      </c>
      <c r="G303" s="208"/>
      <c r="H303" s="209"/>
    </row>
    <row r="304" spans="1:8">
      <c r="A304" s="222"/>
      <c r="B304" s="204"/>
      <c r="C304" s="205"/>
      <c r="D304" s="202"/>
      <c r="E304" s="277"/>
      <c r="F304" s="220">
        <f t="shared" si="3"/>
        <v>0</v>
      </c>
      <c r="G304" s="208"/>
      <c r="H304" s="209"/>
    </row>
    <row r="305" spans="1:8">
      <c r="A305" s="222"/>
      <c r="B305" s="204"/>
      <c r="C305" s="205"/>
      <c r="D305" s="202"/>
      <c r="E305" s="277"/>
      <c r="F305" s="220">
        <f t="shared" si="3"/>
        <v>0</v>
      </c>
      <c r="G305" s="208"/>
      <c r="H305" s="209"/>
    </row>
    <row r="306" spans="1:8">
      <c r="A306" s="222"/>
      <c r="B306" s="204"/>
      <c r="C306" s="205"/>
      <c r="D306" s="202"/>
      <c r="E306" s="277"/>
      <c r="F306" s="220">
        <f t="shared" si="3"/>
        <v>0</v>
      </c>
      <c r="G306" s="208"/>
      <c r="H306" s="209"/>
    </row>
    <row r="307" spans="1:8">
      <c r="A307" s="222"/>
      <c r="B307" s="204"/>
      <c r="C307" s="205"/>
      <c r="D307" s="202"/>
      <c r="E307" s="277"/>
      <c r="F307" s="220">
        <f t="shared" si="3"/>
        <v>0</v>
      </c>
      <c r="G307" s="208"/>
      <c r="H307" s="209"/>
    </row>
    <row r="308" spans="1:8">
      <c r="A308" s="222"/>
      <c r="B308" s="204"/>
      <c r="C308" s="205"/>
      <c r="D308" s="202"/>
      <c r="E308" s="277"/>
      <c r="F308" s="220">
        <f t="shared" si="3"/>
        <v>0</v>
      </c>
      <c r="G308" s="208"/>
      <c r="H308" s="209"/>
    </row>
    <row r="309" spans="1:8">
      <c r="A309" s="222"/>
      <c r="B309" s="204"/>
      <c r="C309" s="205"/>
      <c r="D309" s="202"/>
      <c r="E309" s="277"/>
      <c r="F309" s="220">
        <f t="shared" si="3"/>
        <v>0</v>
      </c>
      <c r="G309" s="208"/>
      <c r="H309" s="209"/>
    </row>
    <row r="310" spans="1:8">
      <c r="A310" s="222"/>
      <c r="B310" s="206"/>
      <c r="C310" s="207"/>
      <c r="D310" s="410"/>
      <c r="E310" s="278"/>
      <c r="F310" s="221">
        <f t="shared" si="3"/>
        <v>0</v>
      </c>
      <c r="G310" s="210"/>
      <c r="H310" s="211"/>
    </row>
    <row r="311" spans="1:8">
      <c r="A311" s="222"/>
      <c r="B311" s="184"/>
      <c r="C311" s="184"/>
      <c r="D311" s="184"/>
      <c r="E311" s="184"/>
      <c r="F311" s="184"/>
      <c r="G311" s="184"/>
      <c r="H311" s="184"/>
    </row>
    <row r="312" spans="1:8" ht="15.75">
      <c r="A312" s="222"/>
      <c r="B312" s="390" t="s">
        <v>7857</v>
      </c>
      <c r="C312" s="184"/>
      <c r="D312" s="184"/>
      <c r="E312" s="184"/>
      <c r="F312" s="184"/>
      <c r="G312" s="184"/>
      <c r="H312" s="184"/>
    </row>
    <row r="313" spans="1:8" ht="13.7" customHeight="1" thickBot="1">
      <c r="A313" s="222"/>
      <c r="B313" s="240" t="s">
        <v>7858</v>
      </c>
      <c r="C313" s="184"/>
      <c r="D313" s="184"/>
      <c r="E313" s="184"/>
      <c r="F313" s="184"/>
      <c r="G313" s="184"/>
      <c r="H313" s="184"/>
    </row>
    <row r="314" spans="1:8" ht="17.45" customHeight="1" thickBot="1">
      <c r="A314" s="222"/>
      <c r="B314" s="383"/>
      <c r="C314" s="132" t="s">
        <v>7780</v>
      </c>
      <c r="D314" s="381" t="s">
        <v>7781</v>
      </c>
      <c r="E314" s="382" t="s">
        <v>7782</v>
      </c>
      <c r="F314" s="888" t="s">
        <v>7783</v>
      </c>
      <c r="G314" s="889"/>
      <c r="H314" s="890"/>
    </row>
    <row r="315" spans="1:8" ht="12.75" customHeight="1">
      <c r="A315" s="222"/>
      <c r="B315" s="384" t="s">
        <v>7784</v>
      </c>
      <c r="C315" s="212"/>
      <c r="D315" s="351"/>
      <c r="E315" s="352"/>
      <c r="F315" s="411"/>
      <c r="G315" s="412"/>
      <c r="H315" s="413"/>
    </row>
    <row r="316" spans="1:8" ht="13.5" thickBot="1">
      <c r="A316" s="222"/>
      <c r="B316" s="384" t="s">
        <v>7911</v>
      </c>
      <c r="C316" s="213"/>
      <c r="D316" s="353"/>
      <c r="E316" s="354"/>
      <c r="F316" s="374" t="s">
        <v>7785</v>
      </c>
      <c r="G316" s="214"/>
      <c r="H316" s="378"/>
    </row>
    <row r="317" spans="1:8" ht="51.75" thickBot="1">
      <c r="A317" s="222"/>
      <c r="B317" s="385" t="s">
        <v>7786</v>
      </c>
      <c r="C317" s="389" t="s">
        <v>7859</v>
      </c>
      <c r="D317" s="379" t="s">
        <v>7787</v>
      </c>
      <c r="E317" s="380" t="s">
        <v>7787</v>
      </c>
      <c r="F317" s="375" t="s">
        <v>7788</v>
      </c>
      <c r="G317" s="376" t="s">
        <v>7875</v>
      </c>
      <c r="H317" s="377" t="s">
        <v>7876</v>
      </c>
    </row>
    <row r="318" spans="1:8" ht="13.7" customHeight="1">
      <c r="A318" s="222"/>
      <c r="B318" s="180"/>
      <c r="C318" s="217" t="s">
        <v>7789</v>
      </c>
      <c r="D318" s="355"/>
      <c r="E318" s="356"/>
      <c r="F318" s="363"/>
      <c r="G318" s="364"/>
      <c r="H318" s="368"/>
    </row>
    <row r="319" spans="1:8" ht="12.75" customHeight="1">
      <c r="A319" s="222"/>
      <c r="B319" s="215" t="s">
        <v>7790</v>
      </c>
      <c r="C319" s="216">
        <v>0</v>
      </c>
      <c r="D319" s="357">
        <v>0</v>
      </c>
      <c r="E319" s="358">
        <v>0</v>
      </c>
      <c r="F319" s="357"/>
      <c r="G319" s="365">
        <v>0</v>
      </c>
      <c r="H319" s="358">
        <v>0</v>
      </c>
    </row>
    <row r="320" spans="1:8">
      <c r="A320" s="222"/>
      <c r="B320" s="180"/>
      <c r="C320" s="217" t="s">
        <v>7789</v>
      </c>
      <c r="D320" s="359"/>
      <c r="E320" s="360"/>
      <c r="F320" s="359"/>
      <c r="G320" s="366"/>
      <c r="H320" s="369"/>
    </row>
    <row r="321" spans="1:8" ht="15">
      <c r="A321" s="222"/>
      <c r="B321" s="215" t="s">
        <v>7790</v>
      </c>
      <c r="C321" s="216">
        <v>0</v>
      </c>
      <c r="D321" s="357">
        <v>0</v>
      </c>
      <c r="E321" s="358">
        <v>0</v>
      </c>
      <c r="F321" s="357"/>
      <c r="G321" s="365">
        <v>0</v>
      </c>
      <c r="H321" s="358">
        <v>0</v>
      </c>
    </row>
    <row r="322" spans="1:8">
      <c r="A322" s="222"/>
      <c r="B322" s="180"/>
      <c r="C322" s="217" t="s">
        <v>7789</v>
      </c>
      <c r="D322" s="359"/>
      <c r="E322" s="360"/>
      <c r="F322" s="359"/>
      <c r="G322" s="366"/>
      <c r="H322" s="370"/>
    </row>
    <row r="323" spans="1:8" ht="15">
      <c r="A323" s="222"/>
      <c r="B323" s="215" t="s">
        <v>7790</v>
      </c>
      <c r="C323" s="216">
        <v>0</v>
      </c>
      <c r="D323" s="357">
        <v>0</v>
      </c>
      <c r="E323" s="358">
        <v>0</v>
      </c>
      <c r="F323" s="357"/>
      <c r="G323" s="365">
        <v>0</v>
      </c>
      <c r="H323" s="358">
        <v>0</v>
      </c>
    </row>
    <row r="324" spans="1:8">
      <c r="A324" s="222"/>
      <c r="B324" s="181"/>
      <c r="C324" s="217" t="s">
        <v>7789</v>
      </c>
      <c r="D324" s="359"/>
      <c r="E324" s="360"/>
      <c r="F324" s="359"/>
      <c r="G324" s="366"/>
      <c r="H324" s="370"/>
    </row>
    <row r="325" spans="1:8" ht="15">
      <c r="A325" s="222"/>
      <c r="B325" s="215" t="s">
        <v>7790</v>
      </c>
      <c r="C325" s="216">
        <v>0</v>
      </c>
      <c r="D325" s="357">
        <v>0</v>
      </c>
      <c r="E325" s="358">
        <v>0</v>
      </c>
      <c r="F325" s="357"/>
      <c r="G325" s="365">
        <v>0</v>
      </c>
      <c r="H325" s="358">
        <v>0</v>
      </c>
    </row>
    <row r="326" spans="1:8">
      <c r="A326" s="222"/>
      <c r="B326" s="181"/>
      <c r="C326" s="217" t="s">
        <v>7789</v>
      </c>
      <c r="D326" s="359"/>
      <c r="E326" s="360"/>
      <c r="F326" s="359"/>
      <c r="G326" s="366"/>
      <c r="H326" s="370"/>
    </row>
    <row r="327" spans="1:8" ht="15">
      <c r="A327" s="222"/>
      <c r="B327" s="215" t="s">
        <v>7790</v>
      </c>
      <c r="C327" s="216">
        <v>0</v>
      </c>
      <c r="D327" s="357">
        <v>0</v>
      </c>
      <c r="E327" s="358">
        <v>0</v>
      </c>
      <c r="F327" s="357"/>
      <c r="G327" s="365">
        <v>0</v>
      </c>
      <c r="H327" s="358">
        <v>0</v>
      </c>
    </row>
    <row r="328" spans="1:8">
      <c r="A328" s="222"/>
      <c r="B328" s="181"/>
      <c r="C328" s="217" t="s">
        <v>7789</v>
      </c>
      <c r="D328" s="359"/>
      <c r="E328" s="360"/>
      <c r="F328" s="359"/>
      <c r="G328" s="366"/>
      <c r="H328" s="370"/>
    </row>
    <row r="329" spans="1:8" ht="15">
      <c r="A329" s="222"/>
      <c r="B329" s="215" t="s">
        <v>7790</v>
      </c>
      <c r="C329" s="216">
        <v>0</v>
      </c>
      <c r="D329" s="357">
        <v>0</v>
      </c>
      <c r="E329" s="358">
        <v>0</v>
      </c>
      <c r="F329" s="357"/>
      <c r="G329" s="365">
        <v>0</v>
      </c>
      <c r="H329" s="358">
        <v>0</v>
      </c>
    </row>
    <row r="330" spans="1:8">
      <c r="A330" s="222"/>
      <c r="B330" s="181"/>
      <c r="C330" s="217" t="s">
        <v>7789</v>
      </c>
      <c r="D330" s="359"/>
      <c r="E330" s="360"/>
      <c r="F330" s="359"/>
      <c r="G330" s="366"/>
      <c r="H330" s="370"/>
    </row>
    <row r="331" spans="1:8" ht="15">
      <c r="A331" s="222"/>
      <c r="B331" s="215" t="s">
        <v>7790</v>
      </c>
      <c r="C331" s="216">
        <v>0</v>
      </c>
      <c r="D331" s="357">
        <v>0</v>
      </c>
      <c r="E331" s="358">
        <v>0</v>
      </c>
      <c r="F331" s="357"/>
      <c r="G331" s="365">
        <v>0</v>
      </c>
      <c r="H331" s="358">
        <v>0</v>
      </c>
    </row>
    <row r="332" spans="1:8">
      <c r="A332" s="222"/>
      <c r="B332" s="181"/>
      <c r="C332" s="217" t="s">
        <v>7789</v>
      </c>
      <c r="D332" s="359"/>
      <c r="E332" s="360"/>
      <c r="F332" s="359"/>
      <c r="G332" s="366"/>
      <c r="H332" s="370"/>
    </row>
    <row r="333" spans="1:8" ht="15">
      <c r="A333" s="222"/>
      <c r="B333" s="215" t="s">
        <v>7790</v>
      </c>
      <c r="C333" s="216">
        <v>0</v>
      </c>
      <c r="D333" s="357">
        <v>0</v>
      </c>
      <c r="E333" s="358">
        <v>0</v>
      </c>
      <c r="F333" s="357"/>
      <c r="G333" s="365">
        <v>0</v>
      </c>
      <c r="H333" s="358">
        <v>0</v>
      </c>
    </row>
    <row r="334" spans="1:8">
      <c r="A334" s="222"/>
      <c r="B334" s="181"/>
      <c r="C334" s="217" t="s">
        <v>7789</v>
      </c>
      <c r="D334" s="359"/>
      <c r="E334" s="360"/>
      <c r="F334" s="359"/>
      <c r="G334" s="366"/>
      <c r="H334" s="370"/>
    </row>
    <row r="335" spans="1:8" ht="15">
      <c r="A335" s="222"/>
      <c r="B335" s="215" t="s">
        <v>7790</v>
      </c>
      <c r="C335" s="216">
        <v>0</v>
      </c>
      <c r="D335" s="357">
        <v>0</v>
      </c>
      <c r="E335" s="358">
        <v>0</v>
      </c>
      <c r="F335" s="357"/>
      <c r="G335" s="365">
        <v>0</v>
      </c>
      <c r="H335" s="358">
        <v>0</v>
      </c>
    </row>
    <row r="336" spans="1:8">
      <c r="A336" s="222"/>
      <c r="B336" s="180"/>
      <c r="C336" s="217" t="s">
        <v>7789</v>
      </c>
      <c r="D336" s="359"/>
      <c r="E336" s="360"/>
      <c r="F336" s="359"/>
      <c r="G336" s="366"/>
      <c r="H336" s="370"/>
    </row>
    <row r="337" spans="1:9" ht="15">
      <c r="A337" s="222"/>
      <c r="B337" s="215" t="s">
        <v>7790</v>
      </c>
      <c r="C337" s="216">
        <v>0</v>
      </c>
      <c r="D337" s="357">
        <v>0</v>
      </c>
      <c r="E337" s="358">
        <v>0</v>
      </c>
      <c r="F337" s="357"/>
      <c r="G337" s="365">
        <v>0</v>
      </c>
      <c r="H337" s="358">
        <v>0</v>
      </c>
    </row>
    <row r="338" spans="1:9">
      <c r="A338" s="222"/>
      <c r="B338" s="180"/>
      <c r="C338" s="217" t="s">
        <v>7789</v>
      </c>
      <c r="D338" s="359"/>
      <c r="E338" s="360"/>
      <c r="F338" s="359"/>
      <c r="G338" s="366"/>
      <c r="H338" s="370"/>
    </row>
    <row r="339" spans="1:9" ht="15.75" thickBot="1">
      <c r="A339" s="396"/>
      <c r="B339" s="215" t="s">
        <v>7790</v>
      </c>
      <c r="C339" s="218">
        <v>0</v>
      </c>
      <c r="D339" s="361">
        <v>0</v>
      </c>
      <c r="E339" s="362">
        <v>0</v>
      </c>
      <c r="F339" s="361"/>
      <c r="G339" s="367">
        <v>0</v>
      </c>
      <c r="H339" s="362">
        <v>0</v>
      </c>
    </row>
    <row r="340" spans="1:9" ht="16.5" thickBot="1">
      <c r="A340" s="222"/>
      <c r="B340" s="182" t="s">
        <v>7791</v>
      </c>
      <c r="C340" s="183">
        <f>SUM(C318:C339)</f>
        <v>0</v>
      </c>
      <c r="D340" s="371">
        <f t="shared" ref="D340:E340" si="4">SUM(D318:D339)</f>
        <v>0</v>
      </c>
      <c r="E340" s="372">
        <f t="shared" si="4"/>
        <v>0</v>
      </c>
      <c r="G340" s="371">
        <f t="shared" ref="G340:H340" si="5">SUM(G318:G339)</f>
        <v>0</v>
      </c>
      <c r="H340" s="373">
        <f t="shared" si="5"/>
        <v>0</v>
      </c>
    </row>
    <row r="341" spans="1:9">
      <c r="A341" s="222"/>
      <c r="B341" s="142"/>
      <c r="C341" s="142"/>
      <c r="D341" s="142"/>
    </row>
    <row r="342" spans="1:9">
      <c r="A342" s="222"/>
      <c r="B342" s="142"/>
      <c r="C342" s="142"/>
      <c r="D342" s="142"/>
    </row>
    <row r="343" spans="1:9" ht="15">
      <c r="A343" s="222"/>
      <c r="B343" s="223"/>
      <c r="C343" s="296"/>
      <c r="D343" s="224" t="s">
        <v>7865</v>
      </c>
      <c r="E343" s="219">
        <v>0</v>
      </c>
    </row>
    <row r="344" spans="1:9">
      <c r="A344" s="142"/>
      <c r="B344" s="142"/>
      <c r="C344" s="142"/>
      <c r="D344" s="142"/>
    </row>
    <row r="345" spans="1:9" ht="13.5" thickBot="1">
      <c r="A345" s="222"/>
      <c r="B345" s="239" t="s">
        <v>52</v>
      </c>
      <c r="C345" s="184"/>
      <c r="D345" s="184"/>
      <c r="E345" s="184"/>
      <c r="F345" s="184"/>
      <c r="G345" s="184"/>
      <c r="H345" s="184"/>
    </row>
    <row r="346" spans="1:9">
      <c r="A346" s="222"/>
      <c r="B346" s="1782"/>
      <c r="C346" s="1783"/>
      <c r="D346" s="1784"/>
      <c r="E346" s="184"/>
      <c r="F346" s="184"/>
      <c r="G346" s="184"/>
      <c r="H346" s="184"/>
    </row>
    <row r="347" spans="1:9">
      <c r="A347" s="222"/>
      <c r="B347" s="1785"/>
      <c r="C347" s="1786"/>
      <c r="D347" s="1787"/>
      <c r="E347" s="184"/>
      <c r="F347" s="184"/>
      <c r="G347" s="184"/>
      <c r="H347" s="184"/>
    </row>
    <row r="348" spans="1:9">
      <c r="A348" s="222"/>
      <c r="B348" s="1785"/>
      <c r="C348" s="1786"/>
      <c r="D348" s="1787"/>
      <c r="E348" s="184"/>
      <c r="F348" s="184"/>
      <c r="G348" s="184"/>
      <c r="H348" s="184"/>
    </row>
    <row r="349" spans="1:9" ht="13.5" thickBot="1">
      <c r="A349" s="222"/>
      <c r="B349" s="1788"/>
      <c r="C349" s="1789"/>
      <c r="D349" s="1790"/>
      <c r="E349" s="184"/>
      <c r="F349" s="184"/>
      <c r="G349" s="184"/>
      <c r="H349" s="184"/>
      <c r="I349" s="276"/>
    </row>
    <row r="350" spans="1:9">
      <c r="A350" s="142"/>
      <c r="B350" s="142"/>
      <c r="C350" s="142"/>
      <c r="D350" s="142"/>
      <c r="I350" s="276"/>
    </row>
    <row r="351" spans="1:9" ht="15.75">
      <c r="A351" s="222"/>
      <c r="B351" s="391" t="s">
        <v>7792</v>
      </c>
      <c r="C351" s="142"/>
      <c r="D351" s="142"/>
      <c r="I351" s="276"/>
    </row>
    <row r="352" spans="1:9" ht="13.5" thickBot="1">
      <c r="A352" s="222"/>
      <c r="B352" s="225" t="s">
        <v>7793</v>
      </c>
      <c r="C352" s="142"/>
      <c r="D352" s="142"/>
      <c r="I352" s="276"/>
    </row>
    <row r="353" spans="2:9">
      <c r="B353" s="1782"/>
      <c r="C353" s="1783"/>
      <c r="D353" s="1783"/>
      <c r="E353" s="1784"/>
      <c r="I353" s="276"/>
    </row>
    <row r="354" spans="2:9">
      <c r="B354" s="1785"/>
      <c r="C354" s="1786"/>
      <c r="D354" s="1786"/>
      <c r="E354" s="1787"/>
      <c r="I354" s="276"/>
    </row>
    <row r="355" spans="2:9">
      <c r="B355" s="1785"/>
      <c r="C355" s="1786"/>
      <c r="D355" s="1786"/>
      <c r="E355" s="1787"/>
      <c r="I355" s="276"/>
    </row>
    <row r="356" spans="2:9">
      <c r="B356" s="1785"/>
      <c r="C356" s="1786"/>
      <c r="D356" s="1786"/>
      <c r="E356" s="1787"/>
      <c r="I356" s="276"/>
    </row>
    <row r="357" spans="2:9">
      <c r="B357" s="1785"/>
      <c r="C357" s="1786"/>
      <c r="D357" s="1786"/>
      <c r="E357" s="1787"/>
      <c r="I357" s="276"/>
    </row>
    <row r="358" spans="2:9">
      <c r="B358" s="1785"/>
      <c r="C358" s="1786"/>
      <c r="D358" s="1786"/>
      <c r="E358" s="1787"/>
      <c r="I358" s="276"/>
    </row>
    <row r="359" spans="2:9" ht="13.5" thickBot="1">
      <c r="B359" s="1788"/>
      <c r="C359" s="1789"/>
      <c r="D359" s="1789"/>
      <c r="E359" s="1790"/>
    </row>
  </sheetData>
  <sheetProtection sheet="1" objects="1" scenarios="1"/>
  <mergeCells count="6">
    <mergeCell ref="B22:G25"/>
    <mergeCell ref="B97:D100"/>
    <mergeCell ref="B104:E110"/>
    <mergeCell ref="B271:G274"/>
    <mergeCell ref="B353:E359"/>
    <mergeCell ref="B346:D349"/>
  </mergeCells>
  <phoneticPr fontId="3" type="noConversion"/>
  <dataValidations count="3">
    <dataValidation type="list" allowBlank="1" showInputMessage="1" showErrorMessage="1" sqref="D20 D269" xr:uid="{00000000-0002-0000-0700-000000000000}">
      <formula1>"Yes,No"</formula1>
    </dataValidation>
    <dataValidation type="list" allowBlank="1" showInputMessage="1" showErrorMessage="1" sqref="F70 F86 F84 F82 F80 F78 F88 F72 F74 F76 F90 F319 F335 F333 F331 F329 F327 F337 F321 F323 F325 F339" xr:uid="{00000000-0002-0000-0700-000001000000}">
      <formula1>"Sales Authority, ICB Pricing"</formula1>
    </dataValidation>
    <dataValidation type="date" allowBlank="1" showInputMessage="1" showErrorMessage="1" sqref="G15 G264" xr:uid="{00000000-0002-0000-0700-000002000000}">
      <formula1>32874</formula1>
      <formula2>TODAY()</formula2>
    </dataValidation>
  </dataValidations>
  <pageMargins left="0.75" right="0.75" top="1" bottom="1" header="0.5" footer="0.5"/>
  <pageSetup orientation="portrait" horizontalDpi="300" verticalDpi="300" r:id="rId1"/>
  <headerFooter alignWithMargins="0">
    <oddFooter>&amp;CAT&amp;&amp;T Proprietary (Internal Use Only)</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autoFill="0" autoPict="0" macro="[0]!to_Step0">
                <anchor moveWithCells="1">
                  <from>
                    <xdr:col>1</xdr:col>
                    <xdr:colOff>0</xdr:colOff>
                    <xdr:row>0</xdr:row>
                    <xdr:rowOff>76200</xdr:rowOff>
                  </from>
                  <to>
                    <xdr:col>1</xdr:col>
                    <xdr:colOff>1371600</xdr:colOff>
                    <xdr:row>0</xdr:row>
                    <xdr:rowOff>352425</xdr:rowOff>
                  </to>
                </anchor>
              </controlPr>
            </control>
          </mc:Choice>
        </mc:AlternateContent>
        <mc:AlternateContent xmlns:mc="http://schemas.openxmlformats.org/markup-compatibility/2006">
          <mc:Choice Requires="x14">
            <control shapeId="3078" r:id="rId5" name="Button 6">
              <controlPr defaultSize="0" autoFill="0" autoPict="0" macro="[0]!to_Step1">
                <anchor moveWithCells="1">
                  <from>
                    <xdr:col>2</xdr:col>
                    <xdr:colOff>152400</xdr:colOff>
                    <xdr:row>0</xdr:row>
                    <xdr:rowOff>76200</xdr:rowOff>
                  </from>
                  <to>
                    <xdr:col>2</xdr:col>
                    <xdr:colOff>1524000</xdr:colOff>
                    <xdr:row>0</xdr:row>
                    <xdr:rowOff>352425</xdr:rowOff>
                  </to>
                </anchor>
              </controlPr>
            </control>
          </mc:Choice>
        </mc:AlternateContent>
        <mc:AlternateContent xmlns:mc="http://schemas.openxmlformats.org/markup-compatibility/2006">
          <mc:Choice Requires="x14">
            <control shapeId="3080" r:id="rId6" name="Option Button 8">
              <controlPr defaultSize="0" autoFill="0" autoLine="0" autoPict="0">
                <anchor moveWithCells="1">
                  <from>
                    <xdr:col>1</xdr:col>
                    <xdr:colOff>152400</xdr:colOff>
                    <xdr:row>28</xdr:row>
                    <xdr:rowOff>38100</xdr:rowOff>
                  </from>
                  <to>
                    <xdr:col>1</xdr:col>
                    <xdr:colOff>885825</xdr:colOff>
                    <xdr:row>29</xdr:row>
                    <xdr:rowOff>104775</xdr:rowOff>
                  </to>
                </anchor>
              </controlPr>
            </control>
          </mc:Choice>
        </mc:AlternateContent>
        <mc:AlternateContent xmlns:mc="http://schemas.openxmlformats.org/markup-compatibility/2006">
          <mc:Choice Requires="x14">
            <control shapeId="3081" r:id="rId7" name="Option Button 9">
              <controlPr defaultSize="0" autoFill="0" autoLine="0" autoPict="0">
                <anchor moveWithCells="1">
                  <from>
                    <xdr:col>1</xdr:col>
                    <xdr:colOff>876300</xdr:colOff>
                    <xdr:row>28</xdr:row>
                    <xdr:rowOff>47625</xdr:rowOff>
                  </from>
                  <to>
                    <xdr:col>2</xdr:col>
                    <xdr:colOff>152400</xdr:colOff>
                    <xdr:row>29</xdr:row>
                    <xdr:rowOff>104775</xdr:rowOff>
                  </to>
                </anchor>
              </controlPr>
            </control>
          </mc:Choice>
        </mc:AlternateContent>
        <mc:AlternateContent xmlns:mc="http://schemas.openxmlformats.org/markup-compatibility/2006">
          <mc:Choice Requires="x14">
            <control shapeId="3082" r:id="rId8" name="Option Button 10">
              <controlPr defaultSize="0" autoFill="0" autoLine="0" autoPict="0">
                <anchor moveWithCells="1">
                  <from>
                    <xdr:col>2</xdr:col>
                    <xdr:colOff>133350</xdr:colOff>
                    <xdr:row>28</xdr:row>
                    <xdr:rowOff>57150</xdr:rowOff>
                  </from>
                  <to>
                    <xdr:col>2</xdr:col>
                    <xdr:colOff>914400</xdr:colOff>
                    <xdr:row>29</xdr:row>
                    <xdr:rowOff>114300</xdr:rowOff>
                  </to>
                </anchor>
              </controlPr>
            </control>
          </mc:Choice>
        </mc:AlternateContent>
        <mc:AlternateContent xmlns:mc="http://schemas.openxmlformats.org/markup-compatibility/2006">
          <mc:Choice Requires="x14">
            <control shapeId="3083" r:id="rId9" name="Option Button 11">
              <controlPr defaultSize="0" autoFill="0" autoLine="0" autoPict="0">
                <anchor moveWithCells="1">
                  <from>
                    <xdr:col>2</xdr:col>
                    <xdr:colOff>809625</xdr:colOff>
                    <xdr:row>28</xdr:row>
                    <xdr:rowOff>66675</xdr:rowOff>
                  </from>
                  <to>
                    <xdr:col>3</xdr:col>
                    <xdr:colOff>295275</xdr:colOff>
                    <xdr:row>29</xdr:row>
                    <xdr:rowOff>123825</xdr:rowOff>
                  </to>
                </anchor>
              </controlPr>
            </control>
          </mc:Choice>
        </mc:AlternateContent>
        <mc:AlternateContent xmlns:mc="http://schemas.openxmlformats.org/markup-compatibility/2006">
          <mc:Choice Requires="x14">
            <control shapeId="3379" r:id="rId10" name="cbSSR">
              <controlPr defaultSize="0" autoFill="0" autoLine="0" autoPict="0" macro="[0]!wsCustOpp.CheckSupersede">
                <anchor moveWithCells="1">
                  <from>
                    <xdr:col>29</xdr:col>
                    <xdr:colOff>323850</xdr:colOff>
                    <xdr:row>2</xdr:row>
                    <xdr:rowOff>180975</xdr:rowOff>
                  </from>
                  <to>
                    <xdr:col>34</xdr:col>
                    <xdr:colOff>171450</xdr:colOff>
                    <xdr:row>3</xdr:row>
                    <xdr:rowOff>171450</xdr:rowOff>
                  </to>
                </anchor>
              </controlPr>
            </control>
          </mc:Choice>
        </mc:AlternateContent>
        <mc:AlternateContent xmlns:mc="http://schemas.openxmlformats.org/markup-compatibility/2006">
          <mc:Choice Requires="x14">
            <control shapeId="3896" r:id="rId11" name="cbOnline">
              <controlPr defaultSize="0" autoFill="0" autoLine="0" autoPict="0" macro="[0]!cbOnline_Click">
                <anchor moveWithCells="1">
                  <from>
                    <xdr:col>1</xdr:col>
                    <xdr:colOff>19050</xdr:colOff>
                    <xdr:row>12</xdr:row>
                    <xdr:rowOff>0</xdr:rowOff>
                  </from>
                  <to>
                    <xdr:col>1</xdr:col>
                    <xdr:colOff>876300</xdr:colOff>
                    <xdr:row>17</xdr:row>
                    <xdr:rowOff>19050</xdr:rowOff>
                  </to>
                </anchor>
              </controlPr>
            </control>
          </mc:Choice>
        </mc:AlternateContent>
        <mc:AlternateContent xmlns:mc="http://schemas.openxmlformats.org/markup-compatibility/2006">
          <mc:Choice Requires="x14">
            <control shapeId="3951" r:id="rId12" name="cbCoTAdd">
              <controlPr defaultSize="0" autoFill="0" autoLine="0" autoPict="0" macro="[0]!wsCustOpp.CheckCoterminous">
                <anchor moveWithCells="1">
                  <from>
                    <xdr:col>1</xdr:col>
                    <xdr:colOff>9525</xdr:colOff>
                    <xdr:row>13</xdr:row>
                    <xdr:rowOff>0</xdr:rowOff>
                  </from>
                  <to>
                    <xdr:col>1</xdr:col>
                    <xdr:colOff>1504950</xdr:colOff>
                    <xdr:row>18</xdr:row>
                    <xdr:rowOff>85725</xdr:rowOff>
                  </to>
                </anchor>
              </controlPr>
            </control>
          </mc:Choice>
        </mc:AlternateContent>
        <mc:AlternateContent xmlns:mc="http://schemas.openxmlformats.org/markup-compatibility/2006">
          <mc:Choice Requires="x14">
            <control shapeId="4086" r:id="rId13" name="Check Box 1014">
              <controlPr defaultSize="0" autoFill="0" autoLine="0" autoPict="0" macro="[0]!cbIA_Click">
                <anchor moveWithCells="1">
                  <from>
                    <xdr:col>1</xdr:col>
                    <xdr:colOff>9525</xdr:colOff>
                    <xdr:row>18</xdr:row>
                    <xdr:rowOff>0</xdr:rowOff>
                  </from>
                  <to>
                    <xdr:col>2</xdr:col>
                    <xdr:colOff>76200</xdr:colOff>
                    <xdr:row>27</xdr:row>
                    <xdr:rowOff>19050</xdr:rowOff>
                  </to>
                </anchor>
              </controlPr>
            </control>
          </mc:Choice>
        </mc:AlternateContent>
        <mc:AlternateContent xmlns:mc="http://schemas.openxmlformats.org/markup-compatibility/2006">
          <mc:Choice Requires="x14">
            <control shapeId="326687" r:id="rId14" name="Button 1055">
              <controlPr defaultSize="0" autoFill="0" autoPict="0" macro="[0]!saveDealButton">
                <anchor moveWithCells="1">
                  <from>
                    <xdr:col>3</xdr:col>
                    <xdr:colOff>285750</xdr:colOff>
                    <xdr:row>0</xdr:row>
                    <xdr:rowOff>85725</xdr:rowOff>
                  </from>
                  <to>
                    <xdr:col>4</xdr:col>
                    <xdr:colOff>390525</xdr:colOff>
                    <xdr:row>1</xdr:row>
                    <xdr:rowOff>0</xdr:rowOff>
                  </to>
                </anchor>
              </controlPr>
            </control>
          </mc:Choice>
        </mc:AlternateContent>
        <mc:AlternateContent xmlns:mc="http://schemas.openxmlformats.org/markup-compatibility/2006">
          <mc:Choice Requires="x14">
            <control shapeId="326689" r:id="rId15" name="Check Box 1057">
              <controlPr defaultSize="0" autoFill="0" autoLine="0" autoPict="0" macro="[0]!cbOnline_Click">
                <anchor moveWithCells="1">
                  <from>
                    <xdr:col>1</xdr:col>
                    <xdr:colOff>19050</xdr:colOff>
                    <xdr:row>261</xdr:row>
                    <xdr:rowOff>0</xdr:rowOff>
                  </from>
                  <to>
                    <xdr:col>1</xdr:col>
                    <xdr:colOff>876300</xdr:colOff>
                    <xdr:row>262</xdr:row>
                    <xdr:rowOff>19050</xdr:rowOff>
                  </to>
                </anchor>
              </controlPr>
            </control>
          </mc:Choice>
        </mc:AlternateContent>
        <mc:AlternateContent xmlns:mc="http://schemas.openxmlformats.org/markup-compatibility/2006">
          <mc:Choice Requires="x14">
            <control shapeId="326690" r:id="rId16" name="Check Box 1058">
              <controlPr defaultSize="0" autoFill="0" autoLine="0" autoPict="0" macro="[0]!cbIA_Click">
                <anchor moveWithCells="1">
                  <from>
                    <xdr:col>1</xdr:col>
                    <xdr:colOff>9525</xdr:colOff>
                    <xdr:row>267</xdr:row>
                    <xdr:rowOff>0</xdr:rowOff>
                  </from>
                  <to>
                    <xdr:col>2</xdr:col>
                    <xdr:colOff>76200</xdr:colOff>
                    <xdr:row>268</xdr:row>
                    <xdr:rowOff>19050</xdr:rowOff>
                  </to>
                </anchor>
              </controlPr>
            </control>
          </mc:Choice>
        </mc:AlternateContent>
        <mc:AlternateContent xmlns:mc="http://schemas.openxmlformats.org/markup-compatibility/2006">
          <mc:Choice Requires="x14">
            <control shapeId="326691" r:id="rId17" name="Check Box 1059">
              <controlPr defaultSize="0" autoFill="0" autoLine="0" autoPict="0" macro="[0]!wsCustOpp.CheckCoterminous">
                <anchor moveWithCells="1">
                  <from>
                    <xdr:col>1</xdr:col>
                    <xdr:colOff>19050</xdr:colOff>
                    <xdr:row>263</xdr:row>
                    <xdr:rowOff>0</xdr:rowOff>
                  </from>
                  <to>
                    <xdr:col>1</xdr:col>
                    <xdr:colOff>1514475</xdr:colOff>
                    <xdr:row>264</xdr:row>
                    <xdr:rowOff>57150</xdr:rowOff>
                  </to>
                </anchor>
              </controlPr>
            </control>
          </mc:Choice>
        </mc:AlternateContent>
        <mc:AlternateContent xmlns:mc="http://schemas.openxmlformats.org/markup-compatibility/2006">
          <mc:Choice Requires="x14">
            <control shapeId="326694" r:id="rId18" name="Check Box 1062">
              <controlPr defaultSize="0" autoFill="0" autoLine="0" autoPict="0">
                <anchor moveWithCells="1">
                  <from>
                    <xdr:col>2</xdr:col>
                    <xdr:colOff>466725</xdr:colOff>
                    <xdr:row>262</xdr:row>
                    <xdr:rowOff>123825</xdr:rowOff>
                  </from>
                  <to>
                    <xdr:col>4</xdr:col>
                    <xdr:colOff>257175</xdr:colOff>
                    <xdr:row>264</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sProductSummary"/>
  <dimension ref="A1:BM74"/>
  <sheetViews>
    <sheetView showGridLines="0" zoomScale="90" zoomScaleNormal="90" workbookViewId="0">
      <pane ySplit="21" topLeftCell="A22" activePane="bottomLeft" state="frozen"/>
      <selection pane="bottomLeft" activeCell="A22" sqref="A22"/>
    </sheetView>
  </sheetViews>
  <sheetFormatPr defaultColWidth="9.140625" defaultRowHeight="12.75"/>
  <cols>
    <col min="1" max="1" width="1.85546875" style="670" customWidth="1"/>
    <col min="2" max="2" width="1" style="670" customWidth="1"/>
    <col min="3" max="3" width="12.7109375" style="154" customWidth="1"/>
    <col min="4" max="4" width="13.42578125" style="154" customWidth="1"/>
    <col min="5" max="5" width="15.140625" style="154" customWidth="1"/>
    <col min="6" max="6" width="16.42578125" style="154" customWidth="1"/>
    <col min="7" max="7" width="12.42578125" style="154" customWidth="1"/>
    <col min="8" max="8" width="11.28515625" style="154" customWidth="1"/>
    <col min="9" max="9" width="13.28515625" style="154" customWidth="1"/>
    <col min="10" max="10" width="15.7109375" style="154" customWidth="1"/>
    <col min="11" max="12" width="15.7109375" style="154" hidden="1" customWidth="1"/>
    <col min="13" max="13" width="12.7109375" style="154" customWidth="1"/>
    <col min="14" max="15" width="12.7109375" style="154" hidden="1" customWidth="1"/>
    <col min="16" max="16" width="12.7109375" style="154" customWidth="1"/>
    <col min="17" max="18" width="12.7109375" style="154" hidden="1" customWidth="1"/>
    <col min="19" max="19" width="12.7109375" style="154" customWidth="1"/>
    <col min="20" max="21" width="12.7109375" style="154" hidden="1" customWidth="1"/>
    <col min="22" max="22" width="12.7109375" style="154" customWidth="1"/>
    <col min="23" max="24" width="12.7109375" style="154" hidden="1" customWidth="1"/>
    <col min="25" max="25" width="12.7109375" style="154" customWidth="1"/>
    <col min="26" max="27" width="12.7109375" style="154" hidden="1" customWidth="1"/>
    <col min="28" max="28" width="13.5703125" style="154" hidden="1" customWidth="1"/>
    <col min="29" max="30" width="13.42578125" style="154" hidden="1" customWidth="1"/>
    <col min="31" max="36" width="12.5703125" style="154" hidden="1" customWidth="1"/>
    <col min="37" max="42" width="12.7109375" style="154" hidden="1" customWidth="1"/>
    <col min="43" max="45" width="12.5703125" style="154" hidden="1" customWidth="1"/>
    <col min="46" max="46" width="13.140625" style="154" hidden="1" customWidth="1"/>
    <col min="47" max="48" width="13.42578125" style="154" hidden="1" customWidth="1"/>
    <col min="49" max="49" width="12.42578125" style="154" hidden="1" customWidth="1"/>
    <col min="50" max="54" width="12.5703125" style="154" hidden="1" customWidth="1"/>
    <col min="55" max="60" width="12.7109375" style="154" hidden="1" customWidth="1"/>
    <col min="61" max="63" width="12.5703125" style="154" hidden="1" customWidth="1"/>
    <col min="64" max="64" width="9.140625" style="154" hidden="1" customWidth="1"/>
    <col min="65" max="16384" width="9.140625" style="154"/>
  </cols>
  <sheetData>
    <row r="1" spans="1:65" s="690" customFormat="1" hidden="1">
      <c r="A1" s="670"/>
      <c r="B1" s="670"/>
    </row>
    <row r="2" spans="1:65" ht="9" customHeight="1" thickBot="1">
      <c r="A2" s="669" t="s">
        <v>8045</v>
      </c>
      <c r="B2" s="669"/>
      <c r="C2" s="283"/>
      <c r="D2" s="283"/>
      <c r="E2" s="283"/>
      <c r="F2" s="283"/>
      <c r="G2" s="283"/>
      <c r="H2" s="283"/>
      <c r="I2" s="283"/>
      <c r="J2" s="283"/>
      <c r="K2" s="283"/>
      <c r="L2" s="283"/>
      <c r="M2" s="283"/>
      <c r="N2" s="283"/>
      <c r="O2" s="283"/>
      <c r="P2" s="283"/>
      <c r="Q2" s="283"/>
      <c r="R2" s="283"/>
      <c r="S2" s="283"/>
      <c r="T2" s="283"/>
      <c r="U2" s="283"/>
      <c r="V2" s="283"/>
      <c r="W2" s="283"/>
      <c r="X2" s="283"/>
      <c r="Y2" s="283"/>
      <c r="Z2" s="283"/>
      <c r="AA2" s="283"/>
      <c r="AB2" s="283"/>
      <c r="AC2" s="283"/>
      <c r="AD2" s="283"/>
      <c r="AE2" s="283"/>
      <c r="AF2" s="283"/>
      <c r="AG2" s="283"/>
      <c r="AH2" s="283"/>
      <c r="AI2" s="283"/>
      <c r="AJ2" s="283"/>
      <c r="AK2" s="283"/>
      <c r="AL2" s="283"/>
      <c r="AM2" s="283"/>
      <c r="AN2" s="283"/>
      <c r="AO2" s="283"/>
      <c r="AP2" s="283"/>
      <c r="AQ2" s="283"/>
      <c r="AR2" s="283"/>
      <c r="AS2" s="283"/>
      <c r="AT2" s="283"/>
      <c r="AU2" s="283"/>
      <c r="AV2" s="283"/>
      <c r="AW2" s="283"/>
      <c r="AX2" s="283"/>
      <c r="AY2" s="283"/>
      <c r="AZ2" s="283"/>
      <c r="BA2" s="283"/>
      <c r="BB2" s="283"/>
      <c r="BC2" s="283"/>
      <c r="BD2" s="283"/>
      <c r="BE2" s="283"/>
      <c r="BF2" s="283"/>
      <c r="BG2" s="283"/>
      <c r="BH2" s="283"/>
      <c r="BI2" s="283"/>
      <c r="BJ2" s="283"/>
      <c r="BK2" s="283"/>
      <c r="BL2" s="283"/>
      <c r="BM2" s="283"/>
    </row>
    <row r="3" spans="1:65" ht="13.5" thickBot="1">
      <c r="A3" s="669"/>
      <c r="B3" s="669"/>
      <c r="C3" s="284" t="s">
        <v>7795</v>
      </c>
      <c r="D3" s="835" t="s">
        <v>9927</v>
      </c>
      <c r="E3" s="283"/>
      <c r="F3" s="283"/>
      <c r="G3" s="285" t="s">
        <v>7798</v>
      </c>
      <c r="H3" s="286"/>
      <c r="I3" s="287"/>
      <c r="J3" s="283"/>
      <c r="K3" s="283"/>
      <c r="L3" s="283"/>
      <c r="M3" s="283"/>
      <c r="N3" s="283"/>
      <c r="O3" s="283"/>
      <c r="P3" s="283"/>
      <c r="Q3" s="283"/>
      <c r="R3" s="283"/>
      <c r="S3" s="283"/>
      <c r="T3" s="283"/>
      <c r="U3" s="283"/>
      <c r="V3" s="283"/>
      <c r="W3" s="283"/>
      <c r="X3" s="283"/>
      <c r="Y3" s="283"/>
      <c r="Z3" s="283"/>
      <c r="AA3" s="283"/>
      <c r="AB3" s="283"/>
      <c r="AC3" s="283"/>
      <c r="AD3" s="283"/>
      <c r="AE3" s="283"/>
      <c r="AF3" s="283"/>
      <c r="AG3" s="283"/>
      <c r="AH3" s="283"/>
      <c r="AI3" s="283"/>
      <c r="AJ3" s="283"/>
      <c r="AK3" s="283"/>
      <c r="AL3" s="283"/>
      <c r="AM3" s="283"/>
      <c r="AN3" s="283"/>
      <c r="AO3" s="283"/>
      <c r="AP3" s="283"/>
      <c r="AQ3" s="283"/>
      <c r="AR3" s="283"/>
      <c r="AS3" s="283"/>
      <c r="AT3" s="283"/>
      <c r="AU3" s="283"/>
      <c r="AV3" s="283"/>
      <c r="AW3" s="283"/>
      <c r="AX3" s="283"/>
      <c r="AY3" s="283"/>
      <c r="AZ3" s="283"/>
      <c r="BA3" s="283"/>
      <c r="BB3" s="283"/>
      <c r="BC3" s="283"/>
      <c r="BD3" s="283"/>
      <c r="BE3" s="283"/>
      <c r="BF3" s="283"/>
      <c r="BG3" s="283"/>
      <c r="BH3" s="283"/>
      <c r="BI3" s="283"/>
      <c r="BJ3" s="283"/>
      <c r="BK3" s="283"/>
      <c r="BL3" s="283"/>
      <c r="BM3" s="283"/>
    </row>
    <row r="4" spans="1:65">
      <c r="A4" s="669"/>
      <c r="B4" s="669"/>
      <c r="C4" s="283"/>
      <c r="D4" s="283"/>
      <c r="E4" s="283"/>
      <c r="F4" s="283"/>
      <c r="G4" s="188">
        <v>1</v>
      </c>
      <c r="H4" s="188">
        <v>2</v>
      </c>
      <c r="I4" s="188">
        <v>3</v>
      </c>
      <c r="J4" s="283"/>
      <c r="K4" s="283"/>
      <c r="L4" s="283"/>
      <c r="M4" s="283"/>
      <c r="N4" s="283"/>
      <c r="O4" s="283"/>
      <c r="P4" s="283"/>
      <c r="Q4" s="283"/>
      <c r="R4" s="283"/>
      <c r="S4" s="283"/>
      <c r="T4" s="283"/>
      <c r="U4" s="283"/>
      <c r="V4" s="283"/>
      <c r="W4" s="283"/>
      <c r="X4" s="283"/>
      <c r="Y4" s="283"/>
      <c r="Z4" s="283"/>
      <c r="AA4" s="283"/>
      <c r="AB4" s="283"/>
      <c r="AC4" s="283"/>
      <c r="AD4" s="283"/>
      <c r="AE4" s="283"/>
      <c r="AF4" s="283"/>
      <c r="AG4" s="283"/>
      <c r="AH4" s="283"/>
      <c r="AI4" s="283"/>
      <c r="AJ4" s="283"/>
      <c r="AK4" s="283"/>
      <c r="AL4" s="283"/>
      <c r="AM4" s="283"/>
      <c r="AN4" s="283"/>
      <c r="AO4" s="283"/>
      <c r="AP4" s="283"/>
      <c r="AQ4" s="283"/>
      <c r="AR4" s="283"/>
      <c r="AS4" s="283"/>
      <c r="AT4" s="283"/>
      <c r="AU4" s="283"/>
      <c r="AV4" s="283"/>
      <c r="AW4" s="283"/>
      <c r="AX4" s="283"/>
      <c r="AY4" s="283"/>
      <c r="AZ4" s="283"/>
      <c r="BA4" s="283"/>
      <c r="BB4" s="283"/>
      <c r="BC4" s="283"/>
      <c r="BD4" s="283"/>
      <c r="BE4" s="283"/>
      <c r="BF4" s="283"/>
      <c r="BG4" s="283"/>
      <c r="BH4" s="283"/>
      <c r="BI4" s="283"/>
      <c r="BJ4" s="283"/>
      <c r="BK4" s="283"/>
      <c r="BL4" s="283"/>
      <c r="BM4" s="283"/>
    </row>
    <row r="5" spans="1:65">
      <c r="A5" s="669"/>
      <c r="B5" s="669"/>
      <c r="C5" s="284" t="s">
        <v>7794</v>
      </c>
      <c r="D5" s="835" t="s">
        <v>12661</v>
      </c>
      <c r="E5" s="283"/>
      <c r="F5" s="288" t="s">
        <v>7800</v>
      </c>
      <c r="G5" s="289">
        <f>E50+E57+E64</f>
        <v>0</v>
      </c>
      <c r="H5" s="290">
        <f t="shared" ref="H5:I5" si="0">F50+F57+F64</f>
        <v>0</v>
      </c>
      <c r="I5" s="291">
        <f t="shared" si="0"/>
        <v>0</v>
      </c>
      <c r="J5" s="283"/>
      <c r="K5" s="283"/>
      <c r="L5" s="283"/>
      <c r="M5" s="283"/>
      <c r="N5" s="283"/>
      <c r="O5" s="283"/>
      <c r="P5" s="283"/>
      <c r="Q5" s="283"/>
      <c r="R5" s="283"/>
      <c r="S5" s="283"/>
      <c r="T5" s="283"/>
      <c r="U5" s="283"/>
      <c r="V5" s="283"/>
      <c r="W5" s="283"/>
      <c r="X5" s="283"/>
      <c r="Y5" s="283"/>
      <c r="Z5" s="283"/>
      <c r="AA5" s="283"/>
      <c r="AB5" s="283"/>
      <c r="AC5" s="283"/>
      <c r="AD5" s="283"/>
      <c r="AE5" s="283"/>
      <c r="AF5" s="283"/>
      <c r="AG5" s="283"/>
      <c r="AH5" s="283"/>
      <c r="AI5" s="283"/>
      <c r="AJ5" s="283"/>
      <c r="AK5" s="283"/>
      <c r="AL5" s="283"/>
      <c r="AM5" s="283"/>
      <c r="AN5" s="283"/>
      <c r="AO5" s="283"/>
      <c r="AP5" s="283"/>
      <c r="AQ5" s="283"/>
      <c r="AR5" s="283"/>
      <c r="AS5" s="283"/>
      <c r="AT5" s="283"/>
      <c r="AU5" s="283"/>
      <c r="AV5" s="283"/>
      <c r="AW5" s="283"/>
      <c r="AX5" s="283"/>
      <c r="AY5" s="283"/>
      <c r="AZ5" s="283"/>
      <c r="BA5" s="283"/>
      <c r="BB5" s="283"/>
      <c r="BC5" s="283"/>
      <c r="BD5" s="283"/>
      <c r="BE5" s="283"/>
      <c r="BF5" s="283"/>
      <c r="BG5" s="283"/>
      <c r="BH5" s="283"/>
      <c r="BI5" s="283"/>
      <c r="BJ5" s="283"/>
      <c r="BK5" s="283"/>
      <c r="BL5" s="283"/>
      <c r="BM5" s="283"/>
    </row>
    <row r="6" spans="1:65">
      <c r="A6" s="669"/>
      <c r="B6" s="669"/>
      <c r="C6" s="283"/>
      <c r="D6" s="283"/>
      <c r="E6" s="283"/>
      <c r="F6" s="284" t="s">
        <v>7866</v>
      </c>
      <c r="G6" s="289">
        <f ca="1">E51+E58+E65</f>
        <v>0</v>
      </c>
      <c r="H6" s="290">
        <f t="shared" ref="H6" ca="1" si="1">F51+F58+F65</f>
        <v>0</v>
      </c>
      <c r="I6" s="291">
        <f t="shared" ref="I6" ca="1" si="2">G51+G58+G65</f>
        <v>0</v>
      </c>
      <c r="J6" s="283"/>
      <c r="K6" s="283"/>
      <c r="L6" s="283"/>
      <c r="M6" s="283"/>
      <c r="N6" s="283"/>
      <c r="O6" s="283"/>
      <c r="P6" s="283"/>
      <c r="Q6" s="283"/>
      <c r="R6" s="283"/>
      <c r="S6" s="283"/>
      <c r="T6" s="283"/>
      <c r="U6" s="283"/>
      <c r="V6" s="283"/>
      <c r="W6" s="283"/>
      <c r="X6" s="283"/>
      <c r="Y6" s="283"/>
      <c r="Z6" s="283"/>
      <c r="AA6" s="283"/>
      <c r="AB6" s="283"/>
      <c r="AC6" s="283"/>
      <c r="AD6" s="283"/>
      <c r="AE6" s="283"/>
      <c r="AF6" s="283"/>
      <c r="AG6" s="283"/>
      <c r="AH6" s="283"/>
      <c r="AI6" s="283"/>
      <c r="AJ6" s="283"/>
      <c r="AK6" s="283"/>
      <c r="AL6" s="283"/>
      <c r="AM6" s="283"/>
      <c r="AN6" s="283"/>
      <c r="AO6" s="283"/>
      <c r="AP6" s="283"/>
      <c r="AQ6" s="283"/>
      <c r="AR6" s="283"/>
      <c r="AS6" s="283"/>
      <c r="AT6" s="283"/>
      <c r="AU6" s="283"/>
      <c r="AV6" s="283"/>
      <c r="AW6" s="283"/>
      <c r="AX6" s="283"/>
      <c r="AY6" s="283"/>
      <c r="AZ6" s="283"/>
      <c r="BA6" s="283"/>
      <c r="BB6" s="283"/>
      <c r="BC6" s="283"/>
      <c r="BD6" s="283"/>
      <c r="BE6" s="283"/>
      <c r="BF6" s="283"/>
      <c r="BG6" s="283"/>
      <c r="BH6" s="283"/>
      <c r="BI6" s="283"/>
      <c r="BJ6" s="283"/>
      <c r="BK6" s="283"/>
      <c r="BL6" s="283"/>
      <c r="BM6" s="283"/>
    </row>
    <row r="7" spans="1:65">
      <c r="A7" s="669"/>
      <c r="B7" s="669"/>
      <c r="C7" s="283"/>
      <c r="D7" s="283"/>
      <c r="E7" s="283"/>
      <c r="F7" s="284" t="s">
        <v>7853</v>
      </c>
      <c r="G7" s="292" t="str">
        <f ca="1">IFERROR(G5/G6,"")</f>
        <v/>
      </c>
      <c r="H7" s="293" t="str">
        <f ca="1">IFERROR(H5/H6,"")</f>
        <v/>
      </c>
      <c r="I7" s="294" t="str">
        <f ca="1">IFERROR(I5/I6,"")</f>
        <v/>
      </c>
      <c r="J7" s="283"/>
      <c r="K7" s="283"/>
      <c r="L7" s="283"/>
      <c r="M7" s="283"/>
      <c r="N7" s="283"/>
      <c r="O7" s="283"/>
      <c r="P7" s="283"/>
      <c r="Q7" s="283"/>
      <c r="R7" s="283"/>
      <c r="S7" s="283"/>
      <c r="T7" s="283"/>
      <c r="U7" s="283"/>
      <c r="V7" s="283"/>
      <c r="W7" s="283"/>
      <c r="X7" s="283"/>
      <c r="Y7" s="283"/>
      <c r="Z7" s="283"/>
      <c r="AA7" s="283"/>
      <c r="AB7" s="283"/>
      <c r="AC7" s="283"/>
      <c r="AD7" s="283"/>
      <c r="AE7" s="283"/>
      <c r="AF7" s="283"/>
      <c r="AG7" s="283"/>
      <c r="AH7" s="283"/>
      <c r="AI7" s="283"/>
      <c r="AJ7" s="283"/>
      <c r="AK7" s="283"/>
      <c r="AL7" s="283"/>
      <c r="AM7" s="283"/>
      <c r="AN7" s="283"/>
      <c r="AO7" s="283"/>
      <c r="AP7" s="283"/>
      <c r="AQ7" s="283"/>
      <c r="AR7" s="283"/>
      <c r="AS7" s="283"/>
      <c r="AT7" s="283"/>
      <c r="AU7" s="283"/>
      <c r="AV7" s="283"/>
      <c r="AW7" s="283"/>
      <c r="AX7" s="283"/>
      <c r="AY7" s="283"/>
      <c r="AZ7" s="283"/>
      <c r="BA7" s="283"/>
      <c r="BB7" s="283"/>
      <c r="BC7" s="283"/>
      <c r="BD7" s="283"/>
      <c r="BE7" s="283"/>
      <c r="BF7" s="283"/>
      <c r="BG7" s="283"/>
      <c r="BH7" s="283"/>
      <c r="BI7" s="283"/>
      <c r="BJ7" s="283"/>
      <c r="BK7" s="283"/>
      <c r="BL7" s="283"/>
      <c r="BM7" s="283"/>
    </row>
    <row r="8" spans="1:65">
      <c r="A8" s="669"/>
      <c r="B8" s="669"/>
      <c r="C8" s="283"/>
      <c r="D8" s="283"/>
      <c r="E8" s="283"/>
      <c r="F8" s="284" t="s">
        <v>7799</v>
      </c>
      <c r="G8" s="289">
        <f>'Step 1'!U52</f>
        <v>0</v>
      </c>
      <c r="H8" s="290">
        <f>'Step 1'!V52</f>
        <v>0</v>
      </c>
      <c r="I8" s="291">
        <f>'Step 1'!W52</f>
        <v>0</v>
      </c>
      <c r="J8" s="283"/>
      <c r="K8" s="283"/>
      <c r="L8" s="283"/>
      <c r="M8" s="283"/>
      <c r="N8" s="283"/>
      <c r="O8" s="283"/>
      <c r="P8" s="283"/>
      <c r="Q8" s="283"/>
      <c r="R8" s="283"/>
      <c r="S8" s="283"/>
      <c r="T8" s="283"/>
      <c r="U8" s="283"/>
      <c r="V8" s="283"/>
      <c r="W8" s="283"/>
      <c r="X8" s="283"/>
      <c r="Y8" s="283"/>
      <c r="Z8" s="283"/>
      <c r="AA8" s="283"/>
      <c r="AB8" s="283"/>
      <c r="AC8" s="283"/>
      <c r="AD8" s="283"/>
      <c r="AE8" s="283"/>
      <c r="AF8" s="283"/>
      <c r="AG8" s="283"/>
      <c r="AH8" s="283"/>
      <c r="AI8" s="283"/>
      <c r="AJ8" s="283"/>
      <c r="AK8" s="283"/>
      <c r="AL8" s="283"/>
      <c r="AM8" s="283"/>
      <c r="AN8" s="283"/>
      <c r="AO8" s="283"/>
      <c r="AP8" s="283"/>
      <c r="AQ8" s="283"/>
      <c r="AR8" s="283"/>
      <c r="AS8" s="283"/>
      <c r="AT8" s="283"/>
      <c r="AU8" s="283"/>
      <c r="AV8" s="283"/>
      <c r="AW8" s="283"/>
      <c r="AX8" s="283"/>
      <c r="AY8" s="283"/>
      <c r="AZ8" s="283"/>
      <c r="BA8" s="283"/>
      <c r="BB8" s="283"/>
      <c r="BC8" s="283"/>
      <c r="BD8" s="283"/>
      <c r="BE8" s="283"/>
      <c r="BF8" s="283"/>
      <c r="BG8" s="283"/>
      <c r="BH8" s="283"/>
      <c r="BI8" s="283"/>
      <c r="BJ8" s="283"/>
      <c r="BK8" s="283"/>
      <c r="BL8" s="283"/>
      <c r="BM8" s="283"/>
    </row>
    <row r="9" spans="1:65" ht="5.25" customHeight="1">
      <c r="A9" s="669"/>
      <c r="B9" s="669"/>
      <c r="C9" s="283"/>
      <c r="D9" s="283"/>
      <c r="E9" s="283"/>
      <c r="F9" s="284"/>
      <c r="G9" s="283"/>
      <c r="H9" s="283"/>
      <c r="I9" s="283"/>
      <c r="J9" s="283"/>
      <c r="K9" s="283"/>
      <c r="L9" s="283"/>
      <c r="M9" s="283"/>
      <c r="N9" s="283"/>
      <c r="O9" s="283"/>
      <c r="P9" s="283"/>
      <c r="Q9" s="283"/>
      <c r="R9" s="283"/>
      <c r="S9" s="283"/>
      <c r="T9" s="283"/>
      <c r="U9" s="283"/>
      <c r="V9" s="283"/>
      <c r="W9" s="283"/>
      <c r="X9" s="283"/>
      <c r="Y9" s="283"/>
      <c r="Z9" s="283"/>
      <c r="AA9" s="283"/>
      <c r="AB9" s="283"/>
      <c r="AC9" s="283"/>
      <c r="AD9" s="283"/>
      <c r="AE9" s="283"/>
      <c r="AF9" s="283"/>
      <c r="AG9" s="283"/>
      <c r="AH9" s="283"/>
      <c r="AI9" s="283"/>
      <c r="AJ9" s="283"/>
      <c r="AK9" s="283"/>
      <c r="AL9" s="283"/>
      <c r="AM9" s="283"/>
      <c r="AN9" s="283"/>
      <c r="AO9" s="283"/>
      <c r="AP9" s="283"/>
      <c r="AQ9" s="283"/>
      <c r="AR9" s="283"/>
      <c r="AS9" s="283"/>
      <c r="AT9" s="283"/>
      <c r="AU9" s="283"/>
      <c r="AV9" s="283"/>
      <c r="AW9" s="283"/>
      <c r="AX9" s="283"/>
      <c r="AY9" s="283"/>
      <c r="AZ9" s="283"/>
      <c r="BA9" s="283"/>
      <c r="BB9" s="283"/>
      <c r="BC9" s="283"/>
      <c r="BD9" s="283"/>
      <c r="BE9" s="283"/>
      <c r="BF9" s="283"/>
      <c r="BG9" s="283"/>
      <c r="BH9" s="283"/>
      <c r="BI9" s="283"/>
      <c r="BJ9" s="283"/>
      <c r="BK9" s="283"/>
      <c r="BL9" s="283"/>
      <c r="BM9" s="283"/>
    </row>
    <row r="10" spans="1:65" ht="5.25" customHeight="1">
      <c r="A10" s="669"/>
      <c r="B10" s="669"/>
      <c r="C10" s="295"/>
      <c r="D10" s="296"/>
      <c r="E10" s="283"/>
      <c r="F10" s="283"/>
      <c r="G10" s="283"/>
      <c r="H10" s="283"/>
      <c r="I10" s="283"/>
      <c r="J10" s="283"/>
      <c r="K10" s="283"/>
      <c r="L10" s="283"/>
      <c r="M10" s="297"/>
      <c r="N10" s="283"/>
      <c r="O10" s="283"/>
      <c r="P10" s="297"/>
      <c r="Q10" s="283"/>
      <c r="R10" s="283"/>
      <c r="S10" s="283"/>
      <c r="T10" s="283"/>
      <c r="U10" s="283"/>
      <c r="V10" s="283"/>
      <c r="W10" s="283"/>
      <c r="X10" s="283"/>
      <c r="Y10" s="283"/>
      <c r="Z10" s="283"/>
      <c r="AA10" s="283"/>
      <c r="AB10" s="283"/>
      <c r="AC10" s="283"/>
      <c r="AD10" s="283"/>
      <c r="AE10" s="283"/>
      <c r="AF10" s="283"/>
      <c r="AG10" s="283"/>
      <c r="AH10" s="283"/>
      <c r="AI10" s="283"/>
      <c r="AJ10" s="283"/>
      <c r="AK10" s="283"/>
      <c r="AL10" s="283"/>
      <c r="AM10" s="283"/>
      <c r="AN10" s="283"/>
      <c r="AO10" s="283"/>
      <c r="AP10" s="283"/>
      <c r="AQ10" s="283"/>
      <c r="AR10" s="283"/>
      <c r="AS10" s="283"/>
      <c r="AT10" s="283"/>
      <c r="AU10" s="283"/>
      <c r="AV10" s="283"/>
      <c r="AW10" s="283"/>
      <c r="AX10" s="283"/>
      <c r="AY10" s="283"/>
      <c r="AZ10" s="283"/>
      <c r="BA10" s="283"/>
      <c r="BB10" s="283"/>
      <c r="BC10" s="283"/>
      <c r="BD10" s="283"/>
      <c r="BE10" s="283"/>
      <c r="BF10" s="283"/>
      <c r="BG10" s="283"/>
      <c r="BH10" s="283"/>
      <c r="BI10" s="283"/>
      <c r="BJ10" s="283"/>
      <c r="BK10" s="283"/>
      <c r="BL10" s="283"/>
      <c r="BM10" s="283"/>
    </row>
    <row r="11" spans="1:65" ht="5.25" customHeight="1" thickBot="1">
      <c r="A11" s="669"/>
      <c r="B11" s="669"/>
      <c r="C11" s="295"/>
      <c r="D11" s="296"/>
      <c r="E11" s="283"/>
      <c r="F11" s="283"/>
      <c r="G11" s="283"/>
      <c r="H11" s="283"/>
      <c r="I11" s="283"/>
      <c r="J11" s="283"/>
      <c r="K11" s="283"/>
      <c r="L11" s="283"/>
      <c r="M11" s="283"/>
      <c r="N11" s="283"/>
      <c r="O11" s="283"/>
      <c r="P11" s="283"/>
      <c r="Q11" s="283"/>
      <c r="R11" s="283"/>
      <c r="S11" s="283"/>
      <c r="T11" s="283"/>
      <c r="U11" s="283"/>
      <c r="V11" s="283"/>
      <c r="W11" s="283"/>
      <c r="X11" s="283"/>
      <c r="Y11" s="283"/>
      <c r="Z11" s="283"/>
      <c r="AA11" s="283"/>
      <c r="AB11" s="283"/>
      <c r="AC11" s="283"/>
      <c r="AD11" s="283"/>
      <c r="AE11" s="283"/>
      <c r="AF11" s="283"/>
      <c r="AG11" s="283"/>
      <c r="AH11" s="283"/>
      <c r="AI11" s="283"/>
      <c r="AJ11" s="283"/>
      <c r="AK11" s="283"/>
      <c r="AL11" s="283"/>
      <c r="AM11" s="283"/>
      <c r="AN11" s="283"/>
      <c r="AO11" s="283"/>
      <c r="AP11" s="283"/>
      <c r="AQ11" s="283"/>
      <c r="AR11" s="283"/>
      <c r="AS11" s="283"/>
      <c r="AT11" s="283"/>
      <c r="AU11" s="283"/>
      <c r="AV11" s="283"/>
      <c r="AW11" s="283"/>
      <c r="AX11" s="283"/>
      <c r="AY11" s="283"/>
      <c r="AZ11" s="283"/>
      <c r="BA11" s="283"/>
      <c r="BB11" s="283"/>
      <c r="BC11" s="283"/>
      <c r="BD11" s="283"/>
      <c r="BE11" s="283"/>
      <c r="BF11" s="283"/>
      <c r="BG11" s="283"/>
      <c r="BH11" s="283"/>
      <c r="BI11" s="283"/>
      <c r="BJ11" s="283"/>
      <c r="BK11" s="283"/>
      <c r="BL11" s="283"/>
      <c r="BM11" s="283"/>
    </row>
    <row r="12" spans="1:65">
      <c r="A12" s="669"/>
      <c r="B12" s="669"/>
      <c r="C12" s="295"/>
      <c r="D12" s="296"/>
      <c r="E12" s="283"/>
      <c r="F12" s="283"/>
      <c r="G12" s="193" t="s">
        <v>238</v>
      </c>
      <c r="H12" s="194"/>
      <c r="I12" s="195"/>
      <c r="J12" s="298" t="s">
        <v>7825</v>
      </c>
      <c r="K12" s="298" t="s">
        <v>7825</v>
      </c>
      <c r="L12" s="298" t="s">
        <v>7825</v>
      </c>
      <c r="M12" s="298" t="s">
        <v>7825</v>
      </c>
      <c r="N12" s="298" t="s">
        <v>7825</v>
      </c>
      <c r="O12" s="298" t="s">
        <v>7825</v>
      </c>
      <c r="P12" s="298"/>
      <c r="Q12" s="298"/>
      <c r="R12" s="298"/>
      <c r="S12" s="298" t="s">
        <v>20</v>
      </c>
      <c r="T12" s="298" t="s">
        <v>20</v>
      </c>
      <c r="U12" s="298" t="s">
        <v>20</v>
      </c>
      <c r="V12" s="298" t="s">
        <v>7841</v>
      </c>
      <c r="W12" s="298" t="s">
        <v>7841</v>
      </c>
      <c r="X12" s="298" t="s">
        <v>7841</v>
      </c>
      <c r="Y12" s="298" t="s">
        <v>7855</v>
      </c>
      <c r="Z12" s="298" t="s">
        <v>7855</v>
      </c>
      <c r="AA12" s="298" t="s">
        <v>7855</v>
      </c>
      <c r="AB12" s="298" t="s">
        <v>7825</v>
      </c>
      <c r="AC12" s="298" t="s">
        <v>7825</v>
      </c>
      <c r="AD12" s="298" t="s">
        <v>7825</v>
      </c>
      <c r="AE12" s="298" t="s">
        <v>7825</v>
      </c>
      <c r="AF12" s="298" t="s">
        <v>7825</v>
      </c>
      <c r="AG12" s="298" t="s">
        <v>7825</v>
      </c>
      <c r="AH12" s="298"/>
      <c r="AI12" s="298"/>
      <c r="AJ12" s="298"/>
      <c r="AK12" s="298" t="s">
        <v>20</v>
      </c>
      <c r="AL12" s="298" t="s">
        <v>20</v>
      </c>
      <c r="AM12" s="298" t="s">
        <v>20</v>
      </c>
      <c r="AN12" s="298" t="s">
        <v>7841</v>
      </c>
      <c r="AO12" s="298" t="s">
        <v>7841</v>
      </c>
      <c r="AP12" s="298" t="s">
        <v>7841</v>
      </c>
      <c r="AQ12" s="298" t="s">
        <v>7855</v>
      </c>
      <c r="AR12" s="298" t="s">
        <v>7855</v>
      </c>
      <c r="AS12" s="298" t="s">
        <v>7855</v>
      </c>
      <c r="AT12" s="298" t="s">
        <v>7825</v>
      </c>
      <c r="AU12" s="298" t="s">
        <v>7825</v>
      </c>
      <c r="AV12" s="298" t="s">
        <v>7825</v>
      </c>
      <c r="AW12" s="298" t="s">
        <v>7825</v>
      </c>
      <c r="AX12" s="298" t="s">
        <v>7825</v>
      </c>
      <c r="AY12" s="298" t="s">
        <v>7825</v>
      </c>
      <c r="AZ12" s="298"/>
      <c r="BA12" s="298"/>
      <c r="BB12" s="298"/>
      <c r="BC12" s="298" t="s">
        <v>20</v>
      </c>
      <c r="BD12" s="298" t="s">
        <v>20</v>
      </c>
      <c r="BE12" s="298" t="s">
        <v>20</v>
      </c>
      <c r="BF12" s="298" t="s">
        <v>7841</v>
      </c>
      <c r="BG12" s="298" t="s">
        <v>7841</v>
      </c>
      <c r="BH12" s="298" t="s">
        <v>7841</v>
      </c>
      <c r="BI12" s="298" t="s">
        <v>7855</v>
      </c>
      <c r="BJ12" s="298" t="s">
        <v>7855</v>
      </c>
      <c r="BK12" s="298" t="s">
        <v>7855</v>
      </c>
      <c r="BL12" s="283"/>
      <c r="BM12" s="283"/>
    </row>
    <row r="13" spans="1:65">
      <c r="A13" s="669"/>
      <c r="B13" s="669"/>
      <c r="C13" s="295"/>
      <c r="D13" s="296"/>
      <c r="E13" s="283"/>
      <c r="F13" s="283"/>
      <c r="G13" s="196"/>
      <c r="H13" s="192"/>
      <c r="I13" s="197"/>
      <c r="J13" s="299" t="s">
        <v>7849</v>
      </c>
      <c r="K13" s="299" t="s">
        <v>7849</v>
      </c>
      <c r="L13" s="299" t="s">
        <v>7849</v>
      </c>
      <c r="M13" s="299" t="s">
        <v>7824</v>
      </c>
      <c r="N13" s="299" t="s">
        <v>7824</v>
      </c>
      <c r="O13" s="299" t="s">
        <v>7824</v>
      </c>
      <c r="P13" s="299" t="s">
        <v>7797</v>
      </c>
      <c r="Q13" s="299" t="s">
        <v>7797</v>
      </c>
      <c r="R13" s="299" t="s">
        <v>7797</v>
      </c>
      <c r="S13" s="299" t="s">
        <v>7841</v>
      </c>
      <c r="T13" s="299" t="s">
        <v>7841</v>
      </c>
      <c r="U13" s="299" t="s">
        <v>7841</v>
      </c>
      <c r="V13" s="299" t="s">
        <v>7842</v>
      </c>
      <c r="W13" s="299" t="s">
        <v>7842</v>
      </c>
      <c r="X13" s="299" t="s">
        <v>7842</v>
      </c>
      <c r="Y13" s="299" t="s">
        <v>7824</v>
      </c>
      <c r="Z13" s="299" t="s">
        <v>7824</v>
      </c>
      <c r="AA13" s="299" t="s">
        <v>7824</v>
      </c>
      <c r="AB13" s="299" t="s">
        <v>7849</v>
      </c>
      <c r="AC13" s="299" t="s">
        <v>7849</v>
      </c>
      <c r="AD13" s="299" t="s">
        <v>7849</v>
      </c>
      <c r="AE13" s="299" t="s">
        <v>7824</v>
      </c>
      <c r="AF13" s="299" t="s">
        <v>7824</v>
      </c>
      <c r="AG13" s="299" t="s">
        <v>7824</v>
      </c>
      <c r="AH13" s="299" t="s">
        <v>7797</v>
      </c>
      <c r="AI13" s="299" t="s">
        <v>7797</v>
      </c>
      <c r="AJ13" s="299" t="s">
        <v>7797</v>
      </c>
      <c r="AK13" s="299" t="s">
        <v>7841</v>
      </c>
      <c r="AL13" s="299" t="s">
        <v>7841</v>
      </c>
      <c r="AM13" s="299" t="s">
        <v>7841</v>
      </c>
      <c r="AN13" s="299" t="s">
        <v>7842</v>
      </c>
      <c r="AO13" s="299" t="s">
        <v>7842</v>
      </c>
      <c r="AP13" s="299" t="s">
        <v>7842</v>
      </c>
      <c r="AQ13" s="299" t="s">
        <v>7824</v>
      </c>
      <c r="AR13" s="299" t="s">
        <v>7824</v>
      </c>
      <c r="AS13" s="299" t="s">
        <v>7824</v>
      </c>
      <c r="AT13" s="299" t="s">
        <v>7849</v>
      </c>
      <c r="AU13" s="299" t="s">
        <v>7849</v>
      </c>
      <c r="AV13" s="299" t="s">
        <v>7849</v>
      </c>
      <c r="AW13" s="299" t="s">
        <v>7824</v>
      </c>
      <c r="AX13" s="299" t="s">
        <v>7824</v>
      </c>
      <c r="AY13" s="299" t="s">
        <v>7824</v>
      </c>
      <c r="AZ13" s="299" t="s">
        <v>7797</v>
      </c>
      <c r="BA13" s="299" t="s">
        <v>7797</v>
      </c>
      <c r="BB13" s="299" t="s">
        <v>7797</v>
      </c>
      <c r="BC13" s="299" t="s">
        <v>7841</v>
      </c>
      <c r="BD13" s="299" t="s">
        <v>7841</v>
      </c>
      <c r="BE13" s="299" t="s">
        <v>7841</v>
      </c>
      <c r="BF13" s="299" t="s">
        <v>7842</v>
      </c>
      <c r="BG13" s="299" t="s">
        <v>7842</v>
      </c>
      <c r="BH13" s="299" t="s">
        <v>7842</v>
      </c>
      <c r="BI13" s="299" t="s">
        <v>7824</v>
      </c>
      <c r="BJ13" s="299" t="s">
        <v>7824</v>
      </c>
      <c r="BK13" s="299" t="s">
        <v>7824</v>
      </c>
      <c r="BL13" s="283"/>
      <c r="BM13" s="283"/>
    </row>
    <row r="14" spans="1:65" ht="11.25" customHeight="1" thickBot="1">
      <c r="A14" s="669"/>
      <c r="B14" s="669"/>
      <c r="C14" s="295"/>
      <c r="D14" s="296"/>
      <c r="E14" s="283"/>
      <c r="F14" s="283"/>
      <c r="G14" s="196"/>
      <c r="H14" s="192"/>
      <c r="I14" s="197"/>
      <c r="J14" s="300" t="s">
        <v>7826</v>
      </c>
      <c r="K14" s="300" t="s">
        <v>7826</v>
      </c>
      <c r="L14" s="300" t="s">
        <v>7826</v>
      </c>
      <c r="M14" s="300" t="s">
        <v>7826</v>
      </c>
      <c r="N14" s="300" t="s">
        <v>7826</v>
      </c>
      <c r="O14" s="300" t="s">
        <v>7826</v>
      </c>
      <c r="P14" s="300" t="s">
        <v>7826</v>
      </c>
      <c r="Q14" s="300" t="s">
        <v>7826</v>
      </c>
      <c r="R14" s="300" t="s">
        <v>7826</v>
      </c>
      <c r="S14" s="300" t="s">
        <v>7826</v>
      </c>
      <c r="T14" s="300" t="s">
        <v>7826</v>
      </c>
      <c r="U14" s="300" t="s">
        <v>7826</v>
      </c>
      <c r="V14" s="300" t="s">
        <v>7826</v>
      </c>
      <c r="W14" s="300" t="s">
        <v>7826</v>
      </c>
      <c r="X14" s="300" t="s">
        <v>7826</v>
      </c>
      <c r="Y14" s="300" t="s">
        <v>7826</v>
      </c>
      <c r="Z14" s="300" t="s">
        <v>7826</v>
      </c>
      <c r="AA14" s="300" t="s">
        <v>7826</v>
      </c>
      <c r="AB14" s="300" t="s">
        <v>7827</v>
      </c>
      <c r="AC14" s="300" t="s">
        <v>7827</v>
      </c>
      <c r="AD14" s="300" t="s">
        <v>7827</v>
      </c>
      <c r="AE14" s="300" t="s">
        <v>7827</v>
      </c>
      <c r="AF14" s="300" t="s">
        <v>7827</v>
      </c>
      <c r="AG14" s="300" t="s">
        <v>7827</v>
      </c>
      <c r="AH14" s="300" t="s">
        <v>7827</v>
      </c>
      <c r="AI14" s="300" t="s">
        <v>7827</v>
      </c>
      <c r="AJ14" s="300" t="s">
        <v>7827</v>
      </c>
      <c r="AK14" s="300" t="s">
        <v>7827</v>
      </c>
      <c r="AL14" s="300" t="s">
        <v>7827</v>
      </c>
      <c r="AM14" s="300" t="s">
        <v>7827</v>
      </c>
      <c r="AN14" s="300" t="s">
        <v>7827</v>
      </c>
      <c r="AO14" s="300" t="s">
        <v>7827</v>
      </c>
      <c r="AP14" s="300" t="s">
        <v>7827</v>
      </c>
      <c r="AQ14" s="300" t="s">
        <v>7827</v>
      </c>
      <c r="AR14" s="300" t="s">
        <v>7827</v>
      </c>
      <c r="AS14" s="300" t="s">
        <v>7827</v>
      </c>
      <c r="AT14" s="300" t="s">
        <v>7828</v>
      </c>
      <c r="AU14" s="300" t="s">
        <v>7828</v>
      </c>
      <c r="AV14" s="300" t="s">
        <v>7828</v>
      </c>
      <c r="AW14" s="300" t="s">
        <v>7828</v>
      </c>
      <c r="AX14" s="300" t="s">
        <v>7828</v>
      </c>
      <c r="AY14" s="300" t="s">
        <v>7828</v>
      </c>
      <c r="AZ14" s="300" t="s">
        <v>7828</v>
      </c>
      <c r="BA14" s="300" t="s">
        <v>7828</v>
      </c>
      <c r="BB14" s="300" t="s">
        <v>7828</v>
      </c>
      <c r="BC14" s="300" t="s">
        <v>7828</v>
      </c>
      <c r="BD14" s="300" t="s">
        <v>7828</v>
      </c>
      <c r="BE14" s="300" t="s">
        <v>7828</v>
      </c>
      <c r="BF14" s="300" t="s">
        <v>7828</v>
      </c>
      <c r="BG14" s="300" t="s">
        <v>7828</v>
      </c>
      <c r="BH14" s="300" t="s">
        <v>7828</v>
      </c>
      <c r="BI14" s="300" t="s">
        <v>7828</v>
      </c>
      <c r="BJ14" s="300" t="s">
        <v>7828</v>
      </c>
      <c r="BK14" s="300" t="s">
        <v>7828</v>
      </c>
      <c r="BL14" s="283"/>
      <c r="BM14" s="283"/>
    </row>
    <row r="15" spans="1:65" ht="13.5" hidden="1" thickBot="1">
      <c r="A15" s="669"/>
      <c r="B15" s="669"/>
      <c r="C15" s="283"/>
      <c r="D15" s="283"/>
      <c r="E15" s="283"/>
      <c r="F15" s="283"/>
      <c r="G15" s="198" t="s">
        <v>238</v>
      </c>
      <c r="H15" s="199"/>
      <c r="I15" s="200"/>
      <c r="J15" s="285" t="s">
        <v>7829</v>
      </c>
      <c r="K15" s="286"/>
      <c r="L15" s="287"/>
      <c r="M15" s="285" t="s">
        <v>7830</v>
      </c>
      <c r="N15" s="286"/>
      <c r="O15" s="287"/>
      <c r="P15" s="285" t="s">
        <v>7831</v>
      </c>
      <c r="Q15" s="286"/>
      <c r="R15" s="287"/>
      <c r="S15" s="286" t="s">
        <v>7843</v>
      </c>
      <c r="T15" s="286"/>
      <c r="U15" s="286"/>
      <c r="V15" s="286" t="s">
        <v>7844</v>
      </c>
      <c r="W15" s="286"/>
      <c r="X15" s="286"/>
      <c r="Y15" s="285" t="s">
        <v>7832</v>
      </c>
      <c r="Z15" s="286"/>
      <c r="AA15" s="287"/>
      <c r="AB15" s="285" t="s">
        <v>7837</v>
      </c>
      <c r="AC15" s="286"/>
      <c r="AD15" s="287"/>
      <c r="AE15" s="285" t="s">
        <v>7838</v>
      </c>
      <c r="AF15" s="286"/>
      <c r="AG15" s="287"/>
      <c r="AH15" s="285" t="s">
        <v>7839</v>
      </c>
      <c r="AI15" s="286"/>
      <c r="AJ15" s="287"/>
      <c r="AK15" s="286" t="s">
        <v>7845</v>
      </c>
      <c r="AL15" s="286"/>
      <c r="AM15" s="286"/>
      <c r="AN15" s="286" t="s">
        <v>7846</v>
      </c>
      <c r="AO15" s="286"/>
      <c r="AP15" s="286"/>
      <c r="AQ15" s="285" t="s">
        <v>7840</v>
      </c>
      <c r="AR15" s="286"/>
      <c r="AS15" s="287"/>
      <c r="AT15" s="285" t="s">
        <v>7833</v>
      </c>
      <c r="AU15" s="286"/>
      <c r="AV15" s="287"/>
      <c r="AW15" s="285" t="s">
        <v>7834</v>
      </c>
      <c r="AX15" s="286"/>
      <c r="AY15" s="287"/>
      <c r="AZ15" s="285" t="s">
        <v>7835</v>
      </c>
      <c r="BA15" s="286"/>
      <c r="BB15" s="287"/>
      <c r="BC15" s="286" t="s">
        <v>7847</v>
      </c>
      <c r="BD15" s="286"/>
      <c r="BE15" s="286"/>
      <c r="BF15" s="286" t="s">
        <v>7848</v>
      </c>
      <c r="BG15" s="286"/>
      <c r="BH15" s="286"/>
      <c r="BI15" s="285" t="s">
        <v>7836</v>
      </c>
      <c r="BJ15" s="286"/>
      <c r="BK15" s="287"/>
      <c r="BL15" s="283"/>
      <c r="BM15" s="283"/>
    </row>
    <row r="16" spans="1:65" s="167" customFormat="1" hidden="1">
      <c r="A16" s="669"/>
      <c r="B16" s="669"/>
      <c r="C16" s="283"/>
      <c r="D16" s="283"/>
      <c r="E16" s="283"/>
      <c r="F16" s="283"/>
      <c r="G16" s="192"/>
      <c r="H16" s="192"/>
      <c r="I16" s="192"/>
      <c r="J16" s="648"/>
      <c r="K16" s="648"/>
      <c r="L16" s="648"/>
      <c r="M16" s="648"/>
      <c r="N16" s="648"/>
      <c r="O16" s="648"/>
      <c r="P16" s="648"/>
      <c r="Q16" s="648"/>
      <c r="R16" s="648"/>
      <c r="S16" s="648"/>
      <c r="T16" s="648"/>
      <c r="U16" s="648"/>
      <c r="V16" s="648"/>
      <c r="W16" s="648"/>
      <c r="X16" s="648"/>
      <c r="Y16" s="648"/>
      <c r="Z16" s="648"/>
      <c r="AA16" s="648"/>
      <c r="AB16" s="648"/>
      <c r="AC16" s="648"/>
      <c r="AD16" s="648"/>
      <c r="AE16" s="648"/>
      <c r="AF16" s="648"/>
      <c r="AG16" s="648"/>
      <c r="AH16" s="648"/>
      <c r="AI16" s="648"/>
      <c r="AJ16" s="648"/>
      <c r="AK16" s="648"/>
      <c r="AL16" s="648"/>
      <c r="AM16" s="648"/>
      <c r="AN16" s="648"/>
      <c r="AO16" s="648"/>
      <c r="AP16" s="648"/>
      <c r="AQ16" s="648"/>
      <c r="AR16" s="648"/>
      <c r="AS16" s="648"/>
      <c r="AT16" s="648"/>
      <c r="AU16" s="648"/>
      <c r="AV16" s="648"/>
      <c r="AW16" s="648"/>
      <c r="AX16" s="648"/>
      <c r="AY16" s="648"/>
      <c r="AZ16" s="648"/>
      <c r="BA16" s="648"/>
      <c r="BB16" s="648"/>
      <c r="BC16" s="648"/>
      <c r="BD16" s="648"/>
      <c r="BE16" s="648"/>
      <c r="BF16" s="648"/>
      <c r="BG16" s="648"/>
      <c r="BH16" s="648"/>
      <c r="BI16" s="648"/>
      <c r="BJ16" s="648"/>
      <c r="BK16" s="648"/>
      <c r="BL16" s="283"/>
      <c r="BM16" s="283"/>
    </row>
    <row r="17" spans="1:65" s="167" customFormat="1" hidden="1">
      <c r="A17" s="669"/>
      <c r="B17" s="669"/>
      <c r="C17" s="283"/>
      <c r="D17" s="283"/>
      <c r="E17" s="283"/>
      <c r="F17" s="283"/>
      <c r="G17" s="192"/>
      <c r="H17" s="192"/>
      <c r="I17" s="192"/>
      <c r="J17" s="648"/>
      <c r="K17" s="648"/>
      <c r="L17" s="648"/>
      <c r="M17" s="648"/>
      <c r="N17" s="648"/>
      <c r="O17" s="648"/>
      <c r="P17" s="648"/>
      <c r="Q17" s="648"/>
      <c r="R17" s="648"/>
      <c r="S17" s="648"/>
      <c r="T17" s="648"/>
      <c r="U17" s="648"/>
      <c r="V17" s="648"/>
      <c r="W17" s="648"/>
      <c r="X17" s="648"/>
      <c r="Y17" s="648"/>
      <c r="Z17" s="648"/>
      <c r="AA17" s="648"/>
      <c r="AB17" s="648"/>
      <c r="AC17" s="648"/>
      <c r="AD17" s="648"/>
      <c r="AE17" s="648"/>
      <c r="AF17" s="648"/>
      <c r="AG17" s="648"/>
      <c r="AH17" s="648"/>
      <c r="AI17" s="648"/>
      <c r="AJ17" s="648"/>
      <c r="AK17" s="648"/>
      <c r="AL17" s="648"/>
      <c r="AM17" s="648"/>
      <c r="AN17" s="648"/>
      <c r="AO17" s="648"/>
      <c r="AP17" s="648"/>
      <c r="AQ17" s="648"/>
      <c r="AR17" s="648"/>
      <c r="AS17" s="648"/>
      <c r="AT17" s="648"/>
      <c r="AU17" s="648"/>
      <c r="AV17" s="648"/>
      <c r="AW17" s="648"/>
      <c r="AX17" s="648"/>
      <c r="AY17" s="648"/>
      <c r="AZ17" s="648"/>
      <c r="BA17" s="648"/>
      <c r="BB17" s="648"/>
      <c r="BC17" s="648"/>
      <c r="BD17" s="648"/>
      <c r="BE17" s="648"/>
      <c r="BF17" s="648"/>
      <c r="BG17" s="648"/>
      <c r="BH17" s="648"/>
      <c r="BI17" s="648"/>
      <c r="BJ17" s="648"/>
      <c r="BK17" s="648"/>
      <c r="BL17" s="283"/>
      <c r="BM17" s="283"/>
    </row>
    <row r="18" spans="1:65" s="167" customFormat="1" hidden="1">
      <c r="A18" s="669"/>
      <c r="B18" s="669"/>
      <c r="C18" s="283"/>
      <c r="D18" s="283"/>
      <c r="E18" s="283"/>
      <c r="F18" s="283"/>
      <c r="G18" s="192"/>
      <c r="H18" s="192"/>
      <c r="I18" s="192"/>
      <c r="J18" s="648"/>
      <c r="K18" s="648"/>
      <c r="L18" s="648"/>
      <c r="M18" s="648"/>
      <c r="N18" s="648"/>
      <c r="O18" s="648"/>
      <c r="P18" s="648"/>
      <c r="Q18" s="648"/>
      <c r="R18" s="648"/>
      <c r="S18" s="648"/>
      <c r="T18" s="648"/>
      <c r="U18" s="648"/>
      <c r="V18" s="648"/>
      <c r="W18" s="648"/>
      <c r="X18" s="648"/>
      <c r="Y18" s="648"/>
      <c r="Z18" s="648"/>
      <c r="AA18" s="648"/>
      <c r="AB18" s="648"/>
      <c r="AC18" s="648"/>
      <c r="AD18" s="648"/>
      <c r="AE18" s="648"/>
      <c r="AF18" s="648"/>
      <c r="AG18" s="648"/>
      <c r="AH18" s="648"/>
      <c r="AI18" s="648"/>
      <c r="AJ18" s="648"/>
      <c r="AK18" s="648"/>
      <c r="AL18" s="648"/>
      <c r="AM18" s="648"/>
      <c r="AN18" s="648"/>
      <c r="AO18" s="648"/>
      <c r="AP18" s="648"/>
      <c r="AQ18" s="648"/>
      <c r="AR18" s="648"/>
      <c r="AS18" s="648"/>
      <c r="AT18" s="648"/>
      <c r="AU18" s="648"/>
      <c r="AV18" s="648"/>
      <c r="AW18" s="648"/>
      <c r="AX18" s="648"/>
      <c r="AY18" s="648"/>
      <c r="AZ18" s="648"/>
      <c r="BA18" s="648"/>
      <c r="BB18" s="648"/>
      <c r="BC18" s="648"/>
      <c r="BD18" s="648"/>
      <c r="BE18" s="648"/>
      <c r="BF18" s="648"/>
      <c r="BG18" s="648"/>
      <c r="BH18" s="648"/>
      <c r="BI18" s="648"/>
      <c r="BJ18" s="648"/>
      <c r="BK18" s="648"/>
      <c r="BL18" s="283"/>
      <c r="BM18" s="283"/>
    </row>
    <row r="19" spans="1:65" s="167" customFormat="1" hidden="1">
      <c r="A19" s="669"/>
      <c r="B19" s="669"/>
      <c r="C19" s="283"/>
      <c r="D19" s="283"/>
      <c r="E19" s="283"/>
      <c r="F19" s="283"/>
      <c r="G19" s="192"/>
      <c r="H19" s="192"/>
      <c r="I19" s="192"/>
      <c r="J19" s="648"/>
      <c r="K19" s="648"/>
      <c r="L19" s="648"/>
      <c r="M19" s="648"/>
      <c r="N19" s="648"/>
      <c r="O19" s="648"/>
      <c r="P19" s="648"/>
      <c r="Q19" s="648"/>
      <c r="R19" s="648"/>
      <c r="S19" s="648"/>
      <c r="T19" s="648"/>
      <c r="U19" s="648"/>
      <c r="V19" s="648"/>
      <c r="W19" s="648"/>
      <c r="X19" s="648"/>
      <c r="Y19" s="648"/>
      <c r="Z19" s="648"/>
      <c r="AA19" s="648"/>
      <c r="AB19" s="648"/>
      <c r="AC19" s="648"/>
      <c r="AD19" s="648"/>
      <c r="AE19" s="648"/>
      <c r="AF19" s="648"/>
      <c r="AG19" s="648"/>
      <c r="AH19" s="648"/>
      <c r="AI19" s="648"/>
      <c r="AJ19" s="648"/>
      <c r="AK19" s="648"/>
      <c r="AL19" s="648"/>
      <c r="AM19" s="648"/>
      <c r="AN19" s="648"/>
      <c r="AO19" s="648"/>
      <c r="AP19" s="648"/>
      <c r="AQ19" s="648"/>
      <c r="AR19" s="648"/>
      <c r="AS19" s="648"/>
      <c r="AT19" s="648"/>
      <c r="AU19" s="648"/>
      <c r="AV19" s="648"/>
      <c r="AW19" s="648"/>
      <c r="AX19" s="648"/>
      <c r="AY19" s="648"/>
      <c r="AZ19" s="648"/>
      <c r="BA19" s="648"/>
      <c r="BB19" s="648"/>
      <c r="BC19" s="648"/>
      <c r="BD19" s="648"/>
      <c r="BE19" s="648"/>
      <c r="BF19" s="648"/>
      <c r="BG19" s="648"/>
      <c r="BH19" s="648"/>
      <c r="BI19" s="648"/>
      <c r="BJ19" s="648"/>
      <c r="BK19" s="648"/>
      <c r="BL19" s="283"/>
      <c r="BM19" s="283"/>
    </row>
    <row r="20" spans="1:65" s="167" customFormat="1" hidden="1">
      <c r="A20" s="669"/>
      <c r="B20" s="669"/>
      <c r="C20" s="283"/>
      <c r="D20" s="283"/>
      <c r="E20" s="283"/>
      <c r="F20" s="283"/>
      <c r="G20" s="192"/>
      <c r="H20" s="192"/>
      <c r="I20" s="192"/>
      <c r="J20" s="648"/>
      <c r="K20" s="648"/>
      <c r="L20" s="648"/>
      <c r="M20" s="648"/>
      <c r="N20" s="648"/>
      <c r="O20" s="648"/>
      <c r="P20" s="648"/>
      <c r="Q20" s="648"/>
      <c r="R20" s="648"/>
      <c r="S20" s="648"/>
      <c r="T20" s="648"/>
      <c r="U20" s="648"/>
      <c r="V20" s="648"/>
      <c r="W20" s="648"/>
      <c r="X20" s="648"/>
      <c r="Y20" s="648"/>
      <c r="Z20" s="648"/>
      <c r="AA20" s="648"/>
      <c r="AB20" s="648"/>
      <c r="AC20" s="648"/>
      <c r="AD20" s="648"/>
      <c r="AE20" s="648"/>
      <c r="AF20" s="648"/>
      <c r="AG20" s="648"/>
      <c r="AH20" s="648"/>
      <c r="AI20" s="648"/>
      <c r="AJ20" s="648"/>
      <c r="AK20" s="648"/>
      <c r="AL20" s="648"/>
      <c r="AM20" s="648"/>
      <c r="AN20" s="648"/>
      <c r="AO20" s="648"/>
      <c r="AP20" s="648"/>
      <c r="AQ20" s="648"/>
      <c r="AR20" s="648"/>
      <c r="AS20" s="648"/>
      <c r="AT20" s="648"/>
      <c r="AU20" s="648"/>
      <c r="AV20" s="648"/>
      <c r="AW20" s="648"/>
      <c r="AX20" s="648"/>
      <c r="AY20" s="648"/>
      <c r="AZ20" s="648"/>
      <c r="BA20" s="648"/>
      <c r="BB20" s="648"/>
      <c r="BC20" s="648"/>
      <c r="BD20" s="648"/>
      <c r="BE20" s="648"/>
      <c r="BF20" s="648"/>
      <c r="BG20" s="648"/>
      <c r="BH20" s="648"/>
      <c r="BI20" s="648"/>
      <c r="BJ20" s="648"/>
      <c r="BK20" s="648"/>
      <c r="BL20" s="283"/>
      <c r="BM20" s="283"/>
    </row>
    <row r="21" spans="1:65">
      <c r="A21" s="671">
        <v>0</v>
      </c>
      <c r="B21" s="671">
        <v>1</v>
      </c>
      <c r="C21" s="174" t="s">
        <v>313</v>
      </c>
      <c r="D21" s="174" t="s">
        <v>239</v>
      </c>
      <c r="E21" s="174" t="s">
        <v>284</v>
      </c>
      <c r="F21" s="174" t="s">
        <v>240</v>
      </c>
      <c r="G21" s="188">
        <v>1</v>
      </c>
      <c r="H21" s="188">
        <v>2</v>
      </c>
      <c r="I21" s="188">
        <v>3</v>
      </c>
      <c r="J21" s="188">
        <v>1</v>
      </c>
      <c r="K21" s="188">
        <v>2</v>
      </c>
      <c r="L21" s="188">
        <v>3</v>
      </c>
      <c r="M21" s="188">
        <v>1</v>
      </c>
      <c r="N21" s="188">
        <v>2</v>
      </c>
      <c r="O21" s="188">
        <v>3</v>
      </c>
      <c r="P21" s="188">
        <v>1</v>
      </c>
      <c r="Q21" s="188">
        <v>2</v>
      </c>
      <c r="R21" s="188">
        <v>3</v>
      </c>
      <c r="S21" s="188">
        <v>1</v>
      </c>
      <c r="T21" s="188">
        <v>2</v>
      </c>
      <c r="U21" s="188">
        <v>3</v>
      </c>
      <c r="V21" s="188">
        <v>1</v>
      </c>
      <c r="W21" s="188">
        <v>2</v>
      </c>
      <c r="X21" s="188">
        <v>3</v>
      </c>
      <c r="Y21" s="188">
        <v>1</v>
      </c>
      <c r="Z21" s="188">
        <v>2</v>
      </c>
      <c r="AA21" s="188">
        <v>3</v>
      </c>
      <c r="AB21" s="188">
        <v>1</v>
      </c>
      <c r="AC21" s="188">
        <v>2</v>
      </c>
      <c r="AD21" s="188">
        <v>3</v>
      </c>
      <c r="AE21" s="188">
        <v>1</v>
      </c>
      <c r="AF21" s="188">
        <v>2</v>
      </c>
      <c r="AG21" s="188">
        <v>3</v>
      </c>
      <c r="AH21" s="188">
        <v>1</v>
      </c>
      <c r="AI21" s="188">
        <v>2</v>
      </c>
      <c r="AJ21" s="188">
        <v>3</v>
      </c>
      <c r="AK21" s="188">
        <v>1</v>
      </c>
      <c r="AL21" s="188">
        <v>2</v>
      </c>
      <c r="AM21" s="188">
        <v>3</v>
      </c>
      <c r="AN21" s="188">
        <v>1</v>
      </c>
      <c r="AO21" s="188">
        <v>2</v>
      </c>
      <c r="AP21" s="188">
        <v>3</v>
      </c>
      <c r="AQ21" s="188">
        <v>1</v>
      </c>
      <c r="AR21" s="188">
        <v>2</v>
      </c>
      <c r="AS21" s="188">
        <v>3</v>
      </c>
      <c r="AT21" s="188">
        <v>1</v>
      </c>
      <c r="AU21" s="188">
        <v>2</v>
      </c>
      <c r="AV21" s="188">
        <v>3</v>
      </c>
      <c r="AW21" s="188">
        <v>1</v>
      </c>
      <c r="AX21" s="188">
        <v>2</v>
      </c>
      <c r="AY21" s="188">
        <v>3</v>
      </c>
      <c r="AZ21" s="188">
        <v>1</v>
      </c>
      <c r="BA21" s="188">
        <v>2</v>
      </c>
      <c r="BB21" s="188">
        <v>3</v>
      </c>
      <c r="BC21" s="188">
        <v>1</v>
      </c>
      <c r="BD21" s="188">
        <v>2</v>
      </c>
      <c r="BE21" s="188">
        <v>3</v>
      </c>
      <c r="BF21" s="188">
        <v>1</v>
      </c>
      <c r="BG21" s="188">
        <v>2</v>
      </c>
      <c r="BH21" s="188">
        <v>3</v>
      </c>
      <c r="BI21" s="188">
        <v>1</v>
      </c>
      <c r="BJ21" s="188">
        <v>2</v>
      </c>
      <c r="BK21" s="188">
        <v>3</v>
      </c>
      <c r="BL21" s="283"/>
      <c r="BM21" s="283"/>
    </row>
    <row r="22" spans="1:65" s="941" customFormat="1">
      <c r="A22" s="671">
        <f>MAX($A$21:A21) + 1</f>
        <v>1</v>
      </c>
      <c r="B22" s="671" t="str">
        <f t="shared" ref="B22" ca="1" si="3">IF(NOT(ISERROR(FIND("TELCO",UPPER(C22)))),"Telco",IF(NOT(ISERROR(FIND("MOBILITY",UPPER(C22)))),"Mob","LD"))</f>
        <v>LD</v>
      </c>
      <c r="C22" s="836" t="str">
        <f t="shared" ref="C22" ca="1" si="4">T(OFFSET(ProdStart,A22,0))</f>
        <v/>
      </c>
      <c r="D22" s="837" t="str">
        <f t="shared" ref="D22" ca="1" si="5">T(OFFSET(ProdStart,A22,1))</f>
        <v/>
      </c>
      <c r="E22" s="838" t="str">
        <f t="shared" ref="E22" ca="1" si="6">T(OFFSET(ProdStart,A22,2))</f>
        <v/>
      </c>
      <c r="F22" s="836" t="str">
        <f t="shared" ref="F22" ca="1" si="7">T(OFFSET(ProdStart,A22,3))</f>
        <v/>
      </c>
      <c r="G22" s="839" t="str">
        <f t="shared" ref="G22" ca="1" si="8">OFFSET(ProdStart,A22,4)&amp;""</f>
        <v/>
      </c>
      <c r="H22" s="840" t="str">
        <f t="shared" ref="H22" ca="1" si="9">OFFSET(ProdStart,A22,5)&amp;""</f>
        <v/>
      </c>
      <c r="I22" s="841" t="str">
        <f t="shared" ref="I22" ca="1" si="10">OFFSET(ProdStart,A22,6)&amp;""</f>
        <v/>
      </c>
      <c r="J22" s="683"/>
      <c r="K22" s="684"/>
      <c r="L22" s="685"/>
      <c r="M22" s="683"/>
      <c r="N22" s="684"/>
      <c r="O22" s="685"/>
      <c r="P22" s="683"/>
      <c r="Q22" s="684"/>
      <c r="R22" s="685"/>
      <c r="S22" s="683" t="str">
        <f t="shared" ref="S22" si="11">IF(ISBLANK(J22),"",V22-P22)</f>
        <v/>
      </c>
      <c r="T22" s="684" t="str">
        <f t="shared" ref="T22" si="12">IF(ISBLANK(K22),"",W22-Q22)</f>
        <v/>
      </c>
      <c r="U22" s="685" t="str">
        <f t="shared" ref="U22" si="13">IF(ISBLANK(L22),"",X22-R22)</f>
        <v/>
      </c>
      <c r="V22" s="683" t="str">
        <f t="shared" ref="V22" si="14">IF(ISBLANK(J22),"",Y22-J22)</f>
        <v/>
      </c>
      <c r="W22" s="684" t="str">
        <f t="shared" ref="W22" si="15">IF(ISBLANK(K22),"",Z22-K22)</f>
        <v/>
      </c>
      <c r="X22" s="685" t="str">
        <f t="shared" ref="X22" si="16">IF(ISBLANK(L22),"",AA22-L22)</f>
        <v/>
      </c>
      <c r="Y22" s="686"/>
      <c r="Z22" s="687"/>
      <c r="AA22" s="685"/>
      <c r="AB22" s="310" t="str">
        <f t="shared" ref="AB22" si="17">IF(J22&lt;&gt;"",J22*12,"")</f>
        <v/>
      </c>
      <c r="AC22" s="311" t="str">
        <f t="shared" ref="AC22" si="18">IF(K22&lt;&gt;"",K22*12,"")</f>
        <v/>
      </c>
      <c r="AD22" s="312" t="str">
        <f t="shared" ref="AD22" si="19">IF(L22&lt;&gt;"",L22*12,"")</f>
        <v/>
      </c>
      <c r="AE22" s="310" t="str">
        <f t="shared" ref="AE22" si="20">IF(M22&lt;&gt;"",M22*12,"")</f>
        <v/>
      </c>
      <c r="AF22" s="311" t="str">
        <f t="shared" ref="AF22" si="21">IF(N22&lt;&gt;"",N22*12,"")</f>
        <v/>
      </c>
      <c r="AG22" s="312" t="str">
        <f t="shared" ref="AG22" si="22">IF(O22&lt;&gt;"",O22*12,"")</f>
        <v/>
      </c>
      <c r="AH22" s="310" t="str">
        <f t="shared" ref="AH22" si="23">IF(P22&lt;&gt;"",P22*12,"")</f>
        <v/>
      </c>
      <c r="AI22" s="311" t="str">
        <f t="shared" ref="AI22" si="24">IF(Q22&lt;&gt;"",Q22*12,"")</f>
        <v/>
      </c>
      <c r="AJ22" s="312" t="str">
        <f t="shared" ref="AJ22" si="25">IF(R22&lt;&gt;"",R22*12,"")</f>
        <v/>
      </c>
      <c r="AK22" s="310" t="str">
        <f t="shared" ref="AK22" si="26">IF(ISBLANK(J22),"",AN22-AH22)</f>
        <v/>
      </c>
      <c r="AL22" s="311" t="str">
        <f t="shared" ref="AL22" si="27">IF(ISBLANK(K22),"",AO22-AI22)</f>
        <v/>
      </c>
      <c r="AM22" s="312" t="str">
        <f t="shared" ref="AM22" si="28">IF(ISBLANK(L22),"",AP22-AJ22)</f>
        <v/>
      </c>
      <c r="AN22" s="310" t="str">
        <f t="shared" ref="AN22" si="29">IF(ISBLANK(J22),"",AQ22-AB22)</f>
        <v/>
      </c>
      <c r="AO22" s="311" t="str">
        <f t="shared" ref="AO22" si="30">IF(ISBLANK(K22),"",AR22-AC22)</f>
        <v/>
      </c>
      <c r="AP22" s="312" t="str">
        <f t="shared" ref="AP22" si="31">IF(ISBLANK(L22),"",AS22-AD22)</f>
        <v/>
      </c>
      <c r="AQ22" s="310" t="str">
        <f t="shared" ref="AQ22" si="32">IF(Y22&lt;&gt;"",Y22*12,"")</f>
        <v/>
      </c>
      <c r="AR22" s="311" t="str">
        <f t="shared" ref="AR22" si="33">IF(Z22&lt;&gt;"",Z22*12,"")</f>
        <v/>
      </c>
      <c r="AS22" s="312" t="str">
        <f t="shared" ref="AS22" si="34">IF(AA22&lt;&gt;"",AA22*12,"")</f>
        <v/>
      </c>
      <c r="AT22" s="310" t="str">
        <f t="shared" ref="AT22" ca="1" si="35">IFERROR(G22*J22,"")</f>
        <v/>
      </c>
      <c r="AU22" s="311" t="str">
        <f t="shared" ref="AU22" ca="1" si="36">IFERROR(H22*K22,"")</f>
        <v/>
      </c>
      <c r="AV22" s="312" t="str">
        <f t="shared" ref="AV22" ca="1" si="37">IFERROR(I22*L22,"")</f>
        <v/>
      </c>
      <c r="AW22" s="310" t="str">
        <f t="shared" ref="AW22" ca="1" si="38">IFERROR(G22*M22,"")</f>
        <v/>
      </c>
      <c r="AX22" s="311" t="str">
        <f t="shared" ref="AX22" ca="1" si="39">IFERROR(H22*N22,"")</f>
        <v/>
      </c>
      <c r="AY22" s="312" t="str">
        <f t="shared" ref="AY22" ca="1" si="40">IFERROR(I22*O22,"")</f>
        <v/>
      </c>
      <c r="AZ22" s="310" t="str">
        <f t="shared" ref="AZ22" ca="1" si="41">IFERROR(G22*P22,"")</f>
        <v/>
      </c>
      <c r="BA22" s="311" t="str">
        <f t="shared" ref="BA22" ca="1" si="42">IFERROR(H22*Q22,"")</f>
        <v/>
      </c>
      <c r="BB22" s="312" t="str">
        <f t="shared" ref="BB22" ca="1" si="43">IFERROR(I22*R22,"")</f>
        <v/>
      </c>
      <c r="BC22" s="310" t="str">
        <f t="shared" ref="BC22" si="44">IF(ISBLANK(J22),"",BF22-AZ22)</f>
        <v/>
      </c>
      <c r="BD22" s="311" t="str">
        <f t="shared" ref="BD22" si="45">IF(ISBLANK(K22),"",BG22-BA22)</f>
        <v/>
      </c>
      <c r="BE22" s="312" t="str">
        <f t="shared" ref="BE22" si="46">IF(ISBLANK(L22),"",BH22-BB22)</f>
        <v/>
      </c>
      <c r="BF22" s="310" t="str">
        <f t="shared" ref="BF22" si="47">IF(ISBLANK(J22),"",BI22-AT22)</f>
        <v/>
      </c>
      <c r="BG22" s="311" t="str">
        <f t="shared" ref="BG22" si="48">IF(ISBLANK(K22),"",BJ22-AU22)</f>
        <v/>
      </c>
      <c r="BH22" s="312" t="str">
        <f t="shared" ref="BH22" si="49">IF(ISBLANK(L22),"",BK22-AV22)</f>
        <v/>
      </c>
      <c r="BI22" s="310" t="str">
        <f t="shared" ref="BI22" ca="1" si="50">IFERROR(G22*Y22,"")</f>
        <v/>
      </c>
      <c r="BJ22" s="311" t="str">
        <f t="shared" ref="BJ22" ca="1" si="51">IFERROR(H22*Z22,"")</f>
        <v/>
      </c>
      <c r="BK22" s="312" t="str">
        <f t="shared" ref="BK22" ca="1" si="52">IFERROR(I22*AA22,"")</f>
        <v/>
      </c>
      <c r="BL22" s="1069"/>
      <c r="BM22" s="1069"/>
    </row>
    <row r="23" spans="1:65" s="941" customFormat="1">
      <c r="A23" s="671">
        <f>MAX($A$21:A22) + 1</f>
        <v>2</v>
      </c>
      <c r="B23" s="671" t="str">
        <f t="shared" ref="B23" ca="1" si="53">IF(NOT(ISERROR(FIND("TELCO",UPPER(C23)))),"Telco",IF(NOT(ISERROR(FIND("MOBILITY",UPPER(C23)))),"Mob","LD"))</f>
        <v>LD</v>
      </c>
      <c r="C23" s="836" t="str">
        <f t="shared" ref="C23" ca="1" si="54">T(OFFSET(ProdStart,A23,0))</f>
        <v/>
      </c>
      <c r="D23" s="837" t="str">
        <f t="shared" ref="D23" ca="1" si="55">T(OFFSET(ProdStart,A23,1))</f>
        <v/>
      </c>
      <c r="E23" s="838" t="str">
        <f t="shared" ref="E23" ca="1" si="56">T(OFFSET(ProdStart,A23,2))</f>
        <v/>
      </c>
      <c r="F23" s="836" t="str">
        <f t="shared" ref="F23" ca="1" si="57">T(OFFSET(ProdStart,A23,3))</f>
        <v/>
      </c>
      <c r="G23" s="839" t="str">
        <f t="shared" ref="G23" ca="1" si="58">OFFSET(ProdStart,A23,4)&amp;""</f>
        <v/>
      </c>
      <c r="H23" s="840" t="str">
        <f t="shared" ref="H23" ca="1" si="59">OFFSET(ProdStart,A23,5)&amp;""</f>
        <v/>
      </c>
      <c r="I23" s="841" t="str">
        <f t="shared" ref="I23" ca="1" si="60">OFFSET(ProdStart,A23,6)&amp;""</f>
        <v/>
      </c>
      <c r="J23" s="683"/>
      <c r="K23" s="684"/>
      <c r="L23" s="685"/>
      <c r="M23" s="683"/>
      <c r="N23" s="684"/>
      <c r="O23" s="685"/>
      <c r="P23" s="683"/>
      <c r="Q23" s="684"/>
      <c r="R23" s="685"/>
      <c r="S23" s="683" t="str">
        <f t="shared" ref="S23" si="61">IF(ISBLANK(J23),"",V23-P23)</f>
        <v/>
      </c>
      <c r="T23" s="684" t="str">
        <f t="shared" ref="T23" si="62">IF(ISBLANK(K23),"",W23-Q23)</f>
        <v/>
      </c>
      <c r="U23" s="685" t="str">
        <f t="shared" ref="U23" si="63">IF(ISBLANK(L23),"",X23-R23)</f>
        <v/>
      </c>
      <c r="V23" s="683" t="str">
        <f t="shared" ref="V23" si="64">IF(ISBLANK(J23),"",Y23-J23)</f>
        <v/>
      </c>
      <c r="W23" s="684" t="str">
        <f t="shared" ref="W23" si="65">IF(ISBLANK(K23),"",Z23-K23)</f>
        <v/>
      </c>
      <c r="X23" s="685" t="str">
        <f t="shared" ref="X23" si="66">IF(ISBLANK(L23),"",AA23-L23)</f>
        <v/>
      </c>
      <c r="Y23" s="686"/>
      <c r="Z23" s="687"/>
      <c r="AA23" s="685"/>
      <c r="AB23" s="310" t="str">
        <f t="shared" ref="AB23" si="67">IF(J23&lt;&gt;"",J23*12,"")</f>
        <v/>
      </c>
      <c r="AC23" s="311" t="str">
        <f t="shared" ref="AC23" si="68">IF(K23&lt;&gt;"",K23*12,"")</f>
        <v/>
      </c>
      <c r="AD23" s="312" t="str">
        <f t="shared" ref="AD23" si="69">IF(L23&lt;&gt;"",L23*12,"")</f>
        <v/>
      </c>
      <c r="AE23" s="310" t="str">
        <f t="shared" ref="AE23" si="70">IF(M23&lt;&gt;"",M23*12,"")</f>
        <v/>
      </c>
      <c r="AF23" s="311" t="str">
        <f t="shared" ref="AF23" si="71">IF(N23&lt;&gt;"",N23*12,"")</f>
        <v/>
      </c>
      <c r="AG23" s="312" t="str">
        <f t="shared" ref="AG23" si="72">IF(O23&lt;&gt;"",O23*12,"")</f>
        <v/>
      </c>
      <c r="AH23" s="310" t="str">
        <f t="shared" ref="AH23" si="73">IF(P23&lt;&gt;"",P23*12,"")</f>
        <v/>
      </c>
      <c r="AI23" s="311" t="str">
        <f t="shared" ref="AI23" si="74">IF(Q23&lt;&gt;"",Q23*12,"")</f>
        <v/>
      </c>
      <c r="AJ23" s="312" t="str">
        <f t="shared" ref="AJ23" si="75">IF(R23&lt;&gt;"",R23*12,"")</f>
        <v/>
      </c>
      <c r="AK23" s="310" t="str">
        <f t="shared" ref="AK23" si="76">IF(ISBLANK(J23),"",AN23-AH23)</f>
        <v/>
      </c>
      <c r="AL23" s="311" t="str">
        <f t="shared" ref="AL23" si="77">IF(ISBLANK(K23),"",AO23-AI23)</f>
        <v/>
      </c>
      <c r="AM23" s="312" t="str">
        <f t="shared" ref="AM23" si="78">IF(ISBLANK(L23),"",AP23-AJ23)</f>
        <v/>
      </c>
      <c r="AN23" s="310" t="str">
        <f t="shared" ref="AN23" si="79">IF(ISBLANK(J23),"",AQ23-AB23)</f>
        <v/>
      </c>
      <c r="AO23" s="311" t="str">
        <f t="shared" ref="AO23" si="80">IF(ISBLANK(K23),"",AR23-AC23)</f>
        <v/>
      </c>
      <c r="AP23" s="312" t="str">
        <f t="shared" ref="AP23" si="81">IF(ISBLANK(L23),"",AS23-AD23)</f>
        <v/>
      </c>
      <c r="AQ23" s="310" t="str">
        <f t="shared" ref="AQ23" si="82">IF(Y23&lt;&gt;"",Y23*12,"")</f>
        <v/>
      </c>
      <c r="AR23" s="311" t="str">
        <f t="shared" ref="AR23" si="83">IF(Z23&lt;&gt;"",Z23*12,"")</f>
        <v/>
      </c>
      <c r="AS23" s="312" t="str">
        <f t="shared" ref="AS23" si="84">IF(AA23&lt;&gt;"",AA23*12,"")</f>
        <v/>
      </c>
      <c r="AT23" s="310" t="str">
        <f t="shared" ref="AT23" ca="1" si="85">IFERROR(G23*J23,"")</f>
        <v/>
      </c>
      <c r="AU23" s="311" t="str">
        <f t="shared" ref="AU23" ca="1" si="86">IFERROR(H23*K23,"")</f>
        <v/>
      </c>
      <c r="AV23" s="312" t="str">
        <f t="shared" ref="AV23" ca="1" si="87">IFERROR(I23*L23,"")</f>
        <v/>
      </c>
      <c r="AW23" s="310" t="str">
        <f t="shared" ref="AW23" ca="1" si="88">IFERROR(G23*M23,"")</f>
        <v/>
      </c>
      <c r="AX23" s="311" t="str">
        <f t="shared" ref="AX23" ca="1" si="89">IFERROR(H23*N23,"")</f>
        <v/>
      </c>
      <c r="AY23" s="312" t="str">
        <f t="shared" ref="AY23" ca="1" si="90">IFERROR(I23*O23,"")</f>
        <v/>
      </c>
      <c r="AZ23" s="310" t="str">
        <f t="shared" ref="AZ23" ca="1" si="91">IFERROR(G23*P23,"")</f>
        <v/>
      </c>
      <c r="BA23" s="311" t="str">
        <f t="shared" ref="BA23" ca="1" si="92">IFERROR(H23*Q23,"")</f>
        <v/>
      </c>
      <c r="BB23" s="312" t="str">
        <f t="shared" ref="BB23" ca="1" si="93">IFERROR(I23*R23,"")</f>
        <v/>
      </c>
      <c r="BC23" s="310" t="str">
        <f t="shared" ref="BC23" si="94">IF(ISBLANK(J23),"",BF23-AZ23)</f>
        <v/>
      </c>
      <c r="BD23" s="311" t="str">
        <f t="shared" ref="BD23" si="95">IF(ISBLANK(K23),"",BG23-BA23)</f>
        <v/>
      </c>
      <c r="BE23" s="312" t="str">
        <f t="shared" ref="BE23" si="96">IF(ISBLANK(L23),"",BH23-BB23)</f>
        <v/>
      </c>
      <c r="BF23" s="310" t="str">
        <f t="shared" ref="BF23" si="97">IF(ISBLANK(J23),"",BI23-AT23)</f>
        <v/>
      </c>
      <c r="BG23" s="311" t="str">
        <f t="shared" ref="BG23" si="98">IF(ISBLANK(K23),"",BJ23-AU23)</f>
        <v/>
      </c>
      <c r="BH23" s="312" t="str">
        <f t="shared" ref="BH23" si="99">IF(ISBLANK(L23),"",BK23-AV23)</f>
        <v/>
      </c>
      <c r="BI23" s="310" t="str">
        <f t="shared" ref="BI23" ca="1" si="100">IFERROR(G23*Y23,"")</f>
        <v/>
      </c>
      <c r="BJ23" s="311" t="str">
        <f t="shared" ref="BJ23" ca="1" si="101">IFERROR(H23*Z23,"")</f>
        <v/>
      </c>
      <c r="BK23" s="312" t="str">
        <f t="shared" ref="BK23" ca="1" si="102">IFERROR(I23*AA23,"")</f>
        <v/>
      </c>
      <c r="BL23" s="1069"/>
      <c r="BM23" s="1069"/>
    </row>
    <row r="24" spans="1:65" s="941" customFormat="1">
      <c r="A24" s="671">
        <f>MAX($A$21:A23) + 1</f>
        <v>3</v>
      </c>
      <c r="B24" s="671" t="str">
        <f t="shared" ref="B24" ca="1" si="103">IF(NOT(ISERROR(FIND("TELCO",UPPER(C24)))),"Telco",IF(NOT(ISERROR(FIND("MOBILITY",UPPER(C24)))),"Mob","LD"))</f>
        <v>LD</v>
      </c>
      <c r="C24" s="836" t="str">
        <f t="shared" ref="C24" ca="1" si="104">T(OFFSET(ProdStart,A24,0))</f>
        <v/>
      </c>
      <c r="D24" s="837" t="str">
        <f t="shared" ref="D24" ca="1" si="105">T(OFFSET(ProdStart,A24,1))</f>
        <v/>
      </c>
      <c r="E24" s="838" t="str">
        <f t="shared" ref="E24" ca="1" si="106">T(OFFSET(ProdStart,A24,2))</f>
        <v/>
      </c>
      <c r="F24" s="836" t="str">
        <f t="shared" ref="F24" ca="1" si="107">T(OFFSET(ProdStart,A24,3))</f>
        <v/>
      </c>
      <c r="G24" s="839" t="str">
        <f t="shared" ref="G24" ca="1" si="108">OFFSET(ProdStart,A24,4)&amp;""</f>
        <v/>
      </c>
      <c r="H24" s="840" t="str">
        <f t="shared" ref="H24" ca="1" si="109">OFFSET(ProdStart,A24,5)&amp;""</f>
        <v/>
      </c>
      <c r="I24" s="841" t="str">
        <f t="shared" ref="I24" ca="1" si="110">OFFSET(ProdStart,A24,6)&amp;""</f>
        <v/>
      </c>
      <c r="J24" s="683"/>
      <c r="K24" s="684"/>
      <c r="L24" s="685"/>
      <c r="M24" s="683"/>
      <c r="N24" s="684"/>
      <c r="O24" s="685"/>
      <c r="P24" s="683"/>
      <c r="Q24" s="684"/>
      <c r="R24" s="685"/>
      <c r="S24" s="683" t="str">
        <f t="shared" ref="S24" si="111">IF(ISBLANK(J24),"",V24-P24)</f>
        <v/>
      </c>
      <c r="T24" s="684" t="str">
        <f t="shared" ref="T24" si="112">IF(ISBLANK(K24),"",W24-Q24)</f>
        <v/>
      </c>
      <c r="U24" s="685" t="str">
        <f t="shared" ref="U24" si="113">IF(ISBLANK(L24),"",X24-R24)</f>
        <v/>
      </c>
      <c r="V24" s="683" t="str">
        <f t="shared" ref="V24" si="114">IF(ISBLANK(J24),"",Y24-J24)</f>
        <v/>
      </c>
      <c r="W24" s="684" t="str">
        <f t="shared" ref="W24" si="115">IF(ISBLANK(K24),"",Z24-K24)</f>
        <v/>
      </c>
      <c r="X24" s="685" t="str">
        <f t="shared" ref="X24" si="116">IF(ISBLANK(L24),"",AA24-L24)</f>
        <v/>
      </c>
      <c r="Y24" s="686"/>
      <c r="Z24" s="687"/>
      <c r="AA24" s="685"/>
      <c r="AB24" s="310" t="str">
        <f t="shared" ref="AB24" si="117">IF(J24&lt;&gt;"",J24*12,"")</f>
        <v/>
      </c>
      <c r="AC24" s="311" t="str">
        <f t="shared" ref="AC24" si="118">IF(K24&lt;&gt;"",K24*12,"")</f>
        <v/>
      </c>
      <c r="AD24" s="312" t="str">
        <f t="shared" ref="AD24" si="119">IF(L24&lt;&gt;"",L24*12,"")</f>
        <v/>
      </c>
      <c r="AE24" s="310" t="str">
        <f t="shared" ref="AE24" si="120">IF(M24&lt;&gt;"",M24*12,"")</f>
        <v/>
      </c>
      <c r="AF24" s="311" t="str">
        <f t="shared" ref="AF24" si="121">IF(N24&lt;&gt;"",N24*12,"")</f>
        <v/>
      </c>
      <c r="AG24" s="312" t="str">
        <f t="shared" ref="AG24" si="122">IF(O24&lt;&gt;"",O24*12,"")</f>
        <v/>
      </c>
      <c r="AH24" s="310" t="str">
        <f t="shared" ref="AH24" si="123">IF(P24&lt;&gt;"",P24*12,"")</f>
        <v/>
      </c>
      <c r="AI24" s="311" t="str">
        <f t="shared" ref="AI24" si="124">IF(Q24&lt;&gt;"",Q24*12,"")</f>
        <v/>
      </c>
      <c r="AJ24" s="312" t="str">
        <f t="shared" ref="AJ24" si="125">IF(R24&lt;&gt;"",R24*12,"")</f>
        <v/>
      </c>
      <c r="AK24" s="310" t="str">
        <f t="shared" ref="AK24" si="126">IF(ISBLANK(J24),"",AN24-AH24)</f>
        <v/>
      </c>
      <c r="AL24" s="311" t="str">
        <f t="shared" ref="AL24" si="127">IF(ISBLANK(K24),"",AO24-AI24)</f>
        <v/>
      </c>
      <c r="AM24" s="312" t="str">
        <f t="shared" ref="AM24" si="128">IF(ISBLANK(L24),"",AP24-AJ24)</f>
        <v/>
      </c>
      <c r="AN24" s="310" t="str">
        <f t="shared" ref="AN24" si="129">IF(ISBLANK(J24),"",AQ24-AB24)</f>
        <v/>
      </c>
      <c r="AO24" s="311" t="str">
        <f t="shared" ref="AO24" si="130">IF(ISBLANK(K24),"",AR24-AC24)</f>
        <v/>
      </c>
      <c r="AP24" s="312" t="str">
        <f t="shared" ref="AP24" si="131">IF(ISBLANK(L24),"",AS24-AD24)</f>
        <v/>
      </c>
      <c r="AQ24" s="310" t="str">
        <f t="shared" ref="AQ24" si="132">IF(Y24&lt;&gt;"",Y24*12,"")</f>
        <v/>
      </c>
      <c r="AR24" s="311" t="str">
        <f t="shared" ref="AR24" si="133">IF(Z24&lt;&gt;"",Z24*12,"")</f>
        <v/>
      </c>
      <c r="AS24" s="312" t="str">
        <f t="shared" ref="AS24" si="134">IF(AA24&lt;&gt;"",AA24*12,"")</f>
        <v/>
      </c>
      <c r="AT24" s="310" t="str">
        <f t="shared" ref="AT24" ca="1" si="135">IFERROR(G24*J24,"")</f>
        <v/>
      </c>
      <c r="AU24" s="311" t="str">
        <f t="shared" ref="AU24" ca="1" si="136">IFERROR(H24*K24,"")</f>
        <v/>
      </c>
      <c r="AV24" s="312" t="str">
        <f t="shared" ref="AV24" ca="1" si="137">IFERROR(I24*L24,"")</f>
        <v/>
      </c>
      <c r="AW24" s="310" t="str">
        <f t="shared" ref="AW24" ca="1" si="138">IFERROR(G24*M24,"")</f>
        <v/>
      </c>
      <c r="AX24" s="311" t="str">
        <f t="shared" ref="AX24" ca="1" si="139">IFERROR(H24*N24,"")</f>
        <v/>
      </c>
      <c r="AY24" s="312" t="str">
        <f t="shared" ref="AY24" ca="1" si="140">IFERROR(I24*O24,"")</f>
        <v/>
      </c>
      <c r="AZ24" s="310" t="str">
        <f t="shared" ref="AZ24" ca="1" si="141">IFERROR(G24*P24,"")</f>
        <v/>
      </c>
      <c r="BA24" s="311" t="str">
        <f t="shared" ref="BA24" ca="1" si="142">IFERROR(H24*Q24,"")</f>
        <v/>
      </c>
      <c r="BB24" s="312" t="str">
        <f t="shared" ref="BB24" ca="1" si="143">IFERROR(I24*R24,"")</f>
        <v/>
      </c>
      <c r="BC24" s="310" t="str">
        <f t="shared" ref="BC24" si="144">IF(ISBLANK(J24),"",BF24-AZ24)</f>
        <v/>
      </c>
      <c r="BD24" s="311" t="str">
        <f t="shared" ref="BD24" si="145">IF(ISBLANK(K24),"",BG24-BA24)</f>
        <v/>
      </c>
      <c r="BE24" s="312" t="str">
        <f t="shared" ref="BE24" si="146">IF(ISBLANK(L24),"",BH24-BB24)</f>
        <v/>
      </c>
      <c r="BF24" s="310" t="str">
        <f t="shared" ref="BF24" si="147">IF(ISBLANK(J24),"",BI24-AT24)</f>
        <v/>
      </c>
      <c r="BG24" s="311" t="str">
        <f t="shared" ref="BG24" si="148">IF(ISBLANK(K24),"",BJ24-AU24)</f>
        <v/>
      </c>
      <c r="BH24" s="312" t="str">
        <f t="shared" ref="BH24" si="149">IF(ISBLANK(L24),"",BK24-AV24)</f>
        <v/>
      </c>
      <c r="BI24" s="310" t="str">
        <f t="shared" ref="BI24" ca="1" si="150">IFERROR(G24*Y24,"")</f>
        <v/>
      </c>
      <c r="BJ24" s="311" t="str">
        <f t="shared" ref="BJ24" ca="1" si="151">IFERROR(H24*Z24,"")</f>
        <v/>
      </c>
      <c r="BK24" s="312" t="str">
        <f t="shared" ref="BK24" ca="1" si="152">IFERROR(I24*AA24,"")</f>
        <v/>
      </c>
      <c r="BL24" s="1069"/>
      <c r="BM24" s="1069"/>
    </row>
    <row r="25" spans="1:65" s="941" customFormat="1">
      <c r="A25" s="671">
        <f>MAX($A$21:A24) + 1</f>
        <v>4</v>
      </c>
      <c r="B25" s="671" t="str">
        <f t="shared" ref="B25" ca="1" si="153">IF(NOT(ISERROR(FIND("TELCO",UPPER(C25)))),"Telco",IF(NOT(ISERROR(FIND("MOBILITY",UPPER(C25)))),"Mob","LD"))</f>
        <v>LD</v>
      </c>
      <c r="C25" s="836" t="str">
        <f t="shared" ref="C25" ca="1" si="154">T(OFFSET(ProdStart,A25,0))</f>
        <v/>
      </c>
      <c r="D25" s="837" t="str">
        <f t="shared" ref="D25" ca="1" si="155">T(OFFSET(ProdStart,A25,1))</f>
        <v/>
      </c>
      <c r="E25" s="838" t="str">
        <f t="shared" ref="E25" ca="1" si="156">T(OFFSET(ProdStart,A25,2))</f>
        <v/>
      </c>
      <c r="F25" s="836" t="str">
        <f t="shared" ref="F25" ca="1" si="157">T(OFFSET(ProdStart,A25,3))</f>
        <v/>
      </c>
      <c r="G25" s="839" t="str">
        <f t="shared" ref="G25" ca="1" si="158">OFFSET(ProdStart,A25,4)&amp;""</f>
        <v/>
      </c>
      <c r="H25" s="840" t="str">
        <f t="shared" ref="H25" ca="1" si="159">OFFSET(ProdStart,A25,5)&amp;""</f>
        <v/>
      </c>
      <c r="I25" s="841" t="str">
        <f t="shared" ref="I25" ca="1" si="160">OFFSET(ProdStart,A25,6)&amp;""</f>
        <v/>
      </c>
      <c r="J25" s="683"/>
      <c r="K25" s="684"/>
      <c r="L25" s="685"/>
      <c r="M25" s="683"/>
      <c r="N25" s="684"/>
      <c r="O25" s="685"/>
      <c r="P25" s="683"/>
      <c r="Q25" s="684"/>
      <c r="R25" s="685"/>
      <c r="S25" s="683" t="str">
        <f t="shared" ref="S25" si="161">IF(ISBLANK(J25),"",V25-P25)</f>
        <v/>
      </c>
      <c r="T25" s="684" t="str">
        <f t="shared" ref="T25" si="162">IF(ISBLANK(K25),"",W25-Q25)</f>
        <v/>
      </c>
      <c r="U25" s="685" t="str">
        <f t="shared" ref="U25" si="163">IF(ISBLANK(L25),"",X25-R25)</f>
        <v/>
      </c>
      <c r="V25" s="683" t="str">
        <f t="shared" ref="V25" si="164">IF(ISBLANK(J25),"",Y25-J25)</f>
        <v/>
      </c>
      <c r="W25" s="684" t="str">
        <f t="shared" ref="W25" si="165">IF(ISBLANK(K25),"",Z25-K25)</f>
        <v/>
      </c>
      <c r="X25" s="685" t="str">
        <f t="shared" ref="X25" si="166">IF(ISBLANK(L25),"",AA25-L25)</f>
        <v/>
      </c>
      <c r="Y25" s="686"/>
      <c r="Z25" s="687"/>
      <c r="AA25" s="685"/>
      <c r="AB25" s="310" t="str">
        <f t="shared" ref="AB25" si="167">IF(J25&lt;&gt;"",J25*12,"")</f>
        <v/>
      </c>
      <c r="AC25" s="311" t="str">
        <f t="shared" ref="AC25" si="168">IF(K25&lt;&gt;"",K25*12,"")</f>
        <v/>
      </c>
      <c r="AD25" s="312" t="str">
        <f t="shared" ref="AD25" si="169">IF(L25&lt;&gt;"",L25*12,"")</f>
        <v/>
      </c>
      <c r="AE25" s="310" t="str">
        <f t="shared" ref="AE25" si="170">IF(M25&lt;&gt;"",M25*12,"")</f>
        <v/>
      </c>
      <c r="AF25" s="311" t="str">
        <f t="shared" ref="AF25" si="171">IF(N25&lt;&gt;"",N25*12,"")</f>
        <v/>
      </c>
      <c r="AG25" s="312" t="str">
        <f t="shared" ref="AG25" si="172">IF(O25&lt;&gt;"",O25*12,"")</f>
        <v/>
      </c>
      <c r="AH25" s="310" t="str">
        <f t="shared" ref="AH25" si="173">IF(P25&lt;&gt;"",P25*12,"")</f>
        <v/>
      </c>
      <c r="AI25" s="311" t="str">
        <f t="shared" ref="AI25" si="174">IF(Q25&lt;&gt;"",Q25*12,"")</f>
        <v/>
      </c>
      <c r="AJ25" s="312" t="str">
        <f t="shared" ref="AJ25" si="175">IF(R25&lt;&gt;"",R25*12,"")</f>
        <v/>
      </c>
      <c r="AK25" s="310" t="str">
        <f t="shared" ref="AK25" si="176">IF(ISBLANK(J25),"",AN25-AH25)</f>
        <v/>
      </c>
      <c r="AL25" s="311" t="str">
        <f t="shared" ref="AL25" si="177">IF(ISBLANK(K25),"",AO25-AI25)</f>
        <v/>
      </c>
      <c r="AM25" s="312" t="str">
        <f t="shared" ref="AM25" si="178">IF(ISBLANK(L25),"",AP25-AJ25)</f>
        <v/>
      </c>
      <c r="AN25" s="310" t="str">
        <f t="shared" ref="AN25" si="179">IF(ISBLANK(J25),"",AQ25-AB25)</f>
        <v/>
      </c>
      <c r="AO25" s="311" t="str">
        <f t="shared" ref="AO25" si="180">IF(ISBLANK(K25),"",AR25-AC25)</f>
        <v/>
      </c>
      <c r="AP25" s="312" t="str">
        <f t="shared" ref="AP25" si="181">IF(ISBLANK(L25),"",AS25-AD25)</f>
        <v/>
      </c>
      <c r="AQ25" s="310" t="str">
        <f t="shared" ref="AQ25" si="182">IF(Y25&lt;&gt;"",Y25*12,"")</f>
        <v/>
      </c>
      <c r="AR25" s="311" t="str">
        <f t="shared" ref="AR25" si="183">IF(Z25&lt;&gt;"",Z25*12,"")</f>
        <v/>
      </c>
      <c r="AS25" s="312" t="str">
        <f t="shared" ref="AS25" si="184">IF(AA25&lt;&gt;"",AA25*12,"")</f>
        <v/>
      </c>
      <c r="AT25" s="310" t="str">
        <f t="shared" ref="AT25" ca="1" si="185">IFERROR(G25*J25,"")</f>
        <v/>
      </c>
      <c r="AU25" s="311" t="str">
        <f t="shared" ref="AU25" ca="1" si="186">IFERROR(H25*K25,"")</f>
        <v/>
      </c>
      <c r="AV25" s="312" t="str">
        <f t="shared" ref="AV25" ca="1" si="187">IFERROR(I25*L25,"")</f>
        <v/>
      </c>
      <c r="AW25" s="310" t="str">
        <f t="shared" ref="AW25" ca="1" si="188">IFERROR(G25*M25,"")</f>
        <v/>
      </c>
      <c r="AX25" s="311" t="str">
        <f t="shared" ref="AX25" ca="1" si="189">IFERROR(H25*N25,"")</f>
        <v/>
      </c>
      <c r="AY25" s="312" t="str">
        <f t="shared" ref="AY25" ca="1" si="190">IFERROR(I25*O25,"")</f>
        <v/>
      </c>
      <c r="AZ25" s="310" t="str">
        <f t="shared" ref="AZ25" ca="1" si="191">IFERROR(G25*P25,"")</f>
        <v/>
      </c>
      <c r="BA25" s="311" t="str">
        <f t="shared" ref="BA25" ca="1" si="192">IFERROR(H25*Q25,"")</f>
        <v/>
      </c>
      <c r="BB25" s="312" t="str">
        <f t="shared" ref="BB25" ca="1" si="193">IFERROR(I25*R25,"")</f>
        <v/>
      </c>
      <c r="BC25" s="310" t="str">
        <f t="shared" ref="BC25" si="194">IF(ISBLANK(J25),"",BF25-AZ25)</f>
        <v/>
      </c>
      <c r="BD25" s="311" t="str">
        <f t="shared" ref="BD25" si="195">IF(ISBLANK(K25),"",BG25-BA25)</f>
        <v/>
      </c>
      <c r="BE25" s="312" t="str">
        <f t="shared" ref="BE25" si="196">IF(ISBLANK(L25),"",BH25-BB25)</f>
        <v/>
      </c>
      <c r="BF25" s="310" t="str">
        <f t="shared" ref="BF25" si="197">IF(ISBLANK(J25),"",BI25-AT25)</f>
        <v/>
      </c>
      <c r="BG25" s="311" t="str">
        <f t="shared" ref="BG25" si="198">IF(ISBLANK(K25),"",BJ25-AU25)</f>
        <v/>
      </c>
      <c r="BH25" s="312" t="str">
        <f t="shared" ref="BH25" si="199">IF(ISBLANK(L25),"",BK25-AV25)</f>
        <v/>
      </c>
      <c r="BI25" s="310" t="str">
        <f t="shared" ref="BI25" ca="1" si="200">IFERROR(G25*Y25,"")</f>
        <v/>
      </c>
      <c r="BJ25" s="311" t="str">
        <f t="shared" ref="BJ25" ca="1" si="201">IFERROR(H25*Z25,"")</f>
        <v/>
      </c>
      <c r="BK25" s="312" t="str">
        <f t="shared" ref="BK25" ca="1" si="202">IFERROR(I25*AA25,"")</f>
        <v/>
      </c>
      <c r="BL25" s="1069"/>
      <c r="BM25" s="1069"/>
    </row>
    <row r="26" spans="1:65" s="941" customFormat="1">
      <c r="A26" s="671">
        <f>MAX($A$21:A25) + 1</f>
        <v>5</v>
      </c>
      <c r="B26" s="671" t="str">
        <f t="shared" ref="B26" ca="1" si="203">IF(NOT(ISERROR(FIND("TELCO",UPPER(C26)))),"Telco",IF(NOT(ISERROR(FIND("MOBILITY",UPPER(C26)))),"Mob","LD"))</f>
        <v>LD</v>
      </c>
      <c r="C26" s="836" t="str">
        <f t="shared" ref="C26" ca="1" si="204">T(OFFSET(ProdStart,A26,0))</f>
        <v/>
      </c>
      <c r="D26" s="837" t="str">
        <f t="shared" ref="D26" ca="1" si="205">T(OFFSET(ProdStart,A26,1))</f>
        <v/>
      </c>
      <c r="E26" s="838" t="str">
        <f t="shared" ref="E26" ca="1" si="206">T(OFFSET(ProdStart,A26,2))</f>
        <v/>
      </c>
      <c r="F26" s="836" t="str">
        <f t="shared" ref="F26" ca="1" si="207">T(OFFSET(ProdStart,A26,3))</f>
        <v/>
      </c>
      <c r="G26" s="839" t="str">
        <f t="shared" ref="G26" ca="1" si="208">OFFSET(ProdStart,A26,4)&amp;""</f>
        <v/>
      </c>
      <c r="H26" s="840" t="str">
        <f t="shared" ref="H26" ca="1" si="209">OFFSET(ProdStart,A26,5)&amp;""</f>
        <v/>
      </c>
      <c r="I26" s="841" t="str">
        <f t="shared" ref="I26" ca="1" si="210">OFFSET(ProdStart,A26,6)&amp;""</f>
        <v/>
      </c>
      <c r="J26" s="683"/>
      <c r="K26" s="684"/>
      <c r="L26" s="685"/>
      <c r="M26" s="683"/>
      <c r="N26" s="684"/>
      <c r="O26" s="685"/>
      <c r="P26" s="683"/>
      <c r="Q26" s="684"/>
      <c r="R26" s="685"/>
      <c r="S26" s="683" t="str">
        <f t="shared" ref="S26" si="211">IF(ISBLANK(J26),"",V26-P26)</f>
        <v/>
      </c>
      <c r="T26" s="684" t="str">
        <f t="shared" ref="T26" si="212">IF(ISBLANK(K26),"",W26-Q26)</f>
        <v/>
      </c>
      <c r="U26" s="685" t="str">
        <f t="shared" ref="U26" si="213">IF(ISBLANK(L26),"",X26-R26)</f>
        <v/>
      </c>
      <c r="V26" s="683" t="str">
        <f t="shared" ref="V26" si="214">IF(ISBLANK(J26),"",Y26-J26)</f>
        <v/>
      </c>
      <c r="W26" s="684" t="str">
        <f t="shared" ref="W26" si="215">IF(ISBLANK(K26),"",Z26-K26)</f>
        <v/>
      </c>
      <c r="X26" s="685" t="str">
        <f t="shared" ref="X26" si="216">IF(ISBLANK(L26),"",AA26-L26)</f>
        <v/>
      </c>
      <c r="Y26" s="686"/>
      <c r="Z26" s="687"/>
      <c r="AA26" s="685"/>
      <c r="AB26" s="310" t="str">
        <f t="shared" ref="AB26" si="217">IF(J26&lt;&gt;"",J26*12,"")</f>
        <v/>
      </c>
      <c r="AC26" s="311" t="str">
        <f t="shared" ref="AC26" si="218">IF(K26&lt;&gt;"",K26*12,"")</f>
        <v/>
      </c>
      <c r="AD26" s="312" t="str">
        <f t="shared" ref="AD26" si="219">IF(L26&lt;&gt;"",L26*12,"")</f>
        <v/>
      </c>
      <c r="AE26" s="310" t="str">
        <f t="shared" ref="AE26" si="220">IF(M26&lt;&gt;"",M26*12,"")</f>
        <v/>
      </c>
      <c r="AF26" s="311" t="str">
        <f t="shared" ref="AF26" si="221">IF(N26&lt;&gt;"",N26*12,"")</f>
        <v/>
      </c>
      <c r="AG26" s="312" t="str">
        <f t="shared" ref="AG26" si="222">IF(O26&lt;&gt;"",O26*12,"")</f>
        <v/>
      </c>
      <c r="AH26" s="310" t="str">
        <f t="shared" ref="AH26" si="223">IF(P26&lt;&gt;"",P26*12,"")</f>
        <v/>
      </c>
      <c r="AI26" s="311" t="str">
        <f t="shared" ref="AI26" si="224">IF(Q26&lt;&gt;"",Q26*12,"")</f>
        <v/>
      </c>
      <c r="AJ26" s="312" t="str">
        <f t="shared" ref="AJ26" si="225">IF(R26&lt;&gt;"",R26*12,"")</f>
        <v/>
      </c>
      <c r="AK26" s="310" t="str">
        <f t="shared" ref="AK26" si="226">IF(ISBLANK(J26),"",AN26-AH26)</f>
        <v/>
      </c>
      <c r="AL26" s="311" t="str">
        <f t="shared" ref="AL26" si="227">IF(ISBLANK(K26),"",AO26-AI26)</f>
        <v/>
      </c>
      <c r="AM26" s="312" t="str">
        <f t="shared" ref="AM26" si="228">IF(ISBLANK(L26),"",AP26-AJ26)</f>
        <v/>
      </c>
      <c r="AN26" s="310" t="str">
        <f t="shared" ref="AN26" si="229">IF(ISBLANK(J26),"",AQ26-AB26)</f>
        <v/>
      </c>
      <c r="AO26" s="311" t="str">
        <f t="shared" ref="AO26" si="230">IF(ISBLANK(K26),"",AR26-AC26)</f>
        <v/>
      </c>
      <c r="AP26" s="312" t="str">
        <f t="shared" ref="AP26" si="231">IF(ISBLANK(L26),"",AS26-AD26)</f>
        <v/>
      </c>
      <c r="AQ26" s="310" t="str">
        <f t="shared" ref="AQ26" si="232">IF(Y26&lt;&gt;"",Y26*12,"")</f>
        <v/>
      </c>
      <c r="AR26" s="311" t="str">
        <f t="shared" ref="AR26" si="233">IF(Z26&lt;&gt;"",Z26*12,"")</f>
        <v/>
      </c>
      <c r="AS26" s="312" t="str">
        <f t="shared" ref="AS26" si="234">IF(AA26&lt;&gt;"",AA26*12,"")</f>
        <v/>
      </c>
      <c r="AT26" s="310" t="str">
        <f t="shared" ref="AT26" ca="1" si="235">IFERROR(G26*J26,"")</f>
        <v/>
      </c>
      <c r="AU26" s="311" t="str">
        <f t="shared" ref="AU26" ca="1" si="236">IFERROR(H26*K26,"")</f>
        <v/>
      </c>
      <c r="AV26" s="312" t="str">
        <f t="shared" ref="AV26" ca="1" si="237">IFERROR(I26*L26,"")</f>
        <v/>
      </c>
      <c r="AW26" s="310" t="str">
        <f t="shared" ref="AW26" ca="1" si="238">IFERROR(G26*M26,"")</f>
        <v/>
      </c>
      <c r="AX26" s="311" t="str">
        <f t="shared" ref="AX26" ca="1" si="239">IFERROR(H26*N26,"")</f>
        <v/>
      </c>
      <c r="AY26" s="312" t="str">
        <f t="shared" ref="AY26" ca="1" si="240">IFERROR(I26*O26,"")</f>
        <v/>
      </c>
      <c r="AZ26" s="310" t="str">
        <f t="shared" ref="AZ26" ca="1" si="241">IFERROR(G26*P26,"")</f>
        <v/>
      </c>
      <c r="BA26" s="311" t="str">
        <f t="shared" ref="BA26" ca="1" si="242">IFERROR(H26*Q26,"")</f>
        <v/>
      </c>
      <c r="BB26" s="312" t="str">
        <f t="shared" ref="BB26" ca="1" si="243">IFERROR(I26*R26,"")</f>
        <v/>
      </c>
      <c r="BC26" s="310" t="str">
        <f t="shared" ref="BC26" si="244">IF(ISBLANK(J26),"",BF26-AZ26)</f>
        <v/>
      </c>
      <c r="BD26" s="311" t="str">
        <f t="shared" ref="BD26" si="245">IF(ISBLANK(K26),"",BG26-BA26)</f>
        <v/>
      </c>
      <c r="BE26" s="312" t="str">
        <f t="shared" ref="BE26" si="246">IF(ISBLANK(L26),"",BH26-BB26)</f>
        <v/>
      </c>
      <c r="BF26" s="310" t="str">
        <f t="shared" ref="BF26" si="247">IF(ISBLANK(J26),"",BI26-AT26)</f>
        <v/>
      </c>
      <c r="BG26" s="311" t="str">
        <f t="shared" ref="BG26" si="248">IF(ISBLANK(K26),"",BJ26-AU26)</f>
        <v/>
      </c>
      <c r="BH26" s="312" t="str">
        <f t="shared" ref="BH26" si="249">IF(ISBLANK(L26),"",BK26-AV26)</f>
        <v/>
      </c>
      <c r="BI26" s="310" t="str">
        <f t="shared" ref="BI26" ca="1" si="250">IFERROR(G26*Y26,"")</f>
        <v/>
      </c>
      <c r="BJ26" s="311" t="str">
        <f t="shared" ref="BJ26" ca="1" si="251">IFERROR(H26*Z26,"")</f>
        <v/>
      </c>
      <c r="BK26" s="312" t="str">
        <f t="shared" ref="BK26" ca="1" si="252">IFERROR(I26*AA26,"")</f>
        <v/>
      </c>
      <c r="BL26" s="1069"/>
      <c r="BM26" s="1069"/>
    </row>
    <row r="27" spans="1:65" s="941" customFormat="1">
      <c r="A27" s="671">
        <f>MAX($A$21:A26) + 1</f>
        <v>6</v>
      </c>
      <c r="B27" s="671" t="str">
        <f t="shared" ref="B27" ca="1" si="253">IF(NOT(ISERROR(FIND("TELCO",UPPER(C27)))),"Telco",IF(NOT(ISERROR(FIND("MOBILITY",UPPER(C27)))),"Mob","LD"))</f>
        <v>LD</v>
      </c>
      <c r="C27" s="836" t="str">
        <f t="shared" ref="C27" ca="1" si="254">T(OFFSET(ProdStart,A27,0))</f>
        <v/>
      </c>
      <c r="D27" s="837" t="str">
        <f t="shared" ref="D27" ca="1" si="255">T(OFFSET(ProdStart,A27,1))</f>
        <v/>
      </c>
      <c r="E27" s="838" t="str">
        <f t="shared" ref="E27" ca="1" si="256">T(OFFSET(ProdStart,A27,2))</f>
        <v/>
      </c>
      <c r="F27" s="836" t="str">
        <f t="shared" ref="F27" ca="1" si="257">T(OFFSET(ProdStart,A27,3))</f>
        <v/>
      </c>
      <c r="G27" s="839" t="str">
        <f t="shared" ref="G27" ca="1" si="258">OFFSET(ProdStart,A27,4)&amp;""</f>
        <v/>
      </c>
      <c r="H27" s="840" t="str">
        <f t="shared" ref="H27" ca="1" si="259">OFFSET(ProdStart,A27,5)&amp;""</f>
        <v/>
      </c>
      <c r="I27" s="841" t="str">
        <f t="shared" ref="I27" ca="1" si="260">OFFSET(ProdStart,A27,6)&amp;""</f>
        <v/>
      </c>
      <c r="J27" s="683"/>
      <c r="K27" s="684"/>
      <c r="L27" s="685"/>
      <c r="M27" s="683"/>
      <c r="N27" s="684"/>
      <c r="O27" s="685"/>
      <c r="P27" s="683"/>
      <c r="Q27" s="684"/>
      <c r="R27" s="685"/>
      <c r="S27" s="683" t="str">
        <f t="shared" ref="S27" si="261">IF(ISBLANK(J27),"",V27-P27)</f>
        <v/>
      </c>
      <c r="T27" s="684" t="str">
        <f t="shared" ref="T27" si="262">IF(ISBLANK(K27),"",W27-Q27)</f>
        <v/>
      </c>
      <c r="U27" s="685" t="str">
        <f t="shared" ref="U27" si="263">IF(ISBLANK(L27),"",X27-R27)</f>
        <v/>
      </c>
      <c r="V27" s="683" t="str">
        <f t="shared" ref="V27" si="264">IF(ISBLANK(J27),"",Y27-J27)</f>
        <v/>
      </c>
      <c r="W27" s="684" t="str">
        <f t="shared" ref="W27" si="265">IF(ISBLANK(K27),"",Z27-K27)</f>
        <v/>
      </c>
      <c r="X27" s="685" t="str">
        <f t="shared" ref="X27" si="266">IF(ISBLANK(L27),"",AA27-L27)</f>
        <v/>
      </c>
      <c r="Y27" s="686"/>
      <c r="Z27" s="687"/>
      <c r="AA27" s="685"/>
      <c r="AB27" s="310" t="str">
        <f t="shared" ref="AB27" si="267">IF(J27&lt;&gt;"",J27*12,"")</f>
        <v/>
      </c>
      <c r="AC27" s="311" t="str">
        <f t="shared" ref="AC27" si="268">IF(K27&lt;&gt;"",K27*12,"")</f>
        <v/>
      </c>
      <c r="AD27" s="312" t="str">
        <f t="shared" ref="AD27" si="269">IF(L27&lt;&gt;"",L27*12,"")</f>
        <v/>
      </c>
      <c r="AE27" s="310" t="str">
        <f t="shared" ref="AE27" si="270">IF(M27&lt;&gt;"",M27*12,"")</f>
        <v/>
      </c>
      <c r="AF27" s="311" t="str">
        <f t="shared" ref="AF27" si="271">IF(N27&lt;&gt;"",N27*12,"")</f>
        <v/>
      </c>
      <c r="AG27" s="312" t="str">
        <f t="shared" ref="AG27" si="272">IF(O27&lt;&gt;"",O27*12,"")</f>
        <v/>
      </c>
      <c r="AH27" s="310" t="str">
        <f t="shared" ref="AH27" si="273">IF(P27&lt;&gt;"",P27*12,"")</f>
        <v/>
      </c>
      <c r="AI27" s="311" t="str">
        <f t="shared" ref="AI27" si="274">IF(Q27&lt;&gt;"",Q27*12,"")</f>
        <v/>
      </c>
      <c r="AJ27" s="312" t="str">
        <f t="shared" ref="AJ27" si="275">IF(R27&lt;&gt;"",R27*12,"")</f>
        <v/>
      </c>
      <c r="AK27" s="310" t="str">
        <f t="shared" ref="AK27" si="276">IF(ISBLANK(J27),"",AN27-AH27)</f>
        <v/>
      </c>
      <c r="AL27" s="311" t="str">
        <f t="shared" ref="AL27" si="277">IF(ISBLANK(K27),"",AO27-AI27)</f>
        <v/>
      </c>
      <c r="AM27" s="312" t="str">
        <f t="shared" ref="AM27" si="278">IF(ISBLANK(L27),"",AP27-AJ27)</f>
        <v/>
      </c>
      <c r="AN27" s="310" t="str">
        <f t="shared" ref="AN27" si="279">IF(ISBLANK(J27),"",AQ27-AB27)</f>
        <v/>
      </c>
      <c r="AO27" s="311" t="str">
        <f t="shared" ref="AO27" si="280">IF(ISBLANK(K27),"",AR27-AC27)</f>
        <v/>
      </c>
      <c r="AP27" s="312" t="str">
        <f t="shared" ref="AP27" si="281">IF(ISBLANK(L27),"",AS27-AD27)</f>
        <v/>
      </c>
      <c r="AQ27" s="310" t="str">
        <f t="shared" ref="AQ27" si="282">IF(Y27&lt;&gt;"",Y27*12,"")</f>
        <v/>
      </c>
      <c r="AR27" s="311" t="str">
        <f t="shared" ref="AR27" si="283">IF(Z27&lt;&gt;"",Z27*12,"")</f>
        <v/>
      </c>
      <c r="AS27" s="312" t="str">
        <f t="shared" ref="AS27" si="284">IF(AA27&lt;&gt;"",AA27*12,"")</f>
        <v/>
      </c>
      <c r="AT27" s="310" t="str">
        <f t="shared" ref="AT27" ca="1" si="285">IFERROR(G27*J27,"")</f>
        <v/>
      </c>
      <c r="AU27" s="311" t="str">
        <f t="shared" ref="AU27" ca="1" si="286">IFERROR(H27*K27,"")</f>
        <v/>
      </c>
      <c r="AV27" s="312" t="str">
        <f t="shared" ref="AV27" ca="1" si="287">IFERROR(I27*L27,"")</f>
        <v/>
      </c>
      <c r="AW27" s="310" t="str">
        <f t="shared" ref="AW27" ca="1" si="288">IFERROR(G27*M27,"")</f>
        <v/>
      </c>
      <c r="AX27" s="311" t="str">
        <f t="shared" ref="AX27" ca="1" si="289">IFERROR(H27*N27,"")</f>
        <v/>
      </c>
      <c r="AY27" s="312" t="str">
        <f t="shared" ref="AY27" ca="1" si="290">IFERROR(I27*O27,"")</f>
        <v/>
      </c>
      <c r="AZ27" s="310" t="str">
        <f t="shared" ref="AZ27" ca="1" si="291">IFERROR(G27*P27,"")</f>
        <v/>
      </c>
      <c r="BA27" s="311" t="str">
        <f t="shared" ref="BA27" ca="1" si="292">IFERROR(H27*Q27,"")</f>
        <v/>
      </c>
      <c r="BB27" s="312" t="str">
        <f t="shared" ref="BB27" ca="1" si="293">IFERROR(I27*R27,"")</f>
        <v/>
      </c>
      <c r="BC27" s="310" t="str">
        <f t="shared" ref="BC27" si="294">IF(ISBLANK(J27),"",BF27-AZ27)</f>
        <v/>
      </c>
      <c r="BD27" s="311" t="str">
        <f t="shared" ref="BD27" si="295">IF(ISBLANK(K27),"",BG27-BA27)</f>
        <v/>
      </c>
      <c r="BE27" s="312" t="str">
        <f t="shared" ref="BE27" si="296">IF(ISBLANK(L27),"",BH27-BB27)</f>
        <v/>
      </c>
      <c r="BF27" s="310" t="str">
        <f t="shared" ref="BF27" si="297">IF(ISBLANK(J27),"",BI27-AT27)</f>
        <v/>
      </c>
      <c r="BG27" s="311" t="str">
        <f t="shared" ref="BG27" si="298">IF(ISBLANK(K27),"",BJ27-AU27)</f>
        <v/>
      </c>
      <c r="BH27" s="312" t="str">
        <f t="shared" ref="BH27" si="299">IF(ISBLANK(L27),"",BK27-AV27)</f>
        <v/>
      </c>
      <c r="BI27" s="310" t="str">
        <f t="shared" ref="BI27" ca="1" si="300">IFERROR(G27*Y27,"")</f>
        <v/>
      </c>
      <c r="BJ27" s="311" t="str">
        <f t="shared" ref="BJ27" ca="1" si="301">IFERROR(H27*Z27,"")</f>
        <v/>
      </c>
      <c r="BK27" s="312" t="str">
        <f t="shared" ref="BK27" ca="1" si="302">IFERROR(I27*AA27,"")</f>
        <v/>
      </c>
      <c r="BL27" s="1069"/>
      <c r="BM27" s="1069"/>
    </row>
    <row r="28" spans="1:65" s="941" customFormat="1">
      <c r="A28" s="671">
        <f>MAX($A$21:A27) + 1</f>
        <v>7</v>
      </c>
      <c r="B28" s="671" t="str">
        <f t="shared" ref="B28" ca="1" si="303">IF(NOT(ISERROR(FIND("TELCO",UPPER(C28)))),"Telco",IF(NOT(ISERROR(FIND("MOBILITY",UPPER(C28)))),"Mob","LD"))</f>
        <v>LD</v>
      </c>
      <c r="C28" s="836" t="str">
        <f t="shared" ref="C28" ca="1" si="304">T(OFFSET(ProdStart,A28,0))</f>
        <v/>
      </c>
      <c r="D28" s="837" t="str">
        <f t="shared" ref="D28" ca="1" si="305">T(OFFSET(ProdStart,A28,1))</f>
        <v/>
      </c>
      <c r="E28" s="838" t="str">
        <f t="shared" ref="E28" ca="1" si="306">T(OFFSET(ProdStart,A28,2))</f>
        <v/>
      </c>
      <c r="F28" s="836" t="str">
        <f t="shared" ref="F28" ca="1" si="307">T(OFFSET(ProdStart,A28,3))</f>
        <v/>
      </c>
      <c r="G28" s="839" t="str">
        <f t="shared" ref="G28" ca="1" si="308">OFFSET(ProdStart,A28,4)&amp;""</f>
        <v/>
      </c>
      <c r="H28" s="840" t="str">
        <f t="shared" ref="H28" ca="1" si="309">OFFSET(ProdStart,A28,5)&amp;""</f>
        <v/>
      </c>
      <c r="I28" s="841" t="str">
        <f t="shared" ref="I28" ca="1" si="310">OFFSET(ProdStart,A28,6)&amp;""</f>
        <v/>
      </c>
      <c r="J28" s="683"/>
      <c r="K28" s="684"/>
      <c r="L28" s="685"/>
      <c r="M28" s="683"/>
      <c r="N28" s="684"/>
      <c r="O28" s="685"/>
      <c r="P28" s="683"/>
      <c r="Q28" s="684"/>
      <c r="R28" s="685"/>
      <c r="S28" s="683" t="str">
        <f t="shared" ref="S28" si="311">IF(ISBLANK(J28),"",V28-P28)</f>
        <v/>
      </c>
      <c r="T28" s="684" t="str">
        <f t="shared" ref="T28" si="312">IF(ISBLANK(K28),"",W28-Q28)</f>
        <v/>
      </c>
      <c r="U28" s="685" t="str">
        <f t="shared" ref="U28" si="313">IF(ISBLANK(L28),"",X28-R28)</f>
        <v/>
      </c>
      <c r="V28" s="683" t="str">
        <f t="shared" ref="V28" si="314">IF(ISBLANK(J28),"",Y28-J28)</f>
        <v/>
      </c>
      <c r="W28" s="684" t="str">
        <f t="shared" ref="W28" si="315">IF(ISBLANK(K28),"",Z28-K28)</f>
        <v/>
      </c>
      <c r="X28" s="685" t="str">
        <f t="shared" ref="X28" si="316">IF(ISBLANK(L28),"",AA28-L28)</f>
        <v/>
      </c>
      <c r="Y28" s="686"/>
      <c r="Z28" s="687"/>
      <c r="AA28" s="685"/>
      <c r="AB28" s="310" t="str">
        <f t="shared" ref="AB28" si="317">IF(J28&lt;&gt;"",J28*12,"")</f>
        <v/>
      </c>
      <c r="AC28" s="311" t="str">
        <f t="shared" ref="AC28" si="318">IF(K28&lt;&gt;"",K28*12,"")</f>
        <v/>
      </c>
      <c r="AD28" s="312" t="str">
        <f t="shared" ref="AD28" si="319">IF(L28&lt;&gt;"",L28*12,"")</f>
        <v/>
      </c>
      <c r="AE28" s="310" t="str">
        <f t="shared" ref="AE28" si="320">IF(M28&lt;&gt;"",M28*12,"")</f>
        <v/>
      </c>
      <c r="AF28" s="311" t="str">
        <f t="shared" ref="AF28" si="321">IF(N28&lt;&gt;"",N28*12,"")</f>
        <v/>
      </c>
      <c r="AG28" s="312" t="str">
        <f t="shared" ref="AG28" si="322">IF(O28&lt;&gt;"",O28*12,"")</f>
        <v/>
      </c>
      <c r="AH28" s="310" t="str">
        <f t="shared" ref="AH28" si="323">IF(P28&lt;&gt;"",P28*12,"")</f>
        <v/>
      </c>
      <c r="AI28" s="311" t="str">
        <f t="shared" ref="AI28" si="324">IF(Q28&lt;&gt;"",Q28*12,"")</f>
        <v/>
      </c>
      <c r="AJ28" s="312" t="str">
        <f t="shared" ref="AJ28" si="325">IF(R28&lt;&gt;"",R28*12,"")</f>
        <v/>
      </c>
      <c r="AK28" s="310" t="str">
        <f t="shared" ref="AK28" si="326">IF(ISBLANK(J28),"",AN28-AH28)</f>
        <v/>
      </c>
      <c r="AL28" s="311" t="str">
        <f t="shared" ref="AL28" si="327">IF(ISBLANK(K28),"",AO28-AI28)</f>
        <v/>
      </c>
      <c r="AM28" s="312" t="str">
        <f t="shared" ref="AM28" si="328">IF(ISBLANK(L28),"",AP28-AJ28)</f>
        <v/>
      </c>
      <c r="AN28" s="310" t="str">
        <f t="shared" ref="AN28" si="329">IF(ISBLANK(J28),"",AQ28-AB28)</f>
        <v/>
      </c>
      <c r="AO28" s="311" t="str">
        <f t="shared" ref="AO28" si="330">IF(ISBLANK(K28),"",AR28-AC28)</f>
        <v/>
      </c>
      <c r="AP28" s="312" t="str">
        <f t="shared" ref="AP28" si="331">IF(ISBLANK(L28),"",AS28-AD28)</f>
        <v/>
      </c>
      <c r="AQ28" s="310" t="str">
        <f t="shared" ref="AQ28" si="332">IF(Y28&lt;&gt;"",Y28*12,"")</f>
        <v/>
      </c>
      <c r="AR28" s="311" t="str">
        <f t="shared" ref="AR28" si="333">IF(Z28&lt;&gt;"",Z28*12,"")</f>
        <v/>
      </c>
      <c r="AS28" s="312" t="str">
        <f t="shared" ref="AS28" si="334">IF(AA28&lt;&gt;"",AA28*12,"")</f>
        <v/>
      </c>
      <c r="AT28" s="310" t="str">
        <f t="shared" ref="AT28" ca="1" si="335">IFERROR(G28*J28,"")</f>
        <v/>
      </c>
      <c r="AU28" s="311" t="str">
        <f t="shared" ref="AU28" ca="1" si="336">IFERROR(H28*K28,"")</f>
        <v/>
      </c>
      <c r="AV28" s="312" t="str">
        <f t="shared" ref="AV28" ca="1" si="337">IFERROR(I28*L28,"")</f>
        <v/>
      </c>
      <c r="AW28" s="310" t="str">
        <f t="shared" ref="AW28" ca="1" si="338">IFERROR(G28*M28,"")</f>
        <v/>
      </c>
      <c r="AX28" s="311" t="str">
        <f t="shared" ref="AX28" ca="1" si="339">IFERROR(H28*N28,"")</f>
        <v/>
      </c>
      <c r="AY28" s="312" t="str">
        <f t="shared" ref="AY28" ca="1" si="340">IFERROR(I28*O28,"")</f>
        <v/>
      </c>
      <c r="AZ28" s="310" t="str">
        <f t="shared" ref="AZ28" ca="1" si="341">IFERROR(G28*P28,"")</f>
        <v/>
      </c>
      <c r="BA28" s="311" t="str">
        <f t="shared" ref="BA28" ca="1" si="342">IFERROR(H28*Q28,"")</f>
        <v/>
      </c>
      <c r="BB28" s="312" t="str">
        <f t="shared" ref="BB28" ca="1" si="343">IFERROR(I28*R28,"")</f>
        <v/>
      </c>
      <c r="BC28" s="310" t="str">
        <f t="shared" ref="BC28" si="344">IF(ISBLANK(J28),"",BF28-AZ28)</f>
        <v/>
      </c>
      <c r="BD28" s="311" t="str">
        <f t="shared" ref="BD28" si="345">IF(ISBLANK(K28),"",BG28-BA28)</f>
        <v/>
      </c>
      <c r="BE28" s="312" t="str">
        <f t="shared" ref="BE28" si="346">IF(ISBLANK(L28),"",BH28-BB28)</f>
        <v/>
      </c>
      <c r="BF28" s="310" t="str">
        <f t="shared" ref="BF28" si="347">IF(ISBLANK(J28),"",BI28-AT28)</f>
        <v/>
      </c>
      <c r="BG28" s="311" t="str">
        <f t="shared" ref="BG28" si="348">IF(ISBLANK(K28),"",BJ28-AU28)</f>
        <v/>
      </c>
      <c r="BH28" s="312" t="str">
        <f t="shared" ref="BH28" si="349">IF(ISBLANK(L28),"",BK28-AV28)</f>
        <v/>
      </c>
      <c r="BI28" s="310" t="str">
        <f t="shared" ref="BI28" ca="1" si="350">IFERROR(G28*Y28,"")</f>
        <v/>
      </c>
      <c r="BJ28" s="311" t="str">
        <f t="shared" ref="BJ28" ca="1" si="351">IFERROR(H28*Z28,"")</f>
        <v/>
      </c>
      <c r="BK28" s="312" t="str">
        <f t="shared" ref="BK28" ca="1" si="352">IFERROR(I28*AA28,"")</f>
        <v/>
      </c>
      <c r="BL28" s="1069"/>
      <c r="BM28" s="1069"/>
    </row>
    <row r="29" spans="1:65" s="941" customFormat="1">
      <c r="A29" s="671">
        <f>MAX($A$21:A28) + 1</f>
        <v>8</v>
      </c>
      <c r="B29" s="671" t="str">
        <f t="shared" ref="B29" ca="1" si="353">IF(NOT(ISERROR(FIND("TELCO",UPPER(C29)))),"Telco",IF(NOT(ISERROR(FIND("MOBILITY",UPPER(C29)))),"Mob","LD"))</f>
        <v>LD</v>
      </c>
      <c r="C29" s="836" t="str">
        <f t="shared" ref="C29" ca="1" si="354">T(OFFSET(ProdStart,A29,0))</f>
        <v/>
      </c>
      <c r="D29" s="837" t="str">
        <f t="shared" ref="D29" ca="1" si="355">T(OFFSET(ProdStart,A29,1))</f>
        <v/>
      </c>
      <c r="E29" s="838" t="str">
        <f t="shared" ref="E29" ca="1" si="356">T(OFFSET(ProdStart,A29,2))</f>
        <v/>
      </c>
      <c r="F29" s="836" t="str">
        <f t="shared" ref="F29" ca="1" si="357">T(OFFSET(ProdStart,A29,3))</f>
        <v/>
      </c>
      <c r="G29" s="839" t="str">
        <f t="shared" ref="G29" ca="1" si="358">OFFSET(ProdStart,A29,4)&amp;""</f>
        <v/>
      </c>
      <c r="H29" s="840" t="str">
        <f t="shared" ref="H29" ca="1" si="359">OFFSET(ProdStart,A29,5)&amp;""</f>
        <v/>
      </c>
      <c r="I29" s="841" t="str">
        <f t="shared" ref="I29" ca="1" si="360">OFFSET(ProdStart,A29,6)&amp;""</f>
        <v/>
      </c>
      <c r="J29" s="683"/>
      <c r="K29" s="684"/>
      <c r="L29" s="685"/>
      <c r="M29" s="683"/>
      <c r="N29" s="684"/>
      <c r="O29" s="685"/>
      <c r="P29" s="683"/>
      <c r="Q29" s="684"/>
      <c r="R29" s="685"/>
      <c r="S29" s="683" t="str">
        <f t="shared" ref="S29" si="361">IF(ISBLANK(J29),"",V29-P29)</f>
        <v/>
      </c>
      <c r="T29" s="684" t="str">
        <f t="shared" ref="T29" si="362">IF(ISBLANK(K29),"",W29-Q29)</f>
        <v/>
      </c>
      <c r="U29" s="685" t="str">
        <f t="shared" ref="U29" si="363">IF(ISBLANK(L29),"",X29-R29)</f>
        <v/>
      </c>
      <c r="V29" s="683" t="str">
        <f t="shared" ref="V29" si="364">IF(ISBLANK(J29),"",Y29-J29)</f>
        <v/>
      </c>
      <c r="W29" s="684" t="str">
        <f t="shared" ref="W29" si="365">IF(ISBLANK(K29),"",Z29-K29)</f>
        <v/>
      </c>
      <c r="X29" s="685" t="str">
        <f t="shared" ref="X29" si="366">IF(ISBLANK(L29),"",AA29-L29)</f>
        <v/>
      </c>
      <c r="Y29" s="686"/>
      <c r="Z29" s="687"/>
      <c r="AA29" s="685"/>
      <c r="AB29" s="310" t="str">
        <f t="shared" ref="AB29" si="367">IF(J29&lt;&gt;"",J29*12,"")</f>
        <v/>
      </c>
      <c r="AC29" s="311" t="str">
        <f t="shared" ref="AC29" si="368">IF(K29&lt;&gt;"",K29*12,"")</f>
        <v/>
      </c>
      <c r="AD29" s="312" t="str">
        <f t="shared" ref="AD29" si="369">IF(L29&lt;&gt;"",L29*12,"")</f>
        <v/>
      </c>
      <c r="AE29" s="310" t="str">
        <f t="shared" ref="AE29" si="370">IF(M29&lt;&gt;"",M29*12,"")</f>
        <v/>
      </c>
      <c r="AF29" s="311" t="str">
        <f t="shared" ref="AF29" si="371">IF(N29&lt;&gt;"",N29*12,"")</f>
        <v/>
      </c>
      <c r="AG29" s="312" t="str">
        <f t="shared" ref="AG29" si="372">IF(O29&lt;&gt;"",O29*12,"")</f>
        <v/>
      </c>
      <c r="AH29" s="310" t="str">
        <f t="shared" ref="AH29" si="373">IF(P29&lt;&gt;"",P29*12,"")</f>
        <v/>
      </c>
      <c r="AI29" s="311" t="str">
        <f t="shared" ref="AI29" si="374">IF(Q29&lt;&gt;"",Q29*12,"")</f>
        <v/>
      </c>
      <c r="AJ29" s="312" t="str">
        <f t="shared" ref="AJ29" si="375">IF(R29&lt;&gt;"",R29*12,"")</f>
        <v/>
      </c>
      <c r="AK29" s="310" t="str">
        <f t="shared" ref="AK29" si="376">IF(ISBLANK(J29),"",AN29-AH29)</f>
        <v/>
      </c>
      <c r="AL29" s="311" t="str">
        <f t="shared" ref="AL29" si="377">IF(ISBLANK(K29),"",AO29-AI29)</f>
        <v/>
      </c>
      <c r="AM29" s="312" t="str">
        <f t="shared" ref="AM29" si="378">IF(ISBLANK(L29),"",AP29-AJ29)</f>
        <v/>
      </c>
      <c r="AN29" s="310" t="str">
        <f t="shared" ref="AN29" si="379">IF(ISBLANK(J29),"",AQ29-AB29)</f>
        <v/>
      </c>
      <c r="AO29" s="311" t="str">
        <f t="shared" ref="AO29" si="380">IF(ISBLANK(K29),"",AR29-AC29)</f>
        <v/>
      </c>
      <c r="AP29" s="312" t="str">
        <f t="shared" ref="AP29" si="381">IF(ISBLANK(L29),"",AS29-AD29)</f>
        <v/>
      </c>
      <c r="AQ29" s="310" t="str">
        <f t="shared" ref="AQ29" si="382">IF(Y29&lt;&gt;"",Y29*12,"")</f>
        <v/>
      </c>
      <c r="AR29" s="311" t="str">
        <f t="shared" ref="AR29" si="383">IF(Z29&lt;&gt;"",Z29*12,"")</f>
        <v/>
      </c>
      <c r="AS29" s="312" t="str">
        <f t="shared" ref="AS29" si="384">IF(AA29&lt;&gt;"",AA29*12,"")</f>
        <v/>
      </c>
      <c r="AT29" s="310" t="str">
        <f t="shared" ref="AT29" ca="1" si="385">IFERROR(G29*J29,"")</f>
        <v/>
      </c>
      <c r="AU29" s="311" t="str">
        <f t="shared" ref="AU29" ca="1" si="386">IFERROR(H29*K29,"")</f>
        <v/>
      </c>
      <c r="AV29" s="312" t="str">
        <f t="shared" ref="AV29" ca="1" si="387">IFERROR(I29*L29,"")</f>
        <v/>
      </c>
      <c r="AW29" s="310" t="str">
        <f t="shared" ref="AW29" ca="1" si="388">IFERROR(G29*M29,"")</f>
        <v/>
      </c>
      <c r="AX29" s="311" t="str">
        <f t="shared" ref="AX29" ca="1" si="389">IFERROR(H29*N29,"")</f>
        <v/>
      </c>
      <c r="AY29" s="312" t="str">
        <f t="shared" ref="AY29" ca="1" si="390">IFERROR(I29*O29,"")</f>
        <v/>
      </c>
      <c r="AZ29" s="310" t="str">
        <f t="shared" ref="AZ29" ca="1" si="391">IFERROR(G29*P29,"")</f>
        <v/>
      </c>
      <c r="BA29" s="311" t="str">
        <f t="shared" ref="BA29" ca="1" si="392">IFERROR(H29*Q29,"")</f>
        <v/>
      </c>
      <c r="BB29" s="312" t="str">
        <f t="shared" ref="BB29" ca="1" si="393">IFERROR(I29*R29,"")</f>
        <v/>
      </c>
      <c r="BC29" s="310" t="str">
        <f t="shared" ref="BC29" si="394">IF(ISBLANK(J29),"",BF29-AZ29)</f>
        <v/>
      </c>
      <c r="BD29" s="311" t="str">
        <f t="shared" ref="BD29" si="395">IF(ISBLANK(K29),"",BG29-BA29)</f>
        <v/>
      </c>
      <c r="BE29" s="312" t="str">
        <f t="shared" ref="BE29" si="396">IF(ISBLANK(L29),"",BH29-BB29)</f>
        <v/>
      </c>
      <c r="BF29" s="310" t="str">
        <f t="shared" ref="BF29" si="397">IF(ISBLANK(J29),"",BI29-AT29)</f>
        <v/>
      </c>
      <c r="BG29" s="311" t="str">
        <f t="shared" ref="BG29" si="398">IF(ISBLANK(K29),"",BJ29-AU29)</f>
        <v/>
      </c>
      <c r="BH29" s="312" t="str">
        <f t="shared" ref="BH29" si="399">IF(ISBLANK(L29),"",BK29-AV29)</f>
        <v/>
      </c>
      <c r="BI29" s="310" t="str">
        <f t="shared" ref="BI29" ca="1" si="400">IFERROR(G29*Y29,"")</f>
        <v/>
      </c>
      <c r="BJ29" s="311" t="str">
        <f t="shared" ref="BJ29" ca="1" si="401">IFERROR(H29*Z29,"")</f>
        <v/>
      </c>
      <c r="BK29" s="312" t="str">
        <f t="shared" ref="BK29" ca="1" si="402">IFERROR(I29*AA29,"")</f>
        <v/>
      </c>
      <c r="BL29" s="1069"/>
      <c r="BM29" s="1069"/>
    </row>
    <row r="30" spans="1:65" s="941" customFormat="1">
      <c r="A30" s="671">
        <f>MAX($A$21:A29) + 1</f>
        <v>9</v>
      </c>
      <c r="B30" s="671" t="str">
        <f t="shared" ref="B30" ca="1" si="403">IF(NOT(ISERROR(FIND("TELCO",UPPER(C30)))),"Telco",IF(NOT(ISERROR(FIND("MOBILITY",UPPER(C30)))),"Mob","LD"))</f>
        <v>LD</v>
      </c>
      <c r="C30" s="836" t="str">
        <f t="shared" ref="C30" ca="1" si="404">T(OFFSET(ProdStart,A30,0))</f>
        <v/>
      </c>
      <c r="D30" s="837" t="str">
        <f t="shared" ref="D30" ca="1" si="405">T(OFFSET(ProdStart,A30,1))</f>
        <v/>
      </c>
      <c r="E30" s="838" t="str">
        <f t="shared" ref="E30" ca="1" si="406">T(OFFSET(ProdStart,A30,2))</f>
        <v/>
      </c>
      <c r="F30" s="836" t="str">
        <f t="shared" ref="F30" ca="1" si="407">T(OFFSET(ProdStart,A30,3))</f>
        <v/>
      </c>
      <c r="G30" s="839" t="str">
        <f t="shared" ref="G30" ca="1" si="408">OFFSET(ProdStart,A30,4)&amp;""</f>
        <v/>
      </c>
      <c r="H30" s="840" t="str">
        <f t="shared" ref="H30" ca="1" si="409">OFFSET(ProdStart,A30,5)&amp;""</f>
        <v/>
      </c>
      <c r="I30" s="841" t="str">
        <f t="shared" ref="I30" ca="1" si="410">OFFSET(ProdStart,A30,6)&amp;""</f>
        <v/>
      </c>
      <c r="J30" s="683"/>
      <c r="K30" s="684"/>
      <c r="L30" s="685"/>
      <c r="M30" s="683"/>
      <c r="N30" s="684"/>
      <c r="O30" s="685"/>
      <c r="P30" s="683"/>
      <c r="Q30" s="684"/>
      <c r="R30" s="685"/>
      <c r="S30" s="683" t="str">
        <f t="shared" ref="S30" si="411">IF(ISBLANK(J30),"",V30-P30)</f>
        <v/>
      </c>
      <c r="T30" s="684" t="str">
        <f t="shared" ref="T30" si="412">IF(ISBLANK(K30),"",W30-Q30)</f>
        <v/>
      </c>
      <c r="U30" s="685" t="str">
        <f t="shared" ref="U30" si="413">IF(ISBLANK(L30),"",X30-R30)</f>
        <v/>
      </c>
      <c r="V30" s="683" t="str">
        <f t="shared" ref="V30" si="414">IF(ISBLANK(J30),"",Y30-J30)</f>
        <v/>
      </c>
      <c r="W30" s="684" t="str">
        <f t="shared" ref="W30" si="415">IF(ISBLANK(K30),"",Z30-K30)</f>
        <v/>
      </c>
      <c r="X30" s="685" t="str">
        <f t="shared" ref="X30" si="416">IF(ISBLANK(L30),"",AA30-L30)</f>
        <v/>
      </c>
      <c r="Y30" s="686"/>
      <c r="Z30" s="687"/>
      <c r="AA30" s="685"/>
      <c r="AB30" s="310" t="str">
        <f t="shared" ref="AB30" si="417">IF(J30&lt;&gt;"",J30*12,"")</f>
        <v/>
      </c>
      <c r="AC30" s="311" t="str">
        <f t="shared" ref="AC30" si="418">IF(K30&lt;&gt;"",K30*12,"")</f>
        <v/>
      </c>
      <c r="AD30" s="312" t="str">
        <f t="shared" ref="AD30" si="419">IF(L30&lt;&gt;"",L30*12,"")</f>
        <v/>
      </c>
      <c r="AE30" s="310" t="str">
        <f t="shared" ref="AE30" si="420">IF(M30&lt;&gt;"",M30*12,"")</f>
        <v/>
      </c>
      <c r="AF30" s="311" t="str">
        <f t="shared" ref="AF30" si="421">IF(N30&lt;&gt;"",N30*12,"")</f>
        <v/>
      </c>
      <c r="AG30" s="312" t="str">
        <f t="shared" ref="AG30" si="422">IF(O30&lt;&gt;"",O30*12,"")</f>
        <v/>
      </c>
      <c r="AH30" s="310" t="str">
        <f t="shared" ref="AH30" si="423">IF(P30&lt;&gt;"",P30*12,"")</f>
        <v/>
      </c>
      <c r="AI30" s="311" t="str">
        <f t="shared" ref="AI30" si="424">IF(Q30&lt;&gt;"",Q30*12,"")</f>
        <v/>
      </c>
      <c r="AJ30" s="312" t="str">
        <f t="shared" ref="AJ30" si="425">IF(R30&lt;&gt;"",R30*12,"")</f>
        <v/>
      </c>
      <c r="AK30" s="310" t="str">
        <f t="shared" ref="AK30" si="426">IF(ISBLANK(J30),"",AN30-AH30)</f>
        <v/>
      </c>
      <c r="AL30" s="311" t="str">
        <f t="shared" ref="AL30" si="427">IF(ISBLANK(K30),"",AO30-AI30)</f>
        <v/>
      </c>
      <c r="AM30" s="312" t="str">
        <f t="shared" ref="AM30" si="428">IF(ISBLANK(L30),"",AP30-AJ30)</f>
        <v/>
      </c>
      <c r="AN30" s="310" t="str">
        <f t="shared" ref="AN30" si="429">IF(ISBLANK(J30),"",AQ30-AB30)</f>
        <v/>
      </c>
      <c r="AO30" s="311" t="str">
        <f t="shared" ref="AO30" si="430">IF(ISBLANK(K30),"",AR30-AC30)</f>
        <v/>
      </c>
      <c r="AP30" s="312" t="str">
        <f t="shared" ref="AP30" si="431">IF(ISBLANK(L30),"",AS30-AD30)</f>
        <v/>
      </c>
      <c r="AQ30" s="310" t="str">
        <f t="shared" ref="AQ30" si="432">IF(Y30&lt;&gt;"",Y30*12,"")</f>
        <v/>
      </c>
      <c r="AR30" s="311" t="str">
        <f t="shared" ref="AR30" si="433">IF(Z30&lt;&gt;"",Z30*12,"")</f>
        <v/>
      </c>
      <c r="AS30" s="312" t="str">
        <f t="shared" ref="AS30" si="434">IF(AA30&lt;&gt;"",AA30*12,"")</f>
        <v/>
      </c>
      <c r="AT30" s="310" t="str">
        <f t="shared" ref="AT30" ca="1" si="435">IFERROR(G30*J30,"")</f>
        <v/>
      </c>
      <c r="AU30" s="311" t="str">
        <f t="shared" ref="AU30" ca="1" si="436">IFERROR(H30*K30,"")</f>
        <v/>
      </c>
      <c r="AV30" s="312" t="str">
        <f t="shared" ref="AV30" ca="1" si="437">IFERROR(I30*L30,"")</f>
        <v/>
      </c>
      <c r="AW30" s="310" t="str">
        <f t="shared" ref="AW30" ca="1" si="438">IFERROR(G30*M30,"")</f>
        <v/>
      </c>
      <c r="AX30" s="311" t="str">
        <f t="shared" ref="AX30" ca="1" si="439">IFERROR(H30*N30,"")</f>
        <v/>
      </c>
      <c r="AY30" s="312" t="str">
        <f t="shared" ref="AY30" ca="1" si="440">IFERROR(I30*O30,"")</f>
        <v/>
      </c>
      <c r="AZ30" s="310" t="str">
        <f t="shared" ref="AZ30" ca="1" si="441">IFERROR(G30*P30,"")</f>
        <v/>
      </c>
      <c r="BA30" s="311" t="str">
        <f t="shared" ref="BA30" ca="1" si="442">IFERROR(H30*Q30,"")</f>
        <v/>
      </c>
      <c r="BB30" s="312" t="str">
        <f t="shared" ref="BB30" ca="1" si="443">IFERROR(I30*R30,"")</f>
        <v/>
      </c>
      <c r="BC30" s="310" t="str">
        <f t="shared" ref="BC30" si="444">IF(ISBLANK(J30),"",BF30-AZ30)</f>
        <v/>
      </c>
      <c r="BD30" s="311" t="str">
        <f t="shared" ref="BD30" si="445">IF(ISBLANK(K30),"",BG30-BA30)</f>
        <v/>
      </c>
      <c r="BE30" s="312" t="str">
        <f t="shared" ref="BE30" si="446">IF(ISBLANK(L30),"",BH30-BB30)</f>
        <v/>
      </c>
      <c r="BF30" s="310" t="str">
        <f t="shared" ref="BF30" si="447">IF(ISBLANK(J30),"",BI30-AT30)</f>
        <v/>
      </c>
      <c r="BG30" s="311" t="str">
        <f t="shared" ref="BG30" si="448">IF(ISBLANK(K30),"",BJ30-AU30)</f>
        <v/>
      </c>
      <c r="BH30" s="312" t="str">
        <f t="shared" ref="BH30" si="449">IF(ISBLANK(L30),"",BK30-AV30)</f>
        <v/>
      </c>
      <c r="BI30" s="310" t="str">
        <f t="shared" ref="BI30" ca="1" si="450">IFERROR(G30*Y30,"")</f>
        <v/>
      </c>
      <c r="BJ30" s="311" t="str">
        <f t="shared" ref="BJ30" ca="1" si="451">IFERROR(H30*Z30,"")</f>
        <v/>
      </c>
      <c r="BK30" s="312" t="str">
        <f t="shared" ref="BK30" ca="1" si="452">IFERROR(I30*AA30,"")</f>
        <v/>
      </c>
      <c r="BL30" s="1069"/>
      <c r="BM30" s="1069"/>
    </row>
    <row r="31" spans="1:65" s="654" customFormat="1">
      <c r="A31" s="671">
        <f>MAX($A$21:A30) + 1</f>
        <v>10</v>
      </c>
      <c r="B31" s="671" t="str">
        <f ca="1">IF(NOT(ISERROR(FIND("TELCO",UPPER(C31)))),"Telco",IF(NOT(ISERROR(FIND("MOBILITY",UPPER(C31)))),"Mob","LD"))</f>
        <v>LD</v>
      </c>
      <c r="C31" s="301" t="str">
        <f ca="1">T(OFFSET(ProdStart,A31,0))</f>
        <v/>
      </c>
      <c r="D31" s="302" t="str">
        <f ca="1">T(OFFSET(ProdStart,A31,1))</f>
        <v/>
      </c>
      <c r="E31" s="303" t="str">
        <f ca="1">T(OFFSET(ProdStart,A31,2))</f>
        <v/>
      </c>
      <c r="F31" s="301" t="str">
        <f ca="1">T(OFFSET(ProdStart,A31,3))</f>
        <v/>
      </c>
      <c r="G31" s="307" t="str">
        <f ca="1">OFFSET(ProdStart,A31,4)&amp;""</f>
        <v/>
      </c>
      <c r="H31" s="308" t="str">
        <f ca="1">OFFSET(ProdStart,A31,5)&amp;""</f>
        <v/>
      </c>
      <c r="I31" s="309" t="str">
        <f ca="1">OFFSET(ProdStart,A31,6)&amp;""</f>
        <v/>
      </c>
      <c r="J31" s="683"/>
      <c r="K31" s="684"/>
      <c r="L31" s="685"/>
      <c r="M31" s="683"/>
      <c r="N31" s="684"/>
      <c r="O31" s="685"/>
      <c r="P31" s="683"/>
      <c r="Q31" s="684"/>
      <c r="R31" s="685"/>
      <c r="S31" s="683" t="str">
        <f>IF(ISBLANK(J31),"",V31-P31)</f>
        <v/>
      </c>
      <c r="T31" s="684" t="str">
        <f>IF(ISBLANK(K31),"",W31-Q31)</f>
        <v/>
      </c>
      <c r="U31" s="685" t="str">
        <f>IF(ISBLANK(L31),"",X31-R31)</f>
        <v/>
      </c>
      <c r="V31" s="683" t="str">
        <f>IF(ISBLANK(J31),"",Y31-J31)</f>
        <v/>
      </c>
      <c r="W31" s="684" t="str">
        <f>IF(ISBLANK(K31),"",Z31-K31)</f>
        <v/>
      </c>
      <c r="X31" s="685" t="str">
        <f>IF(ISBLANK(L31),"",AA31-L31)</f>
        <v/>
      </c>
      <c r="Y31" s="686"/>
      <c r="Z31" s="687"/>
      <c r="AA31" s="685"/>
      <c r="AB31" s="310" t="str">
        <f t="shared" ref="AB31:AJ31" si="453">IF(J31&lt;&gt;"",J31*12,"")</f>
        <v/>
      </c>
      <c r="AC31" s="311" t="str">
        <f t="shared" si="453"/>
        <v/>
      </c>
      <c r="AD31" s="312" t="str">
        <f t="shared" si="453"/>
        <v/>
      </c>
      <c r="AE31" s="310" t="str">
        <f t="shared" si="453"/>
        <v/>
      </c>
      <c r="AF31" s="311" t="str">
        <f t="shared" si="453"/>
        <v/>
      </c>
      <c r="AG31" s="312" t="str">
        <f t="shared" si="453"/>
        <v/>
      </c>
      <c r="AH31" s="310" t="str">
        <f t="shared" si="453"/>
        <v/>
      </c>
      <c r="AI31" s="311" t="str">
        <f t="shared" si="453"/>
        <v/>
      </c>
      <c r="AJ31" s="312" t="str">
        <f t="shared" si="453"/>
        <v/>
      </c>
      <c r="AK31" s="310" t="str">
        <f>IF(ISBLANK(J31),"",AN31-AH31)</f>
        <v/>
      </c>
      <c r="AL31" s="311" t="str">
        <f>IF(ISBLANK(K31),"",AO31-AI31)</f>
        <v/>
      </c>
      <c r="AM31" s="312" t="str">
        <f>IF(ISBLANK(L31),"",AP31-AJ31)</f>
        <v/>
      </c>
      <c r="AN31" s="310" t="str">
        <f>IF(ISBLANK(J31),"",AQ31-AB31)</f>
        <v/>
      </c>
      <c r="AO31" s="311" t="str">
        <f>IF(ISBLANK(K31),"",AR31-AC31)</f>
        <v/>
      </c>
      <c r="AP31" s="312" t="str">
        <f>IF(ISBLANK(L31),"",AS31-AD31)</f>
        <v/>
      </c>
      <c r="AQ31" s="310" t="str">
        <f>IF(Y31&lt;&gt;"",Y31*12,"")</f>
        <v/>
      </c>
      <c r="AR31" s="311" t="str">
        <f>IF(Z31&lt;&gt;"",Z31*12,"")</f>
        <v/>
      </c>
      <c r="AS31" s="312" t="str">
        <f>IF(AA31&lt;&gt;"",AA31*12,"")</f>
        <v/>
      </c>
      <c r="AT31" s="310" t="str">
        <f ca="1">IFERROR(G31*J31,"")</f>
        <v/>
      </c>
      <c r="AU31" s="311" t="str">
        <f ca="1">IFERROR(H31*K31,"")</f>
        <v/>
      </c>
      <c r="AV31" s="312" t="str">
        <f ca="1">IFERROR(I31*L31,"")</f>
        <v/>
      </c>
      <c r="AW31" s="310" t="str">
        <f ca="1">IFERROR(G31*M31,"")</f>
        <v/>
      </c>
      <c r="AX31" s="311" t="str">
        <f ca="1">IFERROR(H31*N31,"")</f>
        <v/>
      </c>
      <c r="AY31" s="312" t="str">
        <f ca="1">IFERROR(I31*O31,"")</f>
        <v/>
      </c>
      <c r="AZ31" s="310" t="str">
        <f ca="1">IFERROR(G31*P31,"")</f>
        <v/>
      </c>
      <c r="BA31" s="311" t="str">
        <f ca="1">IFERROR(H31*Q31,"")</f>
        <v/>
      </c>
      <c r="BB31" s="312" t="str">
        <f ca="1">IFERROR(I31*R31,"")</f>
        <v/>
      </c>
      <c r="BC31" s="310" t="str">
        <f>IF(ISBLANK(J31),"",BF31-AZ31)</f>
        <v/>
      </c>
      <c r="BD31" s="311" t="str">
        <f>IF(ISBLANK(K31),"",BG31-BA31)</f>
        <v/>
      </c>
      <c r="BE31" s="312" t="str">
        <f>IF(ISBLANK(L31),"",BH31-BB31)</f>
        <v/>
      </c>
      <c r="BF31" s="310" t="str">
        <f>IF(ISBLANK(J31),"",BI31-AT31)</f>
        <v/>
      </c>
      <c r="BG31" s="311" t="str">
        <f>IF(ISBLANK(K31),"",BJ31-AU31)</f>
        <v/>
      </c>
      <c r="BH31" s="312" t="str">
        <f>IF(ISBLANK(L31),"",BK31-AV31)</f>
        <v/>
      </c>
      <c r="BI31" s="310" t="str">
        <f ca="1">IFERROR(G31*Y31,"")</f>
        <v/>
      </c>
      <c r="BJ31" s="311" t="str">
        <f ca="1">IFERROR(H31*Z31,"")</f>
        <v/>
      </c>
      <c r="BK31" s="312" t="str">
        <f ca="1">IFERROR(I31*AA31,"")</f>
        <v/>
      </c>
      <c r="BL31" s="283"/>
      <c r="BM31" s="283"/>
    </row>
    <row r="32" spans="1:65" ht="4.7" customHeight="1">
      <c r="A32" s="672"/>
      <c r="B32" s="672"/>
      <c r="C32" s="649"/>
      <c r="D32" s="649"/>
      <c r="E32" s="650"/>
      <c r="F32" s="651"/>
      <c r="G32" s="651"/>
      <c r="H32" s="651"/>
      <c r="I32" s="651"/>
      <c r="J32" s="651"/>
      <c r="K32" s="651"/>
      <c r="L32" s="652"/>
      <c r="M32" s="652"/>
      <c r="N32" s="652"/>
      <c r="O32" s="652"/>
      <c r="P32" s="652"/>
      <c r="Q32" s="652"/>
      <c r="R32" s="652"/>
      <c r="S32" s="652"/>
      <c r="T32" s="652"/>
      <c r="U32" s="652"/>
      <c r="V32" s="652"/>
      <c r="W32" s="652"/>
      <c r="X32" s="652"/>
      <c r="Y32" s="652"/>
      <c r="Z32" s="319"/>
      <c r="AA32" s="319"/>
      <c r="AB32" s="319"/>
      <c r="AC32" s="319"/>
      <c r="AD32" s="319"/>
      <c r="AE32" s="319"/>
      <c r="AF32" s="319"/>
      <c r="AG32" s="319"/>
      <c r="AH32" s="319"/>
      <c r="AI32" s="319"/>
      <c r="AJ32" s="319"/>
      <c r="AK32" s="319"/>
      <c r="AL32" s="319"/>
      <c r="AM32" s="319"/>
      <c r="AN32" s="319"/>
      <c r="AO32" s="319"/>
      <c r="AP32" s="319"/>
      <c r="AQ32" s="319"/>
      <c r="AR32" s="319"/>
      <c r="AS32" s="319"/>
      <c r="AT32" s="319"/>
      <c r="AU32" s="319"/>
      <c r="AV32" s="319"/>
      <c r="AW32" s="319"/>
      <c r="AX32" s="319"/>
      <c r="AY32" s="319"/>
      <c r="AZ32" s="319"/>
      <c r="BA32" s="319"/>
      <c r="BB32" s="319"/>
      <c r="BC32" s="319"/>
      <c r="BD32" s="319"/>
      <c r="BE32" s="319"/>
      <c r="BF32" s="319"/>
      <c r="BG32" s="319"/>
      <c r="BH32" s="319"/>
      <c r="BI32" s="319"/>
      <c r="BJ32" s="319"/>
      <c r="BK32" s="319"/>
      <c r="BL32" s="283"/>
      <c r="BM32" s="283"/>
    </row>
    <row r="33" spans="1:65">
      <c r="A33" s="672"/>
      <c r="B33" s="672"/>
      <c r="C33" s="320"/>
      <c r="D33" s="321" t="s">
        <v>7854</v>
      </c>
      <c r="E33" s="322"/>
      <c r="F33" s="323"/>
      <c r="G33" s="283"/>
      <c r="H33" s="283"/>
      <c r="I33" s="283"/>
      <c r="J33" s="324">
        <f t="shared" ref="J33:AO33" si="454">SUM(J22:J31)</f>
        <v>0</v>
      </c>
      <c r="K33" s="325">
        <f t="shared" si="454"/>
        <v>0</v>
      </c>
      <c r="L33" s="326">
        <f t="shared" si="454"/>
        <v>0</v>
      </c>
      <c r="M33" s="324">
        <f t="shared" si="454"/>
        <v>0</v>
      </c>
      <c r="N33" s="325">
        <f t="shared" si="454"/>
        <v>0</v>
      </c>
      <c r="O33" s="326">
        <f t="shared" si="454"/>
        <v>0</v>
      </c>
      <c r="P33" s="324">
        <f t="shared" si="454"/>
        <v>0</v>
      </c>
      <c r="Q33" s="325">
        <f t="shared" si="454"/>
        <v>0</v>
      </c>
      <c r="R33" s="326">
        <f t="shared" si="454"/>
        <v>0</v>
      </c>
      <c r="S33" s="324">
        <f t="shared" si="454"/>
        <v>0</v>
      </c>
      <c r="T33" s="325">
        <f t="shared" si="454"/>
        <v>0</v>
      </c>
      <c r="U33" s="326">
        <f t="shared" si="454"/>
        <v>0</v>
      </c>
      <c r="V33" s="324">
        <f t="shared" si="454"/>
        <v>0</v>
      </c>
      <c r="W33" s="325">
        <f t="shared" si="454"/>
        <v>0</v>
      </c>
      <c r="X33" s="326">
        <f t="shared" si="454"/>
        <v>0</v>
      </c>
      <c r="Y33" s="329">
        <f t="shared" si="454"/>
        <v>0</v>
      </c>
      <c r="Z33" s="653">
        <f t="shared" si="454"/>
        <v>0</v>
      </c>
      <c r="AA33" s="326">
        <f t="shared" si="454"/>
        <v>0</v>
      </c>
      <c r="AB33" s="324">
        <f t="shared" si="454"/>
        <v>0</v>
      </c>
      <c r="AC33" s="325">
        <f t="shared" si="454"/>
        <v>0</v>
      </c>
      <c r="AD33" s="326">
        <f t="shared" si="454"/>
        <v>0</v>
      </c>
      <c r="AE33" s="324">
        <f t="shared" si="454"/>
        <v>0</v>
      </c>
      <c r="AF33" s="325">
        <f t="shared" si="454"/>
        <v>0</v>
      </c>
      <c r="AG33" s="326">
        <f t="shared" si="454"/>
        <v>0</v>
      </c>
      <c r="AH33" s="324">
        <f t="shared" si="454"/>
        <v>0</v>
      </c>
      <c r="AI33" s="325">
        <f t="shared" si="454"/>
        <v>0</v>
      </c>
      <c r="AJ33" s="326">
        <f t="shared" si="454"/>
        <v>0</v>
      </c>
      <c r="AK33" s="324">
        <f t="shared" si="454"/>
        <v>0</v>
      </c>
      <c r="AL33" s="325">
        <f t="shared" si="454"/>
        <v>0</v>
      </c>
      <c r="AM33" s="326">
        <f t="shared" si="454"/>
        <v>0</v>
      </c>
      <c r="AN33" s="324">
        <f t="shared" si="454"/>
        <v>0</v>
      </c>
      <c r="AO33" s="325">
        <f t="shared" si="454"/>
        <v>0</v>
      </c>
      <c r="AP33" s="326">
        <f t="shared" ref="AP33:BK33" si="455">SUM(AP22:AP31)</f>
        <v>0</v>
      </c>
      <c r="AQ33" s="324">
        <f t="shared" si="455"/>
        <v>0</v>
      </c>
      <c r="AR33" s="325">
        <f t="shared" si="455"/>
        <v>0</v>
      </c>
      <c r="AS33" s="326">
        <f t="shared" si="455"/>
        <v>0</v>
      </c>
      <c r="AT33" s="324">
        <f t="shared" ca="1" si="455"/>
        <v>0</v>
      </c>
      <c r="AU33" s="325">
        <f t="shared" ca="1" si="455"/>
        <v>0</v>
      </c>
      <c r="AV33" s="326">
        <f t="shared" ca="1" si="455"/>
        <v>0</v>
      </c>
      <c r="AW33" s="324">
        <f t="shared" ca="1" si="455"/>
        <v>0</v>
      </c>
      <c r="AX33" s="325">
        <f t="shared" ca="1" si="455"/>
        <v>0</v>
      </c>
      <c r="AY33" s="326">
        <f t="shared" ca="1" si="455"/>
        <v>0</v>
      </c>
      <c r="AZ33" s="324">
        <f t="shared" ca="1" si="455"/>
        <v>0</v>
      </c>
      <c r="BA33" s="325">
        <f t="shared" ca="1" si="455"/>
        <v>0</v>
      </c>
      <c r="BB33" s="326">
        <f t="shared" ca="1" si="455"/>
        <v>0</v>
      </c>
      <c r="BC33" s="324">
        <f t="shared" si="455"/>
        <v>0</v>
      </c>
      <c r="BD33" s="325">
        <f t="shared" si="455"/>
        <v>0</v>
      </c>
      <c r="BE33" s="326">
        <f t="shared" si="455"/>
        <v>0</v>
      </c>
      <c r="BF33" s="324">
        <f t="shared" si="455"/>
        <v>0</v>
      </c>
      <c r="BG33" s="325">
        <f t="shared" si="455"/>
        <v>0</v>
      </c>
      <c r="BH33" s="326">
        <f t="shared" si="455"/>
        <v>0</v>
      </c>
      <c r="BI33" s="324">
        <f t="shared" ca="1" si="455"/>
        <v>0</v>
      </c>
      <c r="BJ33" s="325">
        <f t="shared" ca="1" si="455"/>
        <v>0</v>
      </c>
      <c r="BK33" s="326">
        <f t="shared" ca="1" si="455"/>
        <v>0</v>
      </c>
      <c r="BL33" s="283"/>
      <c r="BM33" s="283"/>
    </row>
    <row r="34" spans="1:65" ht="4.7" customHeight="1">
      <c r="A34" s="671"/>
      <c r="B34" s="671"/>
      <c r="C34" s="283"/>
      <c r="D34" s="283"/>
      <c r="E34" s="283"/>
      <c r="F34" s="283"/>
      <c r="G34" s="283"/>
      <c r="H34" s="283"/>
      <c r="I34" s="283"/>
      <c r="J34" s="319"/>
      <c r="K34" s="319"/>
      <c r="L34" s="319"/>
      <c r="M34" s="319"/>
      <c r="N34" s="319"/>
      <c r="O34" s="319"/>
      <c r="P34" s="319"/>
      <c r="Q34" s="319"/>
      <c r="R34" s="319"/>
      <c r="S34" s="319"/>
      <c r="T34" s="319"/>
      <c r="U34" s="319"/>
      <c r="V34" s="319"/>
      <c r="W34" s="319"/>
      <c r="X34" s="319"/>
      <c r="Y34" s="319"/>
      <c r="Z34" s="319"/>
      <c r="AA34" s="319"/>
      <c r="AB34" s="319"/>
      <c r="AC34" s="319"/>
      <c r="AD34" s="319"/>
      <c r="AE34" s="319"/>
      <c r="AF34" s="319"/>
      <c r="AG34" s="319"/>
      <c r="AH34" s="319"/>
      <c r="AI34" s="319"/>
      <c r="AJ34" s="319"/>
      <c r="AK34" s="319"/>
      <c r="AL34" s="319"/>
      <c r="AM34" s="319"/>
      <c r="AN34" s="319"/>
      <c r="AO34" s="319"/>
      <c r="AP34" s="319"/>
      <c r="AQ34" s="319"/>
      <c r="AR34" s="319"/>
      <c r="AS34" s="319"/>
      <c r="AT34" s="319"/>
      <c r="AU34" s="319"/>
      <c r="AV34" s="319"/>
      <c r="AW34" s="319"/>
      <c r="AX34" s="319"/>
      <c r="AY34" s="319"/>
      <c r="AZ34" s="319"/>
      <c r="BA34" s="319"/>
      <c r="BB34" s="319"/>
      <c r="BC34" s="319"/>
      <c r="BD34" s="319"/>
      <c r="BE34" s="319"/>
      <c r="BF34" s="319"/>
      <c r="BG34" s="319"/>
      <c r="BH34" s="319"/>
      <c r="BI34" s="319"/>
      <c r="BJ34" s="319"/>
      <c r="BK34" s="319"/>
      <c r="BL34" s="283"/>
      <c r="BM34" s="283"/>
    </row>
    <row r="35" spans="1:65" ht="12.2" customHeight="1">
      <c r="A35" s="671"/>
      <c r="B35" s="671"/>
      <c r="C35" s="327" t="s">
        <v>9276</v>
      </c>
      <c r="D35" s="283"/>
      <c r="E35" s="283"/>
      <c r="F35" s="283"/>
      <c r="G35" s="283"/>
      <c r="H35" s="283"/>
      <c r="I35" s="283"/>
      <c r="J35" s="319"/>
      <c r="K35" s="319"/>
      <c r="L35" s="319"/>
      <c r="M35" s="319"/>
      <c r="N35" s="319"/>
      <c r="O35" s="319"/>
      <c r="P35" s="319"/>
      <c r="Q35" s="319"/>
      <c r="R35" s="319"/>
      <c r="S35" s="319"/>
      <c r="T35" s="319"/>
      <c r="U35" s="319"/>
      <c r="V35" s="319"/>
      <c r="W35" s="319"/>
      <c r="X35" s="319"/>
      <c r="Y35" s="319"/>
      <c r="Z35" s="319"/>
      <c r="AA35" s="319"/>
      <c r="AB35" s="319"/>
      <c r="AC35" s="319"/>
      <c r="AD35" s="319"/>
      <c r="AE35" s="319"/>
      <c r="AF35" s="319"/>
      <c r="AG35" s="319"/>
      <c r="AH35" s="319"/>
      <c r="AI35" s="319"/>
      <c r="AJ35" s="319"/>
      <c r="AK35" s="319"/>
      <c r="AL35" s="319"/>
      <c r="AM35" s="319"/>
      <c r="AN35" s="319"/>
      <c r="AO35" s="319"/>
      <c r="AP35" s="319"/>
      <c r="AQ35" s="319"/>
      <c r="AR35" s="319"/>
      <c r="AS35" s="319"/>
      <c r="AT35" s="319"/>
      <c r="AU35" s="319"/>
      <c r="AV35" s="319"/>
      <c r="AW35" s="319"/>
      <c r="AX35" s="319"/>
      <c r="AY35" s="319"/>
      <c r="AZ35" s="319"/>
      <c r="BA35" s="319"/>
      <c r="BB35" s="319"/>
      <c r="BC35" s="319"/>
      <c r="BD35" s="319"/>
      <c r="BE35" s="319"/>
      <c r="BF35" s="319"/>
      <c r="BG35" s="319"/>
      <c r="BH35" s="319"/>
      <c r="BI35" s="319"/>
      <c r="BJ35" s="319"/>
      <c r="BK35" s="319"/>
      <c r="BL35" s="283"/>
      <c r="BM35" s="283"/>
    </row>
    <row r="36" spans="1:65">
      <c r="A36" s="671">
        <v>21</v>
      </c>
      <c r="B36" s="671" t="str">
        <f t="shared" ref="B36:B39" si="456">IF(NOT(ISERROR(FIND("TELCO",UPPER(C36)))),"Telco",IF(NOT(ISERROR(FIND("MOBILITY",UPPER(C36)))),"Mob","LD"))</f>
        <v>LD</v>
      </c>
      <c r="C36" s="245"/>
      <c r="D36" s="245"/>
      <c r="E36" s="246"/>
      <c r="F36" s="247"/>
      <c r="G36" s="248"/>
      <c r="H36" s="249"/>
      <c r="I36" s="250"/>
      <c r="J36" s="251"/>
      <c r="K36" s="252"/>
      <c r="L36" s="253"/>
      <c r="M36" s="251"/>
      <c r="N36" s="252"/>
      <c r="O36" s="253"/>
      <c r="P36" s="304" t="str">
        <f>IF(J36&lt;&gt;"",M36-J36,"")</f>
        <v/>
      </c>
      <c r="Q36" s="305" t="str">
        <f t="shared" ref="Q36:Q39" si="457">IF(K36&lt;&gt;"",N36-K36,"")</f>
        <v/>
      </c>
      <c r="R36" s="306" t="str">
        <f t="shared" ref="R36:R39" si="458">IF(L36&lt;&gt;"",O36-L36,"")</f>
        <v/>
      </c>
      <c r="S36" s="251"/>
      <c r="T36" s="252"/>
      <c r="U36" s="253"/>
      <c r="V36" s="304" t="str">
        <f>IF(M36&lt;&gt;"",S36+P36,"")</f>
        <v/>
      </c>
      <c r="W36" s="305" t="str">
        <f t="shared" ref="W36:W39" si="459">IF(N36&lt;&gt;"",T36+Q36,"")</f>
        <v/>
      </c>
      <c r="X36" s="306" t="str">
        <f t="shared" ref="X36:X39" si="460">IF(O36&lt;&gt;"",U36+R36,"")</f>
        <v/>
      </c>
      <c r="Y36" s="304" t="str">
        <f>IF(M36&lt;&gt;"",M36+S36,"")</f>
        <v/>
      </c>
      <c r="Z36" s="305" t="str">
        <f t="shared" ref="Z36:Z39" si="461">IF(N36&lt;&gt;"",N36+T36,"")</f>
        <v/>
      </c>
      <c r="AA36" s="306" t="str">
        <f t="shared" ref="AA36:AA39" si="462">IF(O36&lt;&gt;"",O36+U36,"")</f>
        <v/>
      </c>
      <c r="AB36" s="304" t="str">
        <f t="shared" ref="AB36:AB39" si="463">IF(J36&lt;&gt;"",J36*12,"")</f>
        <v/>
      </c>
      <c r="AC36" s="305" t="str">
        <f t="shared" ref="AC36:AC39" si="464">IF(K36&lt;&gt;"",K36*12,"")</f>
        <v/>
      </c>
      <c r="AD36" s="306" t="str">
        <f t="shared" ref="AD36:AD39" si="465">IF(L36&lt;&gt;"",L36*12,"")</f>
        <v/>
      </c>
      <c r="AE36" s="304" t="str">
        <f t="shared" ref="AE36:AE39" si="466">IF(M36&lt;&gt;"",M36*12,"")</f>
        <v/>
      </c>
      <c r="AF36" s="305" t="str">
        <f t="shared" ref="AF36:AF39" si="467">IF(N36&lt;&gt;"",N36*12,"")</f>
        <v/>
      </c>
      <c r="AG36" s="306" t="str">
        <f t="shared" ref="AG36:AG39" si="468">IF(O36&lt;&gt;"",O36*12,"")</f>
        <v/>
      </c>
      <c r="AH36" s="304" t="str">
        <f t="shared" ref="AH36:AH39" si="469">IF(P36&lt;&gt;"",P36*12,"")</f>
        <v/>
      </c>
      <c r="AI36" s="305" t="str">
        <f t="shared" ref="AI36:AI39" si="470">IF(Q36&lt;&gt;"",Q36*12,"")</f>
        <v/>
      </c>
      <c r="AJ36" s="306" t="str">
        <f t="shared" ref="AJ36:AJ39" si="471">IF(R36&lt;&gt;"",R36*12,"")</f>
        <v/>
      </c>
      <c r="AK36" s="304" t="str">
        <f t="shared" ref="AK36:AK39" si="472">IF(ISBLANK(J36),"",AN36-AH36)</f>
        <v/>
      </c>
      <c r="AL36" s="305" t="str">
        <f t="shared" ref="AL36:AL39" si="473">IF(ISBLANK(K36),"",AO36-AI36)</f>
        <v/>
      </c>
      <c r="AM36" s="306" t="str">
        <f t="shared" ref="AM36:AM39" si="474">IF(ISBLANK(L36),"",AP36-AJ36)</f>
        <v/>
      </c>
      <c r="AN36" s="304" t="str">
        <f t="shared" ref="AN36:AN39" si="475">IF(ISBLANK(J36),"",AQ36-AB36)</f>
        <v/>
      </c>
      <c r="AO36" s="305" t="str">
        <f t="shared" ref="AO36:AO39" si="476">IF(ISBLANK(K36),"",AR36-AC36)</f>
        <v/>
      </c>
      <c r="AP36" s="306" t="str">
        <f t="shared" ref="AP36:AP39" si="477">IF(ISBLANK(L36),"",AS36-AD36)</f>
        <v/>
      </c>
      <c r="AQ36" s="304" t="str">
        <f t="shared" ref="AQ36:AQ39" si="478">IF(Y36&lt;&gt;"",Y36*12,"")</f>
        <v/>
      </c>
      <c r="AR36" s="305" t="str">
        <f t="shared" ref="AR36:AR39" si="479">IF(Z36&lt;&gt;"",Z36*12,"")</f>
        <v/>
      </c>
      <c r="AS36" s="306" t="str">
        <f t="shared" ref="AS36:AS39" si="480">IF(AA36&lt;&gt;"",AA36*12,"")</f>
        <v/>
      </c>
      <c r="AT36" s="304" t="str">
        <f>IF(G36="","",G36*J36)</f>
        <v/>
      </c>
      <c r="AU36" s="305" t="str">
        <f t="shared" ref="AU36:AU39" si="481">IF(H36="","",H36*K36)</f>
        <v/>
      </c>
      <c r="AV36" s="306" t="str">
        <f t="shared" ref="AV36:AV39" si="482">IF(I36="","",I36*L36)</f>
        <v/>
      </c>
      <c r="AW36" s="304" t="str">
        <f>IF(G36&lt;&gt;"",G36*M36,"")</f>
        <v/>
      </c>
      <c r="AX36" s="305" t="str">
        <f t="shared" ref="AX36:AX39" si="483">IF(H36&lt;&gt;"",H36*N36,"")</f>
        <v/>
      </c>
      <c r="AY36" s="306" t="str">
        <f t="shared" ref="AY36:AY39" si="484">IF(I36&lt;&gt;"",I36*O36,"")</f>
        <v/>
      </c>
      <c r="AZ36" s="304" t="str">
        <f t="shared" ref="AZ36:AZ39" si="485">IFERROR(G36*P36,"")</f>
        <v/>
      </c>
      <c r="BA36" s="305" t="str">
        <f t="shared" ref="BA36:BA39" si="486">IFERROR(H36*Q36,"")</f>
        <v/>
      </c>
      <c r="BB36" s="306" t="str">
        <f t="shared" ref="BB36:BB39" si="487">IFERROR(I36*R36,"")</f>
        <v/>
      </c>
      <c r="BC36" s="304" t="str">
        <f t="shared" ref="BC36:BC39" si="488">IF(ISBLANK(J36),"",BF36-AZ36)</f>
        <v/>
      </c>
      <c r="BD36" s="305" t="str">
        <f t="shared" ref="BD36:BD39" si="489">IF(ISBLANK(K36),"",BG36-BA36)</f>
        <v/>
      </c>
      <c r="BE36" s="306" t="str">
        <f t="shared" ref="BE36:BE39" si="490">IF(ISBLANK(L36),"",BH36-BB36)</f>
        <v/>
      </c>
      <c r="BF36" s="304" t="str">
        <f t="shared" ref="BF36:BF39" si="491">IF(ISBLANK(J36),"",BI36-AT36)</f>
        <v/>
      </c>
      <c r="BG36" s="305" t="str">
        <f t="shared" ref="BG36:BG39" si="492">IF(ISBLANK(K36),"",BJ36-AU36)</f>
        <v/>
      </c>
      <c r="BH36" s="306" t="str">
        <f t="shared" ref="BH36:BH39" si="493">IF(ISBLANK(L36),"",BK36-AV36)</f>
        <v/>
      </c>
      <c r="BI36" s="304" t="str">
        <f t="shared" ref="BI36:BI39" si="494">IFERROR(G36*Y36,"")</f>
        <v/>
      </c>
      <c r="BJ36" s="305" t="str">
        <f t="shared" ref="BJ36:BJ39" si="495">IFERROR(H36*Z36,"")</f>
        <v/>
      </c>
      <c r="BK36" s="306" t="str">
        <f t="shared" ref="BK36:BK39" si="496">IFERROR(I36*AA36,"")</f>
        <v/>
      </c>
      <c r="BL36" s="283"/>
      <c r="BM36" s="283"/>
    </row>
    <row r="37" spans="1:65">
      <c r="A37" s="671">
        <v>22</v>
      </c>
      <c r="B37" s="671" t="str">
        <f t="shared" si="456"/>
        <v>LD</v>
      </c>
      <c r="C37" s="254"/>
      <c r="D37" s="254"/>
      <c r="E37" s="255"/>
      <c r="F37" s="256"/>
      <c r="G37" s="257"/>
      <c r="H37" s="258"/>
      <c r="I37" s="259"/>
      <c r="J37" s="260"/>
      <c r="K37" s="261"/>
      <c r="L37" s="262"/>
      <c r="M37" s="260"/>
      <c r="N37" s="261"/>
      <c r="O37" s="262"/>
      <c r="P37" s="310" t="str">
        <f t="shared" ref="P37:P39" si="497">IF(J37&lt;&gt;"",M37-J37,"")</f>
        <v/>
      </c>
      <c r="Q37" s="311" t="str">
        <f t="shared" si="457"/>
        <v/>
      </c>
      <c r="R37" s="312" t="str">
        <f t="shared" si="458"/>
        <v/>
      </c>
      <c r="S37" s="260"/>
      <c r="T37" s="261"/>
      <c r="U37" s="262"/>
      <c r="V37" s="310" t="str">
        <f t="shared" ref="V37:V39" si="498">IF(M37&lt;&gt;"",S37+P37,"")</f>
        <v/>
      </c>
      <c r="W37" s="311" t="str">
        <f t="shared" si="459"/>
        <v/>
      </c>
      <c r="X37" s="312" t="str">
        <f t="shared" si="460"/>
        <v/>
      </c>
      <c r="Y37" s="310" t="str">
        <f t="shared" ref="Y37:Y39" si="499">IF(M37&lt;&gt;"",M37+S37,"")</f>
        <v/>
      </c>
      <c r="Z37" s="311" t="str">
        <f t="shared" si="461"/>
        <v/>
      </c>
      <c r="AA37" s="312" t="str">
        <f t="shared" si="462"/>
        <v/>
      </c>
      <c r="AB37" s="310" t="str">
        <f t="shared" si="463"/>
        <v/>
      </c>
      <c r="AC37" s="311" t="str">
        <f t="shared" si="464"/>
        <v/>
      </c>
      <c r="AD37" s="312" t="str">
        <f t="shared" si="465"/>
        <v/>
      </c>
      <c r="AE37" s="310" t="str">
        <f t="shared" si="466"/>
        <v/>
      </c>
      <c r="AF37" s="311" t="str">
        <f t="shared" si="467"/>
        <v/>
      </c>
      <c r="AG37" s="312" t="str">
        <f t="shared" si="468"/>
        <v/>
      </c>
      <c r="AH37" s="310" t="str">
        <f t="shared" si="469"/>
        <v/>
      </c>
      <c r="AI37" s="311" t="str">
        <f t="shared" si="470"/>
        <v/>
      </c>
      <c r="AJ37" s="312" t="str">
        <f t="shared" si="471"/>
        <v/>
      </c>
      <c r="AK37" s="310" t="str">
        <f t="shared" si="472"/>
        <v/>
      </c>
      <c r="AL37" s="311" t="str">
        <f t="shared" si="473"/>
        <v/>
      </c>
      <c r="AM37" s="312" t="str">
        <f t="shared" si="474"/>
        <v/>
      </c>
      <c r="AN37" s="310" t="str">
        <f t="shared" si="475"/>
        <v/>
      </c>
      <c r="AO37" s="311" t="str">
        <f t="shared" si="476"/>
        <v/>
      </c>
      <c r="AP37" s="312" t="str">
        <f t="shared" si="477"/>
        <v/>
      </c>
      <c r="AQ37" s="310" t="str">
        <f t="shared" si="478"/>
        <v/>
      </c>
      <c r="AR37" s="311" t="str">
        <f t="shared" si="479"/>
        <v/>
      </c>
      <c r="AS37" s="312" t="str">
        <f t="shared" si="480"/>
        <v/>
      </c>
      <c r="AT37" s="310" t="str">
        <f t="shared" ref="AT37:AT39" si="500">IF(G37="","",G37*J37)</f>
        <v/>
      </c>
      <c r="AU37" s="311" t="str">
        <f t="shared" si="481"/>
        <v/>
      </c>
      <c r="AV37" s="312" t="str">
        <f t="shared" si="482"/>
        <v/>
      </c>
      <c r="AW37" s="310" t="str">
        <f t="shared" ref="AW37:AW39" si="501">IF(G37&lt;&gt;"",G37*M37,"")</f>
        <v/>
      </c>
      <c r="AX37" s="311" t="str">
        <f t="shared" si="483"/>
        <v/>
      </c>
      <c r="AY37" s="312" t="str">
        <f t="shared" si="484"/>
        <v/>
      </c>
      <c r="AZ37" s="310" t="str">
        <f t="shared" si="485"/>
        <v/>
      </c>
      <c r="BA37" s="311" t="str">
        <f t="shared" si="486"/>
        <v/>
      </c>
      <c r="BB37" s="312" t="str">
        <f t="shared" si="487"/>
        <v/>
      </c>
      <c r="BC37" s="310" t="str">
        <f t="shared" si="488"/>
        <v/>
      </c>
      <c r="BD37" s="311" t="str">
        <f t="shared" si="489"/>
        <v/>
      </c>
      <c r="BE37" s="312" t="str">
        <f t="shared" si="490"/>
        <v/>
      </c>
      <c r="BF37" s="310" t="str">
        <f t="shared" si="491"/>
        <v/>
      </c>
      <c r="BG37" s="311" t="str">
        <f t="shared" si="492"/>
        <v/>
      </c>
      <c r="BH37" s="312" t="str">
        <f t="shared" si="493"/>
        <v/>
      </c>
      <c r="BI37" s="310" t="str">
        <f t="shared" si="494"/>
        <v/>
      </c>
      <c r="BJ37" s="311" t="str">
        <f t="shared" si="495"/>
        <v/>
      </c>
      <c r="BK37" s="312" t="str">
        <f t="shared" si="496"/>
        <v/>
      </c>
      <c r="BL37" s="283"/>
      <c r="BM37" s="283"/>
    </row>
    <row r="38" spans="1:65">
      <c r="A38" s="671">
        <v>23</v>
      </c>
      <c r="B38" s="671" t="str">
        <f t="shared" si="456"/>
        <v>LD</v>
      </c>
      <c r="C38" s="254"/>
      <c r="D38" s="254"/>
      <c r="E38" s="255"/>
      <c r="F38" s="256"/>
      <c r="G38" s="257"/>
      <c r="H38" s="258"/>
      <c r="I38" s="259"/>
      <c r="J38" s="260"/>
      <c r="K38" s="261"/>
      <c r="L38" s="262"/>
      <c r="M38" s="260"/>
      <c r="N38" s="261"/>
      <c r="O38" s="262"/>
      <c r="P38" s="310" t="str">
        <f t="shared" si="497"/>
        <v/>
      </c>
      <c r="Q38" s="311" t="str">
        <f t="shared" si="457"/>
        <v/>
      </c>
      <c r="R38" s="312" t="str">
        <f t="shared" si="458"/>
        <v/>
      </c>
      <c r="S38" s="260"/>
      <c r="T38" s="261"/>
      <c r="U38" s="262"/>
      <c r="V38" s="310" t="str">
        <f t="shared" si="498"/>
        <v/>
      </c>
      <c r="W38" s="311" t="str">
        <f t="shared" si="459"/>
        <v/>
      </c>
      <c r="X38" s="312" t="str">
        <f t="shared" si="460"/>
        <v/>
      </c>
      <c r="Y38" s="310" t="str">
        <f t="shared" si="499"/>
        <v/>
      </c>
      <c r="Z38" s="311" t="str">
        <f t="shared" si="461"/>
        <v/>
      </c>
      <c r="AA38" s="312" t="str">
        <f t="shared" si="462"/>
        <v/>
      </c>
      <c r="AB38" s="310" t="str">
        <f t="shared" si="463"/>
        <v/>
      </c>
      <c r="AC38" s="311" t="str">
        <f t="shared" si="464"/>
        <v/>
      </c>
      <c r="AD38" s="312" t="str">
        <f t="shared" si="465"/>
        <v/>
      </c>
      <c r="AE38" s="310" t="str">
        <f t="shared" si="466"/>
        <v/>
      </c>
      <c r="AF38" s="311" t="str">
        <f t="shared" si="467"/>
        <v/>
      </c>
      <c r="AG38" s="312" t="str">
        <f t="shared" si="468"/>
        <v/>
      </c>
      <c r="AH38" s="310" t="str">
        <f t="shared" si="469"/>
        <v/>
      </c>
      <c r="AI38" s="311" t="str">
        <f t="shared" si="470"/>
        <v/>
      </c>
      <c r="AJ38" s="312" t="str">
        <f t="shared" si="471"/>
        <v/>
      </c>
      <c r="AK38" s="310" t="str">
        <f t="shared" si="472"/>
        <v/>
      </c>
      <c r="AL38" s="311" t="str">
        <f t="shared" si="473"/>
        <v/>
      </c>
      <c r="AM38" s="312" t="str">
        <f t="shared" si="474"/>
        <v/>
      </c>
      <c r="AN38" s="310" t="str">
        <f t="shared" si="475"/>
        <v/>
      </c>
      <c r="AO38" s="311" t="str">
        <f t="shared" si="476"/>
        <v/>
      </c>
      <c r="AP38" s="312" t="str">
        <f t="shared" si="477"/>
        <v/>
      </c>
      <c r="AQ38" s="310" t="str">
        <f t="shared" si="478"/>
        <v/>
      </c>
      <c r="AR38" s="311" t="str">
        <f t="shared" si="479"/>
        <v/>
      </c>
      <c r="AS38" s="312" t="str">
        <f t="shared" si="480"/>
        <v/>
      </c>
      <c r="AT38" s="310" t="str">
        <f t="shared" si="500"/>
        <v/>
      </c>
      <c r="AU38" s="311" t="str">
        <f t="shared" si="481"/>
        <v/>
      </c>
      <c r="AV38" s="312" t="str">
        <f t="shared" si="482"/>
        <v/>
      </c>
      <c r="AW38" s="310" t="str">
        <f t="shared" si="501"/>
        <v/>
      </c>
      <c r="AX38" s="311" t="str">
        <f t="shared" si="483"/>
        <v/>
      </c>
      <c r="AY38" s="312" t="str">
        <f t="shared" si="484"/>
        <v/>
      </c>
      <c r="AZ38" s="310" t="str">
        <f t="shared" si="485"/>
        <v/>
      </c>
      <c r="BA38" s="311" t="str">
        <f t="shared" si="486"/>
        <v/>
      </c>
      <c r="BB38" s="312" t="str">
        <f t="shared" si="487"/>
        <v/>
      </c>
      <c r="BC38" s="310" t="str">
        <f t="shared" si="488"/>
        <v/>
      </c>
      <c r="BD38" s="311" t="str">
        <f t="shared" si="489"/>
        <v/>
      </c>
      <c r="BE38" s="312" t="str">
        <f t="shared" si="490"/>
        <v/>
      </c>
      <c r="BF38" s="310" t="str">
        <f t="shared" si="491"/>
        <v/>
      </c>
      <c r="BG38" s="311" t="str">
        <f t="shared" si="492"/>
        <v/>
      </c>
      <c r="BH38" s="312" t="str">
        <f t="shared" si="493"/>
        <v/>
      </c>
      <c r="BI38" s="310" t="str">
        <f t="shared" si="494"/>
        <v/>
      </c>
      <c r="BJ38" s="311" t="str">
        <f t="shared" si="495"/>
        <v/>
      </c>
      <c r="BK38" s="312" t="str">
        <f t="shared" si="496"/>
        <v/>
      </c>
      <c r="BL38" s="283"/>
      <c r="BM38" s="283"/>
    </row>
    <row r="39" spans="1:65">
      <c r="A39" s="671">
        <v>24</v>
      </c>
      <c r="B39" s="671" t="str">
        <f t="shared" si="456"/>
        <v>LD</v>
      </c>
      <c r="C39" s="263"/>
      <c r="D39" s="263"/>
      <c r="E39" s="264"/>
      <c r="F39" s="265"/>
      <c r="G39" s="266"/>
      <c r="H39" s="267"/>
      <c r="I39" s="268"/>
      <c r="J39" s="269"/>
      <c r="K39" s="270"/>
      <c r="L39" s="271"/>
      <c r="M39" s="269"/>
      <c r="N39" s="270"/>
      <c r="O39" s="271"/>
      <c r="P39" s="313" t="str">
        <f t="shared" si="497"/>
        <v/>
      </c>
      <c r="Q39" s="314" t="str">
        <f t="shared" si="457"/>
        <v/>
      </c>
      <c r="R39" s="315" t="str">
        <f t="shared" si="458"/>
        <v/>
      </c>
      <c r="S39" s="269"/>
      <c r="T39" s="270"/>
      <c r="U39" s="271"/>
      <c r="V39" s="313" t="str">
        <f t="shared" si="498"/>
        <v/>
      </c>
      <c r="W39" s="314" t="str">
        <f t="shared" si="459"/>
        <v/>
      </c>
      <c r="X39" s="315" t="str">
        <f t="shared" si="460"/>
        <v/>
      </c>
      <c r="Y39" s="313" t="str">
        <f t="shared" si="499"/>
        <v/>
      </c>
      <c r="Z39" s="314" t="str">
        <f t="shared" si="461"/>
        <v/>
      </c>
      <c r="AA39" s="315" t="str">
        <f t="shared" si="462"/>
        <v/>
      </c>
      <c r="AB39" s="313" t="str">
        <f t="shared" si="463"/>
        <v/>
      </c>
      <c r="AC39" s="314" t="str">
        <f t="shared" si="464"/>
        <v/>
      </c>
      <c r="AD39" s="315" t="str">
        <f t="shared" si="465"/>
        <v/>
      </c>
      <c r="AE39" s="313" t="str">
        <f t="shared" si="466"/>
        <v/>
      </c>
      <c r="AF39" s="314" t="str">
        <f t="shared" si="467"/>
        <v/>
      </c>
      <c r="AG39" s="315" t="str">
        <f t="shared" si="468"/>
        <v/>
      </c>
      <c r="AH39" s="313" t="str">
        <f t="shared" si="469"/>
        <v/>
      </c>
      <c r="AI39" s="314" t="str">
        <f t="shared" si="470"/>
        <v/>
      </c>
      <c r="AJ39" s="315" t="str">
        <f t="shared" si="471"/>
        <v/>
      </c>
      <c r="AK39" s="313" t="str">
        <f t="shared" si="472"/>
        <v/>
      </c>
      <c r="AL39" s="314" t="str">
        <f t="shared" si="473"/>
        <v/>
      </c>
      <c r="AM39" s="315" t="str">
        <f t="shared" si="474"/>
        <v/>
      </c>
      <c r="AN39" s="313" t="str">
        <f t="shared" si="475"/>
        <v/>
      </c>
      <c r="AO39" s="314" t="str">
        <f t="shared" si="476"/>
        <v/>
      </c>
      <c r="AP39" s="315" t="str">
        <f t="shared" si="477"/>
        <v/>
      </c>
      <c r="AQ39" s="313" t="str">
        <f t="shared" si="478"/>
        <v/>
      </c>
      <c r="AR39" s="314" t="str">
        <f t="shared" si="479"/>
        <v/>
      </c>
      <c r="AS39" s="315" t="str">
        <f t="shared" si="480"/>
        <v/>
      </c>
      <c r="AT39" s="313" t="str">
        <f t="shared" si="500"/>
        <v/>
      </c>
      <c r="AU39" s="314" t="str">
        <f t="shared" si="481"/>
        <v/>
      </c>
      <c r="AV39" s="315" t="str">
        <f t="shared" si="482"/>
        <v/>
      </c>
      <c r="AW39" s="313" t="str">
        <f t="shared" si="501"/>
        <v/>
      </c>
      <c r="AX39" s="314" t="str">
        <f t="shared" si="483"/>
        <v/>
      </c>
      <c r="AY39" s="315" t="str">
        <f t="shared" si="484"/>
        <v/>
      </c>
      <c r="AZ39" s="313" t="str">
        <f t="shared" si="485"/>
        <v/>
      </c>
      <c r="BA39" s="314" t="str">
        <f t="shared" si="486"/>
        <v/>
      </c>
      <c r="BB39" s="315" t="str">
        <f t="shared" si="487"/>
        <v/>
      </c>
      <c r="BC39" s="313" t="str">
        <f t="shared" si="488"/>
        <v/>
      </c>
      <c r="BD39" s="314" t="str">
        <f t="shared" si="489"/>
        <v/>
      </c>
      <c r="BE39" s="315" t="str">
        <f t="shared" si="490"/>
        <v/>
      </c>
      <c r="BF39" s="313" t="str">
        <f t="shared" si="491"/>
        <v/>
      </c>
      <c r="BG39" s="314" t="str">
        <f t="shared" si="492"/>
        <v/>
      </c>
      <c r="BH39" s="315" t="str">
        <f t="shared" si="493"/>
        <v/>
      </c>
      <c r="BI39" s="313" t="str">
        <f t="shared" si="494"/>
        <v/>
      </c>
      <c r="BJ39" s="314" t="str">
        <f t="shared" si="495"/>
        <v/>
      </c>
      <c r="BK39" s="315" t="str">
        <f t="shared" si="496"/>
        <v/>
      </c>
      <c r="BL39" s="283"/>
      <c r="BM39" s="283"/>
    </row>
    <row r="40" spans="1:65">
      <c r="A40" s="295"/>
      <c r="B40" s="295"/>
      <c r="C40" s="316"/>
      <c r="D40" s="316"/>
      <c r="E40" s="317"/>
      <c r="F40" s="318"/>
      <c r="G40" s="318"/>
      <c r="H40" s="318"/>
      <c r="I40" s="318"/>
      <c r="J40" s="318"/>
      <c r="K40" s="318"/>
      <c r="L40" s="319"/>
      <c r="M40" s="319"/>
      <c r="N40" s="319"/>
      <c r="O40" s="319"/>
      <c r="P40" s="319"/>
      <c r="Q40" s="319"/>
      <c r="R40" s="319"/>
      <c r="S40" s="319"/>
      <c r="T40" s="319"/>
      <c r="U40" s="319"/>
      <c r="V40" s="319"/>
      <c r="W40" s="319"/>
      <c r="X40" s="319"/>
      <c r="Y40" s="319"/>
      <c r="Z40" s="319"/>
      <c r="AA40" s="319"/>
      <c r="AB40" s="319"/>
      <c r="AC40" s="319"/>
      <c r="AD40" s="319"/>
      <c r="AE40" s="319"/>
      <c r="AF40" s="319"/>
      <c r="AG40" s="319"/>
      <c r="AH40" s="319"/>
      <c r="AI40" s="319"/>
      <c r="AJ40" s="319"/>
      <c r="AK40" s="319"/>
      <c r="AL40" s="319"/>
      <c r="AM40" s="319"/>
      <c r="AN40" s="319"/>
      <c r="AO40" s="319"/>
      <c r="AP40" s="319"/>
      <c r="AQ40" s="319"/>
      <c r="AR40" s="319"/>
      <c r="AS40" s="319"/>
      <c r="AT40" s="319"/>
      <c r="AU40" s="319"/>
      <c r="AV40" s="319"/>
      <c r="AW40" s="319"/>
      <c r="AX40" s="319"/>
      <c r="AY40" s="319"/>
      <c r="AZ40" s="319"/>
      <c r="BA40" s="319"/>
      <c r="BB40" s="319"/>
      <c r="BC40" s="319"/>
      <c r="BD40" s="319"/>
      <c r="BE40" s="319"/>
      <c r="BF40" s="319"/>
      <c r="BG40" s="319"/>
      <c r="BH40" s="319"/>
      <c r="BI40" s="319"/>
      <c r="BJ40" s="319"/>
      <c r="BK40" s="319"/>
      <c r="BL40" s="283"/>
      <c r="BM40" s="283"/>
    </row>
    <row r="41" spans="1:65">
      <c r="A41" s="295"/>
      <c r="B41" s="295"/>
      <c r="C41" s="283"/>
      <c r="D41" s="283"/>
      <c r="E41" s="283"/>
      <c r="F41" s="283"/>
      <c r="G41" s="185" t="s">
        <v>7796</v>
      </c>
      <c r="H41" s="186"/>
      <c r="I41" s="187"/>
      <c r="J41" s="328"/>
      <c r="K41" s="328"/>
      <c r="L41" s="328"/>
      <c r="M41" s="328"/>
      <c r="N41" s="328"/>
      <c r="O41" s="328"/>
      <c r="P41" s="328"/>
      <c r="Q41" s="328"/>
      <c r="R41" s="328"/>
      <c r="S41" s="328"/>
      <c r="T41" s="328"/>
      <c r="U41" s="328"/>
      <c r="V41" s="328"/>
      <c r="W41" s="328"/>
      <c r="X41" s="328"/>
      <c r="Y41" s="328"/>
      <c r="Z41" s="328"/>
      <c r="AA41" s="328"/>
      <c r="AB41" s="328"/>
      <c r="AC41" s="328"/>
      <c r="AD41" s="328"/>
      <c r="AE41" s="328"/>
      <c r="AF41" s="328"/>
      <c r="AG41" s="328"/>
      <c r="AH41" s="328"/>
      <c r="AI41" s="328"/>
      <c r="AJ41" s="328"/>
      <c r="AK41" s="328"/>
      <c r="AL41" s="328"/>
      <c r="AM41" s="328"/>
      <c r="AN41" s="328"/>
      <c r="AO41" s="328"/>
      <c r="AP41" s="328"/>
      <c r="AQ41" s="328"/>
      <c r="AR41" s="328"/>
      <c r="AS41" s="328"/>
      <c r="AT41" s="328"/>
      <c r="AU41" s="328"/>
      <c r="AV41" s="328"/>
      <c r="AW41" s="328"/>
      <c r="AX41" s="328"/>
      <c r="AY41" s="328"/>
      <c r="AZ41" s="328"/>
      <c r="BA41" s="328"/>
      <c r="BB41" s="328"/>
      <c r="BC41" s="328"/>
      <c r="BD41" s="328"/>
      <c r="BE41" s="328"/>
      <c r="BF41" s="328"/>
      <c r="BG41" s="328"/>
      <c r="BH41" s="328"/>
      <c r="BI41" s="328"/>
      <c r="BJ41" s="328"/>
      <c r="BK41" s="328"/>
      <c r="BL41" s="283"/>
      <c r="BM41" s="283"/>
    </row>
    <row r="42" spans="1:65">
      <c r="A42" s="295"/>
      <c r="B42" s="295"/>
      <c r="C42" s="320"/>
      <c r="D42" s="321" t="s">
        <v>7974</v>
      </c>
      <c r="E42" s="322"/>
      <c r="F42" s="323"/>
      <c r="G42" s="189"/>
      <c r="H42" s="190"/>
      <c r="I42" s="191"/>
      <c r="J42" s="272"/>
      <c r="K42" s="273"/>
      <c r="L42" s="274"/>
      <c r="M42" s="324">
        <f>J42</f>
        <v>0</v>
      </c>
      <c r="N42" s="325">
        <f>K42</f>
        <v>0</v>
      </c>
      <c r="O42" s="326">
        <f>L42</f>
        <v>0</v>
      </c>
      <c r="P42" s="328"/>
      <c r="Q42" s="328"/>
      <c r="R42" s="328"/>
      <c r="S42" s="328"/>
      <c r="T42" s="328"/>
      <c r="U42" s="328"/>
      <c r="V42" s="328"/>
      <c r="W42" s="328"/>
      <c r="X42" s="328"/>
      <c r="Y42" s="324">
        <f>M42</f>
        <v>0</v>
      </c>
      <c r="Z42" s="325">
        <f t="shared" ref="Z42:AA42" si="502">N42</f>
        <v>0</v>
      </c>
      <c r="AA42" s="326">
        <f t="shared" si="502"/>
        <v>0</v>
      </c>
      <c r="AB42" s="324">
        <f>J42*12</f>
        <v>0</v>
      </c>
      <c r="AC42" s="325">
        <f>K42*12</f>
        <v>0</v>
      </c>
      <c r="AD42" s="326">
        <f>L42*12</f>
        <v>0</v>
      </c>
      <c r="AE42" s="324">
        <f>AB42</f>
        <v>0</v>
      </c>
      <c r="AF42" s="325">
        <f>AC42</f>
        <v>0</v>
      </c>
      <c r="AG42" s="326">
        <f>AD42</f>
        <v>0</v>
      </c>
      <c r="AH42" s="328"/>
      <c r="AI42" s="328"/>
      <c r="AJ42" s="328"/>
      <c r="AK42" s="328"/>
      <c r="AL42" s="328"/>
      <c r="AM42" s="328"/>
      <c r="AN42" s="328"/>
      <c r="AO42" s="328"/>
      <c r="AP42" s="328"/>
      <c r="AQ42" s="324">
        <f>AE42</f>
        <v>0</v>
      </c>
      <c r="AR42" s="325">
        <f t="shared" ref="AR42" si="503">AF42</f>
        <v>0</v>
      </c>
      <c r="AS42" s="326">
        <f t="shared" ref="AS42" si="504">AG42</f>
        <v>0</v>
      </c>
      <c r="AT42" s="329">
        <f>G42*J42</f>
        <v>0</v>
      </c>
      <c r="AU42" s="329">
        <f>H42*K42</f>
        <v>0</v>
      </c>
      <c r="AV42" s="329">
        <f>I42*L42</f>
        <v>0</v>
      </c>
      <c r="AW42" s="324">
        <f>AT42</f>
        <v>0</v>
      </c>
      <c r="AX42" s="325">
        <f>AU42</f>
        <v>0</v>
      </c>
      <c r="AY42" s="326">
        <f>AV42</f>
        <v>0</v>
      </c>
      <c r="AZ42" s="328"/>
      <c r="BA42" s="328"/>
      <c r="BB42" s="328"/>
      <c r="BC42" s="328"/>
      <c r="BD42" s="328"/>
      <c r="BE42" s="328"/>
      <c r="BF42" s="328"/>
      <c r="BG42" s="328"/>
      <c r="BH42" s="328"/>
      <c r="BI42" s="324">
        <f>AW42</f>
        <v>0</v>
      </c>
      <c r="BJ42" s="325">
        <f t="shared" ref="BJ42" si="505">AX42</f>
        <v>0</v>
      </c>
      <c r="BK42" s="326">
        <f t="shared" ref="BK42" si="506">AY42</f>
        <v>0</v>
      </c>
      <c r="BL42" s="283"/>
      <c r="BM42" s="283"/>
    </row>
    <row r="43" spans="1:65" s="167" customFormat="1">
      <c r="A43" s="295"/>
      <c r="B43" s="295"/>
      <c r="C43" s="406"/>
      <c r="D43" s="407" t="s">
        <v>7918</v>
      </c>
      <c r="E43" s="408"/>
      <c r="F43" s="409"/>
      <c r="G43" s="328"/>
      <c r="H43" s="328"/>
      <c r="I43" s="328"/>
      <c r="J43" s="324">
        <f>SUMIF('Step 1'!$E$42:$E$51,"Annual",'Step 1'!$P$42:$P$51)</f>
        <v>0</v>
      </c>
      <c r="K43" s="325">
        <f>IF('Step 1'!V52&gt;0,J43,0)</f>
        <v>0</v>
      </c>
      <c r="L43" s="326">
        <f>IF('Step 1'!W52&gt;0,K43,0)</f>
        <v>0</v>
      </c>
      <c r="M43" s="324">
        <f>J43</f>
        <v>0</v>
      </c>
      <c r="N43" s="325">
        <f>IF('Step 1'!V52&gt;0,J43,0)</f>
        <v>0</v>
      </c>
      <c r="O43" s="326">
        <f>IF('Step 1'!W52&gt;0,K43,0)</f>
        <v>0</v>
      </c>
      <c r="P43" s="328"/>
      <c r="Q43" s="328"/>
      <c r="R43" s="328"/>
      <c r="S43" s="324">
        <f>SUMIF('Step 1'!$E$42:$E$51,"Annual",'Step 1'!Q$42:Q$51)-M43</f>
        <v>0</v>
      </c>
      <c r="T43" s="325">
        <f>SUMIF('Step 1'!$E$42:$E$51,"Annual",'Step 1'!R$42:R$51)-N43</f>
        <v>0</v>
      </c>
      <c r="U43" s="326">
        <f>SUMIF('Step 1'!$E$42:$E$51,"Annual",'Step 1'!S$42:S$51)-O43</f>
        <v>0</v>
      </c>
      <c r="V43" s="324">
        <v>0</v>
      </c>
      <c r="W43" s="325">
        <v>0</v>
      </c>
      <c r="X43" s="326">
        <v>0</v>
      </c>
      <c r="Y43" s="324">
        <f t="shared" ref="Y43:Y44" si="507">AQ43/12</f>
        <v>0</v>
      </c>
      <c r="Z43" s="325">
        <f t="shared" ref="Z43:Z44" si="508">AR43/12</f>
        <v>0</v>
      </c>
      <c r="AA43" s="326">
        <f t="shared" ref="AA43:AA44" si="509">AS43/12</f>
        <v>0</v>
      </c>
      <c r="AB43" s="324">
        <f>SUMIF('Step 1'!$E$42:$E$51,"Annual",'Step 1'!$T$42:$T$51)</f>
        <v>0</v>
      </c>
      <c r="AC43" s="325">
        <f>IF('Step 1'!V52&gt;0,AB43,0)</f>
        <v>0</v>
      </c>
      <c r="AD43" s="326">
        <f>IF('Step 1'!W52&gt;0,AB43,0)</f>
        <v>0</v>
      </c>
      <c r="AE43" s="324">
        <f>AB43</f>
        <v>0</v>
      </c>
      <c r="AF43" s="325">
        <f t="shared" ref="AF43:AF44" si="510">AC43</f>
        <v>0</v>
      </c>
      <c r="AG43" s="326">
        <f t="shared" ref="AG43:AG44" si="511">AD43</f>
        <v>0</v>
      </c>
      <c r="AH43" s="328"/>
      <c r="AI43" s="328"/>
      <c r="AJ43" s="328"/>
      <c r="AK43" s="324">
        <f>SUMIF('Step 1'!$E$42:$E$51,"Annual",'Step 1'!U$42:U$51)-AE43</f>
        <v>0</v>
      </c>
      <c r="AL43" s="325">
        <f>SUMIF('Step 1'!$E$42:$E$51,"Annual",'Step 1'!V$42:V$51)-AF43</f>
        <v>0</v>
      </c>
      <c r="AM43" s="326">
        <f>SUMIF('Step 1'!$E$42:$E$51,"Annual",'Step 1'!W$42:W$51)-AG43</f>
        <v>0</v>
      </c>
      <c r="AN43" s="324">
        <v>0</v>
      </c>
      <c r="AO43" s="325">
        <v>0</v>
      </c>
      <c r="AP43" s="326">
        <v>0</v>
      </c>
      <c r="AQ43" s="324">
        <f>AE43+AK43</f>
        <v>0</v>
      </c>
      <c r="AR43" s="325">
        <f t="shared" ref="AR43:AR44" si="512">AF43+AL43</f>
        <v>0</v>
      </c>
      <c r="AS43" s="326">
        <f t="shared" ref="AS43:AS44" si="513">AG43+AM43</f>
        <v>0</v>
      </c>
      <c r="AT43" s="324">
        <f>SUMIF('Step 1'!$E$42:$E$51,"Annual",'Step 1'!$X$42:$X$51)</f>
        <v>0</v>
      </c>
      <c r="AU43" s="325">
        <f>IF('Step 1'!V52&gt;0,AT43,0)</f>
        <v>0</v>
      </c>
      <c r="AV43" s="326">
        <f>IF('Step 1'!W52&gt;0,AT43,0)</f>
        <v>0</v>
      </c>
      <c r="AW43" s="324">
        <f>AT43</f>
        <v>0</v>
      </c>
      <c r="AX43" s="325">
        <f t="shared" ref="AX43:AX44" si="514">AU43</f>
        <v>0</v>
      </c>
      <c r="AY43" s="326">
        <f t="shared" ref="AY43:AY44" si="515">AV43</f>
        <v>0</v>
      </c>
      <c r="AZ43" s="328"/>
      <c r="BA43" s="328"/>
      <c r="BB43" s="328"/>
      <c r="BC43" s="324">
        <f>SUMIF('Step 1'!$E$42:$E$51,"Annual",'Step 1'!Y$42:Y$51)-AW43</f>
        <v>0</v>
      </c>
      <c r="BD43" s="325">
        <f>SUMIF('Step 1'!$E$42:$E$51,"Annual",'Step 1'!Z$42:Z$51)-AX43</f>
        <v>0</v>
      </c>
      <c r="BE43" s="326">
        <f>SUMIF('Step 1'!$E$42:$E$51,"Annual",'Step 1'!AA$42:AA$51)-AY43</f>
        <v>0</v>
      </c>
      <c r="BF43" s="324">
        <v>0</v>
      </c>
      <c r="BG43" s="325">
        <v>0</v>
      </c>
      <c r="BH43" s="326">
        <v>0</v>
      </c>
      <c r="BI43" s="324">
        <f>AW43+BC43</f>
        <v>0</v>
      </c>
      <c r="BJ43" s="325">
        <f t="shared" ref="BJ43:BJ44" si="516">AX43+BD43</f>
        <v>0</v>
      </c>
      <c r="BK43" s="326">
        <f t="shared" ref="BK43:BK44" si="517">AY43+BE43</f>
        <v>0</v>
      </c>
      <c r="BL43" s="283"/>
      <c r="BM43" s="283"/>
    </row>
    <row r="44" spans="1:65">
      <c r="A44" s="295"/>
      <c r="B44" s="295"/>
      <c r="C44" s="320"/>
      <c r="D44" s="321" t="s">
        <v>7924</v>
      </c>
      <c r="E44" s="322"/>
      <c r="F44" s="323"/>
      <c r="G44" s="283"/>
      <c r="H44" s="283"/>
      <c r="I44" s="283"/>
      <c r="J44" s="324">
        <f>SUMIF('Step 1'!$E$42:$E$51,"One Time",'Step 1'!$P$42:$P$51)</f>
        <v>0</v>
      </c>
      <c r="K44" s="325">
        <f>IF('Step 1'!V52&gt;0,J44,0)</f>
        <v>0</v>
      </c>
      <c r="L44" s="326">
        <f>IF('Step 1'!W52&gt;0,K44,0)</f>
        <v>0</v>
      </c>
      <c r="M44" s="324">
        <f t="shared" ref="M44" si="518">J44</f>
        <v>0</v>
      </c>
      <c r="N44" s="325">
        <f>IF('Step 1'!V52&gt;0,J44,0)</f>
        <v>0</v>
      </c>
      <c r="O44" s="326">
        <f>IF('Step 1'!W52&gt;0,K44,0)</f>
        <v>0</v>
      </c>
      <c r="P44" s="328"/>
      <c r="Q44" s="328"/>
      <c r="R44" s="328"/>
      <c r="S44" s="324">
        <f>SUMIF('Step 1'!$E$42:$E$51,"One Time",'Step 1'!Q$42:Q$51)-M44</f>
        <v>0</v>
      </c>
      <c r="T44" s="325">
        <f>SUMIF('Step 1'!$E$42:$E$51,"One Time",'Step 1'!R$42:R$51)-N44</f>
        <v>0</v>
      </c>
      <c r="U44" s="326">
        <f>SUMIF('Step 1'!$E$42:$E$51,"One Time",'Step 1'!S$42:S$51)-O44</f>
        <v>0</v>
      </c>
      <c r="V44" s="324">
        <v>0</v>
      </c>
      <c r="W44" s="325">
        <v>0</v>
      </c>
      <c r="X44" s="326">
        <v>0</v>
      </c>
      <c r="Y44" s="324">
        <f t="shared" si="507"/>
        <v>0</v>
      </c>
      <c r="Z44" s="325">
        <f t="shared" si="508"/>
        <v>0</v>
      </c>
      <c r="AA44" s="326">
        <f t="shared" si="509"/>
        <v>0</v>
      </c>
      <c r="AB44" s="324">
        <f>SUMIF('Step 1'!$E$42:$E$51,"One Time",'Step 1'!$T$42:$T$51)</f>
        <v>0</v>
      </c>
      <c r="AC44" s="325">
        <f>IF('Step 1'!V52&gt;0,AB44,0)</f>
        <v>0</v>
      </c>
      <c r="AD44" s="326">
        <f>IF('Step 1'!W52&gt;0,AB44,0)</f>
        <v>0</v>
      </c>
      <c r="AE44" s="324">
        <f t="shared" ref="AE44" si="519">AB44</f>
        <v>0</v>
      </c>
      <c r="AF44" s="325">
        <f t="shared" si="510"/>
        <v>0</v>
      </c>
      <c r="AG44" s="326">
        <f t="shared" si="511"/>
        <v>0</v>
      </c>
      <c r="AH44" s="328"/>
      <c r="AI44" s="328"/>
      <c r="AJ44" s="328"/>
      <c r="AK44" s="324">
        <f>SUMIF('Step 1'!$E$42:$E$51,"One Time",'Step 1'!U$42:U$51)-AE44</f>
        <v>0</v>
      </c>
      <c r="AL44" s="325">
        <f>SUMIF('Step 1'!$E$42:$E$51,"One Time",'Step 1'!V$42:V$51)-AF44</f>
        <v>0</v>
      </c>
      <c r="AM44" s="326">
        <f>SUMIF('Step 1'!$E$42:$E$51,"One Time",'Step 1'!W$42:W$51)-AG44</f>
        <v>0</v>
      </c>
      <c r="AN44" s="324">
        <v>0</v>
      </c>
      <c r="AO44" s="325">
        <v>0</v>
      </c>
      <c r="AP44" s="326">
        <v>0</v>
      </c>
      <c r="AQ44" s="324">
        <f t="shared" ref="AQ44" si="520">AE44+AK44</f>
        <v>0</v>
      </c>
      <c r="AR44" s="325">
        <f t="shared" si="512"/>
        <v>0</v>
      </c>
      <c r="AS44" s="326">
        <f t="shared" si="513"/>
        <v>0</v>
      </c>
      <c r="AT44" s="324">
        <f>SUMIF('Step 1'!$E$42:$E$51,"One Time",'Step 1'!$X$42:$X$51)</f>
        <v>0</v>
      </c>
      <c r="AU44" s="325">
        <f>IF('Step 1'!V52&gt;0,AT44,0)</f>
        <v>0</v>
      </c>
      <c r="AV44" s="326">
        <f>IF('Step 1'!W52&gt;0,AT44,0)</f>
        <v>0</v>
      </c>
      <c r="AW44" s="324">
        <f t="shared" ref="AW44" si="521">AT44</f>
        <v>0</v>
      </c>
      <c r="AX44" s="325">
        <f t="shared" si="514"/>
        <v>0</v>
      </c>
      <c r="AY44" s="326">
        <f t="shared" si="515"/>
        <v>0</v>
      </c>
      <c r="AZ44" s="328"/>
      <c r="BA44" s="328"/>
      <c r="BB44" s="328"/>
      <c r="BC44" s="324">
        <f>SUMIF('Step 1'!$E$42:$E$51,"One Time",'Step 1'!Y$42:Y$51)-AW44</f>
        <v>0</v>
      </c>
      <c r="BD44" s="325">
        <f>SUMIF('Step 1'!$E$42:$E$51,"One Time",'Step 1'!Z$42:Z$51)-AX44</f>
        <v>0</v>
      </c>
      <c r="BE44" s="326">
        <f>SUMIF('Step 1'!$E$42:$E$51,"One Time",'Step 1'!AA$42:AA$51)-AY44</f>
        <v>0</v>
      </c>
      <c r="BF44" s="324">
        <v>0</v>
      </c>
      <c r="BG44" s="325">
        <v>0</v>
      </c>
      <c r="BH44" s="326">
        <v>0</v>
      </c>
      <c r="BI44" s="324">
        <f t="shared" ref="BI44" si="522">AW44+BC44</f>
        <v>0</v>
      </c>
      <c r="BJ44" s="325">
        <f t="shared" si="516"/>
        <v>0</v>
      </c>
      <c r="BK44" s="326">
        <f t="shared" si="517"/>
        <v>0</v>
      </c>
      <c r="BL44" s="283"/>
      <c r="BM44" s="283"/>
    </row>
    <row r="45" spans="1:65" s="167" customFormat="1" ht="4.7" customHeight="1">
      <c r="A45" s="295"/>
      <c r="B45" s="295"/>
      <c r="C45" s="283"/>
      <c r="D45" s="283"/>
      <c r="E45" s="283"/>
      <c r="F45" s="283"/>
      <c r="G45" s="283"/>
      <c r="H45" s="283"/>
      <c r="I45" s="283"/>
      <c r="J45" s="328"/>
      <c r="K45" s="328"/>
      <c r="L45" s="328"/>
      <c r="M45" s="328"/>
      <c r="N45" s="328"/>
      <c r="O45" s="328"/>
      <c r="P45" s="328"/>
      <c r="Q45" s="328"/>
      <c r="R45" s="328"/>
      <c r="S45" s="328"/>
      <c r="T45" s="328"/>
      <c r="U45" s="328"/>
      <c r="V45" s="328"/>
      <c r="W45" s="328"/>
      <c r="X45" s="328"/>
      <c r="Y45" s="328"/>
      <c r="Z45" s="328"/>
      <c r="AA45" s="328"/>
      <c r="AB45" s="328"/>
      <c r="AC45" s="328"/>
      <c r="AD45" s="328"/>
      <c r="AE45" s="328"/>
      <c r="AF45" s="328"/>
      <c r="AG45" s="328"/>
      <c r="AH45" s="328"/>
      <c r="AI45" s="328"/>
      <c r="AJ45" s="328"/>
      <c r="AK45" s="328"/>
      <c r="AL45" s="328"/>
      <c r="AM45" s="328"/>
      <c r="AN45" s="328"/>
      <c r="AO45" s="328"/>
      <c r="AP45" s="328"/>
      <c r="AQ45" s="328"/>
      <c r="AR45" s="328"/>
      <c r="AS45" s="328"/>
      <c r="AT45" s="328"/>
      <c r="AU45" s="328"/>
      <c r="AV45" s="328"/>
      <c r="AW45" s="328"/>
      <c r="AX45" s="328"/>
      <c r="AY45" s="328"/>
      <c r="AZ45" s="328"/>
      <c r="BA45" s="328"/>
      <c r="BB45" s="328"/>
      <c r="BC45" s="328"/>
      <c r="BD45" s="328"/>
      <c r="BE45" s="328"/>
      <c r="BF45" s="328"/>
      <c r="BG45" s="328"/>
      <c r="BH45" s="328"/>
      <c r="BI45" s="328"/>
      <c r="BJ45" s="328"/>
      <c r="BK45" s="328"/>
      <c r="BL45" s="283"/>
      <c r="BM45" s="283"/>
    </row>
    <row r="46" spans="1:65">
      <c r="A46" s="295"/>
      <c r="B46" s="295"/>
      <c r="C46" s="320"/>
      <c r="D46" s="321" t="s">
        <v>600</v>
      </c>
      <c r="E46" s="322"/>
      <c r="F46" s="323"/>
      <c r="G46" s="283"/>
      <c r="H46" s="283"/>
      <c r="I46" s="283"/>
      <c r="J46" s="324">
        <f t="shared" ref="J46:AO46" si="523">SUM(J22:J42) -J33-SUM(J43:J44)</f>
        <v>0</v>
      </c>
      <c r="K46" s="325">
        <f t="shared" si="523"/>
        <v>0</v>
      </c>
      <c r="L46" s="326">
        <f t="shared" si="523"/>
        <v>0</v>
      </c>
      <c r="M46" s="324">
        <f t="shared" si="523"/>
        <v>0</v>
      </c>
      <c r="N46" s="325">
        <f t="shared" si="523"/>
        <v>0</v>
      </c>
      <c r="O46" s="326">
        <f t="shared" si="523"/>
        <v>0</v>
      </c>
      <c r="P46" s="324">
        <f t="shared" si="523"/>
        <v>0</v>
      </c>
      <c r="Q46" s="325">
        <f t="shared" si="523"/>
        <v>0</v>
      </c>
      <c r="R46" s="326">
        <f t="shared" si="523"/>
        <v>0</v>
      </c>
      <c r="S46" s="324">
        <f t="shared" si="523"/>
        <v>0</v>
      </c>
      <c r="T46" s="325">
        <f t="shared" si="523"/>
        <v>0</v>
      </c>
      <c r="U46" s="326">
        <f t="shared" si="523"/>
        <v>0</v>
      </c>
      <c r="V46" s="324">
        <f t="shared" si="523"/>
        <v>0</v>
      </c>
      <c r="W46" s="325">
        <f t="shared" si="523"/>
        <v>0</v>
      </c>
      <c r="X46" s="326">
        <f t="shared" si="523"/>
        <v>0</v>
      </c>
      <c r="Y46" s="324">
        <f t="shared" si="523"/>
        <v>0</v>
      </c>
      <c r="Z46" s="325">
        <f t="shared" si="523"/>
        <v>0</v>
      </c>
      <c r="AA46" s="326">
        <f t="shared" si="523"/>
        <v>0</v>
      </c>
      <c r="AB46" s="324">
        <f t="shared" si="523"/>
        <v>0</v>
      </c>
      <c r="AC46" s="325">
        <f t="shared" si="523"/>
        <v>0</v>
      </c>
      <c r="AD46" s="326">
        <f t="shared" si="523"/>
        <v>0</v>
      </c>
      <c r="AE46" s="324">
        <f t="shared" si="523"/>
        <v>0</v>
      </c>
      <c r="AF46" s="325">
        <f t="shared" si="523"/>
        <v>0</v>
      </c>
      <c r="AG46" s="326">
        <f t="shared" si="523"/>
        <v>0</v>
      </c>
      <c r="AH46" s="324">
        <f t="shared" si="523"/>
        <v>0</v>
      </c>
      <c r="AI46" s="325">
        <f t="shared" si="523"/>
        <v>0</v>
      </c>
      <c r="AJ46" s="326">
        <f t="shared" si="523"/>
        <v>0</v>
      </c>
      <c r="AK46" s="324">
        <f t="shared" si="523"/>
        <v>0</v>
      </c>
      <c r="AL46" s="325">
        <f t="shared" si="523"/>
        <v>0</v>
      </c>
      <c r="AM46" s="326">
        <f t="shared" si="523"/>
        <v>0</v>
      </c>
      <c r="AN46" s="324">
        <f t="shared" si="523"/>
        <v>0</v>
      </c>
      <c r="AO46" s="325">
        <f t="shared" si="523"/>
        <v>0</v>
      </c>
      <c r="AP46" s="326">
        <f t="shared" ref="AP46:BK46" si="524">SUM(AP22:AP42) -AP33-SUM(AP43:AP44)</f>
        <v>0</v>
      </c>
      <c r="AQ46" s="324">
        <f t="shared" si="524"/>
        <v>0</v>
      </c>
      <c r="AR46" s="325">
        <f t="shared" si="524"/>
        <v>0</v>
      </c>
      <c r="AS46" s="326">
        <f t="shared" si="524"/>
        <v>0</v>
      </c>
      <c r="AT46" s="324">
        <f t="shared" ca="1" si="524"/>
        <v>0</v>
      </c>
      <c r="AU46" s="325">
        <f t="shared" ca="1" si="524"/>
        <v>0</v>
      </c>
      <c r="AV46" s="326">
        <f t="shared" ca="1" si="524"/>
        <v>0</v>
      </c>
      <c r="AW46" s="324">
        <f t="shared" ca="1" si="524"/>
        <v>0</v>
      </c>
      <c r="AX46" s="325">
        <f t="shared" ca="1" si="524"/>
        <v>0</v>
      </c>
      <c r="AY46" s="326">
        <f t="shared" ca="1" si="524"/>
        <v>0</v>
      </c>
      <c r="AZ46" s="324">
        <f t="shared" ca="1" si="524"/>
        <v>0</v>
      </c>
      <c r="BA46" s="325">
        <f t="shared" ca="1" si="524"/>
        <v>0</v>
      </c>
      <c r="BB46" s="326">
        <f t="shared" ca="1" si="524"/>
        <v>0</v>
      </c>
      <c r="BC46" s="324">
        <f t="shared" si="524"/>
        <v>0</v>
      </c>
      <c r="BD46" s="325">
        <f t="shared" si="524"/>
        <v>0</v>
      </c>
      <c r="BE46" s="326">
        <f t="shared" si="524"/>
        <v>0</v>
      </c>
      <c r="BF46" s="324">
        <f t="shared" si="524"/>
        <v>0</v>
      </c>
      <c r="BG46" s="325">
        <f t="shared" si="524"/>
        <v>0</v>
      </c>
      <c r="BH46" s="326">
        <f t="shared" si="524"/>
        <v>0</v>
      </c>
      <c r="BI46" s="324">
        <f t="shared" ca="1" si="524"/>
        <v>0</v>
      </c>
      <c r="BJ46" s="325">
        <f t="shared" ca="1" si="524"/>
        <v>0</v>
      </c>
      <c r="BK46" s="326">
        <f t="shared" ca="1" si="524"/>
        <v>0</v>
      </c>
      <c r="BL46" s="283"/>
      <c r="BM46" s="283"/>
    </row>
    <row r="47" spans="1:65" ht="13.5" thickBot="1">
      <c r="A47" s="669"/>
      <c r="B47" s="669"/>
      <c r="C47" s="283"/>
      <c r="D47" s="283"/>
      <c r="E47" s="283"/>
      <c r="F47" s="283"/>
      <c r="G47" s="283"/>
      <c r="H47" s="283"/>
      <c r="I47" s="283"/>
      <c r="J47" s="283"/>
      <c r="K47" s="283"/>
      <c r="L47" s="283"/>
      <c r="M47" s="283"/>
      <c r="N47" s="283"/>
      <c r="O47" s="283"/>
      <c r="P47" s="283"/>
      <c r="Q47" s="283"/>
      <c r="R47" s="283"/>
      <c r="S47" s="283"/>
      <c r="T47" s="283"/>
      <c r="U47" s="283"/>
      <c r="V47" s="283"/>
      <c r="W47" s="283"/>
      <c r="X47" s="283"/>
      <c r="Y47" s="283"/>
      <c r="Z47" s="283"/>
      <c r="AA47" s="283"/>
      <c r="AB47" s="283"/>
      <c r="AC47" s="283"/>
      <c r="AD47" s="283"/>
      <c r="AE47" s="283"/>
      <c r="AF47" s="283"/>
      <c r="AG47" s="283"/>
      <c r="AH47" s="283"/>
      <c r="AI47" s="283"/>
      <c r="AJ47" s="283"/>
      <c r="AK47" s="283"/>
      <c r="AL47" s="283"/>
      <c r="AM47" s="283"/>
      <c r="AN47" s="283"/>
      <c r="AO47" s="283"/>
      <c r="AP47" s="283"/>
      <c r="AQ47" s="283"/>
      <c r="AR47" s="283"/>
      <c r="AS47" s="283"/>
      <c r="AT47" s="283"/>
      <c r="AU47" s="283"/>
      <c r="AV47" s="283"/>
      <c r="AW47" s="283"/>
      <c r="AX47" s="283"/>
      <c r="AY47" s="283"/>
      <c r="AZ47" s="283"/>
      <c r="BA47" s="283"/>
      <c r="BB47" s="283"/>
      <c r="BC47" s="283"/>
      <c r="BD47" s="283"/>
      <c r="BE47" s="283"/>
      <c r="BF47" s="283"/>
      <c r="BG47" s="283"/>
      <c r="BH47" s="283"/>
      <c r="BI47" s="283"/>
      <c r="BJ47" s="283"/>
      <c r="BK47" s="283"/>
      <c r="BL47" s="283"/>
      <c r="BM47" s="283"/>
    </row>
    <row r="48" spans="1:65" ht="13.5" thickBot="1">
      <c r="A48" s="669"/>
      <c r="B48" s="669"/>
      <c r="C48" s="283"/>
      <c r="D48" s="283"/>
      <c r="E48" s="285" t="s">
        <v>7867</v>
      </c>
      <c r="F48" s="286"/>
      <c r="G48" s="287"/>
      <c r="H48" s="283"/>
      <c r="I48" s="283"/>
      <c r="J48" s="283"/>
      <c r="K48" s="283"/>
      <c r="L48" s="283"/>
      <c r="M48" s="283"/>
      <c r="N48" s="283"/>
      <c r="O48" s="283"/>
      <c r="P48" s="283"/>
      <c r="Q48" s="283"/>
      <c r="R48" s="283"/>
      <c r="S48" s="283"/>
      <c r="T48" s="283"/>
      <c r="U48" s="283"/>
      <c r="V48" s="283"/>
      <c r="W48" s="283"/>
      <c r="X48" s="283"/>
      <c r="Y48" s="283"/>
      <c r="Z48" s="283"/>
      <c r="AA48" s="283"/>
      <c r="AB48" s="283"/>
      <c r="AC48" s="283"/>
      <c r="AD48" s="283"/>
      <c r="AE48" s="283"/>
      <c r="AF48" s="283"/>
      <c r="AG48" s="283"/>
      <c r="AH48" s="283"/>
      <c r="AI48" s="283"/>
      <c r="AJ48" s="283"/>
      <c r="AK48" s="283"/>
      <c r="AL48" s="283"/>
      <c r="AM48" s="283"/>
      <c r="AN48" s="283"/>
      <c r="AO48" s="283"/>
      <c r="AP48" s="283"/>
      <c r="AQ48" s="283"/>
      <c r="AR48" s="283"/>
      <c r="AS48" s="283"/>
      <c r="AT48" s="283"/>
      <c r="AU48" s="283"/>
      <c r="AV48" s="283"/>
      <c r="AW48" s="283"/>
      <c r="AX48" s="283"/>
      <c r="AY48" s="283"/>
      <c r="AZ48" s="283"/>
      <c r="BA48" s="283"/>
      <c r="BB48" s="283"/>
      <c r="BC48" s="283"/>
      <c r="BD48" s="283"/>
      <c r="BE48" s="283"/>
      <c r="BF48" s="283"/>
      <c r="BG48" s="283"/>
      <c r="BH48" s="283"/>
      <c r="BI48" s="283"/>
      <c r="BJ48" s="283"/>
      <c r="BK48" s="283"/>
      <c r="BL48" s="283"/>
      <c r="BM48" s="283"/>
    </row>
    <row r="49" spans="1:65">
      <c r="A49" s="669"/>
      <c r="B49" s="669"/>
      <c r="C49" s="283"/>
      <c r="D49" s="283"/>
      <c r="E49" s="188">
        <v>1</v>
      </c>
      <c r="F49" s="188">
        <v>2</v>
      </c>
      <c r="G49" s="188">
        <v>3</v>
      </c>
      <c r="H49" s="283" t="s">
        <v>7870</v>
      </c>
      <c r="I49" s="283"/>
      <c r="J49" s="283"/>
      <c r="K49" s="283"/>
      <c r="L49" s="283"/>
      <c r="M49" s="283"/>
      <c r="N49" s="283"/>
      <c r="O49" s="283"/>
      <c r="P49" s="283"/>
      <c r="Q49" s="283"/>
      <c r="R49" s="283"/>
      <c r="S49" s="283"/>
      <c r="T49" s="283"/>
      <c r="U49" s="283"/>
      <c r="V49" s="283"/>
      <c r="W49" s="283"/>
      <c r="X49" s="283"/>
      <c r="Y49" s="283"/>
      <c r="Z49" s="283"/>
      <c r="AA49" s="283"/>
      <c r="AB49" s="283"/>
      <c r="AC49" s="283"/>
      <c r="AD49" s="283"/>
      <c r="AE49" s="283"/>
      <c r="AF49" s="283"/>
      <c r="AG49" s="283"/>
      <c r="AH49" s="283"/>
      <c r="AI49" s="283"/>
      <c r="AJ49" s="283"/>
      <c r="AK49" s="283"/>
      <c r="AL49" s="283"/>
      <c r="AM49" s="283"/>
      <c r="AN49" s="283"/>
      <c r="AO49" s="283"/>
      <c r="AP49" s="283"/>
      <c r="AQ49" s="283"/>
      <c r="AR49" s="283"/>
      <c r="AS49" s="283"/>
      <c r="AT49" s="283"/>
      <c r="AU49" s="283"/>
      <c r="AV49" s="283"/>
      <c r="AW49" s="283"/>
      <c r="AX49" s="283"/>
      <c r="AY49" s="283"/>
      <c r="AZ49" s="283"/>
      <c r="BA49" s="283"/>
      <c r="BB49" s="283"/>
      <c r="BC49" s="283"/>
      <c r="BD49" s="283"/>
      <c r="BE49" s="283"/>
      <c r="BF49" s="283"/>
      <c r="BG49" s="283"/>
      <c r="BH49" s="283"/>
      <c r="BI49" s="283"/>
      <c r="BJ49" s="283"/>
      <c r="BK49" s="283"/>
      <c r="BL49" s="283"/>
      <c r="BM49" s="283"/>
    </row>
    <row r="50" spans="1:65">
      <c r="A50" s="669"/>
      <c r="B50" s="669"/>
      <c r="C50" s="283"/>
      <c r="D50" s="288" t="s">
        <v>7800</v>
      </c>
      <c r="E50" s="279"/>
      <c r="F50" s="280"/>
      <c r="G50" s="281"/>
      <c r="H50" s="283"/>
      <c r="I50" s="283"/>
      <c r="J50" s="283"/>
      <c r="K50" s="283"/>
      <c r="L50" s="283"/>
      <c r="M50" s="283"/>
      <c r="N50" s="283"/>
      <c r="O50" s="283"/>
      <c r="P50" s="283"/>
      <c r="Q50" s="283"/>
      <c r="R50" s="283"/>
      <c r="S50" s="283"/>
      <c r="T50" s="283"/>
      <c r="U50" s="283"/>
      <c r="V50" s="283"/>
      <c r="W50" s="283"/>
      <c r="X50" s="283"/>
      <c r="Y50" s="283"/>
      <c r="Z50" s="283"/>
      <c r="AA50" s="283"/>
      <c r="AB50" s="283"/>
      <c r="AC50" s="283"/>
      <c r="AD50" s="283"/>
      <c r="AE50" s="283"/>
      <c r="AF50" s="283"/>
      <c r="AG50" s="283"/>
      <c r="AH50" s="283"/>
      <c r="AI50" s="283"/>
      <c r="AJ50" s="283"/>
      <c r="AK50" s="283"/>
      <c r="AL50" s="283"/>
      <c r="AM50" s="283"/>
      <c r="AN50" s="283"/>
      <c r="AO50" s="283"/>
      <c r="AP50" s="283"/>
      <c r="AQ50" s="283"/>
      <c r="AR50" s="283"/>
      <c r="AS50" s="283"/>
      <c r="AT50" s="283"/>
      <c r="AU50" s="283"/>
      <c r="AV50" s="283"/>
      <c r="AW50" s="283"/>
      <c r="AX50" s="283"/>
      <c r="AY50" s="283"/>
      <c r="AZ50" s="283"/>
      <c r="BA50" s="283"/>
      <c r="BB50" s="283"/>
      <c r="BC50" s="283"/>
      <c r="BD50" s="283"/>
      <c r="BE50" s="283"/>
      <c r="BF50" s="283"/>
      <c r="BG50" s="283"/>
      <c r="BH50" s="283"/>
      <c r="BI50" s="283"/>
      <c r="BJ50" s="283"/>
      <c r="BK50" s="283"/>
      <c r="BL50" s="283"/>
      <c r="BM50" s="283"/>
    </row>
    <row r="51" spans="1:65">
      <c r="A51" s="669"/>
      <c r="B51" s="669"/>
      <c r="C51" s="283"/>
      <c r="D51" s="284" t="s">
        <v>7866</v>
      </c>
      <c r="E51" s="289">
        <f ca="1">SUMIF($B$22:$B$39,"TELCO",AQ$22:AQ$39)</f>
        <v>0</v>
      </c>
      <c r="F51" s="290">
        <f ca="1">SUMIF($B$22:$B$39,"TELCO",AR$22:AR$39)</f>
        <v>0</v>
      </c>
      <c r="G51" s="291">
        <f ca="1">SUMIF($B$22:$B$39,"TELCO",AS$22:AS$39)</f>
        <v>0</v>
      </c>
      <c r="H51" s="283"/>
      <c r="I51" s="283"/>
      <c r="J51" s="283"/>
      <c r="K51" s="283"/>
      <c r="L51" s="283"/>
      <c r="M51" s="283"/>
      <c r="N51" s="283"/>
      <c r="O51" s="283"/>
      <c r="P51" s="283"/>
      <c r="Q51" s="283"/>
      <c r="R51" s="283"/>
      <c r="S51" s="283"/>
      <c r="T51" s="283"/>
      <c r="U51" s="283"/>
      <c r="V51" s="283"/>
      <c r="W51" s="283"/>
      <c r="X51" s="283"/>
      <c r="Y51" s="283"/>
      <c r="Z51" s="283"/>
      <c r="AA51" s="283"/>
      <c r="AB51" s="283"/>
      <c r="AC51" s="283"/>
      <c r="AD51" s="283"/>
      <c r="AE51" s="283"/>
      <c r="AF51" s="283"/>
      <c r="AG51" s="283"/>
      <c r="AH51" s="283"/>
      <c r="AI51" s="283"/>
      <c r="AJ51" s="283"/>
      <c r="AK51" s="283"/>
      <c r="AL51" s="283"/>
      <c r="AM51" s="283"/>
      <c r="AN51" s="283"/>
      <c r="AO51" s="283"/>
      <c r="AP51" s="283"/>
      <c r="AQ51" s="283"/>
      <c r="AR51" s="283"/>
      <c r="AS51" s="283"/>
      <c r="AT51" s="283"/>
      <c r="AU51" s="283"/>
      <c r="AV51" s="283"/>
      <c r="AW51" s="283"/>
      <c r="AX51" s="283"/>
      <c r="AY51" s="283"/>
      <c r="AZ51" s="283"/>
      <c r="BA51" s="283"/>
      <c r="BB51" s="283"/>
      <c r="BC51" s="283"/>
      <c r="BD51" s="283"/>
      <c r="BE51" s="283"/>
      <c r="BF51" s="283"/>
      <c r="BG51" s="283"/>
      <c r="BH51" s="283"/>
      <c r="BI51" s="283"/>
      <c r="BJ51" s="283"/>
      <c r="BK51" s="283"/>
      <c r="BL51" s="283"/>
      <c r="BM51" s="283"/>
    </row>
    <row r="52" spans="1:65">
      <c r="A52" s="669"/>
      <c r="B52" s="669"/>
      <c r="C52" s="283"/>
      <c r="D52" s="284" t="s">
        <v>7853</v>
      </c>
      <c r="E52" s="292" t="str">
        <f ca="1">IFERROR(E50/E51,"")</f>
        <v/>
      </c>
      <c r="F52" s="293" t="str">
        <f ca="1">IFERROR(F50/F51,"")</f>
        <v/>
      </c>
      <c r="G52" s="294" t="str">
        <f ca="1">IFERROR(G50/G51,"")</f>
        <v/>
      </c>
      <c r="H52" s="283"/>
      <c r="I52" s="283"/>
      <c r="J52" s="283"/>
      <c r="K52" s="283"/>
      <c r="L52" s="283"/>
      <c r="M52" s="283"/>
      <c r="N52" s="283"/>
      <c r="O52" s="283"/>
      <c r="P52" s="283"/>
      <c r="Q52" s="283"/>
      <c r="R52" s="283"/>
      <c r="S52" s="283"/>
      <c r="T52" s="283"/>
      <c r="U52" s="283"/>
      <c r="V52" s="283"/>
      <c r="W52" s="283"/>
      <c r="X52" s="283"/>
      <c r="Y52" s="283"/>
      <c r="Z52" s="283"/>
      <c r="AA52" s="283"/>
      <c r="AB52" s="283"/>
      <c r="AC52" s="283"/>
      <c r="AD52" s="283"/>
      <c r="AE52" s="283"/>
      <c r="AF52" s="283"/>
      <c r="AG52" s="283"/>
      <c r="AH52" s="283"/>
      <c r="AI52" s="283"/>
      <c r="AJ52" s="283"/>
      <c r="AK52" s="283"/>
      <c r="AL52" s="283"/>
      <c r="AM52" s="283"/>
      <c r="AN52" s="283"/>
      <c r="AO52" s="283"/>
      <c r="AP52" s="283"/>
      <c r="AQ52" s="283"/>
      <c r="AR52" s="283"/>
      <c r="AS52" s="283"/>
      <c r="AT52" s="283"/>
      <c r="AU52" s="283"/>
      <c r="AV52" s="283"/>
      <c r="AW52" s="283"/>
      <c r="AX52" s="283"/>
      <c r="AY52" s="283"/>
      <c r="AZ52" s="283"/>
      <c r="BA52" s="283"/>
      <c r="BB52" s="283"/>
      <c r="BC52" s="283"/>
      <c r="BD52" s="283"/>
      <c r="BE52" s="283"/>
      <c r="BF52" s="283"/>
      <c r="BG52" s="283"/>
      <c r="BH52" s="283"/>
      <c r="BI52" s="283"/>
      <c r="BJ52" s="283"/>
      <c r="BK52" s="283"/>
      <c r="BL52" s="283"/>
      <c r="BM52" s="283"/>
    </row>
    <row r="53" spans="1:65">
      <c r="A53" s="669"/>
      <c r="B53" s="669"/>
      <c r="C53" s="283"/>
      <c r="D53" s="284" t="s">
        <v>7799</v>
      </c>
      <c r="E53" s="289">
        <f>SUMIF('Step 1'!O$42:O$51,"*TELCO*",'Step 1'!$U$42:$U$51)</f>
        <v>0</v>
      </c>
      <c r="F53" s="290">
        <f>SUMIF('Step 1'!P$42:P$51,"*TELCO*",'Step 1'!$U$42:$U$51)</f>
        <v>0</v>
      </c>
      <c r="G53" s="291">
        <f>SUMIF('Step 1'!Q$42:Q$51,"*TELCO*",'Step 1'!$U$42:$U$51)</f>
        <v>0</v>
      </c>
      <c r="H53" s="283"/>
      <c r="I53" s="283"/>
      <c r="J53" s="283"/>
      <c r="K53" s="283"/>
      <c r="L53" s="283"/>
      <c r="M53" s="283"/>
      <c r="N53" s="283"/>
      <c r="O53" s="283"/>
      <c r="P53" s="283"/>
      <c r="Q53" s="283"/>
      <c r="R53" s="283"/>
      <c r="S53" s="283"/>
      <c r="T53" s="283"/>
      <c r="U53" s="283"/>
      <c r="V53" s="283"/>
      <c r="W53" s="283"/>
      <c r="X53" s="283"/>
      <c r="Y53" s="283"/>
      <c r="Z53" s="283"/>
      <c r="AA53" s="283"/>
      <c r="AB53" s="283"/>
      <c r="AC53" s="283"/>
      <c r="AD53" s="283"/>
      <c r="AE53" s="283"/>
      <c r="AF53" s="283"/>
      <c r="AG53" s="283"/>
      <c r="AH53" s="283"/>
      <c r="AI53" s="283"/>
      <c r="AJ53" s="283"/>
      <c r="AK53" s="283"/>
      <c r="AL53" s="283"/>
      <c r="AM53" s="283"/>
      <c r="AN53" s="283"/>
      <c r="AO53" s="283"/>
      <c r="AP53" s="283"/>
      <c r="AQ53" s="283"/>
      <c r="AR53" s="283"/>
      <c r="AS53" s="283"/>
      <c r="AT53" s="283"/>
      <c r="AU53" s="283"/>
      <c r="AV53" s="283"/>
      <c r="AW53" s="283"/>
      <c r="AX53" s="283"/>
      <c r="AY53" s="283"/>
      <c r="AZ53" s="283"/>
      <c r="BA53" s="283"/>
      <c r="BB53" s="283"/>
      <c r="BC53" s="283"/>
      <c r="BD53" s="283"/>
      <c r="BE53" s="283"/>
      <c r="BF53" s="283"/>
      <c r="BG53" s="283"/>
      <c r="BH53" s="283"/>
      <c r="BI53" s="283"/>
      <c r="BJ53" s="283"/>
      <c r="BK53" s="283"/>
      <c r="BL53" s="283"/>
      <c r="BM53" s="283"/>
    </row>
    <row r="54" spans="1:65" ht="13.5" thickBot="1">
      <c r="A54" s="669"/>
      <c r="B54" s="669"/>
      <c r="C54" s="283"/>
      <c r="D54" s="283"/>
      <c r="E54" s="283"/>
      <c r="F54" s="283"/>
      <c r="G54" s="283"/>
      <c r="H54" s="283"/>
      <c r="I54" s="283"/>
      <c r="J54" s="283"/>
      <c r="K54" s="283"/>
      <c r="L54" s="283"/>
      <c r="M54" s="283"/>
      <c r="N54" s="283"/>
      <c r="O54" s="283"/>
      <c r="P54" s="283"/>
      <c r="Q54" s="283"/>
      <c r="R54" s="283"/>
      <c r="S54" s="283"/>
      <c r="T54" s="283"/>
      <c r="U54" s="283"/>
      <c r="V54" s="283"/>
      <c r="W54" s="283"/>
      <c r="X54" s="283"/>
      <c r="Y54" s="283"/>
      <c r="Z54" s="283"/>
      <c r="AA54" s="283"/>
      <c r="AB54" s="283"/>
      <c r="AC54" s="283"/>
      <c r="AD54" s="283"/>
      <c r="AE54" s="283"/>
      <c r="AF54" s="283"/>
      <c r="AG54" s="283"/>
      <c r="AH54" s="283"/>
      <c r="AI54" s="283"/>
      <c r="AJ54" s="283"/>
      <c r="AK54" s="283"/>
      <c r="AL54" s="283"/>
      <c r="AM54" s="283"/>
      <c r="AN54" s="283"/>
      <c r="AO54" s="283"/>
      <c r="AP54" s="283"/>
      <c r="AQ54" s="283"/>
      <c r="AR54" s="283"/>
      <c r="AS54" s="283"/>
      <c r="AT54" s="283"/>
      <c r="AU54" s="283"/>
      <c r="AV54" s="283"/>
      <c r="AW54" s="283"/>
      <c r="AX54" s="283"/>
      <c r="AY54" s="283"/>
      <c r="AZ54" s="283"/>
      <c r="BA54" s="283"/>
      <c r="BB54" s="283"/>
      <c r="BC54" s="283"/>
      <c r="BD54" s="283"/>
      <c r="BE54" s="283"/>
      <c r="BF54" s="283"/>
      <c r="BG54" s="283"/>
      <c r="BH54" s="283"/>
      <c r="BI54" s="283"/>
      <c r="BJ54" s="283"/>
      <c r="BK54" s="283"/>
      <c r="BL54" s="283"/>
      <c r="BM54" s="283"/>
    </row>
    <row r="55" spans="1:65" ht="13.5" thickBot="1">
      <c r="A55" s="669"/>
      <c r="B55" s="669"/>
      <c r="C55" s="283"/>
      <c r="D55" s="283"/>
      <c r="E55" s="285" t="s">
        <v>7868</v>
      </c>
      <c r="F55" s="286"/>
      <c r="G55" s="287"/>
      <c r="H55" s="283" t="s">
        <v>7872</v>
      </c>
      <c r="I55" s="283"/>
      <c r="J55" s="295"/>
      <c r="K55" s="283"/>
      <c r="L55" s="283"/>
      <c r="M55" s="283"/>
      <c r="N55" s="283"/>
      <c r="O55" s="283"/>
      <c r="P55" s="283"/>
      <c r="Q55" s="283"/>
      <c r="R55" s="283"/>
      <c r="S55" s="283"/>
      <c r="T55" s="283"/>
      <c r="U55" s="283"/>
      <c r="V55" s="283"/>
      <c r="W55" s="283"/>
      <c r="X55" s="283"/>
      <c r="Y55" s="283"/>
      <c r="Z55" s="283"/>
      <c r="AA55" s="283"/>
      <c r="AB55" s="283"/>
      <c r="AC55" s="283"/>
      <c r="AD55" s="283"/>
      <c r="AE55" s="283"/>
      <c r="AF55" s="283"/>
      <c r="AG55" s="283"/>
      <c r="AH55" s="283"/>
      <c r="AI55" s="283"/>
      <c r="AJ55" s="283"/>
      <c r="AK55" s="283"/>
      <c r="AL55" s="283"/>
      <c r="AM55" s="283"/>
      <c r="AN55" s="283"/>
      <c r="AO55" s="283"/>
      <c r="AP55" s="283"/>
      <c r="AQ55" s="283"/>
      <c r="AR55" s="283"/>
      <c r="AS55" s="283"/>
      <c r="AT55" s="283"/>
      <c r="AU55" s="283"/>
      <c r="AV55" s="283"/>
      <c r="AW55" s="283"/>
      <c r="AX55" s="283"/>
      <c r="AY55" s="283"/>
      <c r="AZ55" s="283"/>
      <c r="BA55" s="283"/>
      <c r="BB55" s="283"/>
      <c r="BC55" s="283"/>
      <c r="BD55" s="283"/>
      <c r="BE55" s="283"/>
      <c r="BF55" s="283"/>
      <c r="BG55" s="283"/>
      <c r="BH55" s="283"/>
      <c r="BI55" s="283"/>
      <c r="BJ55" s="283"/>
      <c r="BK55" s="283"/>
      <c r="BL55" s="283"/>
      <c r="BM55" s="283"/>
    </row>
    <row r="56" spans="1:65">
      <c r="A56" s="669"/>
      <c r="B56" s="669"/>
      <c r="C56" s="283"/>
      <c r="D56" s="283"/>
      <c r="E56" s="188">
        <v>1</v>
      </c>
      <c r="F56" s="188">
        <v>2</v>
      </c>
      <c r="G56" s="188">
        <v>3</v>
      </c>
      <c r="H56" s="283"/>
      <c r="I56" s="283"/>
      <c r="J56" s="283"/>
      <c r="K56" s="283"/>
      <c r="L56" s="283"/>
      <c r="M56" s="283"/>
      <c r="N56" s="283"/>
      <c r="O56" s="283"/>
      <c r="P56" s="283"/>
      <c r="Q56" s="283"/>
      <c r="R56" s="283"/>
      <c r="S56" s="283"/>
      <c r="T56" s="283"/>
      <c r="U56" s="283"/>
      <c r="V56" s="283"/>
      <c r="W56" s="283"/>
      <c r="X56" s="283"/>
      <c r="Y56" s="283"/>
      <c r="Z56" s="283"/>
      <c r="AA56" s="283"/>
      <c r="AB56" s="283"/>
      <c r="AC56" s="283"/>
      <c r="AD56" s="283"/>
      <c r="AE56" s="283"/>
      <c r="AF56" s="283"/>
      <c r="AG56" s="283"/>
      <c r="AH56" s="283"/>
      <c r="AI56" s="283"/>
      <c r="AJ56" s="283"/>
      <c r="AK56" s="283"/>
      <c r="AL56" s="283"/>
      <c r="AM56" s="283"/>
      <c r="AN56" s="283"/>
      <c r="AO56" s="283"/>
      <c r="AP56" s="283"/>
      <c r="AQ56" s="283"/>
      <c r="AR56" s="283"/>
      <c r="AS56" s="283"/>
      <c r="AT56" s="283"/>
      <c r="AU56" s="283"/>
      <c r="AV56" s="283"/>
      <c r="AW56" s="283"/>
      <c r="AX56" s="283"/>
      <c r="AY56" s="283"/>
      <c r="AZ56" s="283"/>
      <c r="BA56" s="283"/>
      <c r="BB56" s="283"/>
      <c r="BC56" s="283"/>
      <c r="BD56" s="283"/>
      <c r="BE56" s="283"/>
      <c r="BF56" s="283"/>
      <c r="BG56" s="283"/>
      <c r="BH56" s="283"/>
      <c r="BI56" s="283"/>
      <c r="BJ56" s="283"/>
      <c r="BK56" s="283"/>
      <c r="BL56" s="283"/>
      <c r="BM56" s="283"/>
    </row>
    <row r="57" spans="1:65">
      <c r="A57" s="669"/>
      <c r="B57" s="669"/>
      <c r="C57" s="283"/>
      <c r="D57" s="288" t="s">
        <v>7800</v>
      </c>
      <c r="E57" s="279"/>
      <c r="F57" s="280"/>
      <c r="G57" s="281"/>
      <c r="H57" s="283"/>
      <c r="I57" s="283"/>
      <c r="J57" s="283"/>
      <c r="K57" s="283"/>
      <c r="L57" s="283"/>
      <c r="M57" s="283"/>
      <c r="N57" s="283"/>
      <c r="O57" s="283"/>
      <c r="P57" s="283"/>
      <c r="Q57" s="283"/>
      <c r="R57" s="283"/>
      <c r="S57" s="283"/>
      <c r="T57" s="283"/>
      <c r="U57" s="283"/>
      <c r="V57" s="283"/>
      <c r="W57" s="283"/>
      <c r="X57" s="283"/>
      <c r="Y57" s="283"/>
      <c r="Z57" s="283"/>
      <c r="AA57" s="283"/>
      <c r="AB57" s="283"/>
      <c r="AC57" s="283"/>
      <c r="AD57" s="283"/>
      <c r="AE57" s="283"/>
      <c r="AF57" s="283"/>
      <c r="AG57" s="283"/>
      <c r="AH57" s="283"/>
      <c r="AI57" s="283"/>
      <c r="AJ57" s="283"/>
      <c r="AK57" s="283"/>
      <c r="AL57" s="283"/>
      <c r="AM57" s="283"/>
      <c r="AN57" s="283"/>
      <c r="AO57" s="283"/>
      <c r="AP57" s="283"/>
      <c r="AQ57" s="283"/>
      <c r="AR57" s="283"/>
      <c r="AS57" s="283"/>
      <c r="AT57" s="283"/>
      <c r="AU57" s="283"/>
      <c r="AV57" s="283"/>
      <c r="AW57" s="283"/>
      <c r="AX57" s="283"/>
      <c r="AY57" s="283"/>
      <c r="AZ57" s="283"/>
      <c r="BA57" s="283"/>
      <c r="BB57" s="283"/>
      <c r="BC57" s="283"/>
      <c r="BD57" s="283"/>
      <c r="BE57" s="283"/>
      <c r="BF57" s="283"/>
      <c r="BG57" s="283"/>
      <c r="BH57" s="283"/>
      <c r="BI57" s="283"/>
      <c r="BJ57" s="283"/>
      <c r="BK57" s="283"/>
      <c r="BL57" s="283"/>
      <c r="BM57" s="283"/>
    </row>
    <row r="58" spans="1:65">
      <c r="A58" s="669"/>
      <c r="B58" s="669"/>
      <c r="C58" s="283"/>
      <c r="D58" s="284" t="s">
        <v>7866</v>
      </c>
      <c r="E58" s="289">
        <f ca="1">SUMIF($B$22:$B$39,"LD",AQ$22:AQ$39)</f>
        <v>0</v>
      </c>
      <c r="F58" s="290">
        <f ca="1">SUMIF($B$22:$B$39,"LD",AR$22:AR$39)</f>
        <v>0</v>
      </c>
      <c r="G58" s="291">
        <f ca="1">SUMIF($B$22:$B$39,"LD",AS$22:AS$39)</f>
        <v>0</v>
      </c>
      <c r="H58" s="283"/>
      <c r="I58" s="283"/>
      <c r="J58" s="283"/>
      <c r="K58" s="283"/>
      <c r="L58" s="283"/>
      <c r="M58" s="283"/>
      <c r="N58" s="283"/>
      <c r="O58" s="283"/>
      <c r="P58" s="283"/>
      <c r="Q58" s="283"/>
      <c r="R58" s="283"/>
      <c r="S58" s="283"/>
      <c r="T58" s="283"/>
      <c r="U58" s="283"/>
      <c r="V58" s="283"/>
      <c r="W58" s="283"/>
      <c r="X58" s="283"/>
      <c r="Y58" s="283"/>
      <c r="Z58" s="283"/>
      <c r="AA58" s="283"/>
      <c r="AB58" s="283"/>
      <c r="AC58" s="283"/>
      <c r="AD58" s="283"/>
      <c r="AE58" s="283"/>
      <c r="AF58" s="283"/>
      <c r="AG58" s="283"/>
      <c r="AH58" s="283"/>
      <c r="AI58" s="283"/>
      <c r="AJ58" s="283"/>
      <c r="AK58" s="283"/>
      <c r="AL58" s="283"/>
      <c r="AM58" s="283"/>
      <c r="AN58" s="283"/>
      <c r="AO58" s="283"/>
      <c r="AP58" s="283"/>
      <c r="AQ58" s="283"/>
      <c r="AR58" s="283"/>
      <c r="AS58" s="283"/>
      <c r="AT58" s="283"/>
      <c r="AU58" s="283"/>
      <c r="AV58" s="283"/>
      <c r="AW58" s="283"/>
      <c r="AX58" s="283"/>
      <c r="AY58" s="283"/>
      <c r="AZ58" s="283"/>
      <c r="BA58" s="283"/>
      <c r="BB58" s="283"/>
      <c r="BC58" s="283"/>
      <c r="BD58" s="283"/>
      <c r="BE58" s="283"/>
      <c r="BF58" s="283"/>
      <c r="BG58" s="283"/>
      <c r="BH58" s="283"/>
      <c r="BI58" s="283"/>
      <c r="BJ58" s="283"/>
      <c r="BK58" s="283"/>
      <c r="BL58" s="283"/>
      <c r="BM58" s="283"/>
    </row>
    <row r="59" spans="1:65">
      <c r="A59" s="669"/>
      <c r="B59" s="669"/>
      <c r="C59" s="283"/>
      <c r="D59" s="284" t="s">
        <v>7853</v>
      </c>
      <c r="E59" s="292" t="str">
        <f ca="1">IFERROR(E57/E58,"")</f>
        <v/>
      </c>
      <c r="F59" s="293" t="str">
        <f ca="1">IFERROR(F57/F58,"")</f>
        <v/>
      </c>
      <c r="G59" s="294" t="str">
        <f ca="1">IFERROR(G57/G58,"")</f>
        <v/>
      </c>
      <c r="H59" s="283"/>
      <c r="I59" s="283"/>
      <c r="J59" s="283"/>
      <c r="K59" s="283"/>
      <c r="L59" s="283"/>
      <c r="M59" s="283"/>
      <c r="N59" s="283"/>
      <c r="O59" s="283"/>
      <c r="P59" s="283"/>
      <c r="Q59" s="283"/>
      <c r="R59" s="283"/>
      <c r="S59" s="283"/>
      <c r="T59" s="283"/>
      <c r="U59" s="283"/>
      <c r="V59" s="283"/>
      <c r="W59" s="283"/>
      <c r="X59" s="283"/>
      <c r="Y59" s="283"/>
      <c r="Z59" s="283"/>
      <c r="AA59" s="283"/>
      <c r="AB59" s="283"/>
      <c r="AC59" s="283"/>
      <c r="AD59" s="283"/>
      <c r="AE59" s="283"/>
      <c r="AF59" s="283"/>
      <c r="AG59" s="283"/>
      <c r="AH59" s="283"/>
      <c r="AI59" s="283"/>
      <c r="AJ59" s="283"/>
      <c r="AK59" s="283"/>
      <c r="AL59" s="283"/>
      <c r="AM59" s="283"/>
      <c r="AN59" s="283"/>
      <c r="AO59" s="283"/>
      <c r="AP59" s="283"/>
      <c r="AQ59" s="283"/>
      <c r="AR59" s="283"/>
      <c r="AS59" s="283"/>
      <c r="AT59" s="283"/>
      <c r="AU59" s="283"/>
      <c r="AV59" s="283"/>
      <c r="AW59" s="283"/>
      <c r="AX59" s="283"/>
      <c r="AY59" s="283"/>
      <c r="AZ59" s="283"/>
      <c r="BA59" s="283"/>
      <c r="BB59" s="283"/>
      <c r="BC59" s="283"/>
      <c r="BD59" s="283"/>
      <c r="BE59" s="283"/>
      <c r="BF59" s="283"/>
      <c r="BG59" s="283"/>
      <c r="BH59" s="283"/>
      <c r="BI59" s="283"/>
      <c r="BJ59" s="283"/>
      <c r="BK59" s="283"/>
      <c r="BL59" s="283"/>
      <c r="BM59" s="283"/>
    </row>
    <row r="60" spans="1:65">
      <c r="A60" s="669"/>
      <c r="B60" s="669"/>
      <c r="C60" s="283"/>
      <c r="D60" s="284" t="s">
        <v>7799</v>
      </c>
      <c r="E60" s="289">
        <f>G8-E53-E67</f>
        <v>0</v>
      </c>
      <c r="F60" s="290">
        <f>H8-F53-F67</f>
        <v>0</v>
      </c>
      <c r="G60" s="291">
        <f>I8-G53-G67</f>
        <v>0</v>
      </c>
      <c r="H60" s="283"/>
      <c r="I60" s="283"/>
      <c r="J60" s="283"/>
      <c r="K60" s="283"/>
      <c r="L60" s="283"/>
      <c r="M60" s="283"/>
      <c r="N60" s="283"/>
      <c r="O60" s="283"/>
      <c r="P60" s="283"/>
      <c r="Q60" s="283"/>
      <c r="R60" s="283"/>
      <c r="S60" s="283"/>
      <c r="T60" s="283"/>
      <c r="U60" s="283"/>
      <c r="V60" s="283"/>
      <c r="W60" s="283"/>
      <c r="X60" s="283"/>
      <c r="Y60" s="283"/>
      <c r="Z60" s="283"/>
      <c r="AA60" s="283"/>
      <c r="AB60" s="283"/>
      <c r="AC60" s="283"/>
      <c r="AD60" s="283"/>
      <c r="AE60" s="283"/>
      <c r="AF60" s="283"/>
      <c r="AG60" s="283"/>
      <c r="AH60" s="283"/>
      <c r="AI60" s="283"/>
      <c r="AJ60" s="283"/>
      <c r="AK60" s="283"/>
      <c r="AL60" s="283"/>
      <c r="AM60" s="283"/>
      <c r="AN60" s="283"/>
      <c r="AO60" s="283"/>
      <c r="AP60" s="283"/>
      <c r="AQ60" s="283"/>
      <c r="AR60" s="283"/>
      <c r="AS60" s="283"/>
      <c r="AT60" s="283"/>
      <c r="AU60" s="283"/>
      <c r="AV60" s="283"/>
      <c r="AW60" s="283"/>
      <c r="AX60" s="283"/>
      <c r="AY60" s="283"/>
      <c r="AZ60" s="283"/>
      <c r="BA60" s="283"/>
      <c r="BB60" s="283"/>
      <c r="BC60" s="283"/>
      <c r="BD60" s="283"/>
      <c r="BE60" s="283"/>
      <c r="BF60" s="283"/>
      <c r="BG60" s="283"/>
      <c r="BH60" s="283"/>
      <c r="BI60" s="283"/>
      <c r="BJ60" s="283"/>
      <c r="BK60" s="283"/>
      <c r="BL60" s="283"/>
      <c r="BM60" s="283"/>
    </row>
    <row r="61" spans="1:65" ht="13.5" thickBot="1">
      <c r="A61" s="669"/>
      <c r="B61" s="669"/>
      <c r="C61" s="283"/>
      <c r="D61" s="283"/>
      <c r="E61" s="283"/>
      <c r="F61" s="283"/>
      <c r="G61" s="283"/>
      <c r="H61" s="283"/>
      <c r="I61" s="283"/>
      <c r="J61" s="283"/>
      <c r="K61" s="283"/>
      <c r="L61" s="283"/>
      <c r="M61" s="283"/>
      <c r="N61" s="283"/>
      <c r="O61" s="283"/>
      <c r="P61" s="283"/>
      <c r="Q61" s="283"/>
      <c r="R61" s="283"/>
      <c r="S61" s="283"/>
      <c r="T61" s="283"/>
      <c r="U61" s="283"/>
      <c r="V61" s="283"/>
      <c r="W61" s="283"/>
      <c r="X61" s="283"/>
      <c r="Y61" s="283"/>
      <c r="Z61" s="283"/>
      <c r="AA61" s="283"/>
      <c r="AB61" s="283"/>
      <c r="AC61" s="283"/>
      <c r="AD61" s="283"/>
      <c r="AE61" s="283"/>
      <c r="AF61" s="283"/>
      <c r="AG61" s="283"/>
      <c r="AH61" s="283"/>
      <c r="AI61" s="283"/>
      <c r="AJ61" s="283"/>
      <c r="AK61" s="283"/>
      <c r="AL61" s="283"/>
      <c r="AM61" s="283"/>
      <c r="AN61" s="283"/>
      <c r="AO61" s="283"/>
      <c r="AP61" s="283"/>
      <c r="AQ61" s="283"/>
      <c r="AR61" s="283"/>
      <c r="AS61" s="283"/>
      <c r="AT61" s="283"/>
      <c r="AU61" s="283"/>
      <c r="AV61" s="283"/>
      <c r="AW61" s="283"/>
      <c r="AX61" s="283"/>
      <c r="AY61" s="283"/>
      <c r="AZ61" s="283"/>
      <c r="BA61" s="283"/>
      <c r="BB61" s="283"/>
      <c r="BC61" s="283"/>
      <c r="BD61" s="283"/>
      <c r="BE61" s="283"/>
      <c r="BF61" s="283"/>
      <c r="BG61" s="283"/>
      <c r="BH61" s="283"/>
      <c r="BI61" s="283"/>
      <c r="BJ61" s="283"/>
      <c r="BK61" s="283"/>
      <c r="BL61" s="283"/>
      <c r="BM61" s="283"/>
    </row>
    <row r="62" spans="1:65" ht="13.5" thickBot="1">
      <c r="A62" s="669"/>
      <c r="B62" s="669"/>
      <c r="C62" s="283"/>
      <c r="D62" s="283"/>
      <c r="E62" s="285" t="s">
        <v>7869</v>
      </c>
      <c r="F62" s="286"/>
      <c r="G62" s="287"/>
      <c r="H62" s="283" t="s">
        <v>7871</v>
      </c>
      <c r="I62" s="283"/>
      <c r="J62" s="283"/>
      <c r="K62" s="283"/>
      <c r="L62" s="283"/>
      <c r="M62" s="283"/>
      <c r="N62" s="283"/>
      <c r="O62" s="283"/>
      <c r="P62" s="283"/>
      <c r="Q62" s="283"/>
      <c r="R62" s="283"/>
      <c r="S62" s="283"/>
      <c r="T62" s="283"/>
      <c r="U62" s="283"/>
      <c r="V62" s="283"/>
      <c r="W62" s="283"/>
      <c r="X62" s="283"/>
      <c r="Y62" s="283"/>
      <c r="Z62" s="283"/>
      <c r="AA62" s="283"/>
      <c r="AB62" s="283"/>
      <c r="AC62" s="283"/>
      <c r="AD62" s="283"/>
      <c r="AE62" s="283"/>
      <c r="AF62" s="283"/>
      <c r="AG62" s="283"/>
      <c r="AH62" s="283"/>
      <c r="AI62" s="283"/>
      <c r="AJ62" s="283"/>
      <c r="AK62" s="283"/>
      <c r="AL62" s="283"/>
      <c r="AM62" s="283"/>
      <c r="AN62" s="283"/>
      <c r="AO62" s="283"/>
      <c r="AP62" s="283"/>
      <c r="AQ62" s="283"/>
      <c r="AR62" s="283"/>
      <c r="AS62" s="283"/>
      <c r="AT62" s="283"/>
      <c r="AU62" s="283"/>
      <c r="AV62" s="283"/>
      <c r="AW62" s="283"/>
      <c r="AX62" s="283"/>
      <c r="AY62" s="283"/>
      <c r="AZ62" s="283"/>
      <c r="BA62" s="283"/>
      <c r="BB62" s="283"/>
      <c r="BC62" s="283"/>
      <c r="BD62" s="283"/>
      <c r="BE62" s="283"/>
      <c r="BF62" s="283"/>
      <c r="BG62" s="283"/>
      <c r="BH62" s="283"/>
      <c r="BI62" s="283"/>
      <c r="BJ62" s="283"/>
      <c r="BK62" s="283"/>
      <c r="BL62" s="283"/>
      <c r="BM62" s="283"/>
    </row>
    <row r="63" spans="1:65">
      <c r="A63" s="669"/>
      <c r="B63" s="669"/>
      <c r="C63" s="283"/>
      <c r="D63" s="283"/>
      <c r="E63" s="188">
        <v>1</v>
      </c>
      <c r="F63" s="188">
        <v>2</v>
      </c>
      <c r="G63" s="188">
        <v>3</v>
      </c>
      <c r="H63" s="283"/>
      <c r="I63" s="283"/>
      <c r="J63" s="283"/>
      <c r="K63" s="283"/>
      <c r="L63" s="283"/>
      <c r="M63" s="283"/>
      <c r="N63" s="283"/>
      <c r="O63" s="283"/>
      <c r="P63" s="283"/>
      <c r="Q63" s="283"/>
      <c r="R63" s="283"/>
      <c r="S63" s="283"/>
      <c r="T63" s="283"/>
      <c r="U63" s="283"/>
      <c r="V63" s="283"/>
      <c r="W63" s="283"/>
      <c r="X63" s="283"/>
      <c r="Y63" s="283"/>
      <c r="Z63" s="283"/>
      <c r="AA63" s="283"/>
      <c r="AB63" s="283"/>
      <c r="AC63" s="283"/>
      <c r="AD63" s="283"/>
      <c r="AE63" s="283"/>
      <c r="AF63" s="283"/>
      <c r="AG63" s="283"/>
      <c r="AH63" s="283"/>
      <c r="AI63" s="283"/>
      <c r="AJ63" s="283"/>
      <c r="AK63" s="283"/>
      <c r="AL63" s="283"/>
      <c r="AM63" s="283"/>
      <c r="AN63" s="283"/>
      <c r="AO63" s="283"/>
      <c r="AP63" s="283"/>
      <c r="AQ63" s="283"/>
      <c r="AR63" s="283"/>
      <c r="AS63" s="283"/>
      <c r="AT63" s="283"/>
      <c r="AU63" s="283"/>
      <c r="AV63" s="283"/>
      <c r="AW63" s="283"/>
      <c r="AX63" s="283"/>
      <c r="AY63" s="283"/>
      <c r="AZ63" s="283"/>
      <c r="BA63" s="283"/>
      <c r="BB63" s="283"/>
      <c r="BC63" s="283"/>
      <c r="BD63" s="283"/>
      <c r="BE63" s="283"/>
      <c r="BF63" s="283"/>
      <c r="BG63" s="283"/>
      <c r="BH63" s="283"/>
      <c r="BI63" s="283"/>
      <c r="BJ63" s="283"/>
      <c r="BK63" s="283"/>
      <c r="BL63" s="283"/>
      <c r="BM63" s="283"/>
    </row>
    <row r="64" spans="1:65">
      <c r="A64" s="669"/>
      <c r="B64" s="669"/>
      <c r="C64" s="283"/>
      <c r="D64" s="288" t="s">
        <v>7800</v>
      </c>
      <c r="E64" s="279"/>
      <c r="F64" s="280"/>
      <c r="G64" s="281"/>
      <c r="H64" s="283"/>
      <c r="I64" s="283"/>
      <c r="J64" s="283"/>
      <c r="K64" s="283"/>
      <c r="L64" s="283"/>
      <c r="M64" s="283"/>
      <c r="N64" s="283"/>
      <c r="O64" s="283"/>
      <c r="P64" s="283"/>
      <c r="Q64" s="283"/>
      <c r="R64" s="283"/>
      <c r="S64" s="283"/>
      <c r="T64" s="283"/>
      <c r="U64" s="283"/>
      <c r="V64" s="283"/>
      <c r="W64" s="283"/>
      <c r="X64" s="283"/>
      <c r="Y64" s="283"/>
      <c r="Z64" s="283"/>
      <c r="AA64" s="283"/>
      <c r="AB64" s="283"/>
      <c r="AC64" s="283"/>
      <c r="AD64" s="283"/>
      <c r="AE64" s="283"/>
      <c r="AF64" s="283"/>
      <c r="AG64" s="283"/>
      <c r="AH64" s="283"/>
      <c r="AI64" s="283"/>
      <c r="AJ64" s="283"/>
      <c r="AK64" s="283"/>
      <c r="AL64" s="283"/>
      <c r="AM64" s="283"/>
      <c r="AN64" s="283"/>
      <c r="AO64" s="283"/>
      <c r="AP64" s="283"/>
      <c r="AQ64" s="283"/>
      <c r="AR64" s="283"/>
      <c r="AS64" s="283"/>
      <c r="AT64" s="283"/>
      <c r="AU64" s="283"/>
      <c r="AV64" s="283"/>
      <c r="AW64" s="283"/>
      <c r="AX64" s="283"/>
      <c r="AY64" s="283"/>
      <c r="AZ64" s="283"/>
      <c r="BA64" s="283"/>
      <c r="BB64" s="283"/>
      <c r="BC64" s="283"/>
      <c r="BD64" s="283"/>
      <c r="BE64" s="283"/>
      <c r="BF64" s="283"/>
      <c r="BG64" s="283"/>
      <c r="BH64" s="283"/>
      <c r="BI64" s="283"/>
      <c r="BJ64" s="283"/>
      <c r="BK64" s="283"/>
      <c r="BL64" s="283"/>
      <c r="BM64" s="283"/>
    </row>
    <row r="65" spans="1:65">
      <c r="A65" s="669"/>
      <c r="B65" s="669"/>
      <c r="C65" s="283"/>
      <c r="D65" s="284" t="s">
        <v>7866</v>
      </c>
      <c r="E65" s="289">
        <f ca="1">SUMIF($B$22:$B$39,"MOB",AQ$22:AQ$39)</f>
        <v>0</v>
      </c>
      <c r="F65" s="290">
        <f ca="1">SUMIF($B$22:$B$39,"MOB",AR$22:AR$39)</f>
        <v>0</v>
      </c>
      <c r="G65" s="291">
        <f ca="1">SUMIF($B$22:$B$39,"MOB",AS$22:AS$39)</f>
        <v>0</v>
      </c>
      <c r="H65" s="283"/>
      <c r="I65" s="283"/>
      <c r="J65" s="283"/>
      <c r="K65" s="283"/>
      <c r="L65" s="283"/>
      <c r="M65" s="283"/>
      <c r="N65" s="283"/>
      <c r="O65" s="283"/>
      <c r="P65" s="283"/>
      <c r="Q65" s="283"/>
      <c r="R65" s="283"/>
      <c r="S65" s="283"/>
      <c r="T65" s="283"/>
      <c r="U65" s="283"/>
      <c r="V65" s="283"/>
      <c r="W65" s="283"/>
      <c r="X65" s="283"/>
      <c r="Y65" s="283"/>
      <c r="Z65" s="283"/>
      <c r="AA65" s="283"/>
      <c r="AB65" s="283"/>
      <c r="AC65" s="283"/>
      <c r="AD65" s="283"/>
      <c r="AE65" s="283"/>
      <c r="AF65" s="283"/>
      <c r="AG65" s="283"/>
      <c r="AH65" s="283"/>
      <c r="AI65" s="283"/>
      <c r="AJ65" s="283"/>
      <c r="AK65" s="283"/>
      <c r="AL65" s="283"/>
      <c r="AM65" s="283"/>
      <c r="AN65" s="283"/>
      <c r="AO65" s="283"/>
      <c r="AP65" s="283"/>
      <c r="AQ65" s="283"/>
      <c r="AR65" s="283"/>
      <c r="AS65" s="283"/>
      <c r="AT65" s="283"/>
      <c r="AU65" s="283"/>
      <c r="AV65" s="283"/>
      <c r="AW65" s="283"/>
      <c r="AX65" s="283"/>
      <c r="AY65" s="283"/>
      <c r="AZ65" s="283"/>
      <c r="BA65" s="283"/>
      <c r="BB65" s="283"/>
      <c r="BC65" s="283"/>
      <c r="BD65" s="283"/>
      <c r="BE65" s="283"/>
      <c r="BF65" s="283"/>
      <c r="BG65" s="283"/>
      <c r="BH65" s="283"/>
      <c r="BI65" s="283"/>
      <c r="BJ65" s="283"/>
      <c r="BK65" s="283"/>
      <c r="BL65" s="283"/>
      <c r="BM65" s="283"/>
    </row>
    <row r="66" spans="1:65">
      <c r="A66" s="669"/>
      <c r="B66" s="669"/>
      <c r="C66" s="283"/>
      <c r="D66" s="284" t="s">
        <v>7853</v>
      </c>
      <c r="E66" s="292" t="str">
        <f ca="1">IFERROR(E64/E65,"")</f>
        <v/>
      </c>
      <c r="F66" s="293" t="str">
        <f ca="1">IFERROR(F64/F65,"")</f>
        <v/>
      </c>
      <c r="G66" s="294" t="str">
        <f ca="1">IFERROR(G64/G65,"")</f>
        <v/>
      </c>
      <c r="H66" s="283"/>
      <c r="I66" s="283"/>
      <c r="J66" s="283"/>
      <c r="K66" s="283"/>
      <c r="L66" s="283"/>
      <c r="M66" s="283"/>
      <c r="N66" s="283"/>
      <c r="O66" s="283"/>
      <c r="P66" s="283"/>
      <c r="Q66" s="283"/>
      <c r="R66" s="283"/>
      <c r="S66" s="283"/>
      <c r="T66" s="283"/>
      <c r="U66" s="283"/>
      <c r="V66" s="283"/>
      <c r="W66" s="283"/>
      <c r="X66" s="283"/>
      <c r="Y66" s="283"/>
      <c r="Z66" s="283"/>
      <c r="AA66" s="283"/>
      <c r="AB66" s="283"/>
      <c r="AC66" s="283"/>
      <c r="AD66" s="283"/>
      <c r="AE66" s="283"/>
      <c r="AF66" s="283"/>
      <c r="AG66" s="283"/>
      <c r="AH66" s="283"/>
      <c r="AI66" s="283"/>
      <c r="AJ66" s="283"/>
      <c r="AK66" s="283"/>
      <c r="AL66" s="283"/>
      <c r="AM66" s="283"/>
      <c r="AN66" s="283"/>
      <c r="AO66" s="283"/>
      <c r="AP66" s="283"/>
      <c r="AQ66" s="283"/>
      <c r="AR66" s="283"/>
      <c r="AS66" s="283"/>
      <c r="AT66" s="283"/>
      <c r="AU66" s="283"/>
      <c r="AV66" s="283"/>
      <c r="AW66" s="283"/>
      <c r="AX66" s="283"/>
      <c r="AY66" s="283"/>
      <c r="AZ66" s="283"/>
      <c r="BA66" s="283"/>
      <c r="BB66" s="283"/>
      <c r="BC66" s="283"/>
      <c r="BD66" s="283"/>
      <c r="BE66" s="283"/>
      <c r="BF66" s="283"/>
      <c r="BG66" s="283"/>
      <c r="BH66" s="283"/>
      <c r="BI66" s="283"/>
      <c r="BJ66" s="283"/>
      <c r="BK66" s="283"/>
      <c r="BL66" s="283"/>
      <c r="BM66" s="283"/>
    </row>
    <row r="67" spans="1:65">
      <c r="A67" s="669"/>
      <c r="B67" s="669"/>
      <c r="C67" s="283"/>
      <c r="D67" s="284" t="s">
        <v>7799</v>
      </c>
      <c r="E67" s="289">
        <f>SUMIF('Step 1'!O$42:O$51,"*MOBILITY*",'Step 1'!U$42:U$51)</f>
        <v>0</v>
      </c>
      <c r="F67" s="290">
        <f>SUMIF('Step 1'!P$42:P$51,"*MOBILITY*",'Step 1'!V$42:V$51)</f>
        <v>0</v>
      </c>
      <c r="G67" s="291">
        <f>SUMIF('Step 1'!Q$42:Q$51,"*MOBILITY*",'Step 1'!W$42:W$51)</f>
        <v>0</v>
      </c>
      <c r="H67" s="283"/>
      <c r="I67" s="283"/>
      <c r="J67" s="283"/>
      <c r="K67" s="283"/>
      <c r="L67" s="283"/>
      <c r="M67" s="283"/>
      <c r="N67" s="283"/>
      <c r="O67" s="283"/>
      <c r="P67" s="283"/>
      <c r="Q67" s="283"/>
      <c r="R67" s="283"/>
      <c r="S67" s="283"/>
      <c r="T67" s="283"/>
      <c r="U67" s="283"/>
      <c r="V67" s="283"/>
      <c r="W67" s="283"/>
      <c r="X67" s="283"/>
      <c r="Y67" s="283"/>
      <c r="Z67" s="283"/>
      <c r="AA67" s="283"/>
      <c r="AB67" s="283"/>
      <c r="AC67" s="283"/>
      <c r="AD67" s="283"/>
      <c r="AE67" s="283"/>
      <c r="AF67" s="283"/>
      <c r="AG67" s="283"/>
      <c r="AH67" s="283"/>
      <c r="AI67" s="283"/>
      <c r="AJ67" s="283"/>
      <c r="AK67" s="283"/>
      <c r="AL67" s="283"/>
      <c r="AM67" s="283"/>
      <c r="AN67" s="283"/>
      <c r="AO67" s="283"/>
      <c r="AP67" s="283"/>
      <c r="AQ67" s="283"/>
      <c r="AR67" s="283"/>
      <c r="AS67" s="283"/>
      <c r="AT67" s="283"/>
      <c r="AU67" s="283"/>
      <c r="AV67" s="283"/>
      <c r="AW67" s="283"/>
      <c r="AX67" s="283"/>
      <c r="AY67" s="283"/>
      <c r="AZ67" s="283"/>
      <c r="BA67" s="283"/>
      <c r="BB67" s="283"/>
      <c r="BC67" s="283"/>
      <c r="BD67" s="283"/>
      <c r="BE67" s="283"/>
      <c r="BF67" s="283"/>
      <c r="BG67" s="283"/>
      <c r="BH67" s="283"/>
      <c r="BI67" s="283"/>
      <c r="BJ67" s="283"/>
      <c r="BK67" s="283"/>
      <c r="BL67" s="283"/>
      <c r="BM67" s="283"/>
    </row>
    <row r="68" spans="1:65">
      <c r="A68" s="669"/>
      <c r="B68" s="669"/>
      <c r="C68" s="283"/>
      <c r="D68" s="283"/>
      <c r="E68" s="283"/>
      <c r="F68" s="283"/>
      <c r="G68" s="283"/>
      <c r="H68" s="283"/>
      <c r="I68" s="283"/>
      <c r="J68" s="283"/>
      <c r="K68" s="283"/>
      <c r="L68" s="283"/>
      <c r="M68" s="283"/>
      <c r="N68" s="283"/>
      <c r="O68" s="283"/>
      <c r="P68" s="283"/>
      <c r="Q68" s="283"/>
      <c r="R68" s="283"/>
      <c r="S68" s="283"/>
      <c r="T68" s="283"/>
      <c r="U68" s="283"/>
      <c r="V68" s="283"/>
      <c r="W68" s="283"/>
      <c r="X68" s="283"/>
      <c r="Y68" s="283"/>
      <c r="Z68" s="283"/>
      <c r="AA68" s="283"/>
      <c r="AB68" s="283"/>
      <c r="AC68" s="283"/>
      <c r="AD68" s="283"/>
      <c r="AE68" s="283"/>
      <c r="AF68" s="283"/>
      <c r="AG68" s="283"/>
      <c r="AH68" s="283"/>
      <c r="AI68" s="283"/>
      <c r="AJ68" s="283"/>
      <c r="AK68" s="283"/>
      <c r="AL68" s="283"/>
      <c r="AM68" s="283"/>
      <c r="AN68" s="283"/>
      <c r="AO68" s="283"/>
      <c r="AP68" s="283"/>
      <c r="AQ68" s="283"/>
      <c r="AR68" s="283"/>
      <c r="AS68" s="283"/>
      <c r="AT68" s="283"/>
      <c r="AU68" s="283"/>
      <c r="AV68" s="283"/>
      <c r="AW68" s="283"/>
      <c r="AX68" s="283"/>
      <c r="AY68" s="283"/>
      <c r="AZ68" s="283"/>
      <c r="BA68" s="283"/>
      <c r="BB68" s="283"/>
      <c r="BC68" s="283"/>
      <c r="BD68" s="283"/>
      <c r="BE68" s="283"/>
      <c r="BF68" s="283"/>
      <c r="BG68" s="283"/>
      <c r="BH68" s="283"/>
      <c r="BI68" s="283"/>
      <c r="BJ68" s="283"/>
      <c r="BK68" s="283"/>
      <c r="BL68" s="283"/>
      <c r="BM68" s="283"/>
    </row>
    <row r="69" spans="1:65">
      <c r="A69" s="669"/>
      <c r="B69" s="669"/>
      <c r="C69" s="283"/>
      <c r="D69" s="283"/>
      <c r="E69" s="283"/>
      <c r="F69" s="283"/>
      <c r="G69" s="283"/>
      <c r="H69" s="283"/>
      <c r="I69" s="283"/>
      <c r="J69" s="283"/>
      <c r="K69" s="283"/>
      <c r="L69" s="283"/>
      <c r="M69" s="283"/>
      <c r="N69" s="283"/>
      <c r="O69" s="283"/>
      <c r="P69" s="283"/>
      <c r="Q69" s="283"/>
      <c r="R69" s="283"/>
      <c r="S69" s="283"/>
      <c r="T69" s="283"/>
      <c r="U69" s="283"/>
      <c r="V69" s="283"/>
      <c r="W69" s="283"/>
      <c r="X69" s="283"/>
      <c r="Y69" s="283"/>
      <c r="Z69" s="283"/>
      <c r="AA69" s="283"/>
      <c r="AB69" s="283"/>
      <c r="AC69" s="283"/>
      <c r="AD69" s="283"/>
      <c r="AE69" s="283"/>
      <c r="AF69" s="283"/>
      <c r="AG69" s="283"/>
      <c r="AH69" s="283"/>
      <c r="AI69" s="283"/>
      <c r="AJ69" s="283"/>
      <c r="AK69" s="283"/>
      <c r="AL69" s="283"/>
      <c r="AM69" s="283"/>
      <c r="AN69" s="283"/>
      <c r="AO69" s="283"/>
      <c r="AP69" s="283"/>
      <c r="AQ69" s="283"/>
      <c r="AR69" s="283"/>
      <c r="AS69" s="283"/>
      <c r="AT69" s="283"/>
      <c r="AU69" s="283"/>
      <c r="AV69" s="283"/>
      <c r="AW69" s="283"/>
      <c r="AX69" s="283"/>
      <c r="AY69" s="283"/>
      <c r="AZ69" s="283"/>
      <c r="BA69" s="283"/>
      <c r="BB69" s="283"/>
      <c r="BC69" s="283"/>
      <c r="BD69" s="283"/>
      <c r="BE69" s="283"/>
      <c r="BF69" s="283"/>
      <c r="BG69" s="283"/>
      <c r="BH69" s="283"/>
      <c r="BI69" s="283"/>
      <c r="BJ69" s="283"/>
      <c r="BK69" s="283"/>
      <c r="BL69" s="283"/>
      <c r="BM69" s="283"/>
    </row>
    <row r="70" spans="1:65">
      <c r="A70" s="669"/>
      <c r="B70" s="669"/>
      <c r="C70" s="283"/>
      <c r="D70" s="283"/>
      <c r="E70" s="283"/>
      <c r="F70" s="283"/>
      <c r="G70" s="283"/>
      <c r="H70" s="283"/>
      <c r="I70" s="283"/>
      <c r="J70" s="283"/>
      <c r="K70" s="283"/>
      <c r="L70" s="283"/>
      <c r="M70" s="283"/>
      <c r="N70" s="283"/>
      <c r="O70" s="283"/>
      <c r="P70" s="283"/>
      <c r="Q70" s="283"/>
      <c r="R70" s="283"/>
      <c r="S70" s="283"/>
      <c r="T70" s="283"/>
      <c r="U70" s="283"/>
      <c r="V70" s="283"/>
      <c r="W70" s="283"/>
      <c r="X70" s="283"/>
      <c r="Y70" s="283"/>
      <c r="Z70" s="283"/>
      <c r="AA70" s="283"/>
      <c r="AB70" s="283"/>
      <c r="AC70" s="283"/>
      <c r="AD70" s="283"/>
      <c r="AE70" s="283"/>
      <c r="AF70" s="283"/>
      <c r="AG70" s="283"/>
      <c r="AH70" s="283"/>
      <c r="AI70" s="283"/>
      <c r="AJ70" s="283"/>
      <c r="AK70" s="283"/>
      <c r="AL70" s="283"/>
      <c r="AM70" s="283"/>
      <c r="AN70" s="283"/>
      <c r="AO70" s="283"/>
      <c r="AP70" s="283"/>
      <c r="AQ70" s="283"/>
      <c r="AR70" s="283"/>
      <c r="AS70" s="283"/>
      <c r="AT70" s="283"/>
      <c r="AU70" s="283"/>
      <c r="AV70" s="283"/>
      <c r="AW70" s="283"/>
      <c r="AX70" s="283"/>
      <c r="AY70" s="283"/>
      <c r="AZ70" s="283"/>
      <c r="BA70" s="283"/>
      <c r="BB70" s="283"/>
      <c r="BC70" s="283"/>
      <c r="BD70" s="283"/>
      <c r="BE70" s="283"/>
      <c r="BF70" s="283"/>
      <c r="BG70" s="283"/>
      <c r="BH70" s="283"/>
      <c r="BI70" s="283"/>
      <c r="BJ70" s="283"/>
      <c r="BK70" s="283"/>
      <c r="BL70" s="283"/>
      <c r="BM70" s="283"/>
    </row>
    <row r="71" spans="1:65">
      <c r="A71" s="669"/>
      <c r="B71" s="669"/>
      <c r="C71" s="283"/>
      <c r="D71" s="283"/>
      <c r="E71" s="283"/>
      <c r="F71" s="283"/>
      <c r="G71" s="283"/>
      <c r="H71" s="283"/>
      <c r="I71" s="283"/>
      <c r="J71" s="283"/>
      <c r="K71" s="283"/>
      <c r="L71" s="283"/>
      <c r="M71" s="283"/>
      <c r="N71" s="283"/>
      <c r="O71" s="283"/>
      <c r="P71" s="283"/>
      <c r="Q71" s="283"/>
      <c r="R71" s="283"/>
      <c r="S71" s="283"/>
      <c r="T71" s="283"/>
      <c r="U71" s="283"/>
      <c r="V71" s="283"/>
      <c r="W71" s="283"/>
      <c r="X71" s="283"/>
      <c r="Y71" s="283"/>
      <c r="Z71" s="283"/>
      <c r="AA71" s="283"/>
      <c r="AB71" s="283"/>
      <c r="AC71" s="283"/>
      <c r="AD71" s="283"/>
      <c r="AE71" s="283"/>
      <c r="AF71" s="283"/>
      <c r="AG71" s="283"/>
      <c r="AH71" s="283"/>
      <c r="AI71" s="283"/>
      <c r="AJ71" s="283"/>
      <c r="AK71" s="283"/>
      <c r="AL71" s="283"/>
      <c r="AM71" s="283"/>
      <c r="AN71" s="283"/>
      <c r="AO71" s="283"/>
      <c r="AP71" s="283"/>
      <c r="AQ71" s="283"/>
      <c r="AR71" s="283"/>
      <c r="AS71" s="283"/>
      <c r="AT71" s="283"/>
      <c r="AU71" s="283"/>
      <c r="AV71" s="283"/>
      <c r="AW71" s="283"/>
      <c r="AX71" s="283"/>
      <c r="AY71" s="283"/>
      <c r="AZ71" s="283"/>
      <c r="BA71" s="283"/>
      <c r="BB71" s="283"/>
      <c r="BC71" s="283"/>
      <c r="BD71" s="283"/>
      <c r="BE71" s="283"/>
      <c r="BF71" s="283"/>
      <c r="BG71" s="283"/>
      <c r="BH71" s="283"/>
      <c r="BI71" s="283"/>
      <c r="BJ71" s="283"/>
      <c r="BK71" s="283"/>
      <c r="BL71" s="283"/>
      <c r="BM71" s="283"/>
    </row>
    <row r="72" spans="1:65">
      <c r="A72" s="669"/>
      <c r="B72" s="669"/>
      <c r="C72" s="283"/>
      <c r="D72" s="283"/>
      <c r="E72" s="283"/>
      <c r="F72" s="283"/>
      <c r="G72" s="283"/>
      <c r="H72" s="283"/>
      <c r="I72" s="283"/>
      <c r="J72" s="283"/>
      <c r="K72" s="283"/>
      <c r="L72" s="283"/>
      <c r="M72" s="283"/>
      <c r="N72" s="283"/>
      <c r="O72" s="283"/>
      <c r="P72" s="283"/>
      <c r="Q72" s="283"/>
      <c r="R72" s="283"/>
      <c r="S72" s="283"/>
      <c r="T72" s="283"/>
      <c r="U72" s="283"/>
      <c r="V72" s="283"/>
      <c r="W72" s="283"/>
      <c r="X72" s="283"/>
      <c r="Y72" s="283"/>
      <c r="Z72" s="283"/>
      <c r="AA72" s="283"/>
      <c r="AB72" s="283"/>
      <c r="AC72" s="283"/>
      <c r="AD72" s="283"/>
      <c r="AE72" s="283"/>
      <c r="AF72" s="283"/>
      <c r="AG72" s="283"/>
      <c r="AH72" s="283"/>
      <c r="AI72" s="283"/>
      <c r="AJ72" s="283"/>
      <c r="AK72" s="283"/>
      <c r="AL72" s="283"/>
      <c r="AM72" s="283"/>
      <c r="AN72" s="283"/>
      <c r="AO72" s="283"/>
      <c r="AP72" s="283"/>
      <c r="AQ72" s="283"/>
      <c r="AR72" s="283"/>
      <c r="AS72" s="283"/>
      <c r="AT72" s="283"/>
      <c r="AU72" s="283"/>
      <c r="AV72" s="283"/>
      <c r="AW72" s="283"/>
      <c r="AX72" s="283"/>
      <c r="AY72" s="283"/>
      <c r="AZ72" s="283"/>
      <c r="BA72" s="283"/>
      <c r="BB72" s="283"/>
      <c r="BC72" s="283"/>
      <c r="BD72" s="283"/>
      <c r="BE72" s="283"/>
      <c r="BF72" s="283"/>
      <c r="BG72" s="283"/>
      <c r="BH72" s="283"/>
      <c r="BI72" s="283"/>
      <c r="BJ72" s="283"/>
      <c r="BK72" s="283"/>
      <c r="BL72" s="283"/>
      <c r="BM72" s="283"/>
    </row>
    <row r="73" spans="1:65">
      <c r="A73" s="669"/>
      <c r="B73" s="669"/>
      <c r="C73" s="283"/>
      <c r="D73" s="283"/>
      <c r="E73" s="283"/>
      <c r="F73" s="283"/>
      <c r="G73" s="283"/>
      <c r="H73" s="283"/>
      <c r="I73" s="283"/>
      <c r="J73" s="283"/>
      <c r="K73" s="283"/>
      <c r="L73" s="283"/>
      <c r="M73" s="283"/>
      <c r="N73" s="283"/>
      <c r="O73" s="283"/>
      <c r="P73" s="283"/>
      <c r="Q73" s="283"/>
      <c r="R73" s="283"/>
      <c r="S73" s="283"/>
      <c r="T73" s="283"/>
      <c r="U73" s="283"/>
      <c r="V73" s="283"/>
      <c r="W73" s="283"/>
      <c r="X73" s="283"/>
      <c r="Y73" s="283"/>
      <c r="Z73" s="283"/>
      <c r="AA73" s="283"/>
      <c r="AB73" s="283"/>
      <c r="AC73" s="283"/>
      <c r="AD73" s="283"/>
      <c r="AE73" s="283"/>
      <c r="AF73" s="283"/>
      <c r="AG73" s="283"/>
      <c r="AH73" s="283"/>
      <c r="AI73" s="283"/>
      <c r="AJ73" s="283"/>
      <c r="AK73" s="283"/>
      <c r="AL73" s="283"/>
      <c r="AM73" s="283"/>
      <c r="AN73" s="283"/>
      <c r="AO73" s="283"/>
      <c r="AP73" s="283"/>
      <c r="AQ73" s="283"/>
      <c r="AR73" s="283"/>
      <c r="AS73" s="283"/>
      <c r="AT73" s="283"/>
      <c r="AU73" s="283"/>
      <c r="AV73" s="283"/>
      <c r="AW73" s="283"/>
      <c r="AX73" s="283"/>
      <c r="AY73" s="283"/>
      <c r="AZ73" s="283"/>
      <c r="BA73" s="283"/>
      <c r="BB73" s="283"/>
      <c r="BC73" s="283"/>
      <c r="BD73" s="283"/>
      <c r="BE73" s="283"/>
      <c r="BF73" s="283"/>
      <c r="BG73" s="283"/>
      <c r="BH73" s="283"/>
      <c r="BI73" s="283"/>
      <c r="BJ73" s="283"/>
      <c r="BK73" s="283"/>
      <c r="BL73" s="283"/>
      <c r="BM73" s="283"/>
    </row>
    <row r="74" spans="1:65">
      <c r="A74" s="669"/>
      <c r="B74" s="669"/>
      <c r="C74" s="283"/>
      <c r="D74" s="283"/>
      <c r="E74" s="283"/>
      <c r="F74" s="283"/>
      <c r="G74" s="283"/>
      <c r="H74" s="283"/>
      <c r="I74" s="283"/>
      <c r="J74" s="283"/>
      <c r="K74" s="283"/>
      <c r="L74" s="283"/>
      <c r="M74" s="283"/>
      <c r="N74" s="283"/>
      <c r="O74" s="283"/>
      <c r="P74" s="283"/>
      <c r="Q74" s="283"/>
      <c r="R74" s="283"/>
      <c r="S74" s="283"/>
      <c r="T74" s="283"/>
      <c r="U74" s="283"/>
      <c r="V74" s="283"/>
      <c r="W74" s="283"/>
      <c r="X74" s="283"/>
      <c r="Y74" s="283"/>
      <c r="Z74" s="283"/>
      <c r="AA74" s="283"/>
      <c r="AB74" s="283"/>
      <c r="AC74" s="283"/>
      <c r="AD74" s="283"/>
      <c r="AE74" s="283"/>
      <c r="AF74" s="283"/>
      <c r="AG74" s="283"/>
      <c r="AH74" s="283"/>
      <c r="AI74" s="283"/>
      <c r="AJ74" s="283"/>
      <c r="AK74" s="283"/>
      <c r="AL74" s="283"/>
      <c r="AM74" s="283"/>
      <c r="AN74" s="283"/>
      <c r="AO74" s="283"/>
      <c r="AP74" s="283"/>
      <c r="AQ74" s="283"/>
      <c r="AR74" s="283"/>
      <c r="AS74" s="283"/>
      <c r="AT74" s="283"/>
      <c r="AU74" s="283"/>
      <c r="AV74" s="283"/>
      <c r="AW74" s="283"/>
      <c r="AX74" s="283"/>
      <c r="AY74" s="283"/>
      <c r="AZ74" s="283"/>
      <c r="BA74" s="283"/>
      <c r="BB74" s="283"/>
      <c r="BC74" s="283"/>
      <c r="BD74" s="283"/>
      <c r="BE74" s="283"/>
      <c r="BF74" s="283"/>
      <c r="BG74" s="283"/>
      <c r="BH74" s="283"/>
      <c r="BI74" s="283"/>
      <c r="BJ74" s="283"/>
      <c r="BK74" s="283"/>
      <c r="BL74" s="283"/>
      <c r="BM74" s="283"/>
    </row>
  </sheetData>
  <sheetProtection sheet="1" objects="1" scenarios="1"/>
  <dataValidations count="5">
    <dataValidation type="custom" allowBlank="1" showInputMessage="1" showErrorMessage="1" sqref="C40:K40 C32:K32" xr:uid="{00000000-0002-0000-0800-000000000000}">
      <formula1>"="</formula1>
    </dataValidation>
    <dataValidation allowBlank="1" showInputMessage="1" showErrorMessage="1" sqref="S36:U39" xr:uid="{00000000-0002-0000-0800-000001000000}"/>
    <dataValidation type="list" allowBlank="1" showInputMessage="1" showErrorMessage="1" sqref="C36:C39" xr:uid="{00000000-0002-0000-0800-000002000000}">
      <formula1>"LD,Telco,Mobility"</formula1>
    </dataValidation>
    <dataValidation type="list" allowBlank="1" showInputMessage="1" showErrorMessage="1" sqref="D5" xr:uid="{00000000-0002-0000-0800-000003000000}">
      <formula1>"Monthly,Annual,Contract"</formula1>
    </dataValidation>
    <dataValidation type="list" allowBlank="1" showInputMessage="1" showErrorMessage="1" sqref="D3" xr:uid="{00000000-0002-0000-0800-000004000000}">
      <formula1>"One,Two,Three,All"</formula1>
    </dataValidation>
  </dataValidations>
  <pageMargins left="0.7" right="0.7" top="0.75" bottom="0.75" header="0.3" footer="0.3"/>
  <pageSetup orientation="portrait" r:id="rId1"/>
  <headerFooter>
    <oddFooter>&amp;CAT&amp;&amp;T Proprietary (Internal Use Only)</oddFooter>
  </headerFooter>
  <ignoredErrors>
    <ignoredError sqref="AC42:AD42" unlockedFormula="1"/>
    <ignoredError sqref="J33:L33 Y33:AA33"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302223" r:id="rId4" name="Button 143">
              <controlPr defaultSize="0" autoFill="0" autoPict="0" macro="[0]!saveDealButton">
                <anchor moveWithCells="1">
                  <from>
                    <xdr:col>3</xdr:col>
                    <xdr:colOff>371475</xdr:colOff>
                    <xdr:row>10</xdr:row>
                    <xdr:rowOff>57150</xdr:rowOff>
                  </from>
                  <to>
                    <xdr:col>5</xdr:col>
                    <xdr:colOff>66675</xdr:colOff>
                    <xdr:row>12</xdr:row>
                    <xdr:rowOff>123825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sStep1"/>
  <dimension ref="A1:CE1241"/>
  <sheetViews>
    <sheetView showGridLines="0" zoomScale="90" zoomScaleNormal="90" workbookViewId="0">
      <selection activeCell="M1" sqref="M1"/>
    </sheetView>
  </sheetViews>
  <sheetFormatPr defaultColWidth="9.140625" defaultRowHeight="12.75"/>
  <cols>
    <col min="1" max="1" width="3.7109375" style="1083" customWidth="1"/>
    <col min="2" max="2" width="6.140625" style="1083" customWidth="1"/>
    <col min="3" max="3" width="24.140625" style="1083" customWidth="1"/>
    <col min="4" max="4" width="66.7109375" style="1083" customWidth="1"/>
    <col min="5" max="5" width="16.140625" style="1083" customWidth="1"/>
    <col min="6" max="6" width="15.5703125" style="1083" customWidth="1"/>
    <col min="7" max="9" width="12.7109375" style="1083" customWidth="1"/>
    <col min="10" max="10" width="11.7109375" style="1083" customWidth="1"/>
    <col min="11" max="11" width="10.85546875" style="1083" customWidth="1"/>
    <col min="12" max="12" width="10.7109375" style="1083" customWidth="1"/>
    <col min="13" max="13" width="12.85546875" style="1083" customWidth="1"/>
    <col min="14" max="16" width="10" style="1083" customWidth="1"/>
    <col min="17" max="17" width="11" style="1083" customWidth="1"/>
    <col min="18" max="18" width="11.28515625" style="1083" customWidth="1"/>
    <col min="19" max="19" width="9.140625" style="1083" customWidth="1"/>
    <col min="20" max="20" width="11.28515625" style="1083" customWidth="1"/>
    <col min="21" max="21" width="11" style="1083" customWidth="1"/>
    <col min="22" max="22" width="11.140625" style="1083" customWidth="1"/>
    <col min="23" max="23" width="11" style="1083" customWidth="1"/>
    <col min="24" max="24" width="11.7109375" style="1083" customWidth="1"/>
    <col min="25" max="25" width="12" style="1083" customWidth="1"/>
    <col min="26" max="26" width="11.42578125" style="1083" customWidth="1"/>
    <col min="27" max="27" width="11.28515625" style="1083" customWidth="1"/>
    <col min="28" max="28" width="9.140625" style="1083" customWidth="1"/>
    <col min="29" max="29" width="9.28515625" style="1083" customWidth="1"/>
    <col min="30" max="30" width="10.5703125" style="1083" customWidth="1"/>
    <col min="31" max="32" width="9.140625" style="1083" customWidth="1"/>
    <col min="33" max="16384" width="9.140625" style="1083"/>
  </cols>
  <sheetData>
    <row r="1" spans="1:30">
      <c r="A1" s="663"/>
      <c r="B1" s="1081"/>
      <c r="C1" s="1082"/>
      <c r="D1" s="1082"/>
      <c r="E1" s="1082"/>
      <c r="F1" s="1082"/>
      <c r="G1" s="1082"/>
      <c r="H1" s="1082"/>
      <c r="I1" s="663"/>
      <c r="J1" s="663"/>
      <c r="L1" s="1084" t="s">
        <v>2</v>
      </c>
      <c r="M1" s="1221">
        <f>vDate</f>
        <v>43381</v>
      </c>
      <c r="N1" s="1082"/>
      <c r="O1" s="1082"/>
      <c r="AD1" s="1085" t="s">
        <v>9201</v>
      </c>
    </row>
    <row r="2" spans="1:30" ht="12.2" customHeight="1">
      <c r="A2" s="1082"/>
      <c r="B2" s="1082"/>
      <c r="C2" s="1082"/>
      <c r="D2" s="1082"/>
      <c r="E2" s="1082"/>
      <c r="F2" s="1086"/>
      <c r="G2" s="1082"/>
      <c r="H2" s="1082"/>
      <c r="I2" s="663"/>
      <c r="J2" s="663"/>
      <c r="K2" s="663"/>
      <c r="N2" s="663"/>
      <c r="O2" s="663"/>
      <c r="AB2" s="1085" t="s">
        <v>9194</v>
      </c>
      <c r="AD2" s="1083" t="b">
        <v>0</v>
      </c>
    </row>
    <row r="3" spans="1:30" ht="12.2" customHeight="1">
      <c r="A3" s="1082"/>
      <c r="B3" s="1082"/>
      <c r="C3" s="1082"/>
      <c r="D3" s="1082"/>
      <c r="E3" s="1082"/>
      <c r="F3" s="1086"/>
      <c r="G3" s="1082"/>
      <c r="H3" s="1082"/>
      <c r="I3" s="663"/>
      <c r="J3" s="663"/>
      <c r="K3" s="663"/>
      <c r="L3" s="1084" t="s">
        <v>8041</v>
      </c>
      <c r="M3" s="1087" t="str">
        <f>ddDealStatus</f>
        <v/>
      </c>
      <c r="N3" s="663"/>
      <c r="O3" s="663"/>
      <c r="AB3" s="1083">
        <v>1</v>
      </c>
    </row>
    <row r="4" spans="1:30">
      <c r="A4" s="1082"/>
      <c r="B4" s="1082"/>
      <c r="C4" s="1082"/>
      <c r="D4" s="1088"/>
      <c r="E4" s="1089" t="s">
        <v>201</v>
      </c>
      <c r="F4" s="1090"/>
      <c r="G4" s="1091"/>
      <c r="H4" s="1082"/>
      <c r="I4" s="663"/>
      <c r="J4" s="663"/>
      <c r="K4" s="663"/>
      <c r="L4" s="1084" t="s">
        <v>8042</v>
      </c>
      <c r="M4" s="1092" t="str">
        <f>'Step 0'!F18</f>
        <v>Read/Write</v>
      </c>
      <c r="N4" s="1093"/>
      <c r="O4" s="1093"/>
      <c r="AB4" s="1083">
        <v>2</v>
      </c>
    </row>
    <row r="5" spans="1:30">
      <c r="A5" s="1094"/>
      <c r="B5" s="1082"/>
      <c r="C5" s="1095"/>
      <c r="D5" s="1096"/>
      <c r="E5" s="1084">
        <v>1</v>
      </c>
      <c r="F5" s="1084">
        <v>2</v>
      </c>
      <c r="G5" s="1084">
        <v>3</v>
      </c>
      <c r="H5" s="1097"/>
      <c r="I5" s="663"/>
      <c r="J5" s="663"/>
      <c r="K5" s="663"/>
      <c r="AB5" s="1083">
        <v>3</v>
      </c>
    </row>
    <row r="6" spans="1:30" ht="12.75" customHeight="1">
      <c r="A6" s="1094"/>
      <c r="B6" s="1082"/>
      <c r="C6" s="1098" t="s">
        <v>395</v>
      </c>
      <c r="D6" s="1099"/>
      <c r="E6" s="1249"/>
      <c r="F6" s="1249"/>
      <c r="G6" s="1249"/>
      <c r="H6" s="1097"/>
      <c r="I6" s="663"/>
      <c r="J6" s="663"/>
      <c r="K6" s="663"/>
      <c r="L6" s="1100"/>
      <c r="M6" s="1100"/>
      <c r="N6" s="1100"/>
      <c r="O6" s="1100"/>
      <c r="AB6" s="1083">
        <v>4</v>
      </c>
    </row>
    <row r="7" spans="1:30" s="1085" customFormat="1" ht="18" customHeight="1">
      <c r="A7" s="1111"/>
      <c r="B7" s="1111"/>
      <c r="C7" s="1101" t="s">
        <v>38</v>
      </c>
      <c r="D7" s="1102"/>
      <c r="E7" s="1103">
        <v>1</v>
      </c>
      <c r="F7" s="1104"/>
      <c r="G7" s="1104"/>
      <c r="H7" s="1105"/>
      <c r="I7" s="1106"/>
      <c r="J7" s="1106"/>
      <c r="K7" s="1106"/>
      <c r="L7" s="1100"/>
      <c r="M7" s="1100"/>
      <c r="N7" s="1100"/>
      <c r="O7" s="1100"/>
      <c r="AB7" s="1085">
        <v>5</v>
      </c>
    </row>
    <row r="8" spans="1:30" s="1085" customFormat="1">
      <c r="A8" s="1111"/>
      <c r="B8" s="1111"/>
      <c r="C8" s="1107" t="s">
        <v>7926</v>
      </c>
      <c r="D8" s="1102"/>
      <c r="E8" s="1571">
        <f>Product_Summary!AN46</f>
        <v>0</v>
      </c>
      <c r="F8" s="1571">
        <f>Product_Summary!AO46</f>
        <v>0</v>
      </c>
      <c r="G8" s="1571">
        <f>Product_Summary!AP46</f>
        <v>0</v>
      </c>
      <c r="H8" s="1108"/>
      <c r="I8" s="1106"/>
      <c r="J8" s="1106"/>
      <c r="K8" s="1106"/>
      <c r="L8" s="1222" t="s">
        <v>10099</v>
      </c>
      <c r="M8" s="1223"/>
      <c r="N8" s="1223"/>
      <c r="O8" s="1223"/>
      <c r="P8" s="1223"/>
      <c r="AB8" s="1085">
        <v>6</v>
      </c>
    </row>
    <row r="9" spans="1:30" s="1085" customFormat="1">
      <c r="A9" s="1109"/>
      <c r="B9" s="1111"/>
      <c r="C9" s="1110"/>
      <c r="D9" s="1110"/>
      <c r="E9" s="1572"/>
      <c r="F9" s="1572"/>
      <c r="G9" s="1572"/>
      <c r="H9" s="1106"/>
      <c r="I9" s="1106"/>
      <c r="J9" s="1106"/>
      <c r="K9" s="1106"/>
      <c r="L9" s="1224" t="s">
        <v>10090</v>
      </c>
      <c r="M9" s="1225"/>
      <c r="N9" s="1228"/>
      <c r="O9" s="1228"/>
      <c r="P9" s="1228"/>
      <c r="AB9" s="1085">
        <v>7</v>
      </c>
    </row>
    <row r="10" spans="1:30" s="1085" customFormat="1" ht="12.75" customHeight="1">
      <c r="A10" s="1111"/>
      <c r="B10" s="1111"/>
      <c r="C10" s="1112" t="s">
        <v>9995</v>
      </c>
      <c r="D10" s="1113"/>
      <c r="E10" s="1114">
        <f>oppty.AnnualSpend</f>
        <v>0</v>
      </c>
      <c r="F10" s="1570"/>
      <c r="G10" s="1570"/>
      <c r="H10" s="1106"/>
      <c r="I10" s="1106"/>
      <c r="J10" s="1106"/>
      <c r="K10" s="1106"/>
      <c r="L10" s="1224" t="s">
        <v>10091</v>
      </c>
      <c r="M10" s="1225"/>
      <c r="N10" s="1228"/>
      <c r="O10" s="1228"/>
      <c r="P10" s="1228"/>
      <c r="AB10" s="1085">
        <v>8</v>
      </c>
    </row>
    <row r="11" spans="1:30" s="1085" customFormat="1" ht="12.75" customHeight="1">
      <c r="A11" s="1111"/>
      <c r="B11" s="1111"/>
      <c r="C11" s="1112" t="s">
        <v>9996</v>
      </c>
      <c r="D11" s="1113"/>
      <c r="E11" s="1053"/>
      <c r="F11" s="1053"/>
      <c r="G11" s="1053"/>
      <c r="H11" s="1106"/>
      <c r="I11" s="1106"/>
      <c r="J11" s="1106"/>
      <c r="K11" s="1106"/>
      <c r="L11" s="1224" t="s">
        <v>10092</v>
      </c>
      <c r="M11" s="1225"/>
      <c r="N11" s="1226"/>
      <c r="O11" s="1226"/>
      <c r="P11" s="1226"/>
      <c r="AB11" s="1085">
        <v>9</v>
      </c>
    </row>
    <row r="12" spans="1:30" s="1085" customFormat="1" ht="12.75" customHeight="1">
      <c r="A12" s="1111"/>
      <c r="B12" s="1111"/>
      <c r="C12" s="1112" t="s">
        <v>10011</v>
      </c>
      <c r="D12" s="1113"/>
      <c r="E12" s="1053"/>
      <c r="F12" s="1054"/>
      <c r="G12" s="1054"/>
      <c r="H12" s="1106"/>
      <c r="I12" s="1106"/>
      <c r="J12" s="1106"/>
      <c r="K12" s="1106"/>
      <c r="L12" s="1224" t="s">
        <v>10093</v>
      </c>
      <c r="M12" s="1225"/>
      <c r="N12" s="1228"/>
      <c r="O12" s="1228"/>
      <c r="P12" s="1228"/>
      <c r="AB12" s="1085">
        <v>10</v>
      </c>
    </row>
    <row r="13" spans="1:30" s="1085" customFormat="1" ht="12.75" customHeight="1">
      <c r="A13" s="1111"/>
      <c r="B13" s="1111"/>
      <c r="C13" s="1112" t="str">
        <f>"What Is Total "&amp;IF(oppty.CommitmentType="Mobility Attainment Schedule","Monthly","Annual")&amp;" Contractual Commitment For This Oppty?"</f>
        <v>What Is Total Annual Contractual Commitment For This Oppty?</v>
      </c>
      <c r="D13" s="1113"/>
      <c r="E13" s="1227"/>
      <c r="F13" s="1227"/>
      <c r="G13" s="1227"/>
      <c r="H13" s="1106"/>
      <c r="I13" s="1116"/>
      <c r="J13" s="1116"/>
      <c r="K13" s="1106"/>
      <c r="L13" s="1224" t="s">
        <v>10094</v>
      </c>
      <c r="M13" s="1225"/>
      <c r="N13" s="1228"/>
      <c r="O13" s="1228"/>
      <c r="P13" s="1228"/>
      <c r="R13" s="1083"/>
    </row>
    <row r="14" spans="1:30" s="1085" customFormat="1" ht="12.75" customHeight="1">
      <c r="A14" s="1111"/>
      <c r="B14" s="1111"/>
      <c r="C14" s="1112" t="s">
        <v>11113</v>
      </c>
      <c r="D14" s="1113"/>
      <c r="E14" s="1053"/>
      <c r="F14" s="1053"/>
      <c r="G14" s="1053"/>
      <c r="H14" s="1106"/>
      <c r="I14" s="1117"/>
      <c r="J14" s="1117"/>
      <c r="K14" s="1106"/>
      <c r="L14" s="1224" t="s">
        <v>10095</v>
      </c>
      <c r="M14" s="1225"/>
      <c r="N14" s="1226"/>
      <c r="O14" s="1226"/>
      <c r="P14" s="1226"/>
      <c r="R14" s="1083"/>
    </row>
    <row r="15" spans="1:30" s="1085" customFormat="1" ht="12.75" customHeight="1">
      <c r="A15" s="1111"/>
      <c r="B15" s="1111"/>
      <c r="C15" s="1112" t="s">
        <v>9997</v>
      </c>
      <c r="D15" s="1113"/>
      <c r="E15" s="1568"/>
      <c r="F15" s="1227"/>
      <c r="G15" s="1227"/>
      <c r="H15" s="1106"/>
      <c r="I15" s="1117"/>
      <c r="J15" s="1117"/>
      <c r="K15" s="1106"/>
      <c r="L15" s="1224" t="s">
        <v>10096</v>
      </c>
      <c r="M15" s="1225"/>
      <c r="N15" s="1228"/>
      <c r="O15" s="1228"/>
      <c r="P15" s="1228"/>
    </row>
    <row r="16" spans="1:30" s="1085" customFormat="1">
      <c r="A16" s="1109"/>
      <c r="B16" s="1111"/>
      <c r="C16" s="1118" t="s">
        <v>9998</v>
      </c>
      <c r="D16" s="1119"/>
      <c r="E16" s="1568"/>
      <c r="F16" s="1227"/>
      <c r="G16" s="1227"/>
      <c r="H16" s="1106"/>
      <c r="I16" s="1117"/>
      <c r="J16" s="1117"/>
      <c r="K16" s="1106"/>
      <c r="L16" s="1224" t="s">
        <v>10097</v>
      </c>
      <c r="M16" s="1225"/>
      <c r="N16" s="1228"/>
      <c r="O16" s="1228"/>
      <c r="P16" s="1228"/>
    </row>
    <row r="17" spans="1:33" s="1085" customFormat="1">
      <c r="A17" s="1109"/>
      <c r="B17" s="1111"/>
      <c r="C17" s="1120" t="s">
        <v>9652</v>
      </c>
      <c r="D17" s="1121"/>
      <c r="E17" s="1569"/>
      <c r="F17" s="1570"/>
      <c r="G17" s="1570"/>
      <c r="H17" s="1106"/>
      <c r="I17" s="1117"/>
      <c r="J17" s="1117"/>
      <c r="K17" s="1106"/>
      <c r="L17" s="1224" t="s">
        <v>10098</v>
      </c>
      <c r="M17" s="1225"/>
      <c r="N17" s="1226"/>
      <c r="O17" s="1226"/>
      <c r="P17" s="1226"/>
    </row>
    <row r="18" spans="1:33" s="1085" customFormat="1">
      <c r="A18" s="1109"/>
      <c r="B18" s="1111"/>
      <c r="C18" s="1122"/>
      <c r="D18" s="1122"/>
      <c r="E18" s="1122"/>
      <c r="F18" s="1115"/>
      <c r="G18" s="1115"/>
      <c r="H18" s="1106"/>
      <c r="I18" s="1117"/>
      <c r="J18" s="1117"/>
      <c r="K18" s="1106"/>
      <c r="L18" s="1100"/>
      <c r="M18" s="1100"/>
      <c r="N18" s="1100"/>
      <c r="O18" s="1100"/>
    </row>
    <row r="19" spans="1:33">
      <c r="A19" s="1094"/>
      <c r="B19" s="1082"/>
    </row>
    <row r="20" spans="1:33">
      <c r="A20" s="1094"/>
      <c r="B20" s="1082"/>
      <c r="G20" s="1123" t="s">
        <v>238</v>
      </c>
      <c r="H20" s="1124"/>
      <c r="I20" s="1125"/>
    </row>
    <row r="21" spans="1:33" ht="25.5">
      <c r="A21" s="1126" t="s">
        <v>9192</v>
      </c>
      <c r="B21" s="1127" t="s">
        <v>10938</v>
      </c>
      <c r="C21" s="1126" t="s">
        <v>313</v>
      </c>
      <c r="D21" s="1126" t="s">
        <v>239</v>
      </c>
      <c r="E21" s="1126" t="s">
        <v>284</v>
      </c>
      <c r="F21" s="1126" t="s">
        <v>240</v>
      </c>
      <c r="G21" s="1126">
        <v>1</v>
      </c>
      <c r="H21" s="1126">
        <v>2</v>
      </c>
      <c r="I21" s="1126">
        <v>3</v>
      </c>
      <c r="J21" s="1126" t="s">
        <v>241</v>
      </c>
      <c r="K21" s="1127" t="s">
        <v>8074</v>
      </c>
      <c r="L21" s="1128" t="s">
        <v>522</v>
      </c>
      <c r="M21" s="1129"/>
      <c r="N21" s="1129"/>
      <c r="O21" s="1130"/>
      <c r="P21" s="1131" t="s">
        <v>8012</v>
      </c>
      <c r="Q21" s="1131" t="s">
        <v>8013</v>
      </c>
      <c r="R21" s="1131" t="s">
        <v>194</v>
      </c>
      <c r="S21" s="1131" t="s">
        <v>9196</v>
      </c>
      <c r="T21" s="1131" t="s">
        <v>8039</v>
      </c>
      <c r="U21" s="1131" t="s">
        <v>8040</v>
      </c>
      <c r="V21" s="1131" t="s">
        <v>242</v>
      </c>
      <c r="W21" s="1131" t="s">
        <v>9195</v>
      </c>
      <c r="X21" s="1131" t="s">
        <v>9709</v>
      </c>
      <c r="Y21" s="1131" t="s">
        <v>10067</v>
      </c>
      <c r="Z21" s="1131" t="s">
        <v>10068</v>
      </c>
      <c r="AA21" s="1131" t="s">
        <v>10069</v>
      </c>
      <c r="AB21" s="1131" t="s">
        <v>10070</v>
      </c>
      <c r="AC21" s="1131" t="s">
        <v>10071</v>
      </c>
      <c r="AD21" s="1131" t="s">
        <v>10072</v>
      </c>
      <c r="AE21" s="1131" t="s">
        <v>10286</v>
      </c>
      <c r="AF21" s="1131" t="s">
        <v>10565</v>
      </c>
      <c r="AG21" s="1131" t="s">
        <v>10916</v>
      </c>
    </row>
    <row r="22" spans="1:33">
      <c r="A22" s="1440">
        <v>1</v>
      </c>
      <c r="B22" s="1549"/>
      <c r="C22" s="1132"/>
      <c r="D22" s="1758"/>
      <c r="E22" s="1133"/>
      <c r="F22" s="1134"/>
      <c r="G22" s="1134"/>
      <c r="H22" s="1135"/>
      <c r="I22" s="1136"/>
      <c r="J22" s="1137" t="s">
        <v>242</v>
      </c>
      <c r="K22" s="1138" t="s">
        <v>11091</v>
      </c>
      <c r="L22" s="1139"/>
      <c r="M22" s="1140"/>
      <c r="N22" s="1140"/>
      <c r="O22" s="1141"/>
      <c r="P22" s="887"/>
      <c r="Q22" s="887"/>
      <c r="R22" s="887"/>
      <c r="S22" s="887"/>
      <c r="T22" s="887"/>
      <c r="U22" s="887"/>
      <c r="V22" s="887"/>
      <c r="W22" s="887"/>
      <c r="X22" s="1254"/>
      <c r="Y22" s="1064" t="str">
        <f>IFERROR(INDEX(creditS1,MATCH(#REF!,save.Credit0,0))/#REF!,"")</f>
        <v/>
      </c>
      <c r="Z22" s="1064" t="str">
        <f>IFERROR(MAX(1,INDEX(creditYS1,MATCH(#REF!,save.Credit0,0))),"")</f>
        <v/>
      </c>
      <c r="AA22" s="1064" t="str">
        <f>IFERROR(INDEX(creditS2,MATCH(#REF!,save.Credit0,0))/#REF!,"")</f>
        <v/>
      </c>
      <c r="AB22" s="1064" t="str">
        <f>IFERROR(MAX(1,INDEX(creditYS2,MATCH(#REF!,save.Credit0,0))),"")</f>
        <v/>
      </c>
      <c r="AC22" s="1064" t="str">
        <f>IFERROR(INDEX(creditS3,MATCH(#REF!,save.Credit0,0))/#REF!,"")</f>
        <v/>
      </c>
      <c r="AD22" s="1064" t="str">
        <f>IFERROR(MAX(1,INDEX(creditYS3,MATCH(#REF!,save.Credit0,0))),"")</f>
        <v/>
      </c>
      <c r="AE22" s="1142"/>
      <c r="AF22" s="1142"/>
      <c r="AG22" s="887"/>
    </row>
    <row r="23" spans="1:33">
      <c r="A23" s="1440">
        <v>2</v>
      </c>
      <c r="B23" s="1549"/>
      <c r="C23" s="1132"/>
      <c r="D23" s="1758"/>
      <c r="E23" s="1133"/>
      <c r="F23" s="1134"/>
      <c r="G23" s="1134"/>
      <c r="H23" s="1135"/>
      <c r="I23" s="1136"/>
      <c r="J23" s="1137" t="s">
        <v>242</v>
      </c>
      <c r="K23" s="1138" t="s">
        <v>11091</v>
      </c>
      <c r="L23" s="1139"/>
      <c r="M23" s="1140"/>
      <c r="N23" s="1140"/>
      <c r="O23" s="1141"/>
      <c r="P23" s="887"/>
      <c r="Q23" s="887"/>
      <c r="R23" s="887"/>
      <c r="S23" s="887"/>
      <c r="T23" s="887"/>
      <c r="U23" s="887"/>
      <c r="V23" s="887"/>
      <c r="W23" s="887"/>
      <c r="X23" s="1254"/>
      <c r="Y23" s="1064" t="str">
        <f>IFERROR(INDEX(creditS1,MATCH(#REF!,save.Credit0,0))/#REF!,"")</f>
        <v/>
      </c>
      <c r="Z23" s="1064" t="str">
        <f>IFERROR(MAX(1,INDEX(creditYS1,MATCH(#REF!,save.Credit0,0))),"")</f>
        <v/>
      </c>
      <c r="AA23" s="1064" t="str">
        <f>IFERROR(INDEX(creditS2,MATCH(#REF!,save.Credit0,0))/#REF!,"")</f>
        <v/>
      </c>
      <c r="AB23" s="1064" t="str">
        <f>IFERROR(MAX(1,INDEX(creditYS2,MATCH(#REF!,save.Credit0,0))),"")</f>
        <v/>
      </c>
      <c r="AC23" s="1064" t="str">
        <f>IFERROR(INDEX(creditS3,MATCH(#REF!,save.Credit0,0))/#REF!,"")</f>
        <v/>
      </c>
      <c r="AD23" s="1064" t="str">
        <f>IFERROR(MAX(1,INDEX(creditYS3,MATCH(#REF!,save.Credit0,0))),"")</f>
        <v/>
      </c>
      <c r="AE23" s="1142"/>
      <c r="AF23" s="1142"/>
      <c r="AG23" s="887"/>
    </row>
    <row r="24" spans="1:33">
      <c r="A24" s="1440">
        <v>3</v>
      </c>
      <c r="B24" s="1549"/>
      <c r="C24" s="1132"/>
      <c r="D24" s="1586"/>
      <c r="E24" s="1133"/>
      <c r="F24" s="1134"/>
      <c r="G24" s="1134"/>
      <c r="H24" s="1135"/>
      <c r="I24" s="1136"/>
      <c r="J24" s="1137" t="s">
        <v>242</v>
      </c>
      <c r="K24" s="1138" t="s">
        <v>11091</v>
      </c>
      <c r="L24" s="1139"/>
      <c r="M24" s="1140"/>
      <c r="N24" s="1140"/>
      <c r="O24" s="1141"/>
      <c r="P24" s="887"/>
      <c r="Q24" s="887"/>
      <c r="R24" s="887"/>
      <c r="S24" s="887"/>
      <c r="T24" s="887"/>
      <c r="U24" s="887"/>
      <c r="V24" s="887"/>
      <c r="W24" s="887"/>
      <c r="X24" s="1254"/>
      <c r="Y24" s="1064" t="str">
        <f>IFERROR(INDEX(creditS1,MATCH(#REF!,save.Credit0,0))/#REF!,"")</f>
        <v/>
      </c>
      <c r="Z24" s="1064" t="str">
        <f>IFERROR(MAX(1,INDEX(creditYS1,MATCH(#REF!,save.Credit0,0))),"")</f>
        <v/>
      </c>
      <c r="AA24" s="1064" t="str">
        <f>IFERROR(INDEX(creditS2,MATCH(#REF!,save.Credit0,0))/#REF!,"")</f>
        <v/>
      </c>
      <c r="AB24" s="1064" t="str">
        <f>IFERROR(MAX(1,INDEX(creditYS2,MATCH(#REF!,save.Credit0,0))),"")</f>
        <v/>
      </c>
      <c r="AC24" s="1064" t="str">
        <f>IFERROR(INDEX(creditS3,MATCH(#REF!,save.Credit0,0))/#REF!,"")</f>
        <v/>
      </c>
      <c r="AD24" s="1064" t="str">
        <f>IFERROR(MAX(1,INDEX(creditYS3,MATCH(#REF!,save.Credit0,0))),"")</f>
        <v/>
      </c>
      <c r="AE24" s="1142"/>
      <c r="AF24" s="1142"/>
      <c r="AG24" s="887"/>
    </row>
    <row r="25" spans="1:33">
      <c r="A25" s="1440">
        <v>4</v>
      </c>
      <c r="B25" s="1549"/>
      <c r="C25" s="1132"/>
      <c r="D25" s="1586"/>
      <c r="E25" s="1133"/>
      <c r="F25" s="1134"/>
      <c r="G25" s="1134"/>
      <c r="H25" s="1135"/>
      <c r="I25" s="1136"/>
      <c r="J25" s="1137" t="s">
        <v>242</v>
      </c>
      <c r="K25" s="1138" t="s">
        <v>11091</v>
      </c>
      <c r="L25" s="1139"/>
      <c r="M25" s="1140"/>
      <c r="N25" s="1140"/>
      <c r="O25" s="1141"/>
      <c r="P25" s="887"/>
      <c r="Q25" s="887"/>
      <c r="R25" s="887"/>
      <c r="S25" s="887"/>
      <c r="T25" s="887"/>
      <c r="U25" s="887"/>
      <c r="V25" s="887"/>
      <c r="W25" s="887"/>
      <c r="X25" s="1254"/>
      <c r="Y25" s="1064" t="str">
        <f>IFERROR(INDEX(creditS1,MATCH(#REF!,save.Credit0,0))/#REF!,"")</f>
        <v/>
      </c>
      <c r="Z25" s="1064" t="str">
        <f>IFERROR(MAX(1,INDEX(creditYS1,MATCH(#REF!,save.Credit0,0))),"")</f>
        <v/>
      </c>
      <c r="AA25" s="1064" t="str">
        <f>IFERROR(INDEX(creditS2,MATCH(#REF!,save.Credit0,0))/#REF!,"")</f>
        <v/>
      </c>
      <c r="AB25" s="1064" t="str">
        <f>IFERROR(MAX(1,INDEX(creditYS2,MATCH(#REF!,save.Credit0,0))),"")</f>
        <v/>
      </c>
      <c r="AC25" s="1064" t="str">
        <f>IFERROR(INDEX(creditS3,MATCH(#REF!,save.Credit0,0))/#REF!,"")</f>
        <v/>
      </c>
      <c r="AD25" s="1064" t="str">
        <f>IFERROR(MAX(1,INDEX(creditYS3,MATCH(#REF!,save.Credit0,0))),"")</f>
        <v/>
      </c>
      <c r="AE25" s="1142"/>
      <c r="AF25" s="1142"/>
      <c r="AG25" s="887"/>
    </row>
    <row r="26" spans="1:33">
      <c r="A26" s="1440">
        <v>5</v>
      </c>
      <c r="B26" s="1549"/>
      <c r="C26" s="1132"/>
      <c r="D26" s="1586"/>
      <c r="E26" s="1133"/>
      <c r="F26" s="1134"/>
      <c r="G26" s="1134"/>
      <c r="H26" s="1135"/>
      <c r="I26" s="1136"/>
      <c r="J26" s="1137" t="s">
        <v>242</v>
      </c>
      <c r="K26" s="1138" t="s">
        <v>11091</v>
      </c>
      <c r="L26" s="1139"/>
      <c r="M26" s="1140"/>
      <c r="N26" s="1140"/>
      <c r="O26" s="1141"/>
      <c r="P26" s="887"/>
      <c r="Q26" s="887"/>
      <c r="R26" s="887"/>
      <c r="S26" s="887"/>
      <c r="T26" s="887"/>
      <c r="U26" s="887"/>
      <c r="V26" s="887"/>
      <c r="W26" s="887"/>
      <c r="X26" s="1254"/>
      <c r="Y26" s="1064" t="str">
        <f>IFERROR(INDEX(creditS1,MATCH(#REF!,save.Credit0,0))/#REF!,"")</f>
        <v/>
      </c>
      <c r="Z26" s="1064" t="str">
        <f>IFERROR(MAX(1,INDEX(creditYS1,MATCH(#REF!,save.Credit0,0))),"")</f>
        <v/>
      </c>
      <c r="AA26" s="1064" t="str">
        <f>IFERROR(INDEX(creditS2,MATCH(#REF!,save.Credit0,0))/#REF!,"")</f>
        <v/>
      </c>
      <c r="AB26" s="1064" t="str">
        <f>IFERROR(MAX(1,INDEX(creditYS2,MATCH(#REF!,save.Credit0,0))),"")</f>
        <v/>
      </c>
      <c r="AC26" s="1064" t="str">
        <f>IFERROR(INDEX(creditS3,MATCH(#REF!,save.Credit0,0))/#REF!,"")</f>
        <v/>
      </c>
      <c r="AD26" s="1064" t="str">
        <f>IFERROR(MAX(1,INDEX(creditYS3,MATCH(#REF!,save.Credit0,0))),"")</f>
        <v/>
      </c>
      <c r="AE26" s="1142"/>
      <c r="AF26" s="1142"/>
      <c r="AG26" s="887"/>
    </row>
    <row r="27" spans="1:33">
      <c r="A27" s="1440">
        <v>6</v>
      </c>
      <c r="B27" s="1549"/>
      <c r="C27" s="1132"/>
      <c r="D27" s="1586"/>
      <c r="E27" s="1133"/>
      <c r="F27" s="1134"/>
      <c r="G27" s="1134"/>
      <c r="H27" s="1135"/>
      <c r="I27" s="1136"/>
      <c r="J27" s="1137" t="s">
        <v>242</v>
      </c>
      <c r="K27" s="1138" t="s">
        <v>11091</v>
      </c>
      <c r="L27" s="1139"/>
      <c r="M27" s="1140"/>
      <c r="N27" s="1140"/>
      <c r="O27" s="1141"/>
      <c r="P27" s="887"/>
      <c r="Q27" s="887"/>
      <c r="R27" s="887"/>
      <c r="S27" s="887"/>
      <c r="T27" s="887"/>
      <c r="U27" s="887"/>
      <c r="V27" s="887"/>
      <c r="W27" s="887"/>
      <c r="X27" s="1254"/>
      <c r="Y27" s="1064" t="str">
        <f>IFERROR(INDEX(creditS1,MATCH(#REF!,save.Credit0,0))/#REF!,"")</f>
        <v/>
      </c>
      <c r="Z27" s="1064" t="str">
        <f>IFERROR(MAX(1,INDEX(creditYS1,MATCH(#REF!,save.Credit0,0))),"")</f>
        <v/>
      </c>
      <c r="AA27" s="1064" t="str">
        <f>IFERROR(INDEX(creditS2,MATCH(#REF!,save.Credit0,0))/#REF!,"")</f>
        <v/>
      </c>
      <c r="AB27" s="1064" t="str">
        <f>IFERROR(MAX(1,INDEX(creditYS2,MATCH(#REF!,save.Credit0,0))),"")</f>
        <v/>
      </c>
      <c r="AC27" s="1064" t="str">
        <f>IFERROR(INDEX(creditS3,MATCH(#REF!,save.Credit0,0))/#REF!,"")</f>
        <v/>
      </c>
      <c r="AD27" s="1064" t="str">
        <f>IFERROR(MAX(1,INDEX(creditYS3,MATCH(#REF!,save.Credit0,0))),"")</f>
        <v/>
      </c>
      <c r="AE27" s="1142"/>
      <c r="AF27" s="1142"/>
      <c r="AG27" s="887"/>
    </row>
    <row r="28" spans="1:33">
      <c r="A28" s="1440">
        <v>7</v>
      </c>
      <c r="B28" s="1549"/>
      <c r="C28" s="1132"/>
      <c r="D28" s="1586"/>
      <c r="E28" s="1133"/>
      <c r="F28" s="1134"/>
      <c r="G28" s="1134"/>
      <c r="H28" s="1135"/>
      <c r="I28" s="1136"/>
      <c r="J28" s="1137" t="s">
        <v>242</v>
      </c>
      <c r="K28" s="1138" t="s">
        <v>11091</v>
      </c>
      <c r="L28" s="1139"/>
      <c r="M28" s="1140"/>
      <c r="N28" s="1140"/>
      <c r="O28" s="1141"/>
      <c r="P28" s="887"/>
      <c r="Q28" s="887"/>
      <c r="R28" s="887"/>
      <c r="S28" s="887"/>
      <c r="T28" s="887"/>
      <c r="U28" s="887"/>
      <c r="V28" s="887"/>
      <c r="W28" s="887"/>
      <c r="X28" s="1254"/>
      <c r="Y28" s="1064" t="str">
        <f>IFERROR(INDEX(creditS1,MATCH(#REF!,save.Credit0,0))/#REF!,"")</f>
        <v/>
      </c>
      <c r="Z28" s="1064" t="str">
        <f>IFERROR(MAX(1,INDEX(creditYS1,MATCH(#REF!,save.Credit0,0))),"")</f>
        <v/>
      </c>
      <c r="AA28" s="1064" t="str">
        <f>IFERROR(INDEX(creditS2,MATCH(#REF!,save.Credit0,0))/#REF!,"")</f>
        <v/>
      </c>
      <c r="AB28" s="1064" t="str">
        <f>IFERROR(MAX(1,INDEX(creditYS2,MATCH(#REF!,save.Credit0,0))),"")</f>
        <v/>
      </c>
      <c r="AC28" s="1064" t="str">
        <f>IFERROR(INDEX(creditS3,MATCH(#REF!,save.Credit0,0))/#REF!,"")</f>
        <v/>
      </c>
      <c r="AD28" s="1064" t="str">
        <f>IFERROR(MAX(1,INDEX(creditYS3,MATCH(#REF!,save.Credit0,0))),"")</f>
        <v/>
      </c>
      <c r="AE28" s="1142"/>
      <c r="AF28" s="1142"/>
      <c r="AG28" s="887"/>
    </row>
    <row r="29" spans="1:33">
      <c r="A29" s="1440">
        <v>8</v>
      </c>
      <c r="B29" s="1549"/>
      <c r="C29" s="1132"/>
      <c r="D29" s="1586"/>
      <c r="E29" s="1133"/>
      <c r="F29" s="1134"/>
      <c r="G29" s="1134"/>
      <c r="H29" s="1135"/>
      <c r="I29" s="1136"/>
      <c r="J29" s="1137" t="s">
        <v>242</v>
      </c>
      <c r="K29" s="1138" t="s">
        <v>11091</v>
      </c>
      <c r="L29" s="1139"/>
      <c r="M29" s="1140"/>
      <c r="N29" s="1140"/>
      <c r="O29" s="1141"/>
      <c r="P29" s="887"/>
      <c r="Q29" s="887"/>
      <c r="R29" s="887"/>
      <c r="S29" s="887"/>
      <c r="T29" s="887"/>
      <c r="U29" s="887"/>
      <c r="V29" s="887"/>
      <c r="W29" s="887"/>
      <c r="X29" s="1254"/>
      <c r="Y29" s="1064" t="str">
        <f>IFERROR(INDEX(creditS1,MATCH(#REF!,save.Credit0,0))/#REF!,"")</f>
        <v/>
      </c>
      <c r="Z29" s="1064" t="str">
        <f>IFERROR(MAX(1,INDEX(creditYS1,MATCH(#REF!,save.Credit0,0))),"")</f>
        <v/>
      </c>
      <c r="AA29" s="1064" t="str">
        <f>IFERROR(INDEX(creditS2,MATCH(#REF!,save.Credit0,0))/#REF!,"")</f>
        <v/>
      </c>
      <c r="AB29" s="1064" t="str">
        <f>IFERROR(MAX(1,INDEX(creditYS2,MATCH(#REF!,save.Credit0,0))),"")</f>
        <v/>
      </c>
      <c r="AC29" s="1064" t="str">
        <f>IFERROR(INDEX(creditS3,MATCH(#REF!,save.Credit0,0))/#REF!,"")</f>
        <v/>
      </c>
      <c r="AD29" s="1064" t="str">
        <f>IFERROR(MAX(1,INDEX(creditYS3,MATCH(#REF!,save.Credit0,0))),"")</f>
        <v/>
      </c>
      <c r="AE29" s="1142"/>
      <c r="AF29" s="1142"/>
      <c r="AG29" s="887"/>
    </row>
    <row r="30" spans="1:33">
      <c r="A30" s="1440">
        <v>9</v>
      </c>
      <c r="B30" s="1549"/>
      <c r="C30" s="1132"/>
      <c r="D30" s="1586"/>
      <c r="E30" s="1133"/>
      <c r="F30" s="1134"/>
      <c r="G30" s="1134"/>
      <c r="H30" s="1135"/>
      <c r="I30" s="1136"/>
      <c r="J30" s="1137" t="s">
        <v>242</v>
      </c>
      <c r="K30" s="1138" t="s">
        <v>11091</v>
      </c>
      <c r="L30" s="1139"/>
      <c r="M30" s="1140"/>
      <c r="N30" s="1140"/>
      <c r="O30" s="1141"/>
      <c r="P30" s="887"/>
      <c r="Q30" s="887"/>
      <c r="R30" s="887"/>
      <c r="S30" s="887"/>
      <c r="T30" s="887"/>
      <c r="U30" s="887"/>
      <c r="V30" s="887"/>
      <c r="W30" s="887"/>
      <c r="X30" s="1254"/>
      <c r="Y30" s="1064" t="str">
        <f>IFERROR(INDEX(creditS1,MATCH(#REF!,save.Credit0,0))/#REF!,"")</f>
        <v/>
      </c>
      <c r="Z30" s="1064" t="str">
        <f>IFERROR(MAX(1,INDEX(creditYS1,MATCH(#REF!,save.Credit0,0))),"")</f>
        <v/>
      </c>
      <c r="AA30" s="1064" t="str">
        <f>IFERROR(INDEX(creditS2,MATCH(#REF!,save.Credit0,0))/#REF!,"")</f>
        <v/>
      </c>
      <c r="AB30" s="1064" t="str">
        <f>IFERROR(MAX(1,INDEX(creditYS2,MATCH(#REF!,save.Credit0,0))),"")</f>
        <v/>
      </c>
      <c r="AC30" s="1064" t="str">
        <f>IFERROR(INDEX(creditS3,MATCH(#REF!,save.Credit0,0))/#REF!,"")</f>
        <v/>
      </c>
      <c r="AD30" s="1064" t="str">
        <f>IFERROR(MAX(1,INDEX(creditYS3,MATCH(#REF!,save.Credit0,0))),"")</f>
        <v/>
      </c>
      <c r="AE30" s="1142"/>
      <c r="AF30" s="1142"/>
      <c r="AG30" s="887"/>
    </row>
    <row r="31" spans="1:33">
      <c r="A31" s="1440">
        <v>10</v>
      </c>
      <c r="B31" s="1441"/>
      <c r="C31" s="1562"/>
      <c r="D31" s="1132"/>
      <c r="E31" s="1143"/>
      <c r="F31" s="1135"/>
      <c r="G31" s="1135"/>
      <c r="H31" s="1135"/>
      <c r="I31" s="1136"/>
      <c r="J31" s="1137"/>
      <c r="K31" s="1138"/>
      <c r="L31" s="1139"/>
      <c r="M31" s="1140"/>
      <c r="N31" s="1140"/>
      <c r="O31" s="1141"/>
      <c r="P31" s="887"/>
      <c r="Q31" s="887"/>
      <c r="R31" s="887"/>
      <c r="S31" s="887"/>
      <c r="T31" s="887"/>
      <c r="U31" s="887"/>
      <c r="V31" s="887"/>
      <c r="W31" s="887"/>
      <c r="X31" s="1254"/>
      <c r="Y31" s="1064" t="str">
        <f>IFERROR(INDEX(creditS1,MATCH(#REF!,save.Credit0,0))/#REF!,"")</f>
        <v/>
      </c>
      <c r="Z31" s="1064" t="str">
        <f>IFERROR(MAX(1,INDEX(creditYS1,MATCH(#REF!,save.Credit0,0))),"")</f>
        <v/>
      </c>
      <c r="AA31" s="1064" t="str">
        <f>IFERROR(INDEX(creditS2,MATCH(#REF!,save.Credit0,0))/#REF!,"")</f>
        <v/>
      </c>
      <c r="AB31" s="1064" t="str">
        <f>IFERROR(MAX(1,INDEX(creditYS2,MATCH(#REF!,save.Credit0,0))),"")</f>
        <v/>
      </c>
      <c r="AC31" s="1064" t="str">
        <f>IFERROR(INDEX(creditS3,MATCH(#REF!,save.Credit0,0))/#REF!,"")</f>
        <v/>
      </c>
      <c r="AD31" s="1064" t="str">
        <f>IFERROR(MAX(1,INDEX(creditYS3,MATCH(#REF!,save.Credit0,0))),"")</f>
        <v/>
      </c>
      <c r="AE31" s="1142"/>
      <c r="AF31" s="1142"/>
      <c r="AG31" s="887"/>
    </row>
    <row r="32" spans="1:33" ht="13.5" customHeight="1">
      <c r="A32" s="1144"/>
      <c r="B32" s="1144"/>
      <c r="C32" s="1145"/>
      <c r="D32" s="1145"/>
      <c r="E32" s="1145"/>
      <c r="F32" s="1145"/>
      <c r="G32" s="1145"/>
      <c r="H32" s="1145"/>
      <c r="I32" s="1145"/>
      <c r="J32" s="1145"/>
      <c r="K32" s="1146"/>
      <c r="L32" s="1147"/>
      <c r="M32" s="1144"/>
      <c r="N32" s="1144"/>
      <c r="O32" s="1144"/>
      <c r="P32" s="1144"/>
      <c r="Q32" s="1144"/>
      <c r="R32" s="1144"/>
      <c r="S32" s="1144"/>
      <c r="T32" s="1144"/>
      <c r="U32" s="1144"/>
      <c r="V32" s="1144"/>
      <c r="W32" s="1144"/>
      <c r="X32" s="1144"/>
      <c r="Y32" s="1144"/>
      <c r="Z32" s="1144"/>
      <c r="AA32" s="1144"/>
      <c r="AB32" s="1144"/>
      <c r="AC32" s="1144"/>
      <c r="AD32" s="1144"/>
      <c r="AE32" s="1144"/>
      <c r="AF32" s="1144"/>
    </row>
    <row r="33" spans="1:27">
      <c r="A33" s="1094"/>
      <c r="B33" s="1088"/>
      <c r="C33" s="1148" t="s">
        <v>8014</v>
      </c>
      <c r="D33" s="1149" t="s">
        <v>8015</v>
      </c>
      <c r="E33" s="1150"/>
      <c r="F33" s="1149" t="s">
        <v>8016</v>
      </c>
      <c r="G33" s="1150"/>
      <c r="H33" s="1149" t="s">
        <v>8017</v>
      </c>
      <c r="I33" s="1151"/>
      <c r="J33" s="1150"/>
      <c r="K33" s="1097"/>
      <c r="L33" s="663"/>
      <c r="M33" s="1082"/>
      <c r="N33" s="1082"/>
      <c r="O33" s="1082"/>
    </row>
    <row r="34" spans="1:27">
      <c r="A34" s="1094"/>
      <c r="B34" s="1088"/>
      <c r="C34" s="1152" t="s">
        <v>8018</v>
      </c>
      <c r="D34" s="1153" t="s">
        <v>8019</v>
      </c>
      <c r="E34" s="1154"/>
      <c r="F34" s="1153" t="s">
        <v>8020</v>
      </c>
      <c r="G34" s="1154"/>
      <c r="H34" s="1153" t="s">
        <v>8021</v>
      </c>
      <c r="I34" s="1155"/>
      <c r="J34" s="1154"/>
      <c r="K34" s="1097"/>
      <c r="L34" s="663"/>
      <c r="M34" s="1082"/>
      <c r="N34" s="1082"/>
      <c r="O34" s="1082"/>
    </row>
    <row r="35" spans="1:27">
      <c r="A35" s="1094"/>
      <c r="B35" s="1088"/>
      <c r="C35" s="1156" t="s">
        <v>8022</v>
      </c>
      <c r="D35" s="1157" t="s">
        <v>8023</v>
      </c>
      <c r="E35" s="1158"/>
      <c r="F35" s="1157" t="s">
        <v>8024</v>
      </c>
      <c r="G35" s="1158"/>
      <c r="H35" s="1157" t="s">
        <v>8021</v>
      </c>
      <c r="I35" s="1159"/>
      <c r="J35" s="1158"/>
      <c r="K35" s="1097"/>
      <c r="L35" s="663"/>
      <c r="M35" s="1082"/>
      <c r="N35" s="1082"/>
      <c r="O35" s="1082"/>
    </row>
    <row r="36" spans="1:27">
      <c r="A36" s="1094"/>
      <c r="B36" s="1088"/>
      <c r="C36" s="1156" t="s">
        <v>8025</v>
      </c>
      <c r="D36" s="1157" t="s">
        <v>8023</v>
      </c>
      <c r="E36" s="1158"/>
      <c r="F36" s="1157" t="s">
        <v>8024</v>
      </c>
      <c r="G36" s="1158"/>
      <c r="H36" s="1157" t="s">
        <v>8026</v>
      </c>
      <c r="I36" s="1159"/>
      <c r="J36" s="1158"/>
      <c r="K36" s="1097"/>
      <c r="L36" s="663"/>
      <c r="M36" s="1082"/>
      <c r="N36" s="1082"/>
      <c r="O36" s="1082"/>
    </row>
    <row r="37" spans="1:27">
      <c r="A37" s="1094"/>
      <c r="B37" s="1088"/>
      <c r="C37" s="1160" t="s">
        <v>9293</v>
      </c>
      <c r="D37" s="1161" t="s">
        <v>8023</v>
      </c>
      <c r="E37" s="1162"/>
      <c r="F37" s="1163" t="s">
        <v>9294</v>
      </c>
      <c r="G37" s="1162"/>
      <c r="H37" s="1161" t="s">
        <v>8026</v>
      </c>
      <c r="I37" s="1164"/>
      <c r="J37" s="1162"/>
      <c r="K37" s="1097"/>
      <c r="L37" s="663"/>
      <c r="M37" s="1082"/>
      <c r="N37" s="1082"/>
      <c r="O37" s="1082"/>
    </row>
    <row r="38" spans="1:27">
      <c r="A38" s="1094"/>
      <c r="B38" s="1082"/>
      <c r="C38" s="1165" t="s">
        <v>8045</v>
      </c>
      <c r="D38" s="1155"/>
      <c r="E38" s="1155"/>
      <c r="F38" s="1155"/>
      <c r="G38" s="1155"/>
      <c r="H38" s="1155"/>
      <c r="I38" s="1155"/>
      <c r="J38" s="1155"/>
      <c r="K38" s="663"/>
      <c r="L38" s="663"/>
      <c r="M38" s="1082"/>
      <c r="N38" s="1082"/>
      <c r="O38" s="1082"/>
    </row>
    <row r="39" spans="1:27" ht="18" customHeight="1" thickBot="1">
      <c r="A39" s="1094"/>
      <c r="B39" s="1082"/>
      <c r="C39" s="1166" t="s">
        <v>8027</v>
      </c>
      <c r="D39" s="1584"/>
      <c r="E39" s="663"/>
      <c r="F39" s="663"/>
      <c r="G39" s="663"/>
      <c r="H39" s="663"/>
      <c r="I39" s="1081"/>
      <c r="J39" s="1081"/>
      <c r="K39" s="1081"/>
      <c r="L39" s="1081"/>
      <c r="M39" s="1081"/>
      <c r="N39" s="1081"/>
      <c r="O39" s="1082"/>
      <c r="P39" s="1082"/>
      <c r="Q39" s="1168" t="str">
        <f>IF(Hide_Credit=1,"","Note - one time credits are annualized or adjusted to monthly for comparative purposes only.")</f>
        <v>Note - one time credits are annualized or adjusted to monthly for comparative purposes only.</v>
      </c>
    </row>
    <row r="40" spans="1:27">
      <c r="A40" s="1094"/>
      <c r="B40" s="1082"/>
      <c r="C40" s="1169" t="s">
        <v>8028</v>
      </c>
      <c r="D40" s="1167"/>
      <c r="E40" s="1167"/>
      <c r="F40" s="1167"/>
      <c r="G40" s="1167"/>
      <c r="H40" s="1170"/>
      <c r="I40" s="1616" t="s">
        <v>8029</v>
      </c>
      <c r="J40" s="1617"/>
      <c r="K40" s="1616" t="s">
        <v>322</v>
      </c>
      <c r="L40" s="1617"/>
      <c r="M40" s="1618" t="s">
        <v>8030</v>
      </c>
      <c r="N40" s="1617"/>
      <c r="O40" s="1082"/>
      <c r="P40" s="1082"/>
      <c r="Q40" s="1171" t="s">
        <v>7801</v>
      </c>
      <c r="R40" s="1172" t="s">
        <v>7802</v>
      </c>
      <c r="S40" s="1172" t="s">
        <v>7803</v>
      </c>
      <c r="T40" s="1082"/>
      <c r="U40" s="1171" t="s">
        <v>7801</v>
      </c>
      <c r="V40" s="1172" t="s">
        <v>7802</v>
      </c>
      <c r="W40" s="1172" t="s">
        <v>7803</v>
      </c>
      <c r="X40" s="1082"/>
      <c r="Y40" s="1171" t="s">
        <v>7801</v>
      </c>
      <c r="Z40" s="1172" t="s">
        <v>7802</v>
      </c>
      <c r="AA40" s="1172" t="s">
        <v>7803</v>
      </c>
    </row>
    <row r="41" spans="1:27" ht="51">
      <c r="A41" s="1094"/>
      <c r="B41" s="1088"/>
      <c r="C41" s="1173" t="s">
        <v>9193</v>
      </c>
      <c r="D41" s="1173" t="s">
        <v>477</v>
      </c>
      <c r="E41" s="1173" t="s">
        <v>8031</v>
      </c>
      <c r="F41" s="1173" t="s">
        <v>8032</v>
      </c>
      <c r="G41" s="1174" t="s">
        <v>8033</v>
      </c>
      <c r="H41" s="1175" t="s">
        <v>8034</v>
      </c>
      <c r="I41" s="1176" t="s">
        <v>323</v>
      </c>
      <c r="J41" s="1177" t="s">
        <v>324</v>
      </c>
      <c r="K41" s="1176" t="s">
        <v>323</v>
      </c>
      <c r="L41" s="1177" t="s">
        <v>324</v>
      </c>
      <c r="M41" s="1176" t="s">
        <v>323</v>
      </c>
      <c r="N41" s="1177" t="s">
        <v>324</v>
      </c>
      <c r="O41" s="1178" t="s">
        <v>313</v>
      </c>
      <c r="P41" s="1179" t="s">
        <v>8035</v>
      </c>
      <c r="Q41" s="1180" t="s">
        <v>7921</v>
      </c>
      <c r="R41" s="1180" t="s">
        <v>7921</v>
      </c>
      <c r="S41" s="1181" t="s">
        <v>7921</v>
      </c>
      <c r="T41" s="1179" t="s">
        <v>7920</v>
      </c>
      <c r="U41" s="1180" t="s">
        <v>7919</v>
      </c>
      <c r="V41" s="1180" t="s">
        <v>7919</v>
      </c>
      <c r="W41" s="1181" t="s">
        <v>7919</v>
      </c>
      <c r="X41" s="1179" t="s">
        <v>7922</v>
      </c>
      <c r="Y41" s="1180" t="s">
        <v>7923</v>
      </c>
      <c r="Z41" s="1180" t="s">
        <v>7923</v>
      </c>
      <c r="AA41" s="1181" t="s">
        <v>7923</v>
      </c>
    </row>
    <row r="42" spans="1:27">
      <c r="A42" s="1094"/>
      <c r="B42" s="1088"/>
      <c r="C42" s="1182"/>
      <c r="D42" s="1183" t="str">
        <f t="shared" ref="D42:D51" si="0">IFERROR(INDEX(products,C42),"")</f>
        <v/>
      </c>
      <c r="E42" s="1182"/>
      <c r="F42" s="1182"/>
      <c r="G42" s="1184"/>
      <c r="H42" s="1185"/>
      <c r="I42" s="1186"/>
      <c r="J42" s="1187"/>
      <c r="K42" s="1186"/>
      <c r="L42" s="1187"/>
      <c r="M42" s="1186"/>
      <c r="N42" s="1187"/>
      <c r="O42" s="1188" t="str">
        <f t="shared" ref="O42:O51" si="1">UPPER(IFERROR(INDEX(Affiliate_Type,MATCH(D42,products,0)),""))</f>
        <v/>
      </c>
      <c r="P42" s="1189">
        <f>T42/12</f>
        <v>0</v>
      </c>
      <c r="Q42" s="1190">
        <f t="shared" ref="Q42:S51" si="2">U42/12</f>
        <v>0</v>
      </c>
      <c r="R42" s="1190">
        <f t="shared" si="2"/>
        <v>0</v>
      </c>
      <c r="S42" s="1191">
        <f t="shared" si="2"/>
        <v>0</v>
      </c>
      <c r="T42" s="1189">
        <f t="shared" ref="T42:T51" si="3">12*IFERROR(H42/save.Credit2,0)</f>
        <v>0</v>
      </c>
      <c r="U42" s="1190">
        <f t="shared" ref="U42:U51" si="4">IFERROR(IF($E42="Annual",I42/J42,12*(I42/INDEX(G$22:G$31,(MATCH(D42,products,0))))),0)</f>
        <v>0</v>
      </c>
      <c r="V42" s="1190">
        <f t="shared" ref="V42:V51" si="5">IFERROR(IF($E42="Annual",K42/L42,12*(K42/INDEX(G$22:G$31,(MATCH(D42,products,0))))),0)</f>
        <v>0</v>
      </c>
      <c r="W42" s="1191">
        <f t="shared" ref="W42:W51" si="6">IFERROR(IF($E42="Annual",M42/N42,12*(M42/INDEX(G$22:G$31,(MATCH(D42,products,0))))),0)</f>
        <v>0</v>
      </c>
      <c r="X42" s="1189">
        <f>H42</f>
        <v>0</v>
      </c>
      <c r="Y42" s="1190">
        <f>I42</f>
        <v>0</v>
      </c>
      <c r="Z42" s="1190">
        <f>K42</f>
        <v>0</v>
      </c>
      <c r="AA42" s="1191">
        <f>M42</f>
        <v>0</v>
      </c>
    </row>
    <row r="43" spans="1:27">
      <c r="A43" s="1094"/>
      <c r="B43" s="1088"/>
      <c r="C43" s="1192"/>
      <c r="D43" s="1193" t="str">
        <f t="shared" si="0"/>
        <v/>
      </c>
      <c r="E43" s="1192"/>
      <c r="F43" s="1192"/>
      <c r="G43" s="1194"/>
      <c r="H43" s="1195"/>
      <c r="I43" s="1196"/>
      <c r="J43" s="1197"/>
      <c r="K43" s="1196"/>
      <c r="L43" s="1197"/>
      <c r="M43" s="1196"/>
      <c r="N43" s="1197"/>
      <c r="O43" s="1198" t="str">
        <f t="shared" si="1"/>
        <v/>
      </c>
      <c r="P43" s="1189">
        <f t="shared" ref="P43:P51" si="7">T43/12</f>
        <v>0</v>
      </c>
      <c r="Q43" s="1190">
        <f t="shared" si="2"/>
        <v>0</v>
      </c>
      <c r="R43" s="1190">
        <f t="shared" si="2"/>
        <v>0</v>
      </c>
      <c r="S43" s="1191">
        <f t="shared" si="2"/>
        <v>0</v>
      </c>
      <c r="T43" s="1189">
        <f t="shared" si="3"/>
        <v>0</v>
      </c>
      <c r="U43" s="1190">
        <f t="shared" si="4"/>
        <v>0</v>
      </c>
      <c r="V43" s="1190">
        <f t="shared" si="5"/>
        <v>0</v>
      </c>
      <c r="W43" s="1191">
        <f t="shared" si="6"/>
        <v>0</v>
      </c>
      <c r="X43" s="1189">
        <f t="shared" ref="X43:X51" si="8">H43</f>
        <v>0</v>
      </c>
      <c r="Y43" s="1190">
        <f t="shared" ref="Y43:Y51" si="9">I43</f>
        <v>0</v>
      </c>
      <c r="Z43" s="1190">
        <f t="shared" ref="Z43:Z51" si="10">K43</f>
        <v>0</v>
      </c>
      <c r="AA43" s="1191">
        <f t="shared" ref="AA43:AA51" si="11">M43</f>
        <v>0</v>
      </c>
    </row>
    <row r="44" spans="1:27">
      <c r="A44" s="1094"/>
      <c r="B44" s="1088"/>
      <c r="C44" s="1192"/>
      <c r="D44" s="1193" t="str">
        <f t="shared" si="0"/>
        <v/>
      </c>
      <c r="E44" s="1192"/>
      <c r="F44" s="1192"/>
      <c r="G44" s="1194"/>
      <c r="H44" s="1195"/>
      <c r="I44" s="1196"/>
      <c r="J44" s="1197"/>
      <c r="K44" s="1196"/>
      <c r="L44" s="1197"/>
      <c r="M44" s="1196"/>
      <c r="N44" s="1197"/>
      <c r="O44" s="1198" t="str">
        <f t="shared" si="1"/>
        <v/>
      </c>
      <c r="P44" s="1189">
        <f t="shared" si="7"/>
        <v>0</v>
      </c>
      <c r="Q44" s="1190">
        <f t="shared" si="2"/>
        <v>0</v>
      </c>
      <c r="R44" s="1190">
        <f t="shared" si="2"/>
        <v>0</v>
      </c>
      <c r="S44" s="1191">
        <f t="shared" si="2"/>
        <v>0</v>
      </c>
      <c r="T44" s="1189">
        <f t="shared" si="3"/>
        <v>0</v>
      </c>
      <c r="U44" s="1190">
        <f t="shared" si="4"/>
        <v>0</v>
      </c>
      <c r="V44" s="1190">
        <f t="shared" si="5"/>
        <v>0</v>
      </c>
      <c r="W44" s="1191">
        <f t="shared" si="6"/>
        <v>0</v>
      </c>
      <c r="X44" s="1189">
        <f t="shared" si="8"/>
        <v>0</v>
      </c>
      <c r="Y44" s="1190">
        <f t="shared" si="9"/>
        <v>0</v>
      </c>
      <c r="Z44" s="1190">
        <f t="shared" si="10"/>
        <v>0</v>
      </c>
      <c r="AA44" s="1191">
        <f t="shared" si="11"/>
        <v>0</v>
      </c>
    </row>
    <row r="45" spans="1:27">
      <c r="A45" s="1094"/>
      <c r="B45" s="1088"/>
      <c r="C45" s="1192"/>
      <c r="D45" s="1193" t="str">
        <f t="shared" si="0"/>
        <v/>
      </c>
      <c r="E45" s="1192"/>
      <c r="F45" s="1192"/>
      <c r="G45" s="1194"/>
      <c r="H45" s="1199"/>
      <c r="I45" s="1196"/>
      <c r="J45" s="1197"/>
      <c r="K45" s="1196"/>
      <c r="L45" s="1197"/>
      <c r="M45" s="1196"/>
      <c r="N45" s="1197"/>
      <c r="O45" s="1198" t="str">
        <f t="shared" si="1"/>
        <v/>
      </c>
      <c r="P45" s="1189">
        <f t="shared" si="7"/>
        <v>0</v>
      </c>
      <c r="Q45" s="1190">
        <f t="shared" si="2"/>
        <v>0</v>
      </c>
      <c r="R45" s="1190">
        <f t="shared" si="2"/>
        <v>0</v>
      </c>
      <c r="S45" s="1191">
        <f t="shared" si="2"/>
        <v>0</v>
      </c>
      <c r="T45" s="1189">
        <f t="shared" si="3"/>
        <v>0</v>
      </c>
      <c r="U45" s="1190">
        <f t="shared" si="4"/>
        <v>0</v>
      </c>
      <c r="V45" s="1190">
        <f t="shared" si="5"/>
        <v>0</v>
      </c>
      <c r="W45" s="1191">
        <f t="shared" si="6"/>
        <v>0</v>
      </c>
      <c r="X45" s="1189">
        <f t="shared" si="8"/>
        <v>0</v>
      </c>
      <c r="Y45" s="1190">
        <f t="shared" si="9"/>
        <v>0</v>
      </c>
      <c r="Z45" s="1190">
        <f t="shared" si="10"/>
        <v>0</v>
      </c>
      <c r="AA45" s="1191">
        <f t="shared" si="11"/>
        <v>0</v>
      </c>
    </row>
    <row r="46" spans="1:27">
      <c r="A46" s="1094"/>
      <c r="B46" s="1088"/>
      <c r="C46" s="1192"/>
      <c r="D46" s="1193" t="str">
        <f t="shared" si="0"/>
        <v/>
      </c>
      <c r="E46" s="1192"/>
      <c r="F46" s="1192"/>
      <c r="G46" s="1194"/>
      <c r="H46" s="1199"/>
      <c r="I46" s="1196"/>
      <c r="J46" s="1197"/>
      <c r="K46" s="1196"/>
      <c r="L46" s="1197"/>
      <c r="M46" s="1196"/>
      <c r="N46" s="1197"/>
      <c r="O46" s="1198" t="str">
        <f t="shared" si="1"/>
        <v/>
      </c>
      <c r="P46" s="1189">
        <f t="shared" si="7"/>
        <v>0</v>
      </c>
      <c r="Q46" s="1190">
        <f t="shared" si="2"/>
        <v>0</v>
      </c>
      <c r="R46" s="1190">
        <f t="shared" si="2"/>
        <v>0</v>
      </c>
      <c r="S46" s="1191">
        <f t="shared" si="2"/>
        <v>0</v>
      </c>
      <c r="T46" s="1189">
        <f t="shared" si="3"/>
        <v>0</v>
      </c>
      <c r="U46" s="1190">
        <f t="shared" si="4"/>
        <v>0</v>
      </c>
      <c r="V46" s="1190">
        <f t="shared" si="5"/>
        <v>0</v>
      </c>
      <c r="W46" s="1191">
        <f t="shared" si="6"/>
        <v>0</v>
      </c>
      <c r="X46" s="1189">
        <f t="shared" si="8"/>
        <v>0</v>
      </c>
      <c r="Y46" s="1190">
        <f t="shared" si="9"/>
        <v>0</v>
      </c>
      <c r="Z46" s="1190">
        <f t="shared" si="10"/>
        <v>0</v>
      </c>
      <c r="AA46" s="1191">
        <f t="shared" si="11"/>
        <v>0</v>
      </c>
    </row>
    <row r="47" spans="1:27">
      <c r="A47" s="1094"/>
      <c r="B47" s="1088"/>
      <c r="C47" s="1192"/>
      <c r="D47" s="1193" t="str">
        <f t="shared" si="0"/>
        <v/>
      </c>
      <c r="E47" s="1192"/>
      <c r="F47" s="1192"/>
      <c r="G47" s="1194"/>
      <c r="H47" s="1199"/>
      <c r="I47" s="1196"/>
      <c r="J47" s="1197"/>
      <c r="K47" s="1196"/>
      <c r="L47" s="1197"/>
      <c r="M47" s="1196"/>
      <c r="N47" s="1197"/>
      <c r="O47" s="1198" t="str">
        <f t="shared" si="1"/>
        <v/>
      </c>
      <c r="P47" s="1189">
        <f t="shared" si="7"/>
        <v>0</v>
      </c>
      <c r="Q47" s="1190">
        <f t="shared" si="2"/>
        <v>0</v>
      </c>
      <c r="R47" s="1190">
        <f t="shared" si="2"/>
        <v>0</v>
      </c>
      <c r="S47" s="1191">
        <f t="shared" si="2"/>
        <v>0</v>
      </c>
      <c r="T47" s="1189">
        <f t="shared" si="3"/>
        <v>0</v>
      </c>
      <c r="U47" s="1190">
        <f t="shared" si="4"/>
        <v>0</v>
      </c>
      <c r="V47" s="1190">
        <f t="shared" si="5"/>
        <v>0</v>
      </c>
      <c r="W47" s="1191">
        <f t="shared" si="6"/>
        <v>0</v>
      </c>
      <c r="X47" s="1189">
        <f t="shared" si="8"/>
        <v>0</v>
      </c>
      <c r="Y47" s="1190">
        <f t="shared" si="9"/>
        <v>0</v>
      </c>
      <c r="Z47" s="1190">
        <f t="shared" si="10"/>
        <v>0</v>
      </c>
      <c r="AA47" s="1191">
        <f t="shared" si="11"/>
        <v>0</v>
      </c>
    </row>
    <row r="48" spans="1:27">
      <c r="A48" s="1094"/>
      <c r="B48" s="1088"/>
      <c r="C48" s="1192"/>
      <c r="D48" s="1193" t="str">
        <f t="shared" si="0"/>
        <v/>
      </c>
      <c r="E48" s="1192"/>
      <c r="F48" s="1192"/>
      <c r="G48" s="1194"/>
      <c r="H48" s="1195"/>
      <c r="I48" s="1196"/>
      <c r="J48" s="1197"/>
      <c r="K48" s="1196"/>
      <c r="L48" s="1197"/>
      <c r="M48" s="1196"/>
      <c r="N48" s="1197"/>
      <c r="O48" s="1198" t="str">
        <f t="shared" si="1"/>
        <v/>
      </c>
      <c r="P48" s="1189">
        <f t="shared" si="7"/>
        <v>0</v>
      </c>
      <c r="Q48" s="1190">
        <f t="shared" si="2"/>
        <v>0</v>
      </c>
      <c r="R48" s="1190">
        <f t="shared" si="2"/>
        <v>0</v>
      </c>
      <c r="S48" s="1191">
        <f t="shared" si="2"/>
        <v>0</v>
      </c>
      <c r="T48" s="1189">
        <f t="shared" si="3"/>
        <v>0</v>
      </c>
      <c r="U48" s="1190">
        <f t="shared" si="4"/>
        <v>0</v>
      </c>
      <c r="V48" s="1190">
        <f t="shared" si="5"/>
        <v>0</v>
      </c>
      <c r="W48" s="1191">
        <f t="shared" si="6"/>
        <v>0</v>
      </c>
      <c r="X48" s="1189">
        <f t="shared" si="8"/>
        <v>0</v>
      </c>
      <c r="Y48" s="1190">
        <f t="shared" si="9"/>
        <v>0</v>
      </c>
      <c r="Z48" s="1190">
        <f t="shared" si="10"/>
        <v>0</v>
      </c>
      <c r="AA48" s="1191">
        <f t="shared" si="11"/>
        <v>0</v>
      </c>
    </row>
    <row r="49" spans="1:83">
      <c r="A49" s="1094"/>
      <c r="B49" s="1088"/>
      <c r="C49" s="1192"/>
      <c r="D49" s="1193" t="str">
        <f t="shared" si="0"/>
        <v/>
      </c>
      <c r="E49" s="1192"/>
      <c r="F49" s="1192"/>
      <c r="G49" s="1194"/>
      <c r="H49" s="1195"/>
      <c r="I49" s="1196"/>
      <c r="J49" s="1197"/>
      <c r="K49" s="1196"/>
      <c r="L49" s="1197"/>
      <c r="M49" s="1196"/>
      <c r="N49" s="1197"/>
      <c r="O49" s="1198" t="str">
        <f t="shared" si="1"/>
        <v/>
      </c>
      <c r="P49" s="1189">
        <f t="shared" si="7"/>
        <v>0</v>
      </c>
      <c r="Q49" s="1190">
        <f t="shared" si="2"/>
        <v>0</v>
      </c>
      <c r="R49" s="1190">
        <f t="shared" si="2"/>
        <v>0</v>
      </c>
      <c r="S49" s="1191">
        <f t="shared" si="2"/>
        <v>0</v>
      </c>
      <c r="T49" s="1189">
        <f t="shared" si="3"/>
        <v>0</v>
      </c>
      <c r="U49" s="1190">
        <f t="shared" si="4"/>
        <v>0</v>
      </c>
      <c r="V49" s="1190">
        <f t="shared" si="5"/>
        <v>0</v>
      </c>
      <c r="W49" s="1191">
        <f t="shared" si="6"/>
        <v>0</v>
      </c>
      <c r="X49" s="1189">
        <f t="shared" si="8"/>
        <v>0</v>
      </c>
      <c r="Y49" s="1190">
        <f t="shared" si="9"/>
        <v>0</v>
      </c>
      <c r="Z49" s="1190">
        <f t="shared" si="10"/>
        <v>0</v>
      </c>
      <c r="AA49" s="1191">
        <f t="shared" si="11"/>
        <v>0</v>
      </c>
    </row>
    <row r="50" spans="1:83">
      <c r="A50" s="1082"/>
      <c r="B50" s="1088"/>
      <c r="C50" s="1192"/>
      <c r="D50" s="1193" t="str">
        <f t="shared" si="0"/>
        <v/>
      </c>
      <c r="E50" s="1192"/>
      <c r="F50" s="1192"/>
      <c r="G50" s="1194"/>
      <c r="H50" s="1195"/>
      <c r="I50" s="1196"/>
      <c r="J50" s="1197"/>
      <c r="K50" s="1196"/>
      <c r="L50" s="1197"/>
      <c r="M50" s="1196"/>
      <c r="N50" s="1197"/>
      <c r="O50" s="1198" t="str">
        <f t="shared" si="1"/>
        <v/>
      </c>
      <c r="P50" s="1189">
        <f t="shared" si="7"/>
        <v>0</v>
      </c>
      <c r="Q50" s="1190">
        <f t="shared" si="2"/>
        <v>0</v>
      </c>
      <c r="R50" s="1190">
        <f t="shared" si="2"/>
        <v>0</v>
      </c>
      <c r="S50" s="1191">
        <f t="shared" si="2"/>
        <v>0</v>
      </c>
      <c r="T50" s="1189">
        <f t="shared" si="3"/>
        <v>0</v>
      </c>
      <c r="U50" s="1190">
        <f t="shared" si="4"/>
        <v>0</v>
      </c>
      <c r="V50" s="1190">
        <f t="shared" si="5"/>
        <v>0</v>
      </c>
      <c r="W50" s="1191">
        <f t="shared" si="6"/>
        <v>0</v>
      </c>
      <c r="X50" s="1189">
        <f t="shared" si="8"/>
        <v>0</v>
      </c>
      <c r="Y50" s="1190">
        <f t="shared" si="9"/>
        <v>0</v>
      </c>
      <c r="Z50" s="1190">
        <f t="shared" si="10"/>
        <v>0</v>
      </c>
      <c r="AA50" s="1191">
        <f t="shared" si="11"/>
        <v>0</v>
      </c>
    </row>
    <row r="51" spans="1:83" ht="13.5" thickBot="1">
      <c r="A51" s="1082"/>
      <c r="B51" s="1088"/>
      <c r="C51" s="1200"/>
      <c r="D51" s="1201" t="str">
        <f t="shared" si="0"/>
        <v/>
      </c>
      <c r="E51" s="1200"/>
      <c r="F51" s="1200"/>
      <c r="G51" s="1202"/>
      <c r="H51" s="1203"/>
      <c r="I51" s="1204"/>
      <c r="J51" s="1205"/>
      <c r="K51" s="1204"/>
      <c r="L51" s="1205"/>
      <c r="M51" s="1204"/>
      <c r="N51" s="1205"/>
      <c r="O51" s="1206" t="str">
        <f t="shared" si="1"/>
        <v/>
      </c>
      <c r="P51" s="1207">
        <f t="shared" si="7"/>
        <v>0</v>
      </c>
      <c r="Q51" s="1208">
        <f t="shared" si="2"/>
        <v>0</v>
      </c>
      <c r="R51" s="1208">
        <f t="shared" si="2"/>
        <v>0</v>
      </c>
      <c r="S51" s="1209">
        <f t="shared" si="2"/>
        <v>0</v>
      </c>
      <c r="T51" s="1207">
        <f t="shared" si="3"/>
        <v>0</v>
      </c>
      <c r="U51" s="1208">
        <f t="shared" si="4"/>
        <v>0</v>
      </c>
      <c r="V51" s="1208">
        <f t="shared" si="5"/>
        <v>0</v>
      </c>
      <c r="W51" s="1209">
        <f t="shared" si="6"/>
        <v>0</v>
      </c>
      <c r="X51" s="1207">
        <f t="shared" si="8"/>
        <v>0</v>
      </c>
      <c r="Y51" s="1208">
        <f t="shared" si="9"/>
        <v>0</v>
      </c>
      <c r="Z51" s="1208">
        <f t="shared" si="10"/>
        <v>0</v>
      </c>
      <c r="AA51" s="1209">
        <f t="shared" si="11"/>
        <v>0</v>
      </c>
    </row>
    <row r="52" spans="1:83" ht="13.5" thickBot="1">
      <c r="A52" s="663"/>
      <c r="B52" s="1081"/>
      <c r="C52" s="1093"/>
      <c r="D52" s="1093"/>
      <c r="E52" s="1093"/>
      <c r="F52" s="1093"/>
      <c r="G52" s="1146"/>
      <c r="H52" s="1146"/>
      <c r="I52" s="1146"/>
      <c r="J52" s="1146"/>
      <c r="K52" s="1146"/>
      <c r="L52" s="1146"/>
      <c r="M52" s="1146"/>
      <c r="N52" s="1146"/>
      <c r="O52" s="1082"/>
      <c r="P52" s="1210">
        <f>SUM(P42:P51)</f>
        <v>0</v>
      </c>
      <c r="Q52" s="1211">
        <f>SUM(Q42:Q51)</f>
        <v>0</v>
      </c>
      <c r="R52" s="1211">
        <f t="shared" ref="R52:S52" si="12">SUM(R42:R51)</f>
        <v>0</v>
      </c>
      <c r="S52" s="1212">
        <f t="shared" si="12"/>
        <v>0</v>
      </c>
      <c r="T52" s="1213">
        <f t="shared" ref="T52:AA52" si="13">SUM(T42:T51)</f>
        <v>0</v>
      </c>
      <c r="U52" s="1211">
        <f t="shared" si="13"/>
        <v>0</v>
      </c>
      <c r="V52" s="1211">
        <f t="shared" si="13"/>
        <v>0</v>
      </c>
      <c r="W52" s="1214">
        <f t="shared" si="13"/>
        <v>0</v>
      </c>
      <c r="X52" s="1210">
        <f t="shared" si="13"/>
        <v>0</v>
      </c>
      <c r="Y52" s="1211">
        <f t="shared" si="13"/>
        <v>0</v>
      </c>
      <c r="Z52" s="1211">
        <f t="shared" si="13"/>
        <v>0</v>
      </c>
      <c r="AA52" s="1212">
        <f t="shared" si="13"/>
        <v>0</v>
      </c>
    </row>
    <row r="53" spans="1:83">
      <c r="A53" s="1093"/>
      <c r="B53" s="1237"/>
      <c r="C53" s="1093"/>
      <c r="D53" s="1093"/>
      <c r="E53" s="1093"/>
      <c r="F53" s="1093"/>
      <c r="G53" s="1093"/>
      <c r="H53" s="1093"/>
      <c r="I53" s="1093"/>
      <c r="J53" s="1093"/>
      <c r="K53" s="1093"/>
      <c r="L53" s="1093"/>
      <c r="M53" s="1093"/>
      <c r="N53" s="1093"/>
      <c r="O53" s="664"/>
      <c r="P53" s="664"/>
      <c r="Q53" s="664"/>
      <c r="R53" s="664"/>
      <c r="S53" s="664"/>
      <c r="T53" s="664"/>
      <c r="U53" s="664"/>
      <c r="V53" s="664"/>
      <c r="W53" s="664"/>
      <c r="X53" s="664"/>
      <c r="Y53" s="664"/>
      <c r="Z53" s="664"/>
      <c r="AA53" s="664"/>
      <c r="AB53" s="664"/>
      <c r="AC53" s="664"/>
      <c r="AD53" s="664"/>
      <c r="AE53" s="664"/>
      <c r="AF53" s="664"/>
      <c r="AG53" s="664"/>
      <c r="AH53" s="664"/>
      <c r="AI53" s="664"/>
      <c r="AJ53" s="664"/>
      <c r="AK53" s="664"/>
      <c r="AL53" s="664"/>
      <c r="AM53" s="664"/>
      <c r="AN53" s="664"/>
      <c r="AO53" s="664"/>
      <c r="AP53" s="664"/>
      <c r="AQ53" s="664"/>
      <c r="AR53" s="664"/>
      <c r="AS53" s="664"/>
      <c r="AT53" s="664"/>
      <c r="AU53" s="664"/>
      <c r="AV53" s="664"/>
      <c r="AW53" s="664"/>
      <c r="AX53" s="664"/>
      <c r="AY53" s="664"/>
      <c r="AZ53" s="664"/>
      <c r="BA53" s="664"/>
      <c r="BB53" s="664"/>
      <c r="BC53" s="664"/>
      <c r="BD53" s="664"/>
      <c r="BE53" s="664"/>
      <c r="BF53" s="664"/>
      <c r="BG53" s="664"/>
      <c r="BH53" s="664"/>
      <c r="BI53" s="664"/>
      <c r="BJ53" s="664"/>
      <c r="BK53" s="664"/>
      <c r="BL53" s="664"/>
      <c r="BM53" s="664"/>
      <c r="BN53" s="664"/>
      <c r="BO53" s="664"/>
      <c r="BP53" s="664"/>
      <c r="BQ53" s="664"/>
      <c r="BR53" s="664"/>
      <c r="BS53" s="664"/>
      <c r="BT53" s="664"/>
      <c r="BU53" s="664"/>
      <c r="BV53" s="664"/>
      <c r="BW53" s="664"/>
      <c r="BX53" s="664"/>
      <c r="BY53" s="664"/>
      <c r="BZ53" s="664"/>
      <c r="CA53" s="664"/>
      <c r="CB53" s="664"/>
      <c r="CC53" s="664"/>
      <c r="CD53" s="664"/>
      <c r="CE53" s="664"/>
    </row>
    <row r="54" spans="1:83" ht="22.5">
      <c r="A54" s="1093"/>
      <c r="B54" s="1237"/>
      <c r="C54" s="1215" t="s">
        <v>305</v>
      </c>
      <c r="D54" s="1215" t="s">
        <v>306</v>
      </c>
      <c r="E54" s="1215"/>
      <c r="F54" s="1215"/>
      <c r="G54" s="1215" t="s">
        <v>307</v>
      </c>
      <c r="H54" s="1215" t="s">
        <v>308</v>
      </c>
      <c r="I54" s="1215" t="s">
        <v>302</v>
      </c>
      <c r="J54" s="1215" t="s">
        <v>41</v>
      </c>
      <c r="K54" s="1215" t="s">
        <v>303</v>
      </c>
      <c r="L54" s="1215" t="s">
        <v>300</v>
      </c>
      <c r="M54" s="1215" t="s">
        <v>478</v>
      </c>
      <c r="N54" s="1215" t="s">
        <v>42</v>
      </c>
      <c r="O54" s="1216" t="s">
        <v>300</v>
      </c>
      <c r="P54" s="664"/>
      <c r="Q54" s="664"/>
      <c r="R54" s="664"/>
      <c r="S54" s="664"/>
      <c r="T54" s="664"/>
      <c r="U54" s="664"/>
      <c r="V54" s="664"/>
      <c r="W54" s="664"/>
      <c r="X54" s="664"/>
      <c r="Y54" s="664"/>
      <c r="Z54" s="664"/>
      <c r="AA54" s="664"/>
      <c r="AB54" s="664"/>
      <c r="AC54" s="664"/>
      <c r="AD54" s="664"/>
      <c r="AE54" s="664"/>
      <c r="AF54" s="664"/>
      <c r="AG54" s="664"/>
      <c r="AH54" s="664"/>
      <c r="AI54" s="664"/>
      <c r="AJ54" s="664"/>
      <c r="AK54" s="664"/>
      <c r="AL54" s="664"/>
      <c r="AM54" s="664"/>
      <c r="AN54" s="664"/>
      <c r="AO54" s="664"/>
      <c r="AP54" s="664"/>
      <c r="AQ54" s="664"/>
      <c r="AR54" s="664"/>
      <c r="AS54" s="664"/>
      <c r="AT54" s="664"/>
      <c r="AU54" s="664"/>
      <c r="AV54" s="664"/>
      <c r="AW54" s="664"/>
      <c r="AX54" s="664"/>
      <c r="AY54" s="664"/>
      <c r="AZ54" s="664"/>
      <c r="BA54" s="664"/>
      <c r="BB54" s="664"/>
      <c r="BC54" s="664"/>
      <c r="BD54" s="664"/>
      <c r="BE54" s="664"/>
      <c r="BF54" s="664"/>
      <c r="BG54" s="664"/>
      <c r="BH54" s="664"/>
      <c r="BI54" s="664"/>
      <c r="BJ54" s="664"/>
      <c r="BK54" s="664"/>
      <c r="BL54" s="664"/>
      <c r="BM54" s="664"/>
      <c r="BN54" s="664"/>
      <c r="BO54" s="664"/>
      <c r="BP54" s="664"/>
      <c r="BQ54" s="664"/>
      <c r="BR54" s="664"/>
      <c r="BS54" s="664"/>
      <c r="BT54" s="664"/>
      <c r="BU54" s="664"/>
      <c r="BV54" s="664"/>
      <c r="BW54" s="664"/>
      <c r="BX54" s="664"/>
      <c r="BY54" s="664"/>
      <c r="BZ54" s="664"/>
      <c r="CA54" s="664"/>
      <c r="CB54" s="664"/>
      <c r="CC54" s="664"/>
      <c r="CD54" s="664"/>
      <c r="CE54" s="664"/>
    </row>
    <row r="55" spans="1:83">
      <c r="A55" s="1093"/>
      <c r="B55" s="1237"/>
      <c r="C55" s="1217"/>
      <c r="D55" s="1217"/>
      <c r="E55" s="1217"/>
      <c r="F55" s="1217"/>
      <c r="G55" s="1217"/>
      <c r="H55" s="1217"/>
      <c r="I55" s="1217"/>
      <c r="J55" s="1217"/>
      <c r="K55" s="1217"/>
      <c r="L55" s="1217"/>
      <c r="M55" s="1217"/>
      <c r="N55" s="1217"/>
      <c r="O55" s="1218"/>
      <c r="P55" s="664"/>
      <c r="Q55" s="664"/>
      <c r="R55" s="664"/>
      <c r="S55" s="664"/>
      <c r="T55" s="664"/>
      <c r="U55" s="664"/>
      <c r="V55" s="664"/>
      <c r="W55" s="664"/>
      <c r="X55" s="664"/>
      <c r="Y55" s="664"/>
      <c r="Z55" s="664"/>
      <c r="AA55" s="664"/>
      <c r="AB55" s="664"/>
      <c r="AC55" s="664"/>
      <c r="AD55" s="664"/>
      <c r="AE55" s="664"/>
      <c r="AF55" s="664"/>
      <c r="AG55" s="664"/>
      <c r="AH55" s="664"/>
      <c r="AI55" s="664"/>
      <c r="AJ55" s="664"/>
      <c r="AK55" s="664"/>
      <c r="AL55" s="664"/>
      <c r="AM55" s="664"/>
      <c r="AN55" s="664"/>
      <c r="AO55" s="664"/>
      <c r="AP55" s="664"/>
      <c r="AQ55" s="664"/>
      <c r="AR55" s="664"/>
      <c r="AS55" s="664"/>
      <c r="AT55" s="664"/>
      <c r="AU55" s="664"/>
      <c r="AV55" s="664"/>
      <c r="AW55" s="664"/>
      <c r="AX55" s="664"/>
      <c r="AY55" s="664"/>
      <c r="AZ55" s="664"/>
      <c r="BA55" s="664"/>
      <c r="BB55" s="664"/>
      <c r="BC55" s="664"/>
      <c r="BD55" s="664"/>
      <c r="BE55" s="664"/>
      <c r="BF55" s="664"/>
      <c r="BG55" s="664"/>
      <c r="BH55" s="664"/>
      <c r="BI55" s="664"/>
      <c r="BJ55" s="664"/>
      <c r="BK55" s="664"/>
      <c r="BL55" s="664"/>
      <c r="BM55" s="664"/>
      <c r="BN55" s="664"/>
      <c r="BO55" s="664"/>
      <c r="BP55" s="664"/>
      <c r="BQ55" s="664"/>
      <c r="BR55" s="664"/>
      <c r="BS55" s="664"/>
      <c r="BT55" s="664"/>
      <c r="BU55" s="664"/>
      <c r="BV55" s="664"/>
      <c r="BW55" s="664"/>
      <c r="BX55" s="664"/>
      <c r="BY55" s="664"/>
      <c r="BZ55" s="664"/>
      <c r="CA55" s="664"/>
      <c r="CB55" s="664"/>
      <c r="CC55" s="664"/>
      <c r="CD55" s="664"/>
      <c r="CE55" s="664"/>
    </row>
    <row r="56" spans="1:83">
      <c r="A56" s="1093"/>
      <c r="B56" s="1237"/>
      <c r="C56" s="1219">
        <v>4094331</v>
      </c>
      <c r="D56" s="1219" t="s">
        <v>43</v>
      </c>
      <c r="E56" s="1219"/>
      <c r="F56" s="1219"/>
      <c r="G56" s="1219" t="s">
        <v>44</v>
      </c>
      <c r="H56" s="1219" t="s">
        <v>301</v>
      </c>
      <c r="I56" s="1219">
        <v>4094516</v>
      </c>
      <c r="J56" s="1219">
        <v>1</v>
      </c>
      <c r="K56" s="1219" t="s">
        <v>304</v>
      </c>
      <c r="L56" s="1219" t="s">
        <v>45</v>
      </c>
      <c r="M56" s="1219">
        <v>2</v>
      </c>
      <c r="N56" s="1219" t="s">
        <v>23</v>
      </c>
      <c r="O56" s="1220" t="s">
        <v>46</v>
      </c>
      <c r="P56" s="664"/>
      <c r="Q56" s="664"/>
      <c r="R56" s="664"/>
      <c r="S56" s="664"/>
      <c r="T56" s="664"/>
      <c r="U56" s="664"/>
      <c r="V56" s="664"/>
      <c r="W56" s="664"/>
      <c r="X56" s="664"/>
      <c r="Y56" s="664"/>
      <c r="Z56" s="664"/>
      <c r="AA56" s="664"/>
      <c r="AB56" s="664"/>
      <c r="AC56" s="664"/>
      <c r="AD56" s="664"/>
      <c r="AE56" s="664"/>
      <c r="AF56" s="664"/>
      <c r="AG56" s="664"/>
      <c r="AH56" s="664"/>
      <c r="AI56" s="664"/>
      <c r="AJ56" s="664"/>
      <c r="AK56" s="664"/>
      <c r="AL56" s="664"/>
      <c r="AM56" s="664"/>
      <c r="AN56" s="664"/>
      <c r="AO56" s="664"/>
      <c r="AP56" s="664"/>
      <c r="AQ56" s="664"/>
      <c r="AR56" s="664"/>
      <c r="AS56" s="664"/>
      <c r="AT56" s="664"/>
      <c r="AU56" s="664"/>
      <c r="AV56" s="664"/>
      <c r="AW56" s="664"/>
      <c r="AX56" s="664"/>
      <c r="AY56" s="664"/>
      <c r="AZ56" s="664"/>
      <c r="BA56" s="664"/>
      <c r="BB56" s="664"/>
      <c r="BC56" s="664"/>
      <c r="BD56" s="664"/>
      <c r="BE56" s="664"/>
      <c r="BF56" s="664"/>
      <c r="BG56" s="664"/>
      <c r="BH56" s="664"/>
      <c r="BI56" s="664"/>
      <c r="BJ56" s="664"/>
      <c r="BK56" s="664"/>
      <c r="BL56" s="664"/>
      <c r="BM56" s="664"/>
      <c r="BN56" s="664"/>
      <c r="BO56" s="664"/>
      <c r="BP56" s="664"/>
      <c r="BQ56" s="664"/>
      <c r="BR56" s="664"/>
      <c r="BS56" s="664"/>
      <c r="BT56" s="664"/>
      <c r="BU56" s="664"/>
      <c r="BV56" s="664"/>
      <c r="BW56" s="664"/>
      <c r="BX56" s="664"/>
      <c r="BY56" s="664"/>
      <c r="BZ56" s="664"/>
      <c r="CA56" s="664"/>
      <c r="CB56" s="664"/>
      <c r="CC56" s="664"/>
      <c r="CD56" s="664"/>
      <c r="CE56" s="664"/>
    </row>
    <row r="57" spans="1:83">
      <c r="A57" s="1093"/>
      <c r="B57" s="1237"/>
      <c r="C57" s="1093"/>
      <c r="D57" s="1093"/>
      <c r="E57" s="1093"/>
      <c r="F57" s="1093"/>
      <c r="G57" s="1093"/>
      <c r="H57" s="1093"/>
      <c r="I57" s="1093"/>
      <c r="J57" s="1093"/>
      <c r="K57" s="1093"/>
      <c r="L57" s="1093"/>
      <c r="M57" s="1093"/>
      <c r="N57" s="1093"/>
      <c r="O57" s="664"/>
      <c r="P57" s="664"/>
      <c r="Q57" s="664"/>
      <c r="R57" s="664"/>
      <c r="S57" s="664"/>
      <c r="T57" s="664"/>
      <c r="U57" s="664"/>
      <c r="V57" s="664"/>
      <c r="W57" s="664"/>
      <c r="X57" s="664"/>
      <c r="Y57" s="664"/>
      <c r="Z57" s="664"/>
      <c r="AA57" s="664"/>
      <c r="AB57" s="664"/>
      <c r="AC57" s="664"/>
      <c r="AD57" s="664"/>
      <c r="AE57" s="664"/>
      <c r="AF57" s="664"/>
      <c r="AG57" s="664"/>
      <c r="AH57" s="664"/>
      <c r="AI57" s="664"/>
      <c r="AJ57" s="664"/>
      <c r="AK57" s="664"/>
      <c r="AL57" s="664"/>
      <c r="AM57" s="664"/>
      <c r="AN57" s="664"/>
      <c r="AO57" s="664"/>
      <c r="AP57" s="664"/>
      <c r="AQ57" s="664"/>
      <c r="AR57" s="664"/>
      <c r="AS57" s="664"/>
      <c r="AT57" s="664"/>
      <c r="AU57" s="664"/>
      <c r="AV57" s="664"/>
      <c r="AW57" s="664"/>
      <c r="AX57" s="664"/>
      <c r="AY57" s="664"/>
      <c r="AZ57" s="664"/>
      <c r="BA57" s="664"/>
      <c r="BB57" s="664"/>
      <c r="BC57" s="664"/>
      <c r="BD57" s="664"/>
      <c r="BE57" s="664"/>
      <c r="BF57" s="664"/>
      <c r="BG57" s="664"/>
      <c r="BH57" s="664"/>
      <c r="BI57" s="664"/>
      <c r="BJ57" s="664"/>
      <c r="BK57" s="664"/>
      <c r="BL57" s="664"/>
      <c r="BM57" s="664"/>
      <c r="BN57" s="664"/>
      <c r="BO57" s="664"/>
      <c r="BP57" s="664"/>
      <c r="BQ57" s="664"/>
      <c r="BR57" s="664"/>
      <c r="BS57" s="664"/>
      <c r="BT57" s="664"/>
      <c r="BU57" s="664"/>
      <c r="BV57" s="664"/>
      <c r="BW57" s="664"/>
      <c r="BX57" s="664"/>
      <c r="BY57" s="664"/>
      <c r="BZ57" s="664"/>
      <c r="CA57" s="664"/>
      <c r="CB57" s="664"/>
      <c r="CC57" s="664"/>
      <c r="CD57" s="664"/>
      <c r="CE57" s="664"/>
    </row>
    <row r="58" spans="1:83">
      <c r="A58" s="1093"/>
      <c r="B58" s="1237"/>
      <c r="C58" s="1093"/>
      <c r="D58" s="1093"/>
      <c r="E58" s="1093"/>
      <c r="F58" s="1093"/>
      <c r="G58" s="1093"/>
      <c r="H58" s="1093"/>
      <c r="I58" s="1093"/>
      <c r="J58" s="1093"/>
      <c r="K58" s="1093"/>
      <c r="L58" s="1093"/>
      <c r="M58" s="1093"/>
      <c r="N58" s="1093"/>
      <c r="O58" s="664"/>
      <c r="P58" s="664"/>
      <c r="Q58" s="664"/>
      <c r="R58" s="664"/>
      <c r="S58" s="664"/>
      <c r="T58" s="664"/>
      <c r="U58" s="664"/>
      <c r="V58" s="664"/>
      <c r="W58" s="664"/>
      <c r="X58" s="664"/>
      <c r="Y58" s="664"/>
      <c r="Z58" s="664"/>
      <c r="AA58" s="664"/>
      <c r="AB58" s="664"/>
      <c r="AC58" s="664"/>
      <c r="AD58" s="664"/>
      <c r="AE58" s="664"/>
      <c r="AF58" s="664"/>
      <c r="AG58" s="664"/>
      <c r="AH58" s="664"/>
      <c r="AI58" s="664"/>
      <c r="AJ58" s="664"/>
      <c r="AK58" s="664"/>
      <c r="AL58" s="664"/>
      <c r="AM58" s="664"/>
      <c r="AN58" s="664"/>
      <c r="AO58" s="664"/>
      <c r="AP58" s="664"/>
      <c r="AQ58" s="664"/>
      <c r="AR58" s="664"/>
      <c r="AS58" s="664"/>
      <c r="AT58" s="664"/>
      <c r="AU58" s="664"/>
      <c r="AV58" s="664"/>
      <c r="AW58" s="664"/>
      <c r="AX58" s="664"/>
      <c r="AY58" s="664"/>
      <c r="AZ58" s="664"/>
      <c r="BA58" s="664"/>
      <c r="BB58" s="664"/>
      <c r="BC58" s="664"/>
      <c r="BD58" s="664"/>
      <c r="BE58" s="664"/>
      <c r="BF58" s="664"/>
      <c r="BG58" s="664"/>
      <c r="BH58" s="664"/>
      <c r="BI58" s="664"/>
      <c r="BJ58" s="664"/>
      <c r="BK58" s="664"/>
      <c r="BL58" s="664"/>
      <c r="BM58" s="664"/>
      <c r="BN58" s="664"/>
      <c r="BO58" s="664"/>
      <c r="BP58" s="664"/>
      <c r="BQ58" s="664"/>
      <c r="BR58" s="664"/>
      <c r="BS58" s="664"/>
      <c r="BT58" s="664"/>
      <c r="BU58" s="664"/>
      <c r="BV58" s="664"/>
      <c r="BW58" s="664"/>
      <c r="BX58" s="664"/>
      <c r="BY58" s="664"/>
      <c r="BZ58" s="664"/>
      <c r="CA58" s="664"/>
      <c r="CB58" s="664"/>
      <c r="CC58" s="664"/>
      <c r="CD58" s="664"/>
      <c r="CE58" s="664"/>
    </row>
    <row r="59" spans="1:83">
      <c r="A59" s="1093"/>
      <c r="B59" s="1237"/>
      <c r="C59" s="1093"/>
      <c r="D59" s="1093"/>
      <c r="E59" s="1093"/>
      <c r="F59" s="1093"/>
      <c r="G59" s="1093"/>
      <c r="H59" s="1093"/>
      <c r="I59" s="1093"/>
      <c r="J59" s="1093"/>
      <c r="K59" s="1093"/>
      <c r="L59" s="1093"/>
      <c r="M59" s="1093"/>
      <c r="N59" s="1093"/>
      <c r="O59" s="664"/>
      <c r="P59" s="664"/>
      <c r="Q59" s="664"/>
      <c r="R59" s="664"/>
      <c r="S59" s="664"/>
      <c r="T59" s="664"/>
      <c r="U59" s="664"/>
      <c r="V59" s="664"/>
      <c r="W59" s="664"/>
      <c r="X59" s="664"/>
      <c r="Y59" s="664"/>
      <c r="Z59" s="664"/>
      <c r="AA59" s="664"/>
      <c r="AB59" s="664"/>
      <c r="AC59" s="664"/>
      <c r="AD59" s="664"/>
      <c r="AE59" s="664"/>
      <c r="AF59" s="664"/>
      <c r="AG59" s="664"/>
      <c r="AH59" s="664"/>
      <c r="AI59" s="664"/>
      <c r="AJ59" s="664"/>
      <c r="AK59" s="664"/>
      <c r="AL59" s="664"/>
      <c r="AM59" s="664"/>
      <c r="AN59" s="664"/>
      <c r="AO59" s="664"/>
      <c r="AP59" s="664"/>
      <c r="AQ59" s="664"/>
      <c r="AR59" s="664"/>
      <c r="AS59" s="664"/>
      <c r="AT59" s="664"/>
      <c r="AU59" s="664"/>
      <c r="AV59" s="664"/>
      <c r="AW59" s="664"/>
      <c r="AX59" s="664"/>
      <c r="AY59" s="664"/>
      <c r="AZ59" s="664"/>
      <c r="BA59" s="664"/>
      <c r="BB59" s="664"/>
      <c r="BC59" s="664"/>
      <c r="BD59" s="664"/>
      <c r="BE59" s="664"/>
      <c r="BF59" s="664"/>
      <c r="BG59" s="664"/>
      <c r="BH59" s="664"/>
      <c r="BI59" s="664"/>
      <c r="BJ59" s="664"/>
      <c r="BK59" s="664"/>
      <c r="BL59" s="664"/>
      <c r="BM59" s="664"/>
      <c r="BN59" s="664"/>
      <c r="BO59" s="664"/>
      <c r="BP59" s="664"/>
      <c r="BQ59" s="664"/>
      <c r="BR59" s="664"/>
      <c r="BS59" s="664"/>
      <c r="BT59" s="664"/>
      <c r="BU59" s="664"/>
      <c r="BV59" s="664"/>
      <c r="BW59" s="664"/>
      <c r="BX59" s="664"/>
      <c r="BY59" s="664"/>
      <c r="BZ59" s="664"/>
      <c r="CA59" s="664"/>
      <c r="CB59" s="664"/>
      <c r="CC59" s="664"/>
      <c r="CD59" s="664"/>
      <c r="CE59" s="664"/>
    </row>
    <row r="60" spans="1:83">
      <c r="A60" s="1093"/>
      <c r="B60" s="1237"/>
      <c r="C60" s="1093"/>
      <c r="D60" s="1093"/>
      <c r="E60" s="1093"/>
      <c r="F60" s="1093"/>
      <c r="G60" s="1093"/>
      <c r="H60" s="1093"/>
      <c r="I60" s="1093"/>
      <c r="J60" s="1093"/>
      <c r="K60" s="1093"/>
      <c r="L60" s="1093"/>
      <c r="M60" s="1093"/>
      <c r="N60" s="664"/>
      <c r="O60" s="664"/>
      <c r="P60" s="664"/>
      <c r="Q60" s="664"/>
      <c r="R60" s="664"/>
      <c r="S60" s="664"/>
      <c r="T60" s="664"/>
      <c r="U60" s="664"/>
      <c r="V60" s="664"/>
      <c r="W60" s="664"/>
      <c r="X60" s="664"/>
      <c r="Y60" s="664"/>
      <c r="Z60" s="664"/>
      <c r="AA60" s="664"/>
      <c r="AB60" s="664"/>
      <c r="AC60" s="664"/>
      <c r="AD60" s="664"/>
      <c r="AE60" s="664"/>
      <c r="AF60" s="664"/>
      <c r="AG60" s="664"/>
      <c r="AH60" s="664"/>
      <c r="AI60" s="664"/>
      <c r="AJ60" s="664"/>
      <c r="AK60" s="664"/>
      <c r="AL60" s="664"/>
      <c r="AM60" s="664"/>
      <c r="AN60" s="664"/>
      <c r="AO60" s="664"/>
      <c r="AP60" s="664"/>
      <c r="AQ60" s="664"/>
      <c r="AR60" s="664"/>
      <c r="AS60" s="664"/>
      <c r="AT60" s="664"/>
      <c r="AU60" s="664"/>
      <c r="AV60" s="664"/>
      <c r="AW60" s="664"/>
      <c r="AX60" s="664"/>
      <c r="AY60" s="664"/>
      <c r="AZ60" s="664"/>
      <c r="BA60" s="664"/>
      <c r="BB60" s="664"/>
      <c r="BC60" s="664"/>
      <c r="BD60" s="664"/>
      <c r="BE60" s="664"/>
      <c r="BF60" s="664"/>
      <c r="BG60" s="664"/>
      <c r="BH60" s="664"/>
      <c r="BI60" s="664"/>
      <c r="BJ60" s="664"/>
      <c r="BK60" s="664"/>
      <c r="BL60" s="664"/>
      <c r="BM60" s="664"/>
      <c r="BN60" s="664"/>
      <c r="BO60" s="664"/>
      <c r="BP60" s="664"/>
      <c r="BQ60" s="664"/>
      <c r="BR60" s="664"/>
      <c r="BS60" s="664"/>
      <c r="BT60" s="664"/>
      <c r="BU60" s="664"/>
      <c r="BV60" s="664"/>
      <c r="BW60" s="664"/>
      <c r="BX60" s="664"/>
      <c r="BY60" s="664"/>
      <c r="BZ60" s="664"/>
      <c r="CA60" s="664"/>
      <c r="CB60" s="664"/>
      <c r="CC60" s="664"/>
      <c r="CD60" s="664"/>
    </row>
    <row r="61" spans="1:83">
      <c r="A61" s="1093"/>
      <c r="B61" s="1237"/>
      <c r="C61" s="1093"/>
      <c r="D61" s="1093"/>
      <c r="E61" s="1093"/>
      <c r="F61" s="1093"/>
      <c r="G61" s="1093"/>
      <c r="H61" s="1093"/>
      <c r="I61" s="1093"/>
      <c r="J61" s="1093"/>
      <c r="K61" s="1093"/>
      <c r="L61" s="1093"/>
      <c r="M61" s="664"/>
      <c r="N61" s="664"/>
      <c r="O61" s="664"/>
      <c r="P61" s="664"/>
      <c r="Q61" s="664"/>
      <c r="R61" s="664"/>
      <c r="S61" s="664"/>
      <c r="T61" s="664"/>
      <c r="U61" s="664"/>
      <c r="V61" s="664"/>
      <c r="W61" s="664"/>
      <c r="X61" s="664"/>
      <c r="Y61" s="664"/>
      <c r="Z61" s="664"/>
      <c r="AA61" s="664"/>
      <c r="AB61" s="664"/>
      <c r="AC61" s="664"/>
      <c r="AD61" s="664"/>
      <c r="AE61" s="664"/>
      <c r="AF61" s="664"/>
      <c r="AG61" s="664"/>
      <c r="AH61" s="664"/>
      <c r="AI61" s="664"/>
      <c r="AJ61" s="664"/>
      <c r="AK61" s="664"/>
      <c r="AL61" s="664"/>
      <c r="AM61" s="664"/>
      <c r="AN61" s="664"/>
      <c r="AO61" s="664"/>
      <c r="AP61" s="664"/>
      <c r="AQ61" s="664"/>
      <c r="AR61" s="664"/>
      <c r="AS61" s="664"/>
      <c r="AT61" s="664"/>
      <c r="AU61" s="664"/>
      <c r="AV61" s="664"/>
      <c r="AW61" s="664"/>
      <c r="AX61" s="664"/>
      <c r="AY61" s="664"/>
      <c r="AZ61" s="664"/>
      <c r="BA61" s="664"/>
      <c r="BB61" s="664"/>
      <c r="BC61" s="664"/>
      <c r="BD61" s="664"/>
      <c r="BE61" s="664"/>
      <c r="BF61" s="664"/>
      <c r="BG61" s="664"/>
      <c r="BH61" s="664"/>
      <c r="BI61" s="664"/>
      <c r="BJ61" s="664"/>
      <c r="BK61" s="664"/>
      <c r="BL61" s="664"/>
      <c r="BM61" s="664"/>
      <c r="BN61" s="664"/>
      <c r="BO61" s="664"/>
      <c r="BP61" s="664"/>
      <c r="BQ61" s="664"/>
      <c r="BR61" s="664"/>
      <c r="BS61" s="664"/>
      <c r="BT61" s="664"/>
      <c r="BU61" s="664"/>
      <c r="BV61" s="664"/>
      <c r="BW61" s="664"/>
      <c r="BX61" s="664"/>
      <c r="BY61" s="664"/>
      <c r="BZ61" s="664"/>
      <c r="CA61" s="664"/>
      <c r="CB61" s="664"/>
      <c r="CC61" s="664"/>
    </row>
    <row r="62" spans="1:83">
      <c r="A62" s="664"/>
      <c r="B62" s="1239"/>
      <c r="C62" s="664"/>
      <c r="D62" s="664"/>
      <c r="E62" s="664"/>
      <c r="F62" s="664"/>
      <c r="G62" s="664"/>
      <c r="H62" s="664"/>
      <c r="I62" s="664"/>
      <c r="J62" s="664"/>
      <c r="K62" s="664"/>
      <c r="L62" s="664"/>
      <c r="M62" s="664"/>
      <c r="N62" s="664"/>
      <c r="O62" s="664"/>
      <c r="P62" s="664"/>
      <c r="Q62" s="664"/>
      <c r="R62" s="664"/>
      <c r="S62" s="664"/>
      <c r="T62" s="664"/>
      <c r="U62" s="664"/>
      <c r="V62" s="664"/>
      <c r="W62" s="664"/>
      <c r="X62" s="664"/>
      <c r="Y62" s="664"/>
      <c r="Z62" s="664"/>
      <c r="AA62" s="664"/>
      <c r="AB62" s="664"/>
      <c r="AC62" s="664"/>
      <c r="AD62" s="664"/>
      <c r="AE62" s="664"/>
      <c r="AF62" s="664"/>
      <c r="AG62" s="664"/>
      <c r="AH62" s="664"/>
      <c r="AI62" s="664"/>
      <c r="AJ62" s="664"/>
      <c r="AK62" s="664"/>
      <c r="AL62" s="664"/>
      <c r="AM62" s="664"/>
      <c r="AN62" s="664"/>
      <c r="AO62" s="664"/>
      <c r="AP62" s="664"/>
      <c r="AQ62" s="664"/>
      <c r="AR62" s="664"/>
      <c r="AS62" s="664"/>
      <c r="AT62" s="664"/>
      <c r="AU62" s="664"/>
      <c r="AV62" s="664"/>
      <c r="AW62" s="664"/>
      <c r="AX62" s="664"/>
      <c r="AY62" s="664"/>
      <c r="AZ62" s="664"/>
      <c r="BA62" s="664"/>
      <c r="BB62" s="664"/>
      <c r="BC62" s="664"/>
      <c r="BD62" s="664"/>
      <c r="BE62" s="664"/>
      <c r="BF62" s="664"/>
      <c r="BG62" s="664"/>
      <c r="BH62" s="664"/>
      <c r="BI62" s="664"/>
      <c r="BJ62" s="664"/>
      <c r="BK62" s="664"/>
      <c r="BL62" s="664"/>
      <c r="BM62" s="664"/>
      <c r="BN62" s="664"/>
      <c r="BO62" s="664"/>
      <c r="BP62" s="664"/>
      <c r="BQ62" s="664"/>
      <c r="BR62" s="664"/>
      <c r="BS62" s="664"/>
      <c r="BT62" s="664"/>
      <c r="BU62" s="664"/>
      <c r="BV62" s="664"/>
      <c r="BW62" s="664"/>
      <c r="BX62" s="664"/>
      <c r="BY62" s="664"/>
      <c r="BZ62" s="664"/>
      <c r="CA62" s="664"/>
      <c r="CB62" s="664"/>
      <c r="CC62" s="664"/>
    </row>
    <row r="63" spans="1:83">
      <c r="A63" s="664"/>
      <c r="B63" s="1239"/>
      <c r="C63" s="664"/>
      <c r="D63" s="664"/>
      <c r="E63" s="664"/>
      <c r="F63" s="664"/>
      <c r="G63" s="664"/>
      <c r="H63" s="664"/>
      <c r="I63" s="664"/>
      <c r="J63" s="664"/>
      <c r="K63" s="664"/>
      <c r="L63" s="664"/>
      <c r="M63" s="664"/>
      <c r="N63" s="664"/>
      <c r="O63" s="664"/>
      <c r="P63" s="664"/>
      <c r="Q63" s="664"/>
      <c r="R63" s="664"/>
      <c r="S63" s="664"/>
      <c r="T63" s="664"/>
      <c r="U63" s="664"/>
      <c r="V63" s="664"/>
      <c r="W63" s="664"/>
      <c r="X63" s="664"/>
      <c r="Y63" s="664"/>
      <c r="Z63" s="664"/>
      <c r="AA63" s="664"/>
      <c r="AB63" s="664"/>
      <c r="AC63" s="664"/>
      <c r="AD63" s="664"/>
      <c r="AE63" s="664"/>
      <c r="AF63" s="664"/>
      <c r="AG63" s="664"/>
      <c r="AH63" s="664"/>
      <c r="AI63" s="664"/>
      <c r="AJ63" s="664"/>
      <c r="AK63" s="664"/>
      <c r="AL63" s="664"/>
      <c r="AM63" s="664"/>
      <c r="AN63" s="664"/>
      <c r="AO63" s="664"/>
      <c r="AP63" s="664"/>
      <c r="AQ63" s="664"/>
      <c r="AR63" s="664"/>
      <c r="AS63" s="664"/>
      <c r="AT63" s="664"/>
      <c r="AU63" s="664"/>
      <c r="AV63" s="664"/>
      <c r="AW63" s="664"/>
      <c r="AX63" s="664"/>
      <c r="AY63" s="664"/>
      <c r="AZ63" s="664"/>
      <c r="BA63" s="664"/>
      <c r="BB63" s="664"/>
      <c r="BC63" s="664"/>
      <c r="BD63" s="664"/>
      <c r="BE63" s="664"/>
      <c r="BF63" s="664"/>
      <c r="BG63" s="664"/>
      <c r="BH63" s="664"/>
      <c r="BI63" s="664"/>
      <c r="BJ63" s="664"/>
      <c r="BK63" s="664"/>
      <c r="BL63" s="664"/>
      <c r="BM63" s="664"/>
      <c r="BN63" s="664"/>
      <c r="BO63" s="664"/>
      <c r="BP63" s="664"/>
      <c r="BQ63" s="664"/>
      <c r="BR63" s="664"/>
      <c r="BS63" s="664"/>
      <c r="BT63" s="664"/>
      <c r="BU63" s="664"/>
      <c r="BV63" s="664"/>
      <c r="BW63" s="664"/>
      <c r="BX63" s="664"/>
      <c r="BY63" s="664"/>
      <c r="BZ63" s="664"/>
      <c r="CA63" s="664"/>
      <c r="CB63" s="664"/>
      <c r="CC63" s="664"/>
    </row>
    <row r="64" spans="1:83">
      <c r="A64" s="664"/>
      <c r="B64" s="1239"/>
      <c r="C64" s="664"/>
      <c r="D64" s="664"/>
      <c r="E64" s="664"/>
      <c r="F64" s="664"/>
      <c r="G64" s="664"/>
      <c r="H64" s="664"/>
      <c r="I64" s="664"/>
      <c r="J64" s="664"/>
      <c r="K64" s="664"/>
      <c r="L64" s="664"/>
      <c r="M64" s="664"/>
      <c r="N64" s="664"/>
      <c r="O64" s="664"/>
      <c r="P64" s="664"/>
      <c r="Q64" s="664"/>
      <c r="R64" s="664"/>
      <c r="S64" s="664"/>
      <c r="T64" s="664"/>
      <c r="U64" s="664"/>
      <c r="V64" s="664"/>
      <c r="W64" s="664"/>
      <c r="X64" s="664"/>
      <c r="Y64" s="664"/>
      <c r="Z64" s="664"/>
      <c r="AA64" s="664"/>
      <c r="AB64" s="664"/>
      <c r="AC64" s="664"/>
      <c r="AD64" s="664"/>
      <c r="AE64" s="664"/>
      <c r="AF64" s="664"/>
      <c r="AG64" s="664"/>
      <c r="AH64" s="664"/>
      <c r="AI64" s="664"/>
      <c r="AJ64" s="664"/>
      <c r="AK64" s="664"/>
      <c r="AL64" s="664"/>
      <c r="AM64" s="664"/>
      <c r="AN64" s="664"/>
      <c r="AO64" s="664"/>
      <c r="AP64" s="664"/>
      <c r="AQ64" s="664"/>
      <c r="AR64" s="664"/>
      <c r="AS64" s="664"/>
      <c r="AT64" s="664"/>
      <c r="AU64" s="664"/>
      <c r="AV64" s="664"/>
      <c r="AW64" s="664"/>
      <c r="AX64" s="664"/>
      <c r="AY64" s="664"/>
      <c r="AZ64" s="664"/>
      <c r="BA64" s="664"/>
      <c r="BB64" s="664"/>
      <c r="BC64" s="664"/>
      <c r="BD64" s="664"/>
      <c r="BE64" s="664"/>
      <c r="BF64" s="664"/>
      <c r="BG64" s="664"/>
      <c r="BH64" s="664"/>
      <c r="BI64" s="664"/>
      <c r="BJ64" s="664"/>
      <c r="BK64" s="664"/>
      <c r="BL64" s="664"/>
      <c r="BM64" s="664"/>
      <c r="BN64" s="664"/>
      <c r="BO64" s="664"/>
      <c r="BP64" s="664"/>
      <c r="BQ64" s="664"/>
      <c r="BR64" s="664"/>
      <c r="BS64" s="664"/>
      <c r="BT64" s="664"/>
      <c r="BU64" s="664"/>
      <c r="BV64" s="664"/>
      <c r="BW64" s="664"/>
      <c r="BX64" s="664"/>
      <c r="BY64" s="664"/>
      <c r="BZ64" s="664"/>
      <c r="CA64" s="664"/>
      <c r="CB64" s="664"/>
      <c r="CC64" s="664"/>
    </row>
    <row r="65" spans="1:81">
      <c r="A65" s="664"/>
      <c r="B65" s="1239"/>
      <c r="C65" s="664"/>
      <c r="D65" s="664"/>
      <c r="E65" s="664"/>
      <c r="F65" s="664"/>
      <c r="G65" s="664"/>
      <c r="H65" s="664"/>
      <c r="I65" s="664"/>
      <c r="J65" s="664"/>
      <c r="K65" s="664"/>
      <c r="L65" s="664"/>
      <c r="M65" s="664"/>
      <c r="N65" s="664"/>
      <c r="O65" s="664"/>
      <c r="P65" s="664"/>
      <c r="Q65" s="664"/>
      <c r="R65" s="664"/>
      <c r="S65" s="664"/>
      <c r="T65" s="664"/>
      <c r="U65" s="664"/>
      <c r="V65" s="664"/>
      <c r="W65" s="664"/>
      <c r="X65" s="664"/>
      <c r="Y65" s="664"/>
      <c r="Z65" s="664"/>
      <c r="AA65" s="664"/>
      <c r="AB65" s="664"/>
      <c r="AC65" s="664"/>
      <c r="AD65" s="664"/>
      <c r="AE65" s="664"/>
      <c r="AF65" s="664"/>
      <c r="AG65" s="664"/>
      <c r="AH65" s="664"/>
      <c r="AI65" s="664"/>
      <c r="AJ65" s="664"/>
      <c r="AK65" s="664"/>
      <c r="AL65" s="664"/>
      <c r="AM65" s="664"/>
      <c r="AN65" s="664"/>
      <c r="AO65" s="664"/>
      <c r="AP65" s="664"/>
      <c r="AQ65" s="664"/>
      <c r="AR65" s="664"/>
      <c r="AS65" s="664"/>
      <c r="AT65" s="664"/>
      <c r="AU65" s="664"/>
      <c r="AV65" s="664"/>
      <c r="AW65" s="664"/>
      <c r="AX65" s="664"/>
      <c r="AY65" s="664"/>
      <c r="AZ65" s="664"/>
      <c r="BA65" s="664"/>
      <c r="BB65" s="664"/>
      <c r="BC65" s="664"/>
      <c r="BD65" s="664"/>
      <c r="BE65" s="664"/>
      <c r="BF65" s="664"/>
      <c r="BG65" s="664"/>
      <c r="BH65" s="664"/>
      <c r="BI65" s="664"/>
      <c r="BJ65" s="664"/>
      <c r="BK65" s="664"/>
      <c r="BL65" s="664"/>
      <c r="BM65" s="664"/>
      <c r="BN65" s="664"/>
      <c r="BO65" s="664"/>
      <c r="BP65" s="664"/>
      <c r="BQ65" s="664"/>
      <c r="BR65" s="664"/>
      <c r="BS65" s="664"/>
      <c r="BT65" s="664"/>
      <c r="BU65" s="664"/>
      <c r="BV65" s="664"/>
      <c r="BW65" s="664"/>
      <c r="BX65" s="664"/>
      <c r="BY65" s="664"/>
      <c r="BZ65" s="664"/>
      <c r="CA65" s="664"/>
      <c r="CB65" s="664"/>
      <c r="CC65" s="664"/>
    </row>
    <row r="66" spans="1:81">
      <c r="A66" s="664"/>
      <c r="B66" s="1239"/>
      <c r="C66" s="664"/>
      <c r="D66" s="664"/>
      <c r="E66" s="664"/>
      <c r="F66" s="664"/>
      <c r="G66" s="664"/>
      <c r="H66" s="664"/>
      <c r="I66" s="664"/>
      <c r="J66" s="664"/>
      <c r="K66" s="664"/>
      <c r="L66" s="664"/>
      <c r="M66" s="664"/>
      <c r="N66" s="664"/>
      <c r="O66" s="664"/>
      <c r="P66" s="664"/>
      <c r="Q66" s="664"/>
      <c r="R66" s="664"/>
      <c r="S66" s="664"/>
      <c r="T66" s="664"/>
      <c r="U66" s="664"/>
      <c r="V66" s="664"/>
      <c r="W66" s="664"/>
      <c r="X66" s="664"/>
      <c r="Y66" s="664"/>
      <c r="Z66" s="664"/>
      <c r="AA66" s="664"/>
      <c r="AB66" s="664"/>
      <c r="AC66" s="664"/>
      <c r="AD66" s="664"/>
      <c r="AE66" s="664"/>
      <c r="AF66" s="664"/>
      <c r="AG66" s="664"/>
      <c r="AH66" s="664"/>
      <c r="AI66" s="664"/>
      <c r="AJ66" s="664"/>
      <c r="AK66" s="664"/>
      <c r="AL66" s="664"/>
      <c r="AM66" s="664"/>
      <c r="AN66" s="664"/>
      <c r="AO66" s="664"/>
      <c r="AP66" s="664"/>
      <c r="AQ66" s="664"/>
      <c r="AR66" s="664"/>
      <c r="AS66" s="664"/>
      <c r="AT66" s="664"/>
      <c r="AU66" s="664"/>
      <c r="AV66" s="664"/>
      <c r="AW66" s="664"/>
      <c r="AX66" s="664"/>
      <c r="AY66" s="664"/>
      <c r="AZ66" s="664"/>
      <c r="BA66" s="664"/>
      <c r="BB66" s="664"/>
      <c r="BC66" s="664"/>
      <c r="BD66" s="664"/>
      <c r="BE66" s="664"/>
      <c r="BF66" s="664"/>
      <c r="BG66" s="664"/>
      <c r="BH66" s="664"/>
      <c r="BI66" s="664"/>
      <c r="BJ66" s="664"/>
      <c r="BK66" s="664"/>
      <c r="BL66" s="664"/>
      <c r="BM66" s="664"/>
      <c r="BN66" s="664"/>
      <c r="BO66" s="664"/>
      <c r="BP66" s="664"/>
      <c r="BQ66" s="664"/>
      <c r="BR66" s="664"/>
      <c r="BS66" s="664"/>
      <c r="BT66" s="664"/>
      <c r="BU66" s="664"/>
      <c r="BV66" s="664"/>
      <c r="BW66" s="664"/>
      <c r="BX66" s="664"/>
      <c r="BY66" s="664"/>
      <c r="BZ66" s="664"/>
      <c r="CA66" s="664"/>
      <c r="CB66" s="664"/>
      <c r="CC66" s="664"/>
    </row>
    <row r="67" spans="1:81">
      <c r="A67" s="664"/>
      <c r="B67" s="1239"/>
      <c r="C67" s="664"/>
      <c r="D67" s="664"/>
      <c r="E67" s="664"/>
      <c r="F67" s="664"/>
      <c r="G67" s="664"/>
      <c r="H67" s="664"/>
      <c r="I67" s="664"/>
      <c r="J67" s="664"/>
      <c r="K67" s="664"/>
      <c r="L67" s="664"/>
      <c r="M67" s="664"/>
      <c r="N67" s="664"/>
      <c r="O67" s="664"/>
      <c r="P67" s="664"/>
      <c r="Q67" s="664"/>
      <c r="R67" s="664"/>
      <c r="S67" s="664"/>
      <c r="T67" s="664"/>
      <c r="U67" s="664"/>
      <c r="V67" s="664"/>
      <c r="W67" s="664"/>
      <c r="X67" s="664"/>
      <c r="Y67" s="664"/>
      <c r="Z67" s="664"/>
      <c r="AA67" s="664"/>
      <c r="AB67" s="664"/>
      <c r="AC67" s="664"/>
      <c r="AD67" s="664"/>
      <c r="AE67" s="664"/>
      <c r="AF67" s="664"/>
      <c r="AG67" s="664"/>
      <c r="AH67" s="664"/>
      <c r="AI67" s="664"/>
      <c r="AJ67" s="664"/>
      <c r="AK67" s="664"/>
      <c r="AL67" s="664"/>
      <c r="AM67" s="664"/>
      <c r="AN67" s="664"/>
      <c r="AO67" s="664"/>
      <c r="AP67" s="664"/>
      <c r="AQ67" s="664"/>
      <c r="AR67" s="664"/>
      <c r="AS67" s="664"/>
      <c r="AT67" s="664"/>
      <c r="AU67" s="664"/>
      <c r="AV67" s="664"/>
      <c r="AW67" s="664"/>
      <c r="AX67" s="664"/>
      <c r="AY67" s="664"/>
      <c r="AZ67" s="664"/>
      <c r="BA67" s="664"/>
      <c r="BB67" s="664"/>
      <c r="BC67" s="664"/>
      <c r="BD67" s="664"/>
      <c r="BE67" s="664"/>
      <c r="BF67" s="664"/>
      <c r="BG67" s="664"/>
      <c r="BH67" s="664"/>
      <c r="BI67" s="664"/>
      <c r="BJ67" s="664"/>
      <c r="BK67" s="664"/>
      <c r="BL67" s="664"/>
      <c r="BM67" s="664"/>
      <c r="BN67" s="664"/>
      <c r="BO67" s="664"/>
      <c r="BP67" s="664"/>
      <c r="BQ67" s="664"/>
      <c r="BR67" s="664"/>
      <c r="BS67" s="664"/>
      <c r="BT67" s="664"/>
      <c r="BU67" s="664"/>
      <c r="BV67" s="664"/>
      <c r="BW67" s="664"/>
      <c r="BX67" s="664"/>
      <c r="BY67" s="664"/>
      <c r="BZ67" s="664"/>
      <c r="CA67" s="664"/>
      <c r="CB67" s="664"/>
      <c r="CC67" s="664"/>
    </row>
    <row r="68" spans="1:81">
      <c r="A68" s="664"/>
      <c r="B68" s="1239"/>
      <c r="C68" s="664"/>
      <c r="D68" s="664"/>
      <c r="E68" s="664"/>
      <c r="F68" s="664"/>
      <c r="G68" s="664"/>
      <c r="H68" s="664"/>
      <c r="I68" s="664"/>
      <c r="J68" s="664"/>
      <c r="K68" s="664"/>
      <c r="L68" s="664"/>
      <c r="M68" s="664"/>
      <c r="N68" s="664"/>
      <c r="O68" s="664"/>
      <c r="P68" s="664"/>
      <c r="Q68" s="664"/>
      <c r="R68" s="664"/>
      <c r="S68" s="664"/>
      <c r="T68" s="664"/>
      <c r="U68" s="664"/>
      <c r="V68" s="664"/>
      <c r="W68" s="664"/>
      <c r="X68" s="664"/>
      <c r="Y68" s="664"/>
      <c r="Z68" s="664"/>
      <c r="AA68" s="664"/>
      <c r="AB68" s="664"/>
      <c r="AC68" s="664"/>
      <c r="AD68" s="664"/>
      <c r="AE68" s="664"/>
      <c r="AF68" s="664"/>
      <c r="AG68" s="664"/>
      <c r="AH68" s="664"/>
      <c r="AI68" s="664"/>
      <c r="AJ68" s="664"/>
      <c r="AK68" s="664"/>
      <c r="AL68" s="664"/>
      <c r="AM68" s="664"/>
      <c r="AN68" s="664"/>
      <c r="AO68" s="664"/>
      <c r="AP68" s="664"/>
      <c r="AQ68" s="664"/>
      <c r="AR68" s="664"/>
      <c r="AS68" s="664"/>
      <c r="AT68" s="664"/>
      <c r="AU68" s="664"/>
      <c r="AV68" s="664"/>
      <c r="AW68" s="664"/>
      <c r="AX68" s="664"/>
      <c r="AY68" s="664"/>
      <c r="AZ68" s="664"/>
      <c r="BA68" s="664"/>
      <c r="BB68" s="664"/>
      <c r="BC68" s="664"/>
      <c r="BD68" s="664"/>
      <c r="BE68" s="664"/>
      <c r="BF68" s="664"/>
      <c r="BG68" s="664"/>
      <c r="BH68" s="664"/>
      <c r="BI68" s="664"/>
      <c r="BJ68" s="664"/>
      <c r="BK68" s="664"/>
      <c r="BL68" s="664"/>
      <c r="BM68" s="664"/>
      <c r="BN68" s="664"/>
      <c r="BO68" s="664"/>
      <c r="BP68" s="664"/>
      <c r="BQ68" s="664"/>
      <c r="BR68" s="664"/>
      <c r="BS68" s="664"/>
      <c r="BT68" s="664"/>
      <c r="BU68" s="664"/>
      <c r="BV68" s="664"/>
      <c r="BW68" s="664"/>
      <c r="BX68" s="664"/>
      <c r="BY68" s="664"/>
      <c r="BZ68" s="664"/>
      <c r="CA68" s="664"/>
      <c r="CB68" s="664"/>
      <c r="CC68" s="664"/>
    </row>
    <row r="69" spans="1:81">
      <c r="A69" s="664"/>
      <c r="B69" s="1239"/>
      <c r="C69" s="664"/>
      <c r="D69" s="664"/>
      <c r="E69" s="664"/>
      <c r="F69" s="664"/>
      <c r="G69" s="664"/>
      <c r="H69" s="664"/>
      <c r="I69" s="664"/>
      <c r="J69" s="664"/>
      <c r="K69" s="664"/>
      <c r="L69" s="664"/>
      <c r="M69" s="664"/>
      <c r="N69" s="664"/>
      <c r="O69" s="664"/>
      <c r="P69" s="664"/>
      <c r="Q69" s="664"/>
      <c r="R69" s="664"/>
      <c r="S69" s="664"/>
      <c r="T69" s="664"/>
      <c r="U69" s="664"/>
      <c r="V69" s="664"/>
      <c r="W69" s="664"/>
      <c r="X69" s="664"/>
      <c r="Y69" s="664"/>
      <c r="Z69" s="664"/>
      <c r="AA69" s="664"/>
      <c r="AB69" s="664"/>
      <c r="AC69" s="664"/>
      <c r="AD69" s="664"/>
      <c r="AE69" s="664"/>
      <c r="AF69" s="664"/>
      <c r="AG69" s="664"/>
      <c r="AH69" s="664"/>
      <c r="AI69" s="664"/>
      <c r="AJ69" s="664"/>
      <c r="AK69" s="664"/>
      <c r="AL69" s="664"/>
      <c r="AM69" s="664"/>
      <c r="AN69" s="664"/>
      <c r="AO69" s="664"/>
      <c r="AP69" s="664"/>
      <c r="AQ69" s="664"/>
      <c r="AR69" s="664"/>
      <c r="AS69" s="664"/>
      <c r="AT69" s="664"/>
      <c r="AU69" s="664"/>
      <c r="AV69" s="664"/>
      <c r="AW69" s="664"/>
      <c r="AX69" s="664"/>
      <c r="AY69" s="664"/>
      <c r="AZ69" s="664"/>
      <c r="BA69" s="664"/>
      <c r="BB69" s="664"/>
      <c r="BC69" s="664"/>
      <c r="BD69" s="664"/>
      <c r="BE69" s="664"/>
      <c r="BF69" s="664"/>
      <c r="BG69" s="664"/>
      <c r="BH69" s="664"/>
      <c r="BI69" s="664"/>
      <c r="BJ69" s="664"/>
      <c r="BK69" s="664"/>
      <c r="BL69" s="664"/>
      <c r="BM69" s="664"/>
      <c r="BN69" s="664"/>
      <c r="BO69" s="664"/>
      <c r="BP69" s="664"/>
      <c r="BQ69" s="664"/>
      <c r="BR69" s="664"/>
      <c r="BS69" s="664"/>
      <c r="BT69" s="664"/>
      <c r="BU69" s="664"/>
      <c r="BV69" s="664"/>
      <c r="BW69" s="664"/>
      <c r="BX69" s="664"/>
      <c r="BY69" s="664"/>
      <c r="BZ69" s="664"/>
      <c r="CA69" s="664"/>
      <c r="CB69" s="664"/>
      <c r="CC69" s="664"/>
    </row>
    <row r="70" spans="1:81">
      <c r="A70" s="664"/>
      <c r="B70" s="1239"/>
      <c r="C70" s="664"/>
      <c r="D70" s="664"/>
      <c r="E70" s="664"/>
      <c r="F70" s="664"/>
      <c r="G70" s="664"/>
      <c r="H70" s="664"/>
      <c r="I70" s="664"/>
      <c r="J70" s="664"/>
      <c r="K70" s="664"/>
      <c r="L70" s="664"/>
      <c r="M70" s="664"/>
      <c r="N70" s="664"/>
      <c r="O70" s="664"/>
      <c r="P70" s="664"/>
      <c r="Q70" s="664"/>
      <c r="R70" s="664"/>
      <c r="S70" s="664"/>
      <c r="T70" s="664"/>
      <c r="U70" s="664"/>
      <c r="V70" s="664"/>
      <c r="W70" s="664"/>
      <c r="X70" s="664"/>
      <c r="Y70" s="664"/>
      <c r="Z70" s="664"/>
      <c r="AA70" s="664"/>
      <c r="AB70" s="664"/>
      <c r="AC70" s="664"/>
      <c r="AD70" s="664"/>
      <c r="AE70" s="664"/>
      <c r="AF70" s="664"/>
      <c r="AG70" s="664"/>
      <c r="AH70" s="664"/>
      <c r="AI70" s="664"/>
      <c r="AJ70" s="664"/>
      <c r="AK70" s="664"/>
      <c r="AL70" s="664"/>
      <c r="AM70" s="664"/>
      <c r="AN70" s="664"/>
      <c r="AO70" s="664"/>
      <c r="AP70" s="664"/>
      <c r="AQ70" s="664"/>
      <c r="AR70" s="664"/>
      <c r="AS70" s="664"/>
      <c r="AT70" s="664"/>
      <c r="AU70" s="664"/>
      <c r="AV70" s="664"/>
      <c r="AW70" s="664"/>
      <c r="AX70" s="664"/>
      <c r="AY70" s="664"/>
      <c r="AZ70" s="664"/>
      <c r="BA70" s="664"/>
      <c r="BB70" s="664"/>
      <c r="BC70" s="664"/>
      <c r="BD70" s="664"/>
      <c r="BE70" s="664"/>
      <c r="BF70" s="664"/>
      <c r="BG70" s="664"/>
      <c r="BH70" s="664"/>
      <c r="BI70" s="664"/>
      <c r="BJ70" s="664"/>
      <c r="BK70" s="664"/>
      <c r="BL70" s="664"/>
      <c r="BM70" s="664"/>
      <c r="BN70" s="664"/>
      <c r="BO70" s="664"/>
      <c r="BP70" s="664"/>
      <c r="BQ70" s="664"/>
      <c r="BR70" s="664"/>
      <c r="BS70" s="664"/>
      <c r="BT70" s="664"/>
      <c r="BU70" s="664"/>
      <c r="BV70" s="664"/>
      <c r="BW70" s="664"/>
      <c r="BX70" s="664"/>
      <c r="BY70" s="664"/>
      <c r="BZ70" s="664"/>
      <c r="CA70" s="664"/>
      <c r="CB70" s="664"/>
      <c r="CC70" s="664"/>
    </row>
    <row r="71" spans="1:81">
      <c r="A71" s="664"/>
      <c r="B71" s="1239"/>
      <c r="C71" s="664"/>
      <c r="D71" s="664"/>
      <c r="E71" s="664"/>
      <c r="F71" s="664"/>
      <c r="G71" s="664"/>
      <c r="H71" s="664"/>
      <c r="I71" s="664"/>
      <c r="J71" s="664"/>
      <c r="K71" s="664"/>
      <c r="L71" s="664"/>
      <c r="M71" s="664"/>
      <c r="N71" s="664"/>
      <c r="O71" s="664"/>
      <c r="P71" s="664"/>
      <c r="Q71" s="664"/>
      <c r="R71" s="664"/>
      <c r="S71" s="664"/>
      <c r="T71" s="664"/>
      <c r="U71" s="664"/>
      <c r="V71" s="664"/>
      <c r="W71" s="664"/>
      <c r="X71" s="664"/>
      <c r="Y71" s="664"/>
      <c r="Z71" s="664"/>
      <c r="AA71" s="664"/>
      <c r="AB71" s="664"/>
      <c r="AC71" s="664"/>
      <c r="AD71" s="664"/>
      <c r="AE71" s="664"/>
      <c r="AF71" s="664"/>
      <c r="AG71" s="664"/>
      <c r="AH71" s="664"/>
      <c r="AI71" s="664"/>
      <c r="AJ71" s="664"/>
      <c r="AK71" s="664"/>
      <c r="AL71" s="664"/>
      <c r="AM71" s="664"/>
      <c r="AN71" s="664"/>
      <c r="AO71" s="664"/>
      <c r="AP71" s="664"/>
      <c r="AQ71" s="664"/>
      <c r="AR71" s="664"/>
      <c r="AS71" s="664"/>
      <c r="AT71" s="664"/>
      <c r="AU71" s="664"/>
      <c r="AV71" s="664"/>
      <c r="AW71" s="664"/>
      <c r="AX71" s="664"/>
      <c r="AY71" s="664"/>
      <c r="AZ71" s="664"/>
      <c r="BA71" s="664"/>
      <c r="BB71" s="664"/>
      <c r="BC71" s="664"/>
      <c r="BD71" s="664"/>
      <c r="BE71" s="664"/>
      <c r="BF71" s="664"/>
      <c r="BG71" s="664"/>
      <c r="BH71" s="664"/>
      <c r="BI71" s="664"/>
      <c r="BJ71" s="664"/>
      <c r="BK71" s="664"/>
      <c r="BL71" s="664"/>
      <c r="BM71" s="664"/>
      <c r="BN71" s="664"/>
      <c r="BO71" s="664"/>
      <c r="BP71" s="664"/>
      <c r="BQ71" s="664"/>
      <c r="BR71" s="664"/>
      <c r="BS71" s="664"/>
      <c r="BT71" s="664"/>
      <c r="BU71" s="664"/>
      <c r="BV71" s="664"/>
      <c r="BW71" s="664"/>
      <c r="BX71" s="664"/>
      <c r="BY71" s="664"/>
      <c r="BZ71" s="664"/>
      <c r="CA71" s="664"/>
      <c r="CB71" s="664"/>
      <c r="CC71" s="664"/>
    </row>
    <row r="72" spans="1:81">
      <c r="A72" s="664"/>
      <c r="B72" s="1239"/>
      <c r="C72" s="664"/>
      <c r="D72" s="664"/>
      <c r="E72" s="664"/>
      <c r="F72" s="664"/>
      <c r="G72" s="664"/>
      <c r="H72" s="664"/>
      <c r="I72" s="664"/>
      <c r="J72" s="664"/>
      <c r="K72" s="664"/>
      <c r="L72" s="664"/>
      <c r="M72" s="664"/>
      <c r="N72" s="664"/>
      <c r="O72" s="664"/>
      <c r="P72" s="664"/>
      <c r="Q72" s="664"/>
      <c r="R72" s="664"/>
      <c r="S72" s="664"/>
      <c r="T72" s="664"/>
      <c r="U72" s="664"/>
      <c r="V72" s="664"/>
      <c r="W72" s="664"/>
      <c r="X72" s="664"/>
      <c r="Y72" s="664"/>
      <c r="Z72" s="664"/>
      <c r="AA72" s="664"/>
      <c r="AB72" s="664"/>
      <c r="AC72" s="664"/>
      <c r="AD72" s="664"/>
      <c r="AE72" s="664"/>
      <c r="AF72" s="664"/>
      <c r="AG72" s="664"/>
      <c r="AH72" s="664"/>
      <c r="AI72" s="664"/>
      <c r="AJ72" s="664"/>
      <c r="AK72" s="664"/>
      <c r="AL72" s="664"/>
      <c r="AM72" s="664"/>
      <c r="AN72" s="664"/>
      <c r="AO72" s="664"/>
      <c r="AP72" s="664"/>
      <c r="AQ72" s="664"/>
      <c r="AR72" s="664"/>
      <c r="AS72" s="664"/>
      <c r="AT72" s="664"/>
      <c r="AU72" s="664"/>
      <c r="AV72" s="664"/>
      <c r="AW72" s="664"/>
      <c r="AX72" s="664"/>
      <c r="AY72" s="664"/>
      <c r="AZ72" s="664"/>
      <c r="BA72" s="664"/>
      <c r="BB72" s="664"/>
      <c r="BC72" s="664"/>
      <c r="BD72" s="664"/>
      <c r="BE72" s="664"/>
      <c r="BF72" s="664"/>
      <c r="BG72" s="664"/>
      <c r="BH72" s="664"/>
      <c r="BI72" s="664"/>
      <c r="BJ72" s="664"/>
      <c r="BK72" s="664"/>
      <c r="BL72" s="664"/>
      <c r="BM72" s="664"/>
      <c r="BN72" s="664"/>
      <c r="BO72" s="664"/>
      <c r="BP72" s="664"/>
      <c r="BQ72" s="664"/>
      <c r="BR72" s="664"/>
      <c r="BS72" s="664"/>
      <c r="BT72" s="664"/>
      <c r="BU72" s="664"/>
      <c r="BV72" s="664"/>
      <c r="BW72" s="664"/>
      <c r="BX72" s="664"/>
      <c r="BY72" s="664"/>
      <c r="BZ72" s="664"/>
      <c r="CA72" s="664"/>
      <c r="CB72" s="664"/>
      <c r="CC72" s="664"/>
    </row>
    <row r="73" spans="1:81">
      <c r="A73" s="664"/>
      <c r="B73" s="1239"/>
      <c r="C73" s="664"/>
      <c r="D73" s="664"/>
      <c r="E73" s="664"/>
      <c r="F73" s="664"/>
      <c r="G73" s="664"/>
      <c r="H73" s="664"/>
      <c r="I73" s="664"/>
      <c r="J73" s="664"/>
      <c r="K73" s="664"/>
      <c r="L73" s="664"/>
      <c r="M73" s="664"/>
      <c r="N73" s="664"/>
      <c r="O73" s="664"/>
      <c r="P73" s="664"/>
      <c r="Q73" s="664"/>
      <c r="R73" s="664"/>
      <c r="S73" s="664"/>
      <c r="T73" s="664"/>
      <c r="U73" s="664"/>
      <c r="V73" s="664"/>
      <c r="W73" s="664"/>
      <c r="X73" s="664"/>
      <c r="Y73" s="664"/>
      <c r="Z73" s="664"/>
      <c r="AA73" s="664"/>
      <c r="AB73" s="664"/>
      <c r="AC73" s="664"/>
      <c r="AD73" s="664"/>
      <c r="AE73" s="664"/>
      <c r="AF73" s="664"/>
      <c r="AG73" s="664"/>
      <c r="AH73" s="664"/>
      <c r="AI73" s="664"/>
      <c r="AJ73" s="664"/>
      <c r="AK73" s="664"/>
      <c r="AL73" s="664"/>
      <c r="AM73" s="664"/>
      <c r="AN73" s="664"/>
      <c r="AO73" s="664"/>
      <c r="AP73" s="664"/>
      <c r="AQ73" s="664"/>
      <c r="AR73" s="664"/>
      <c r="AS73" s="664"/>
      <c r="AT73" s="664"/>
      <c r="AU73" s="664"/>
      <c r="AV73" s="664"/>
      <c r="AW73" s="664"/>
      <c r="AX73" s="664"/>
      <c r="AY73" s="664"/>
      <c r="AZ73" s="664"/>
      <c r="BA73" s="664"/>
      <c r="BB73" s="664"/>
      <c r="BC73" s="664"/>
      <c r="BD73" s="664"/>
      <c r="BE73" s="664"/>
      <c r="BF73" s="664"/>
      <c r="BG73" s="664"/>
      <c r="BH73" s="664"/>
      <c r="BI73" s="664"/>
      <c r="BJ73" s="664"/>
      <c r="BK73" s="664"/>
      <c r="BL73" s="664"/>
      <c r="BM73" s="664"/>
      <c r="BN73" s="664"/>
      <c r="BO73" s="664"/>
      <c r="BP73" s="664"/>
      <c r="BQ73" s="664"/>
      <c r="BR73" s="664"/>
      <c r="BS73" s="664"/>
      <c r="BT73" s="664"/>
      <c r="BU73" s="664"/>
      <c r="BV73" s="664"/>
      <c r="BW73" s="664"/>
      <c r="BX73" s="664"/>
      <c r="BY73" s="664"/>
      <c r="BZ73" s="664"/>
      <c r="CA73" s="664"/>
      <c r="CB73" s="664"/>
      <c r="CC73" s="664"/>
    </row>
    <row r="74" spans="1:81">
      <c r="A74" s="664"/>
      <c r="B74" s="1239"/>
      <c r="C74" s="664"/>
      <c r="D74" s="664"/>
      <c r="E74" s="664"/>
      <c r="F74" s="664"/>
      <c r="G74" s="664"/>
      <c r="H74" s="664"/>
      <c r="I74" s="664"/>
      <c r="J74" s="664"/>
      <c r="K74" s="664"/>
      <c r="L74" s="664"/>
      <c r="M74" s="664"/>
      <c r="N74" s="664"/>
      <c r="O74" s="664"/>
      <c r="P74" s="664"/>
      <c r="Q74" s="664"/>
      <c r="R74" s="664"/>
      <c r="S74" s="664"/>
      <c r="T74" s="664"/>
      <c r="U74" s="664"/>
      <c r="V74" s="664"/>
      <c r="W74" s="664"/>
      <c r="X74" s="664"/>
      <c r="Y74" s="664"/>
      <c r="Z74" s="664"/>
      <c r="AA74" s="664"/>
      <c r="AB74" s="664"/>
      <c r="AC74" s="664"/>
      <c r="AD74" s="664"/>
      <c r="AE74" s="664"/>
      <c r="AF74" s="664"/>
      <c r="AG74" s="664"/>
      <c r="AH74" s="664"/>
      <c r="AI74" s="664"/>
      <c r="AJ74" s="664"/>
      <c r="AK74" s="664"/>
      <c r="AL74" s="664"/>
      <c r="AM74" s="664"/>
      <c r="AN74" s="664"/>
      <c r="AO74" s="664"/>
      <c r="AP74" s="664"/>
      <c r="AQ74" s="664"/>
      <c r="AR74" s="664"/>
      <c r="AS74" s="664"/>
      <c r="AT74" s="664"/>
      <c r="AU74" s="664"/>
      <c r="AV74" s="664"/>
      <c r="AW74" s="664"/>
      <c r="AX74" s="664"/>
      <c r="AY74" s="664"/>
      <c r="AZ74" s="664"/>
      <c r="BA74" s="664"/>
      <c r="BB74" s="664"/>
      <c r="BC74" s="664"/>
      <c r="BD74" s="664"/>
      <c r="BE74" s="664"/>
      <c r="BF74" s="664"/>
      <c r="BG74" s="664"/>
      <c r="BH74" s="664"/>
      <c r="BI74" s="664"/>
      <c r="BJ74" s="664"/>
      <c r="BK74" s="664"/>
      <c r="BL74" s="664"/>
      <c r="BM74" s="664"/>
      <c r="BN74" s="664"/>
      <c r="BO74" s="664"/>
      <c r="BP74" s="664"/>
      <c r="BQ74" s="664"/>
      <c r="BR74" s="664"/>
      <c r="BS74" s="664"/>
      <c r="BT74" s="664"/>
      <c r="BU74" s="664"/>
      <c r="BV74" s="664"/>
      <c r="BW74" s="664"/>
      <c r="BX74" s="664"/>
      <c r="BY74" s="664"/>
      <c r="BZ74" s="664"/>
      <c r="CA74" s="664"/>
      <c r="CB74" s="664"/>
      <c r="CC74" s="664"/>
    </row>
    <row r="75" spans="1:81">
      <c r="A75" s="664"/>
      <c r="B75" s="1239"/>
      <c r="C75" s="664"/>
      <c r="D75" s="664"/>
      <c r="E75" s="664"/>
      <c r="F75" s="664"/>
      <c r="G75" s="664"/>
      <c r="H75" s="664"/>
      <c r="I75" s="664"/>
      <c r="J75" s="664"/>
      <c r="K75" s="664"/>
      <c r="L75" s="664"/>
      <c r="M75" s="664"/>
      <c r="N75" s="664"/>
      <c r="O75" s="664"/>
      <c r="P75" s="664"/>
      <c r="Q75" s="664"/>
      <c r="R75" s="664"/>
      <c r="S75" s="664"/>
      <c r="T75" s="664"/>
      <c r="U75" s="664"/>
      <c r="V75" s="664"/>
      <c r="W75" s="664"/>
      <c r="X75" s="664"/>
      <c r="Y75" s="664"/>
      <c r="Z75" s="664"/>
      <c r="AA75" s="664"/>
      <c r="AB75" s="664"/>
      <c r="AC75" s="664"/>
      <c r="AD75" s="664"/>
      <c r="AE75" s="664"/>
      <c r="AF75" s="664"/>
      <c r="AG75" s="664"/>
      <c r="AH75" s="664"/>
      <c r="AI75" s="664"/>
      <c r="AJ75" s="664"/>
      <c r="AK75" s="664"/>
      <c r="AL75" s="664"/>
      <c r="AM75" s="664"/>
      <c r="AN75" s="664"/>
      <c r="AO75" s="664"/>
      <c r="AP75" s="664"/>
      <c r="AQ75" s="664"/>
      <c r="AR75" s="664"/>
      <c r="AS75" s="664"/>
      <c r="AT75" s="664"/>
      <c r="AU75" s="664"/>
      <c r="AV75" s="664"/>
      <c r="AW75" s="664"/>
      <c r="AX75" s="664"/>
      <c r="AY75" s="664"/>
      <c r="AZ75" s="664"/>
      <c r="BA75" s="664"/>
      <c r="BB75" s="664"/>
      <c r="BC75" s="664"/>
      <c r="BD75" s="664"/>
      <c r="BE75" s="664"/>
      <c r="BF75" s="664"/>
      <c r="BG75" s="664"/>
      <c r="BH75" s="664"/>
      <c r="BI75" s="664"/>
      <c r="BJ75" s="664"/>
      <c r="BK75" s="664"/>
      <c r="BL75" s="664"/>
      <c r="BM75" s="664"/>
      <c r="BN75" s="664"/>
      <c r="BO75" s="664"/>
      <c r="BP75" s="664"/>
      <c r="BQ75" s="664"/>
      <c r="BR75" s="664"/>
      <c r="BS75" s="664"/>
      <c r="BT75" s="664"/>
      <c r="BU75" s="664"/>
      <c r="BV75" s="664"/>
      <c r="BW75" s="664"/>
      <c r="BX75" s="664"/>
      <c r="BY75" s="664"/>
      <c r="BZ75" s="664"/>
      <c r="CA75" s="664"/>
      <c r="CB75" s="664"/>
      <c r="CC75" s="664"/>
    </row>
    <row r="76" spans="1:81">
      <c r="A76" s="664"/>
      <c r="B76" s="1239"/>
      <c r="C76" s="664"/>
      <c r="D76" s="664"/>
      <c r="E76" s="664"/>
      <c r="F76" s="664"/>
      <c r="G76" s="664"/>
      <c r="H76" s="664"/>
      <c r="I76" s="664"/>
      <c r="J76" s="664"/>
      <c r="K76" s="664"/>
      <c r="L76" s="664"/>
      <c r="M76" s="664"/>
      <c r="N76" s="664"/>
      <c r="O76" s="664"/>
      <c r="P76" s="664"/>
      <c r="Q76" s="664"/>
      <c r="R76" s="664"/>
      <c r="S76" s="664"/>
      <c r="T76" s="664"/>
      <c r="U76" s="664"/>
      <c r="V76" s="664"/>
      <c r="W76" s="664"/>
      <c r="X76" s="664"/>
      <c r="Y76" s="664"/>
      <c r="Z76" s="664"/>
      <c r="AA76" s="664"/>
      <c r="AB76" s="664"/>
      <c r="AC76" s="664"/>
      <c r="AD76" s="664"/>
      <c r="AE76" s="664"/>
      <c r="AF76" s="664"/>
      <c r="AG76" s="664"/>
      <c r="AH76" s="664"/>
      <c r="AI76" s="664"/>
      <c r="AJ76" s="664"/>
      <c r="AK76" s="664"/>
      <c r="AL76" s="664"/>
      <c r="AM76" s="664"/>
      <c r="AN76" s="664"/>
      <c r="AO76" s="664"/>
      <c r="AP76" s="664"/>
      <c r="AQ76" s="664"/>
      <c r="AR76" s="664"/>
      <c r="AS76" s="664"/>
      <c r="AT76" s="664"/>
      <c r="AU76" s="664"/>
      <c r="AV76" s="664"/>
      <c r="AW76" s="664"/>
      <c r="AX76" s="664"/>
      <c r="AY76" s="664"/>
      <c r="AZ76" s="664"/>
      <c r="BA76" s="664"/>
      <c r="BB76" s="664"/>
      <c r="BC76" s="664"/>
      <c r="BD76" s="664"/>
      <c r="BE76" s="664"/>
      <c r="BF76" s="664"/>
      <c r="BG76" s="664"/>
      <c r="BH76" s="664"/>
      <c r="BI76" s="664"/>
      <c r="BJ76" s="664"/>
      <c r="BK76" s="664"/>
      <c r="BL76" s="664"/>
      <c r="BM76" s="664"/>
      <c r="BN76" s="664"/>
      <c r="BO76" s="664"/>
      <c r="BP76" s="664"/>
      <c r="BQ76" s="664"/>
      <c r="BR76" s="664"/>
      <c r="BS76" s="664"/>
      <c r="BT76" s="664"/>
      <c r="BU76" s="664"/>
      <c r="BV76" s="664"/>
      <c r="BW76" s="664"/>
      <c r="BX76" s="664"/>
      <c r="BY76" s="664"/>
      <c r="BZ76" s="664"/>
      <c r="CA76" s="664"/>
      <c r="CB76" s="664"/>
      <c r="CC76" s="664"/>
    </row>
    <row r="77" spans="1:81">
      <c r="A77" s="664"/>
      <c r="B77" s="1239"/>
      <c r="C77" s="664"/>
      <c r="D77" s="664"/>
      <c r="E77" s="664"/>
      <c r="F77" s="664"/>
      <c r="G77" s="664"/>
      <c r="H77" s="664"/>
      <c r="I77" s="664"/>
      <c r="J77" s="664"/>
      <c r="K77" s="664"/>
      <c r="L77" s="664"/>
      <c r="M77" s="664"/>
      <c r="N77" s="664"/>
      <c r="O77" s="664"/>
      <c r="P77" s="664"/>
      <c r="Q77" s="664"/>
      <c r="R77" s="664"/>
      <c r="S77" s="664"/>
      <c r="T77" s="664"/>
      <c r="U77" s="664"/>
      <c r="V77" s="664"/>
      <c r="W77" s="664"/>
      <c r="X77" s="664"/>
      <c r="Y77" s="664"/>
      <c r="Z77" s="664"/>
      <c r="AA77" s="664"/>
      <c r="AB77" s="664"/>
      <c r="AC77" s="664"/>
      <c r="AD77" s="664"/>
      <c r="AE77" s="664"/>
      <c r="AF77" s="664"/>
      <c r="AG77" s="664"/>
      <c r="AH77" s="664"/>
      <c r="AI77" s="664"/>
      <c r="AJ77" s="664"/>
      <c r="AK77" s="664"/>
      <c r="AL77" s="664"/>
      <c r="AM77" s="664"/>
      <c r="AN77" s="664"/>
      <c r="AO77" s="664"/>
      <c r="AP77" s="664"/>
      <c r="AQ77" s="664"/>
      <c r="AR77" s="664"/>
      <c r="AS77" s="664"/>
      <c r="AT77" s="664"/>
      <c r="AU77" s="664"/>
      <c r="AV77" s="664"/>
      <c r="AW77" s="664"/>
      <c r="AX77" s="664"/>
      <c r="AY77" s="664"/>
      <c r="AZ77" s="664"/>
      <c r="BA77" s="664"/>
      <c r="BB77" s="664"/>
      <c r="BC77" s="664"/>
      <c r="BD77" s="664"/>
      <c r="BE77" s="664"/>
      <c r="BF77" s="664"/>
      <c r="BG77" s="664"/>
      <c r="BH77" s="664"/>
      <c r="BI77" s="664"/>
      <c r="BJ77" s="664"/>
      <c r="BK77" s="664"/>
      <c r="BL77" s="664"/>
      <c r="BM77" s="664"/>
      <c r="BN77" s="664"/>
      <c r="BO77" s="664"/>
      <c r="BP77" s="664"/>
      <c r="BQ77" s="664"/>
      <c r="BR77" s="664"/>
      <c r="BS77" s="664"/>
      <c r="BT77" s="664"/>
      <c r="BU77" s="664"/>
      <c r="BV77" s="664"/>
      <c r="BW77" s="664"/>
      <c r="BX77" s="664"/>
      <c r="BY77" s="664"/>
      <c r="BZ77" s="664"/>
      <c r="CA77" s="664"/>
      <c r="CB77" s="664"/>
      <c r="CC77" s="664"/>
    </row>
    <row r="78" spans="1:81">
      <c r="A78" s="664"/>
      <c r="B78" s="1239"/>
      <c r="C78" s="664"/>
      <c r="D78" s="664"/>
      <c r="E78" s="664"/>
      <c r="F78" s="664"/>
      <c r="G78" s="664"/>
      <c r="H78" s="664"/>
      <c r="I78" s="664"/>
      <c r="J78" s="664"/>
      <c r="K78" s="664"/>
      <c r="L78" s="664"/>
      <c r="M78" s="664"/>
      <c r="N78" s="664"/>
      <c r="O78" s="664"/>
      <c r="P78" s="664"/>
      <c r="Q78" s="664"/>
      <c r="R78" s="664"/>
      <c r="S78" s="664"/>
      <c r="T78" s="664"/>
      <c r="U78" s="664"/>
      <c r="V78" s="664"/>
      <c r="W78" s="664"/>
      <c r="X78" s="664"/>
      <c r="Y78" s="664"/>
      <c r="Z78" s="664"/>
      <c r="AA78" s="664"/>
      <c r="AB78" s="664"/>
      <c r="AC78" s="664"/>
      <c r="AD78" s="664"/>
      <c r="AE78" s="664"/>
      <c r="AF78" s="664"/>
      <c r="AG78" s="664"/>
      <c r="AH78" s="664"/>
      <c r="AI78" s="664"/>
      <c r="AJ78" s="664"/>
      <c r="AK78" s="664"/>
      <c r="AL78" s="664"/>
      <c r="AM78" s="664"/>
      <c r="AN78" s="664"/>
      <c r="AO78" s="664"/>
      <c r="AP78" s="664"/>
      <c r="AQ78" s="664"/>
      <c r="AR78" s="664"/>
      <c r="AS78" s="664"/>
      <c r="AT78" s="664"/>
      <c r="AU78" s="664"/>
      <c r="AV78" s="664"/>
      <c r="AW78" s="664"/>
      <c r="AX78" s="664"/>
      <c r="AY78" s="664"/>
      <c r="AZ78" s="664"/>
      <c r="BA78" s="664"/>
      <c r="BB78" s="664"/>
      <c r="BC78" s="664"/>
      <c r="BD78" s="664"/>
      <c r="BE78" s="664"/>
      <c r="BF78" s="664"/>
      <c r="BG78" s="664"/>
      <c r="BH78" s="664"/>
      <c r="BI78" s="664"/>
      <c r="BJ78" s="664"/>
      <c r="BK78" s="664"/>
      <c r="BL78" s="664"/>
      <c r="BM78" s="664"/>
      <c r="BN78" s="664"/>
      <c r="BO78" s="664"/>
      <c r="BP78" s="664"/>
      <c r="BQ78" s="664"/>
      <c r="BR78" s="664"/>
      <c r="BS78" s="664"/>
      <c r="BT78" s="664"/>
      <c r="BU78" s="664"/>
      <c r="BV78" s="664"/>
      <c r="BW78" s="664"/>
      <c r="BX78" s="664"/>
      <c r="BY78" s="664"/>
      <c r="BZ78" s="664"/>
      <c r="CA78" s="664"/>
      <c r="CB78" s="664"/>
      <c r="CC78" s="664"/>
    </row>
    <row r="79" spans="1:81">
      <c r="A79" s="664"/>
      <c r="B79" s="1239"/>
      <c r="C79" s="664"/>
      <c r="D79" s="664"/>
      <c r="E79" s="664"/>
      <c r="F79" s="664"/>
      <c r="G79" s="664"/>
      <c r="H79" s="664"/>
      <c r="I79" s="664"/>
      <c r="J79" s="664"/>
      <c r="K79" s="664"/>
      <c r="L79" s="664"/>
      <c r="M79" s="664"/>
      <c r="N79" s="664"/>
      <c r="O79" s="664"/>
      <c r="P79" s="664"/>
      <c r="Q79" s="664"/>
      <c r="R79" s="664"/>
      <c r="S79" s="664"/>
      <c r="T79" s="664"/>
      <c r="U79" s="664"/>
      <c r="V79" s="664"/>
      <c r="W79" s="664"/>
      <c r="X79" s="664"/>
      <c r="Y79" s="664"/>
      <c r="Z79" s="664"/>
      <c r="AA79" s="664"/>
      <c r="AB79" s="664"/>
      <c r="AC79" s="664"/>
      <c r="AD79" s="664"/>
      <c r="AE79" s="664"/>
      <c r="AF79" s="664"/>
      <c r="AG79" s="664"/>
      <c r="AH79" s="664"/>
      <c r="AI79" s="664"/>
      <c r="AJ79" s="664"/>
      <c r="AK79" s="664"/>
      <c r="AL79" s="664"/>
      <c r="AM79" s="664"/>
      <c r="AN79" s="664"/>
      <c r="AO79" s="664"/>
      <c r="AP79" s="664"/>
      <c r="AQ79" s="664"/>
      <c r="AR79" s="664"/>
      <c r="AS79" s="664"/>
      <c r="AT79" s="664"/>
      <c r="AU79" s="664"/>
      <c r="AV79" s="664"/>
      <c r="AW79" s="664"/>
      <c r="AX79" s="664"/>
      <c r="AY79" s="664"/>
      <c r="AZ79" s="664"/>
      <c r="BA79" s="664"/>
      <c r="BB79" s="664"/>
      <c r="BC79" s="664"/>
      <c r="BD79" s="664"/>
      <c r="BE79" s="664"/>
      <c r="BF79" s="664"/>
      <c r="BG79" s="664"/>
      <c r="BH79" s="664"/>
      <c r="BI79" s="664"/>
      <c r="BJ79" s="664"/>
      <c r="BK79" s="664"/>
      <c r="BL79" s="664"/>
      <c r="BM79" s="664"/>
      <c r="BN79" s="664"/>
      <c r="BO79" s="664"/>
      <c r="BP79" s="664"/>
      <c r="BQ79" s="664"/>
      <c r="BR79" s="664"/>
      <c r="BS79" s="664"/>
      <c r="BT79" s="664"/>
      <c r="BU79" s="664"/>
      <c r="BV79" s="664"/>
      <c r="BW79" s="664"/>
      <c r="BX79" s="664"/>
      <c r="BY79" s="664"/>
      <c r="BZ79" s="664"/>
      <c r="CA79" s="664"/>
      <c r="CB79" s="664"/>
      <c r="CC79" s="664"/>
    </row>
    <row r="80" spans="1:81">
      <c r="A80" s="664"/>
      <c r="B80" s="1239"/>
      <c r="C80" s="664"/>
      <c r="D80" s="664"/>
      <c r="E80" s="664"/>
      <c r="F80" s="664"/>
      <c r="G80" s="664"/>
      <c r="H80" s="664"/>
      <c r="I80" s="664"/>
      <c r="J80" s="664"/>
      <c r="K80" s="664"/>
      <c r="L80" s="664"/>
      <c r="M80" s="664"/>
      <c r="N80" s="664"/>
      <c r="O80" s="664"/>
      <c r="P80" s="664"/>
      <c r="Q80" s="664"/>
      <c r="R80" s="664"/>
      <c r="S80" s="664"/>
      <c r="T80" s="664"/>
      <c r="U80" s="664"/>
      <c r="V80" s="664"/>
      <c r="W80" s="664"/>
      <c r="X80" s="664"/>
      <c r="Y80" s="664"/>
      <c r="Z80" s="664"/>
      <c r="AA80" s="664"/>
      <c r="AB80" s="664"/>
      <c r="AC80" s="664"/>
      <c r="AD80" s="664"/>
      <c r="AE80" s="664"/>
      <c r="AF80" s="664"/>
      <c r="AG80" s="664"/>
      <c r="AH80" s="664"/>
      <c r="AI80" s="664"/>
      <c r="AJ80" s="664"/>
      <c r="AK80" s="664"/>
      <c r="AL80" s="664"/>
      <c r="AM80" s="664"/>
      <c r="AN80" s="664"/>
      <c r="AO80" s="664"/>
      <c r="AP80" s="664"/>
      <c r="AQ80" s="664"/>
      <c r="AR80" s="664"/>
      <c r="AS80" s="664"/>
      <c r="AT80" s="664"/>
      <c r="AU80" s="664"/>
      <c r="AV80" s="664"/>
      <c r="AW80" s="664"/>
      <c r="AX80" s="664"/>
      <c r="AY80" s="664"/>
      <c r="AZ80" s="664"/>
      <c r="BA80" s="664"/>
      <c r="BB80" s="664"/>
      <c r="BC80" s="664"/>
      <c r="BD80" s="664"/>
      <c r="BE80" s="664"/>
      <c r="BF80" s="664"/>
      <c r="BG80" s="664"/>
      <c r="BH80" s="664"/>
      <c r="BI80" s="664"/>
      <c r="BJ80" s="664"/>
      <c r="BK80" s="664"/>
      <c r="BL80" s="664"/>
      <c r="BM80" s="664"/>
      <c r="BN80" s="664"/>
      <c r="BO80" s="664"/>
      <c r="BP80" s="664"/>
      <c r="BQ80" s="664"/>
      <c r="BR80" s="664"/>
      <c r="BS80" s="664"/>
      <c r="BT80" s="664"/>
      <c r="BU80" s="664"/>
      <c r="BV80" s="664"/>
      <c r="BW80" s="664"/>
      <c r="BX80" s="664"/>
      <c r="BY80" s="664"/>
      <c r="BZ80" s="664"/>
      <c r="CA80" s="664"/>
      <c r="CB80" s="664"/>
      <c r="CC80" s="664"/>
    </row>
    <row r="81" spans="1:81">
      <c r="A81" s="664"/>
      <c r="B81" s="1239"/>
      <c r="C81" s="664"/>
      <c r="D81" s="664"/>
      <c r="E81" s="664"/>
      <c r="F81" s="664"/>
      <c r="G81" s="664"/>
      <c r="H81" s="664"/>
      <c r="I81" s="664"/>
      <c r="J81" s="664"/>
      <c r="K81" s="664"/>
      <c r="L81" s="664"/>
      <c r="M81" s="664"/>
      <c r="N81" s="664"/>
      <c r="O81" s="664"/>
      <c r="P81" s="664"/>
      <c r="Q81" s="664"/>
      <c r="R81" s="664"/>
      <c r="S81" s="664"/>
      <c r="T81" s="664"/>
      <c r="U81" s="664"/>
      <c r="V81" s="664"/>
      <c r="W81" s="664"/>
      <c r="X81" s="664"/>
      <c r="Y81" s="664"/>
      <c r="Z81" s="664"/>
      <c r="AA81" s="664"/>
      <c r="AB81" s="664"/>
      <c r="AC81" s="664"/>
      <c r="AD81" s="664"/>
      <c r="AE81" s="664"/>
      <c r="AF81" s="664"/>
      <c r="AG81" s="664"/>
      <c r="AH81" s="664"/>
      <c r="AI81" s="664"/>
      <c r="AJ81" s="664"/>
      <c r="AK81" s="664"/>
      <c r="AL81" s="664"/>
      <c r="AM81" s="664"/>
      <c r="AN81" s="664"/>
      <c r="AO81" s="664"/>
      <c r="AP81" s="664"/>
      <c r="AQ81" s="664"/>
      <c r="AR81" s="664"/>
      <c r="AS81" s="664"/>
      <c r="AT81" s="664"/>
      <c r="AU81" s="664"/>
      <c r="AV81" s="664"/>
      <c r="AW81" s="664"/>
      <c r="AX81" s="664"/>
      <c r="AY81" s="664"/>
      <c r="AZ81" s="664"/>
      <c r="BA81" s="664"/>
      <c r="BB81" s="664"/>
      <c r="BC81" s="664"/>
      <c r="BD81" s="664"/>
      <c r="BE81" s="664"/>
      <c r="BF81" s="664"/>
      <c r="BG81" s="664"/>
      <c r="BH81" s="664"/>
      <c r="BI81" s="664"/>
      <c r="BJ81" s="664"/>
      <c r="BK81" s="664"/>
      <c r="BL81" s="664"/>
      <c r="BM81" s="664"/>
      <c r="BN81" s="664"/>
      <c r="BO81" s="664"/>
      <c r="BP81" s="664"/>
      <c r="BQ81" s="664"/>
      <c r="BR81" s="664"/>
      <c r="BS81" s="664"/>
      <c r="BT81" s="664"/>
      <c r="BU81" s="664"/>
      <c r="BV81" s="664"/>
      <c r="BW81" s="664"/>
      <c r="BX81" s="664"/>
      <c r="BY81" s="664"/>
      <c r="BZ81" s="664"/>
      <c r="CA81" s="664"/>
      <c r="CB81" s="664"/>
      <c r="CC81" s="664"/>
    </row>
    <row r="82" spans="1:81">
      <c r="A82" s="664"/>
      <c r="B82" s="1239"/>
      <c r="C82" s="664"/>
      <c r="D82" s="664"/>
      <c r="E82" s="664"/>
      <c r="F82" s="664"/>
      <c r="G82" s="664"/>
      <c r="H82" s="664"/>
      <c r="I82" s="664"/>
      <c r="J82" s="664"/>
      <c r="K82" s="664"/>
      <c r="L82" s="664"/>
      <c r="M82" s="664"/>
      <c r="N82" s="664"/>
      <c r="O82" s="664"/>
      <c r="P82" s="664"/>
      <c r="Q82" s="664"/>
      <c r="R82" s="664"/>
      <c r="S82" s="664"/>
      <c r="T82" s="664"/>
      <c r="U82" s="664"/>
      <c r="V82" s="664"/>
      <c r="W82" s="664"/>
      <c r="X82" s="664"/>
      <c r="Y82" s="664"/>
      <c r="Z82" s="664"/>
      <c r="AA82" s="664"/>
      <c r="AB82" s="664"/>
      <c r="AC82" s="664"/>
      <c r="AD82" s="664"/>
      <c r="AE82" s="664"/>
      <c r="AF82" s="664"/>
      <c r="AG82" s="664"/>
      <c r="AH82" s="664"/>
      <c r="AI82" s="664"/>
      <c r="AJ82" s="664"/>
      <c r="AK82" s="664"/>
      <c r="AL82" s="664"/>
      <c r="AM82" s="664"/>
      <c r="AN82" s="664"/>
      <c r="AO82" s="664"/>
      <c r="AP82" s="664"/>
      <c r="AQ82" s="664"/>
      <c r="AR82" s="664"/>
      <c r="AS82" s="664"/>
      <c r="AT82" s="664"/>
      <c r="AU82" s="664"/>
      <c r="AV82" s="664"/>
      <c r="AW82" s="664"/>
      <c r="AX82" s="664"/>
      <c r="AY82" s="664"/>
      <c r="AZ82" s="664"/>
      <c r="BA82" s="664"/>
      <c r="BB82" s="664"/>
      <c r="BC82" s="664"/>
      <c r="BD82" s="664"/>
      <c r="BE82" s="664"/>
      <c r="BF82" s="664"/>
      <c r="BG82" s="664"/>
      <c r="BH82" s="664"/>
      <c r="BI82" s="664"/>
      <c r="BJ82" s="664"/>
      <c r="BK82" s="664"/>
      <c r="BL82" s="664"/>
      <c r="BM82" s="664"/>
      <c r="BN82" s="664"/>
      <c r="BO82" s="664"/>
      <c r="BP82" s="664"/>
      <c r="BQ82" s="664"/>
      <c r="BR82" s="664"/>
      <c r="BS82" s="664"/>
      <c r="BT82" s="664"/>
      <c r="BU82" s="664"/>
      <c r="BV82" s="664"/>
      <c r="BW82" s="664"/>
      <c r="BX82" s="664"/>
      <c r="BY82" s="664"/>
      <c r="BZ82" s="664"/>
      <c r="CA82" s="664"/>
      <c r="CB82" s="664"/>
      <c r="CC82" s="664"/>
    </row>
    <row r="83" spans="1:81">
      <c r="A83" s="664"/>
      <c r="B83" s="1239"/>
      <c r="C83" s="664"/>
      <c r="D83" s="664"/>
      <c r="E83" s="664"/>
      <c r="F83" s="664"/>
      <c r="G83" s="664"/>
      <c r="H83" s="664"/>
      <c r="I83" s="664"/>
      <c r="J83" s="664"/>
      <c r="K83" s="664"/>
      <c r="L83" s="664"/>
      <c r="M83" s="664"/>
      <c r="N83" s="664"/>
      <c r="O83" s="664"/>
      <c r="P83" s="664"/>
      <c r="Q83" s="664"/>
      <c r="R83" s="664"/>
      <c r="S83" s="664"/>
      <c r="T83" s="664"/>
      <c r="U83" s="664"/>
      <c r="V83" s="664"/>
      <c r="W83" s="664"/>
      <c r="X83" s="664"/>
      <c r="Y83" s="664"/>
      <c r="Z83" s="664"/>
      <c r="AA83" s="664"/>
      <c r="AB83" s="664"/>
      <c r="AC83" s="664"/>
      <c r="AD83" s="664"/>
      <c r="AE83" s="664"/>
      <c r="AF83" s="664"/>
      <c r="AG83" s="664"/>
      <c r="AH83" s="664"/>
      <c r="AI83" s="664"/>
      <c r="AJ83" s="664"/>
      <c r="AK83" s="664"/>
      <c r="AL83" s="664"/>
      <c r="AM83" s="664"/>
      <c r="AN83" s="664"/>
      <c r="AO83" s="664"/>
      <c r="AP83" s="664"/>
      <c r="AQ83" s="664"/>
      <c r="AR83" s="664"/>
      <c r="AS83" s="664"/>
      <c r="AT83" s="664"/>
      <c r="AU83" s="664"/>
      <c r="AV83" s="664"/>
      <c r="AW83" s="664"/>
      <c r="AX83" s="664"/>
      <c r="AY83" s="664"/>
      <c r="AZ83" s="664"/>
      <c r="BA83" s="664"/>
      <c r="BB83" s="664"/>
      <c r="BC83" s="664"/>
      <c r="BD83" s="664"/>
      <c r="BE83" s="664"/>
      <c r="BF83" s="664"/>
      <c r="BG83" s="664"/>
      <c r="BH83" s="664"/>
      <c r="BI83" s="664"/>
      <c r="BJ83" s="664"/>
      <c r="BK83" s="664"/>
      <c r="BL83" s="664"/>
      <c r="BM83" s="664"/>
      <c r="BN83" s="664"/>
      <c r="BO83" s="664"/>
      <c r="BP83" s="664"/>
      <c r="BQ83" s="664"/>
      <c r="BR83" s="664"/>
      <c r="BS83" s="664"/>
      <c r="BT83" s="664"/>
      <c r="BU83" s="664"/>
      <c r="BV83" s="664"/>
      <c r="BW83" s="664"/>
      <c r="BX83" s="664"/>
      <c r="BY83" s="664"/>
      <c r="BZ83" s="664"/>
      <c r="CA83" s="664"/>
      <c r="CB83" s="664"/>
      <c r="CC83" s="664"/>
    </row>
    <row r="84" spans="1:81">
      <c r="A84" s="664"/>
      <c r="B84" s="1239"/>
      <c r="C84" s="664"/>
      <c r="D84" s="664"/>
      <c r="E84" s="664"/>
      <c r="F84" s="664"/>
      <c r="G84" s="664"/>
      <c r="H84" s="664"/>
      <c r="I84" s="664"/>
      <c r="J84" s="664"/>
      <c r="K84" s="664"/>
      <c r="L84" s="664"/>
      <c r="M84" s="664"/>
      <c r="N84" s="664"/>
      <c r="O84" s="664"/>
      <c r="P84" s="664"/>
      <c r="Q84" s="664"/>
      <c r="R84" s="664"/>
      <c r="S84" s="664"/>
      <c r="T84" s="664"/>
      <c r="U84" s="664"/>
      <c r="V84" s="664"/>
      <c r="W84" s="664"/>
      <c r="X84" s="664"/>
      <c r="Y84" s="664"/>
      <c r="Z84" s="664"/>
      <c r="AA84" s="664"/>
      <c r="AB84" s="664"/>
      <c r="AC84" s="664"/>
      <c r="AD84" s="664"/>
      <c r="AE84" s="664"/>
      <c r="AF84" s="664"/>
      <c r="AG84" s="664"/>
      <c r="AH84" s="664"/>
      <c r="AI84" s="664"/>
      <c r="AJ84" s="664"/>
      <c r="AK84" s="664"/>
      <c r="AL84" s="664"/>
      <c r="AM84" s="664"/>
      <c r="AN84" s="664"/>
      <c r="AO84" s="664"/>
      <c r="AP84" s="664"/>
      <c r="AQ84" s="664"/>
      <c r="AR84" s="664"/>
      <c r="AS84" s="664"/>
      <c r="AT84" s="664"/>
      <c r="AU84" s="664"/>
      <c r="AV84" s="664"/>
      <c r="AW84" s="664"/>
      <c r="AX84" s="664"/>
      <c r="AY84" s="664"/>
      <c r="AZ84" s="664"/>
      <c r="BA84" s="664"/>
      <c r="BB84" s="664"/>
      <c r="BC84" s="664"/>
      <c r="BD84" s="664"/>
      <c r="BE84" s="664"/>
      <c r="BF84" s="664"/>
      <c r="BG84" s="664"/>
      <c r="BH84" s="664"/>
      <c r="BI84" s="664"/>
      <c r="BJ84" s="664"/>
      <c r="BK84" s="664"/>
      <c r="BL84" s="664"/>
      <c r="BM84" s="664"/>
      <c r="BN84" s="664"/>
      <c r="BO84" s="664"/>
      <c r="BP84" s="664"/>
      <c r="BQ84" s="664"/>
      <c r="BR84" s="664"/>
      <c r="BS84" s="664"/>
      <c r="BT84" s="664"/>
      <c r="BU84" s="664"/>
      <c r="BV84" s="664"/>
      <c r="BW84" s="664"/>
      <c r="BX84" s="664"/>
      <c r="BY84" s="664"/>
      <c r="BZ84" s="664"/>
      <c r="CA84" s="664"/>
      <c r="CB84" s="664"/>
      <c r="CC84" s="664"/>
    </row>
    <row r="85" spans="1:81">
      <c r="A85" s="664"/>
      <c r="B85" s="1239"/>
      <c r="C85" s="664"/>
      <c r="D85" s="664"/>
      <c r="E85" s="664"/>
      <c r="F85" s="664"/>
      <c r="G85" s="664"/>
      <c r="H85" s="664"/>
      <c r="I85" s="664"/>
      <c r="J85" s="664"/>
      <c r="K85" s="664"/>
      <c r="L85" s="664"/>
      <c r="M85" s="664"/>
      <c r="N85" s="664"/>
      <c r="O85" s="664"/>
      <c r="P85" s="664"/>
      <c r="Q85" s="664"/>
      <c r="R85" s="664"/>
      <c r="S85" s="664"/>
      <c r="T85" s="664"/>
      <c r="U85" s="664"/>
      <c r="V85" s="664"/>
      <c r="W85" s="664"/>
      <c r="X85" s="664"/>
      <c r="Y85" s="664"/>
      <c r="Z85" s="664"/>
      <c r="AA85" s="664"/>
      <c r="AB85" s="664"/>
      <c r="AC85" s="664"/>
      <c r="AD85" s="664"/>
      <c r="AE85" s="664"/>
      <c r="AF85" s="664"/>
      <c r="AG85" s="664"/>
      <c r="AH85" s="664"/>
      <c r="AI85" s="664"/>
      <c r="AJ85" s="664"/>
      <c r="AK85" s="664"/>
      <c r="AL85" s="664"/>
      <c r="AM85" s="664"/>
      <c r="AN85" s="664"/>
      <c r="AO85" s="664"/>
      <c r="AP85" s="664"/>
      <c r="AQ85" s="664"/>
      <c r="AR85" s="664"/>
      <c r="AS85" s="664"/>
      <c r="AT85" s="664"/>
      <c r="AU85" s="664"/>
      <c r="AV85" s="664"/>
      <c r="AW85" s="664"/>
      <c r="AX85" s="664"/>
      <c r="AY85" s="664"/>
      <c r="AZ85" s="664"/>
      <c r="BA85" s="664"/>
      <c r="BB85" s="664"/>
      <c r="BC85" s="664"/>
      <c r="BD85" s="664"/>
      <c r="BE85" s="664"/>
      <c r="BF85" s="664"/>
      <c r="BG85" s="664"/>
      <c r="BH85" s="664"/>
      <c r="BI85" s="664"/>
      <c r="BJ85" s="664"/>
      <c r="BK85" s="664"/>
      <c r="BL85" s="664"/>
      <c r="BM85" s="664"/>
      <c r="BN85" s="664"/>
      <c r="BO85" s="664"/>
      <c r="BP85" s="664"/>
      <c r="BQ85" s="664"/>
      <c r="BR85" s="664"/>
      <c r="BS85" s="664"/>
      <c r="BT85" s="664"/>
      <c r="BU85" s="664"/>
      <c r="BV85" s="664"/>
      <c r="BW85" s="664"/>
      <c r="BX85" s="664"/>
      <c r="BY85" s="664"/>
      <c r="BZ85" s="664"/>
      <c r="CA85" s="664"/>
      <c r="CB85" s="664"/>
      <c r="CC85" s="664"/>
    </row>
    <row r="86" spans="1:81">
      <c r="A86" s="664"/>
      <c r="B86" s="1239"/>
      <c r="C86" s="664"/>
      <c r="D86" s="664"/>
      <c r="E86" s="664"/>
      <c r="F86" s="664"/>
      <c r="G86" s="664"/>
      <c r="H86" s="664"/>
      <c r="I86" s="664"/>
      <c r="J86" s="664"/>
      <c r="K86" s="664"/>
      <c r="L86" s="664"/>
      <c r="M86" s="664"/>
      <c r="N86" s="664"/>
      <c r="O86" s="664"/>
      <c r="P86" s="664"/>
      <c r="Q86" s="664"/>
      <c r="R86" s="664"/>
      <c r="S86" s="664"/>
      <c r="T86" s="664"/>
      <c r="U86" s="664"/>
      <c r="V86" s="664"/>
      <c r="W86" s="664"/>
      <c r="X86" s="664"/>
      <c r="Y86" s="664"/>
      <c r="Z86" s="664"/>
      <c r="AA86" s="664"/>
      <c r="AB86" s="664"/>
      <c r="AC86" s="664"/>
      <c r="AD86" s="664"/>
      <c r="AE86" s="664"/>
      <c r="AF86" s="664"/>
      <c r="AG86" s="664"/>
      <c r="AH86" s="664"/>
      <c r="AI86" s="664"/>
      <c r="AJ86" s="664"/>
      <c r="AK86" s="664"/>
      <c r="AL86" s="664"/>
      <c r="AM86" s="664"/>
      <c r="AN86" s="664"/>
      <c r="AO86" s="664"/>
      <c r="AP86" s="664"/>
      <c r="AQ86" s="664"/>
      <c r="AR86" s="664"/>
      <c r="AS86" s="664"/>
      <c r="AT86" s="664"/>
      <c r="AU86" s="664"/>
      <c r="AV86" s="664"/>
      <c r="AW86" s="664"/>
      <c r="AX86" s="664"/>
      <c r="AY86" s="664"/>
      <c r="AZ86" s="664"/>
      <c r="BA86" s="664"/>
      <c r="BB86" s="664"/>
      <c r="BC86" s="664"/>
      <c r="BD86" s="664"/>
      <c r="BE86" s="664"/>
      <c r="BF86" s="664"/>
      <c r="BG86" s="664"/>
      <c r="BH86" s="664"/>
      <c r="BI86" s="664"/>
      <c r="BJ86" s="664"/>
      <c r="BK86" s="664"/>
      <c r="BL86" s="664"/>
      <c r="BM86" s="664"/>
      <c r="BN86" s="664"/>
      <c r="BO86" s="664"/>
      <c r="BP86" s="664"/>
      <c r="BQ86" s="664"/>
      <c r="BR86" s="664"/>
      <c r="BS86" s="664"/>
      <c r="BT86" s="664"/>
      <c r="BU86" s="664"/>
      <c r="BV86" s="664"/>
      <c r="BW86" s="664"/>
      <c r="BX86" s="664"/>
      <c r="BY86" s="664"/>
      <c r="BZ86" s="664"/>
      <c r="CA86" s="664"/>
      <c r="CB86" s="664"/>
      <c r="CC86" s="664"/>
    </row>
    <row r="87" spans="1:81">
      <c r="A87" s="664"/>
      <c r="B87" s="1239"/>
      <c r="C87" s="664"/>
      <c r="D87" s="664"/>
      <c r="E87" s="664"/>
      <c r="F87" s="664"/>
      <c r="G87" s="664"/>
      <c r="H87" s="664"/>
      <c r="I87" s="664"/>
      <c r="J87" s="664"/>
      <c r="K87" s="664"/>
      <c r="L87" s="664"/>
      <c r="M87" s="664"/>
      <c r="N87" s="664"/>
      <c r="O87" s="664"/>
      <c r="P87" s="664"/>
      <c r="Q87" s="664"/>
      <c r="R87" s="664"/>
      <c r="S87" s="664"/>
      <c r="T87" s="664"/>
      <c r="U87" s="664"/>
      <c r="V87" s="664"/>
      <c r="W87" s="664"/>
      <c r="X87" s="664"/>
      <c r="Y87" s="664"/>
      <c r="Z87" s="664"/>
      <c r="AA87" s="664"/>
      <c r="AB87" s="664"/>
      <c r="AC87" s="664"/>
      <c r="AD87" s="664"/>
      <c r="AE87" s="664"/>
      <c r="AF87" s="664"/>
      <c r="AG87" s="664"/>
      <c r="AH87" s="664"/>
      <c r="AI87" s="664"/>
      <c r="AJ87" s="664"/>
      <c r="AK87" s="664"/>
      <c r="AL87" s="664"/>
      <c r="AM87" s="664"/>
      <c r="AN87" s="664"/>
      <c r="AO87" s="664"/>
      <c r="AP87" s="664"/>
      <c r="AQ87" s="664"/>
      <c r="AR87" s="664"/>
      <c r="AS87" s="664"/>
      <c r="AT87" s="664"/>
      <c r="AU87" s="664"/>
      <c r="AV87" s="664"/>
      <c r="AW87" s="664"/>
      <c r="AX87" s="664"/>
      <c r="AY87" s="664"/>
      <c r="AZ87" s="664"/>
      <c r="BA87" s="664"/>
      <c r="BB87" s="664"/>
      <c r="BC87" s="664"/>
      <c r="BD87" s="664"/>
      <c r="BE87" s="664"/>
      <c r="BF87" s="664"/>
      <c r="BG87" s="664"/>
      <c r="BH87" s="664"/>
      <c r="BI87" s="664"/>
      <c r="BJ87" s="664"/>
      <c r="BK87" s="664"/>
      <c r="BL87" s="664"/>
      <c r="BM87" s="664"/>
      <c r="BN87" s="664"/>
      <c r="BO87" s="664"/>
      <c r="BP87" s="664"/>
      <c r="BQ87" s="664"/>
      <c r="BR87" s="664"/>
      <c r="BS87" s="664"/>
      <c r="BT87" s="664"/>
      <c r="BU87" s="664"/>
      <c r="BV87" s="664"/>
      <c r="BW87" s="664"/>
      <c r="BX87" s="664"/>
      <c r="BY87" s="664"/>
      <c r="BZ87" s="664"/>
      <c r="CA87" s="664"/>
      <c r="CB87" s="664"/>
      <c r="CC87" s="664"/>
    </row>
    <row r="88" spans="1:81">
      <c r="A88" s="664"/>
      <c r="B88" s="1239"/>
      <c r="C88" s="664"/>
      <c r="D88" s="664"/>
      <c r="E88" s="664"/>
      <c r="F88" s="664"/>
      <c r="G88" s="664"/>
      <c r="H88" s="664"/>
      <c r="I88" s="664"/>
      <c r="J88" s="664"/>
      <c r="K88" s="664"/>
      <c r="L88" s="664"/>
      <c r="M88" s="664"/>
      <c r="N88" s="664"/>
      <c r="O88" s="664"/>
      <c r="P88" s="664"/>
      <c r="Q88" s="664"/>
      <c r="R88" s="664"/>
      <c r="S88" s="664"/>
      <c r="T88" s="664"/>
      <c r="U88" s="664"/>
      <c r="V88" s="664"/>
      <c r="W88" s="664"/>
      <c r="X88" s="664"/>
      <c r="Y88" s="664"/>
      <c r="Z88" s="664"/>
      <c r="AA88" s="664"/>
      <c r="AB88" s="664"/>
      <c r="AC88" s="664"/>
      <c r="AD88" s="664"/>
      <c r="AE88" s="664"/>
      <c r="AF88" s="664"/>
      <c r="AG88" s="664"/>
      <c r="AH88" s="664"/>
      <c r="AI88" s="664"/>
      <c r="AJ88" s="664"/>
      <c r="AK88" s="664"/>
      <c r="AL88" s="664"/>
      <c r="AM88" s="664"/>
      <c r="AN88" s="664"/>
      <c r="AO88" s="664"/>
      <c r="AP88" s="664"/>
      <c r="AQ88" s="664"/>
      <c r="AR88" s="664"/>
      <c r="AS88" s="664"/>
      <c r="AT88" s="664"/>
      <c r="AU88" s="664"/>
      <c r="AV88" s="664"/>
      <c r="AW88" s="664"/>
      <c r="AX88" s="664"/>
      <c r="AY88" s="664"/>
      <c r="AZ88" s="664"/>
      <c r="BA88" s="664"/>
      <c r="BB88" s="664"/>
      <c r="BC88" s="664"/>
      <c r="BD88" s="664"/>
      <c r="BE88" s="664"/>
      <c r="BF88" s="664"/>
      <c r="BG88" s="664"/>
      <c r="BH88" s="664"/>
      <c r="BI88" s="664"/>
      <c r="BJ88" s="664"/>
      <c r="BK88" s="664"/>
      <c r="BL88" s="664"/>
      <c r="BM88" s="664"/>
      <c r="BN88" s="664"/>
      <c r="BO88" s="664"/>
      <c r="BP88" s="664"/>
      <c r="BQ88" s="664"/>
      <c r="BR88" s="664"/>
      <c r="BS88" s="664"/>
      <c r="BT88" s="664"/>
      <c r="BU88" s="664"/>
      <c r="BV88" s="664"/>
      <c r="BW88" s="664"/>
      <c r="BX88" s="664"/>
      <c r="BY88" s="664"/>
      <c r="BZ88" s="664"/>
      <c r="CA88" s="664"/>
      <c r="CB88" s="664"/>
      <c r="CC88" s="664"/>
    </row>
    <row r="89" spans="1:81">
      <c r="A89" s="664"/>
      <c r="B89" s="1239"/>
      <c r="C89" s="664"/>
      <c r="D89" s="664"/>
      <c r="E89" s="664"/>
      <c r="F89" s="664"/>
      <c r="G89" s="664"/>
      <c r="H89" s="664"/>
      <c r="I89" s="664"/>
      <c r="J89" s="664"/>
      <c r="K89" s="664"/>
      <c r="L89" s="664"/>
      <c r="M89" s="664"/>
      <c r="N89" s="664"/>
      <c r="O89" s="664"/>
      <c r="P89" s="664"/>
      <c r="Q89" s="664"/>
      <c r="R89" s="664"/>
      <c r="S89" s="664"/>
      <c r="T89" s="664"/>
      <c r="U89" s="664"/>
      <c r="V89" s="664"/>
      <c r="W89" s="664"/>
      <c r="X89" s="664"/>
      <c r="Y89" s="664"/>
      <c r="Z89" s="664"/>
      <c r="AA89" s="664"/>
      <c r="AB89" s="664"/>
      <c r="AC89" s="664"/>
      <c r="AD89" s="664"/>
      <c r="AE89" s="664"/>
      <c r="AF89" s="664"/>
      <c r="AG89" s="664"/>
      <c r="AH89" s="664"/>
      <c r="AI89" s="664"/>
      <c r="AJ89" s="664"/>
      <c r="AK89" s="664"/>
      <c r="AL89" s="664"/>
      <c r="AM89" s="664"/>
      <c r="AN89" s="664"/>
      <c r="AO89" s="664"/>
      <c r="AP89" s="664"/>
      <c r="AQ89" s="664"/>
      <c r="AR89" s="664"/>
      <c r="AS89" s="664"/>
      <c r="AT89" s="664"/>
      <c r="AU89" s="664"/>
      <c r="AV89" s="664"/>
      <c r="AW89" s="664"/>
      <c r="AX89" s="664"/>
      <c r="AY89" s="664"/>
      <c r="AZ89" s="664"/>
      <c r="BA89" s="664"/>
      <c r="BB89" s="664"/>
      <c r="BC89" s="664"/>
      <c r="BD89" s="664"/>
      <c r="BE89" s="664"/>
      <c r="BF89" s="664"/>
      <c r="BG89" s="664"/>
      <c r="BH89" s="664"/>
      <c r="BI89" s="664"/>
      <c r="BJ89" s="664"/>
      <c r="BK89" s="664"/>
      <c r="BL89" s="664"/>
      <c r="BM89" s="664"/>
      <c r="BN89" s="664"/>
      <c r="BO89" s="664"/>
      <c r="BP89" s="664"/>
      <c r="BQ89" s="664"/>
      <c r="BR89" s="664"/>
      <c r="BS89" s="664"/>
      <c r="BT89" s="664"/>
      <c r="BU89" s="664"/>
      <c r="BV89" s="664"/>
      <c r="BW89" s="664"/>
      <c r="BX89" s="664"/>
      <c r="BY89" s="664"/>
      <c r="BZ89" s="664"/>
      <c r="CA89" s="664"/>
      <c r="CB89" s="664"/>
      <c r="CC89" s="664"/>
    </row>
    <row r="90" spans="1:81">
      <c r="A90" s="664"/>
      <c r="B90" s="1239"/>
      <c r="C90" s="664"/>
      <c r="D90" s="664"/>
      <c r="E90" s="664"/>
      <c r="F90" s="664"/>
      <c r="G90" s="664"/>
      <c r="H90" s="664"/>
      <c r="I90" s="664"/>
      <c r="J90" s="664"/>
      <c r="K90" s="664"/>
      <c r="L90" s="664"/>
      <c r="M90" s="664"/>
      <c r="N90" s="664"/>
      <c r="O90" s="664"/>
      <c r="P90" s="664"/>
      <c r="Q90" s="664"/>
      <c r="R90" s="664"/>
      <c r="S90" s="664"/>
      <c r="T90" s="664"/>
      <c r="U90" s="664"/>
      <c r="V90" s="664"/>
      <c r="W90" s="664"/>
      <c r="X90" s="664"/>
      <c r="Y90" s="664"/>
      <c r="Z90" s="664"/>
      <c r="AA90" s="664"/>
      <c r="AB90" s="664"/>
      <c r="AC90" s="664"/>
      <c r="AD90" s="664"/>
      <c r="AE90" s="664"/>
      <c r="AF90" s="664"/>
      <c r="AG90" s="664"/>
      <c r="AH90" s="664"/>
      <c r="AI90" s="664"/>
      <c r="AJ90" s="664"/>
      <c r="AK90" s="664"/>
      <c r="AL90" s="664"/>
      <c r="AM90" s="664"/>
      <c r="AN90" s="664"/>
      <c r="AO90" s="664"/>
      <c r="AP90" s="664"/>
      <c r="AQ90" s="664"/>
      <c r="AR90" s="664"/>
      <c r="AS90" s="664"/>
      <c r="AT90" s="664"/>
      <c r="AU90" s="664"/>
      <c r="AV90" s="664"/>
      <c r="AW90" s="664"/>
      <c r="AX90" s="664"/>
      <c r="AY90" s="664"/>
      <c r="AZ90" s="664"/>
      <c r="BA90" s="664"/>
      <c r="BB90" s="664"/>
      <c r="BC90" s="664"/>
      <c r="BD90" s="664"/>
      <c r="BE90" s="664"/>
      <c r="BF90" s="664"/>
      <c r="BG90" s="664"/>
      <c r="BH90" s="664"/>
      <c r="BI90" s="664"/>
      <c r="BJ90" s="664"/>
      <c r="BK90" s="664"/>
      <c r="BL90" s="664"/>
      <c r="BM90" s="664"/>
      <c r="BN90" s="664"/>
      <c r="BO90" s="664"/>
      <c r="BP90" s="664"/>
      <c r="BQ90" s="664"/>
      <c r="BR90" s="664"/>
      <c r="BS90" s="664"/>
      <c r="BT90" s="664"/>
      <c r="BU90" s="664"/>
      <c r="BV90" s="664"/>
      <c r="BW90" s="664"/>
      <c r="BX90" s="664"/>
      <c r="BY90" s="664"/>
      <c r="BZ90" s="664"/>
      <c r="CA90" s="664"/>
      <c r="CB90" s="664"/>
      <c r="CC90" s="664"/>
    </row>
    <row r="91" spans="1:81">
      <c r="A91" s="664"/>
      <c r="B91" s="1239"/>
      <c r="C91" s="664"/>
      <c r="D91" s="664"/>
      <c r="E91" s="664"/>
      <c r="F91" s="664"/>
      <c r="G91" s="664"/>
      <c r="H91" s="664"/>
      <c r="I91" s="664"/>
      <c r="J91" s="664"/>
      <c r="K91" s="664"/>
      <c r="L91" s="664"/>
      <c r="M91" s="664"/>
      <c r="N91" s="664"/>
      <c r="O91" s="664"/>
      <c r="P91" s="664"/>
      <c r="Q91" s="664"/>
      <c r="R91" s="664"/>
      <c r="S91" s="664"/>
      <c r="T91" s="664"/>
      <c r="U91" s="664"/>
      <c r="V91" s="664"/>
      <c r="W91" s="664"/>
      <c r="X91" s="664"/>
      <c r="Y91" s="664"/>
      <c r="Z91" s="664"/>
      <c r="AA91" s="664"/>
      <c r="AB91" s="664"/>
      <c r="AC91" s="664"/>
      <c r="AD91" s="664"/>
      <c r="AE91" s="664"/>
      <c r="AF91" s="664"/>
      <c r="AG91" s="664"/>
      <c r="AH91" s="664"/>
      <c r="AI91" s="664"/>
      <c r="AJ91" s="664"/>
      <c r="AK91" s="664"/>
      <c r="AL91" s="664"/>
      <c r="AM91" s="664"/>
      <c r="AN91" s="664"/>
      <c r="AO91" s="664"/>
      <c r="AP91" s="664"/>
      <c r="AQ91" s="664"/>
      <c r="AR91" s="664"/>
      <c r="AS91" s="664"/>
      <c r="AT91" s="664"/>
      <c r="AU91" s="664"/>
      <c r="AV91" s="664"/>
      <c r="AW91" s="664"/>
      <c r="AX91" s="664"/>
      <c r="AY91" s="664"/>
      <c r="AZ91" s="664"/>
      <c r="BA91" s="664"/>
      <c r="BB91" s="664"/>
      <c r="BC91" s="664"/>
      <c r="BD91" s="664"/>
      <c r="BE91" s="664"/>
      <c r="BF91" s="664"/>
      <c r="BG91" s="664"/>
      <c r="BH91" s="664"/>
      <c r="BI91" s="664"/>
      <c r="BJ91" s="664"/>
      <c r="BK91" s="664"/>
      <c r="BL91" s="664"/>
      <c r="BM91" s="664"/>
      <c r="BN91" s="664"/>
      <c r="BO91" s="664"/>
      <c r="BP91" s="664"/>
      <c r="BQ91" s="664"/>
      <c r="BR91" s="664"/>
      <c r="BS91" s="664"/>
      <c r="BT91" s="664"/>
      <c r="BU91" s="664"/>
      <c r="BV91" s="664"/>
      <c r="BW91" s="664"/>
      <c r="BX91" s="664"/>
      <c r="BY91" s="664"/>
      <c r="BZ91" s="664"/>
      <c r="CA91" s="664"/>
      <c r="CB91" s="664"/>
      <c r="CC91" s="664"/>
    </row>
    <row r="92" spans="1:81">
      <c r="A92" s="664"/>
      <c r="B92" s="1443" t="s">
        <v>10953</v>
      </c>
      <c r="C92" s="664"/>
      <c r="D92" s="664"/>
      <c r="E92" s="664"/>
      <c r="F92" s="664"/>
      <c r="G92" s="664"/>
      <c r="H92" s="664"/>
      <c r="I92" s="664"/>
      <c r="J92" s="664"/>
      <c r="K92" s="664"/>
      <c r="L92" s="664"/>
      <c r="M92" s="664"/>
      <c r="N92" s="664"/>
      <c r="O92" s="664"/>
      <c r="P92" s="664"/>
      <c r="Q92" s="664"/>
      <c r="R92" s="664"/>
      <c r="S92" s="664"/>
      <c r="T92" s="664"/>
      <c r="U92" s="664"/>
      <c r="V92" s="664"/>
      <c r="W92" s="664"/>
      <c r="X92" s="664"/>
      <c r="Y92" s="664"/>
      <c r="Z92" s="664"/>
      <c r="AA92" s="664"/>
      <c r="AB92" s="664"/>
      <c r="AC92" s="664"/>
      <c r="AD92" s="664"/>
      <c r="AE92" s="664"/>
      <c r="AF92" s="664"/>
      <c r="AG92" s="664"/>
      <c r="AH92" s="664"/>
      <c r="AI92" s="664"/>
      <c r="AJ92" s="664"/>
      <c r="AK92" s="664"/>
      <c r="AL92" s="664"/>
      <c r="AM92" s="664"/>
      <c r="AN92" s="664"/>
      <c r="AO92" s="664"/>
      <c r="AP92" s="664"/>
      <c r="AQ92" s="664"/>
      <c r="AR92" s="664"/>
      <c r="AS92" s="664"/>
      <c r="AT92" s="664"/>
      <c r="AU92" s="664"/>
      <c r="AV92" s="664"/>
      <c r="AW92" s="664"/>
      <c r="AX92" s="664"/>
      <c r="AY92" s="664"/>
      <c r="AZ92" s="664"/>
      <c r="BA92" s="664"/>
      <c r="BB92" s="664"/>
      <c r="BC92" s="664"/>
      <c r="BD92" s="664"/>
      <c r="BE92" s="664"/>
      <c r="BF92" s="664"/>
      <c r="BG92" s="664"/>
      <c r="BH92" s="664"/>
      <c r="BI92" s="664"/>
      <c r="BJ92" s="664"/>
      <c r="BK92" s="664"/>
      <c r="BL92" s="664"/>
      <c r="BM92" s="664"/>
      <c r="BN92" s="664"/>
      <c r="BO92" s="664"/>
      <c r="BP92" s="664"/>
      <c r="BQ92" s="664"/>
      <c r="BR92" s="664"/>
      <c r="BS92" s="664"/>
      <c r="BT92" s="664"/>
      <c r="BU92" s="664"/>
      <c r="BV92" s="664"/>
      <c r="BW92" s="664"/>
      <c r="BX92" s="664"/>
      <c r="BY92" s="664"/>
      <c r="BZ92" s="664"/>
      <c r="CA92" s="664"/>
      <c r="CB92" s="664"/>
      <c r="CC92" s="664"/>
    </row>
    <row r="93" spans="1:81">
      <c r="A93" s="664"/>
      <c r="B93" s="1443" t="s">
        <v>10953</v>
      </c>
      <c r="C93" s="664"/>
      <c r="D93" s="664"/>
      <c r="E93" s="664"/>
      <c r="F93" s="664"/>
      <c r="G93" s="664"/>
      <c r="H93" s="664"/>
      <c r="I93" s="664"/>
      <c r="J93" s="664"/>
      <c r="K93" s="664"/>
      <c r="L93" s="664"/>
      <c r="M93" s="664"/>
      <c r="N93" s="664"/>
      <c r="O93" s="664"/>
      <c r="P93" s="664"/>
      <c r="Q93" s="664"/>
      <c r="R93" s="664"/>
      <c r="S93" s="664"/>
      <c r="T93" s="664"/>
      <c r="U93" s="664"/>
      <c r="V93" s="664"/>
      <c r="W93" s="664"/>
      <c r="X93" s="664"/>
      <c r="Y93" s="664"/>
      <c r="Z93" s="664"/>
      <c r="AA93" s="664"/>
      <c r="AB93" s="664"/>
      <c r="AC93" s="664"/>
      <c r="AD93" s="664"/>
      <c r="AE93" s="664"/>
      <c r="AF93" s="664"/>
      <c r="AG93" s="664"/>
      <c r="AH93" s="664"/>
      <c r="AI93" s="664"/>
      <c r="AJ93" s="664"/>
      <c r="AK93" s="664"/>
      <c r="AL93" s="664"/>
      <c r="AM93" s="664"/>
      <c r="AN93" s="664"/>
      <c r="AO93" s="664"/>
      <c r="AP93" s="664"/>
      <c r="AQ93" s="664"/>
      <c r="AR93" s="664"/>
      <c r="AS93" s="664"/>
      <c r="AT93" s="664"/>
      <c r="AU93" s="664"/>
      <c r="AV93" s="664"/>
      <c r="AW93" s="664"/>
      <c r="AX93" s="664"/>
      <c r="AY93" s="664"/>
      <c r="AZ93" s="664"/>
      <c r="BA93" s="664"/>
      <c r="BB93" s="664"/>
      <c r="BC93" s="664"/>
      <c r="BD93" s="664"/>
      <c r="BE93" s="664"/>
      <c r="BF93" s="664"/>
      <c r="BG93" s="664"/>
      <c r="BH93" s="664"/>
      <c r="BI93" s="664"/>
      <c r="BJ93" s="664"/>
      <c r="BK93" s="664"/>
      <c r="BL93" s="664"/>
      <c r="BM93" s="664"/>
      <c r="BN93" s="664"/>
      <c r="BO93" s="664"/>
      <c r="BP93" s="664"/>
      <c r="BQ93" s="664"/>
      <c r="BR93" s="664"/>
      <c r="BS93" s="664"/>
      <c r="BT93" s="664"/>
      <c r="BU93" s="664"/>
      <c r="BV93" s="664"/>
      <c r="BW93" s="664"/>
      <c r="BX93" s="664"/>
      <c r="BY93" s="664"/>
      <c r="BZ93" s="664"/>
      <c r="CA93" s="664"/>
      <c r="CB93" s="664"/>
      <c r="CC93" s="664"/>
    </row>
    <row r="94" spans="1:81">
      <c r="A94" s="664"/>
      <c r="B94" s="1239"/>
      <c r="C94" s="664"/>
      <c r="D94" s="664"/>
      <c r="E94" s="664"/>
      <c r="F94" s="664"/>
      <c r="G94" s="664"/>
      <c r="H94" s="664"/>
      <c r="I94" s="664"/>
      <c r="J94" s="664"/>
      <c r="K94" s="664"/>
      <c r="L94" s="664"/>
      <c r="M94" s="664"/>
      <c r="N94" s="664"/>
      <c r="O94" s="664"/>
      <c r="P94" s="664"/>
      <c r="Q94" s="664"/>
      <c r="R94" s="664"/>
      <c r="S94" s="664"/>
      <c r="T94" s="664"/>
      <c r="U94" s="664"/>
      <c r="V94" s="664"/>
      <c r="W94" s="664"/>
      <c r="X94" s="664"/>
      <c r="Y94" s="664"/>
      <c r="Z94" s="664"/>
      <c r="AA94" s="664"/>
      <c r="AB94" s="664"/>
      <c r="AC94" s="664"/>
      <c r="AD94" s="664"/>
      <c r="AE94" s="664"/>
      <c r="AF94" s="664"/>
      <c r="AG94" s="664"/>
      <c r="AH94" s="664"/>
      <c r="AI94" s="664"/>
      <c r="AJ94" s="664"/>
      <c r="AK94" s="664"/>
      <c r="AL94" s="664"/>
      <c r="AM94" s="664"/>
      <c r="AN94" s="664"/>
      <c r="AO94" s="664"/>
      <c r="AP94" s="664"/>
      <c r="AQ94" s="664"/>
      <c r="AR94" s="664"/>
      <c r="AS94" s="664"/>
      <c r="AT94" s="664"/>
      <c r="AU94" s="664"/>
      <c r="AV94" s="664"/>
      <c r="AW94" s="664"/>
      <c r="AX94" s="664"/>
      <c r="AY94" s="664"/>
      <c r="AZ94" s="664"/>
      <c r="BA94" s="664"/>
      <c r="BB94" s="664"/>
      <c r="BC94" s="664"/>
      <c r="BD94" s="664"/>
      <c r="BE94" s="664"/>
      <c r="BF94" s="664"/>
      <c r="BG94" s="664"/>
      <c r="BH94" s="664"/>
      <c r="BI94" s="664"/>
      <c r="BJ94" s="664"/>
      <c r="BK94" s="664"/>
      <c r="BL94" s="664"/>
      <c r="BM94" s="664"/>
      <c r="BN94" s="664"/>
      <c r="BO94" s="664"/>
      <c r="BP94" s="664"/>
      <c r="BQ94" s="664"/>
      <c r="BR94" s="664"/>
      <c r="BS94" s="664"/>
      <c r="BT94" s="664"/>
      <c r="BU94" s="664"/>
      <c r="BV94" s="664"/>
      <c r="BW94" s="664"/>
      <c r="BX94" s="664"/>
      <c r="BY94" s="664"/>
      <c r="BZ94" s="664"/>
      <c r="CA94" s="664"/>
      <c r="CB94" s="664"/>
      <c r="CC94" s="664"/>
    </row>
    <row r="95" spans="1:81">
      <c r="A95" s="664"/>
      <c r="B95" s="1239"/>
      <c r="C95" s="664"/>
      <c r="D95" s="664"/>
      <c r="E95" s="664"/>
      <c r="F95" s="664"/>
      <c r="G95" s="664"/>
      <c r="H95" s="664"/>
      <c r="I95" s="664"/>
      <c r="J95" s="664"/>
      <c r="K95" s="664"/>
      <c r="L95" s="664"/>
      <c r="M95" s="664"/>
      <c r="N95" s="664"/>
      <c r="O95" s="664"/>
      <c r="P95" s="664"/>
      <c r="Q95" s="664"/>
      <c r="R95" s="664"/>
      <c r="S95" s="664"/>
      <c r="T95" s="664"/>
      <c r="U95" s="664"/>
      <c r="V95" s="664"/>
      <c r="W95" s="664"/>
      <c r="X95" s="664"/>
      <c r="Y95" s="664"/>
      <c r="Z95" s="664"/>
      <c r="AA95" s="664"/>
      <c r="AB95" s="664"/>
      <c r="AC95" s="664"/>
      <c r="AD95" s="664"/>
      <c r="AE95" s="664"/>
      <c r="AF95" s="664"/>
      <c r="AG95" s="664"/>
      <c r="AH95" s="664"/>
      <c r="AI95" s="664"/>
      <c r="AJ95" s="664"/>
      <c r="AK95" s="664"/>
      <c r="AL95" s="664"/>
      <c r="AM95" s="664"/>
      <c r="AN95" s="664"/>
      <c r="AO95" s="664"/>
      <c r="AP95" s="664"/>
      <c r="AQ95" s="664"/>
      <c r="AR95" s="664"/>
      <c r="AS95" s="664"/>
      <c r="AT95" s="664"/>
      <c r="AU95" s="664"/>
      <c r="AV95" s="664"/>
      <c r="AW95" s="664"/>
      <c r="AX95" s="664"/>
      <c r="AY95" s="664"/>
      <c r="AZ95" s="664"/>
      <c r="BA95" s="664"/>
      <c r="BB95" s="664"/>
      <c r="BC95" s="664"/>
      <c r="BD95" s="664"/>
      <c r="BE95" s="664"/>
      <c r="BF95" s="664"/>
      <c r="BG95" s="664"/>
      <c r="BH95" s="664"/>
      <c r="BI95" s="664"/>
      <c r="BJ95" s="664"/>
      <c r="BK95" s="664"/>
      <c r="BL95" s="664"/>
      <c r="BM95" s="664"/>
      <c r="BN95" s="664"/>
      <c r="BO95" s="664"/>
      <c r="BP95" s="664"/>
      <c r="BQ95" s="664"/>
      <c r="BR95" s="664"/>
      <c r="BS95" s="664"/>
      <c r="BT95" s="664"/>
      <c r="BU95" s="664"/>
      <c r="BV95" s="664"/>
      <c r="BW95" s="664"/>
      <c r="BX95" s="664"/>
      <c r="BY95" s="664"/>
      <c r="BZ95" s="664"/>
      <c r="CA95" s="664"/>
      <c r="CB95" s="664"/>
      <c r="CC95" s="664"/>
    </row>
    <row r="147" spans="2:2">
      <c r="B147" s="1442" t="s">
        <v>10953</v>
      </c>
    </row>
    <row r="368" spans="2:2">
      <c r="B368" s="1442"/>
    </row>
    <row r="411" spans="2:2">
      <c r="B411" s="1442"/>
    </row>
    <row r="430" spans="2:2">
      <c r="B430" s="1442" t="s">
        <v>10953</v>
      </c>
    </row>
    <row r="605" spans="2:2">
      <c r="B605" s="1442" t="s">
        <v>10953</v>
      </c>
    </row>
    <row r="676" spans="2:2">
      <c r="B676" s="1442" t="s">
        <v>10953</v>
      </c>
    </row>
    <row r="680" spans="2:2">
      <c r="B680" s="1442" t="s">
        <v>10953</v>
      </c>
    </row>
    <row r="710" spans="2:2">
      <c r="B710" s="1442"/>
    </row>
    <row r="886" spans="2:2">
      <c r="B886" s="1442" t="s">
        <v>10953</v>
      </c>
    </row>
    <row r="895" spans="2:2">
      <c r="B895" s="1442"/>
    </row>
    <row r="902" spans="2:2">
      <c r="B902" s="1442"/>
    </row>
    <row r="925" spans="2:2">
      <c r="B925" s="1442" t="s">
        <v>10953</v>
      </c>
    </row>
    <row r="931" spans="2:2">
      <c r="B931" s="1442" t="s">
        <v>10953</v>
      </c>
    </row>
    <row r="958" spans="2:2">
      <c r="B958" s="1442"/>
    </row>
    <row r="962" spans="2:2">
      <c r="B962" s="1442" t="s">
        <v>10953</v>
      </c>
    </row>
    <row r="963" spans="2:2">
      <c r="B963" s="1442" t="s">
        <v>10953</v>
      </c>
    </row>
    <row r="966" spans="2:2">
      <c r="B966" s="1442" t="s">
        <v>10953</v>
      </c>
    </row>
    <row r="987" spans="2:2">
      <c r="B987" s="1442" t="s">
        <v>10953</v>
      </c>
    </row>
    <row r="989" spans="2:2">
      <c r="B989" s="1442"/>
    </row>
    <row r="990" spans="2:2">
      <c r="B990" s="1442" t="s">
        <v>10953</v>
      </c>
    </row>
    <row r="1002" spans="2:2">
      <c r="B1002" s="1442"/>
    </row>
    <row r="1020" spans="2:2">
      <c r="B1020" s="1442"/>
    </row>
    <row r="1027" spans="2:2">
      <c r="B1027" s="1442"/>
    </row>
    <row r="1045" spans="2:2">
      <c r="B1045" s="1442"/>
    </row>
    <row r="1052" spans="2:2">
      <c r="B1052" s="1442"/>
    </row>
    <row r="1062" spans="2:2">
      <c r="B1062" s="1442" t="s">
        <v>10953</v>
      </c>
    </row>
    <row r="1063" spans="2:2">
      <c r="B1063" s="1442"/>
    </row>
    <row r="1069" spans="2:2">
      <c r="B1069" s="1442"/>
    </row>
    <row r="1070" spans="2:2">
      <c r="B1070" s="1442"/>
    </row>
    <row r="1071" spans="2:2">
      <c r="B1071" s="1442"/>
    </row>
    <row r="1088" spans="2:2">
      <c r="B1088" s="1442"/>
    </row>
    <row r="1097" spans="2:2">
      <c r="B1097" s="1442"/>
    </row>
    <row r="1157" spans="2:2">
      <c r="B1157" s="1442" t="s">
        <v>10953</v>
      </c>
    </row>
    <row r="1202" spans="2:2">
      <c r="B1202" s="1442"/>
    </row>
    <row r="1241" spans="2:2">
      <c r="B1241" s="1442"/>
    </row>
  </sheetData>
  <sheetProtection password="F652" sheet="1" objects="1" scenarios="1" formatCells="0" formatColumns="0" formatRows="0"/>
  <dataConsolidate/>
  <phoneticPr fontId="3" type="noConversion"/>
  <conditionalFormatting sqref="I51">
    <cfRule type="cellIs" dxfId="99" priority="191" stopIfTrue="1" operator="equal">
      <formula>IF(VLOOKUP(#REF!,$D$22:$I$31,4,0)&gt;0,#REF!,"xyz")</formula>
    </cfRule>
  </conditionalFormatting>
  <conditionalFormatting sqref="J51">
    <cfRule type="cellIs" dxfId="98" priority="192" stopIfTrue="1" operator="equal">
      <formula>IF(#REF!="Annual",IF(VLOOKUP(#REF!,$D$22:$I$31,4,0)&gt;0,#REF!,"xxx"),"xxx")</formula>
    </cfRule>
  </conditionalFormatting>
  <conditionalFormatting sqref="L51">
    <cfRule type="cellIs" dxfId="97" priority="194" stopIfTrue="1" operator="equal">
      <formula>IF(#REF!="Annual",IF(VLOOKUP(#REF!,$D$22:$I$31,5,0)&gt;0,#REF!,"xxx"),"xxx")</formula>
    </cfRule>
  </conditionalFormatting>
  <conditionalFormatting sqref="N51">
    <cfRule type="cellIs" dxfId="96" priority="196" stopIfTrue="1" operator="equal">
      <formula>IF(#REF!="Annual",IF(VLOOKUP(#REF!,$D$22:$I$31,6,0)&gt;0,#REF!,"xxx"),"xxx")</formula>
    </cfRule>
  </conditionalFormatting>
  <conditionalFormatting sqref="A32:B32 L32:AD32">
    <cfRule type="cellIs" dxfId="95" priority="201" stopIfTrue="1" operator="equal">
      <formula>IF($L$21="","xxx","")</formula>
    </cfRule>
  </conditionalFormatting>
  <conditionalFormatting sqref="I51">
    <cfRule type="cellIs" dxfId="94" priority="57" stopIfTrue="1" operator="equal">
      <formula>IF(VLOOKUP(#REF!,$D$22:$I$31,4,0)&gt;0,#REF!,"xyz")</formula>
    </cfRule>
  </conditionalFormatting>
  <conditionalFormatting sqref="J51">
    <cfRule type="cellIs" dxfId="93" priority="56" stopIfTrue="1" operator="equal">
      <formula>IF(#REF!="Annual",IF(VLOOKUP(#REF!,$D$22:$I$31,4,0)&gt;0,#REF!,"xxx"),"xxx")</formula>
    </cfRule>
  </conditionalFormatting>
  <conditionalFormatting sqref="L51">
    <cfRule type="cellIs" dxfId="92" priority="54" stopIfTrue="1" operator="equal">
      <formula>IF(#REF!="Annual",IF(VLOOKUP(#REF!,$D$22:$I$31,5,0)&gt;0,#REF!,"xxx"),"xxx")</formula>
    </cfRule>
  </conditionalFormatting>
  <conditionalFormatting sqref="AE32:AF32">
    <cfRule type="cellIs" dxfId="91" priority="25" stopIfTrue="1" operator="equal">
      <formula>IF($L$21="","xxx","")</formula>
    </cfRule>
  </conditionalFormatting>
  <conditionalFormatting sqref="K51">
    <cfRule type="cellIs" dxfId="90" priority="14" stopIfTrue="1" operator="equal">
      <formula>IF(VLOOKUP(#REF!,$D$22:$I$31,4,0)&gt;0,#REF!,"xyz")</formula>
    </cfRule>
  </conditionalFormatting>
  <conditionalFormatting sqref="K51">
    <cfRule type="cellIs" dxfId="89" priority="13" stopIfTrue="1" operator="equal">
      <formula>IF(VLOOKUP(#REF!,$D$22:$I$31,4,0)&gt;0,#REF!,"xyz")</formula>
    </cfRule>
  </conditionalFormatting>
  <conditionalFormatting sqref="M51">
    <cfRule type="cellIs" dxfId="88" priority="2" stopIfTrue="1" operator="equal">
      <formula>IF(VLOOKUP(#REF!,$D$22:$I$31,4,0)&gt;0,#REF!,"xyz")</formula>
    </cfRule>
  </conditionalFormatting>
  <conditionalFormatting sqref="M51">
    <cfRule type="cellIs" dxfId="87" priority="1" stopIfTrue="1" operator="equal">
      <formula>IF(VLOOKUP(#REF!,$D$22:$I$31,4,0)&gt;0,#REF!,"xyz")</formula>
    </cfRule>
  </conditionalFormatting>
  <conditionalFormatting sqref="I42 K42 M42">
    <cfRule type="cellIs" dxfId="86" priority="67114" stopIfTrue="1" operator="equal">
      <formula>IF(VLOOKUP($D42,$D$22:$I$31,4,0)&gt;0,I42,"xyz")</formula>
    </cfRule>
    <cfRule type="cellIs" priority="67115" stopIfTrue="1" operator="equal">
      <formula>IF(VLOOKUP($D42,$D$22:$I$31,4,0)&gt;0,I42,"xyz")</formula>
    </cfRule>
  </conditionalFormatting>
  <conditionalFormatting sqref="I43 K43 M43">
    <cfRule type="cellIs" dxfId="85" priority="67120" stopIfTrue="1" operator="equal">
      <formula>IF(VLOOKUP($D44,$D$22:$I$31,4,0)&gt;0,I44,"xyz")</formula>
    </cfRule>
  </conditionalFormatting>
  <conditionalFormatting sqref="I44 K44 M44">
    <cfRule type="cellIs" dxfId="84" priority="67123" stopIfTrue="1" operator="equal">
      <formula>IF(VLOOKUP($D46,$D$22:$I$31,4,0)&gt;0,I46,"xyz")</formula>
    </cfRule>
  </conditionalFormatting>
  <conditionalFormatting sqref="I47 K47 M47">
    <cfRule type="cellIs" dxfId="83" priority="67126" stopIfTrue="1" operator="equal">
      <formula>IF(VLOOKUP($D52,$D$22:$I$31,4,0)&gt;0,I52,"xyz")</formula>
    </cfRule>
  </conditionalFormatting>
  <conditionalFormatting sqref="J47">
    <cfRule type="cellIs" dxfId="82" priority="67129" stopIfTrue="1" operator="equal">
      <formula>IF($C52="Annual",IF(VLOOKUP($D52,$D$22:$I$31,4,0)&gt;0,K52,"xxx"),"xxx")</formula>
    </cfRule>
  </conditionalFormatting>
  <conditionalFormatting sqref="L47">
    <cfRule type="cellIs" dxfId="81" priority="67130" stopIfTrue="1" operator="equal">
      <formula>IF($C52="Annual",IF(VLOOKUP($D52,$D$22:$I$31,5,0)&gt;0,O52,"xxx"),"xxx")</formula>
    </cfRule>
  </conditionalFormatting>
  <conditionalFormatting sqref="I48 K48 M48">
    <cfRule type="cellIs" dxfId="80" priority="67131" stopIfTrue="1" operator="equal">
      <formula>IF(VLOOKUP($D54,$D$22:$I$31,4,0)&gt;0,I54,"xyz")</formula>
    </cfRule>
  </conditionalFormatting>
  <conditionalFormatting sqref="J48">
    <cfRule type="cellIs" dxfId="79" priority="67134" stopIfTrue="1" operator="equal">
      <formula>IF($C54="Annual",IF(VLOOKUP($D54,$D$22:$I$31,4,0)&gt;0,K54,"xxx"),"xxx")</formula>
    </cfRule>
  </conditionalFormatting>
  <conditionalFormatting sqref="L48">
    <cfRule type="cellIs" dxfId="78" priority="67135" stopIfTrue="1" operator="equal">
      <formula>IF($C54="Annual",IF(VLOOKUP($D54,$D$22:$I$31,5,0)&gt;0,O54,"xxx"),"xxx")</formula>
    </cfRule>
  </conditionalFormatting>
  <conditionalFormatting sqref="I49 K49 M49">
    <cfRule type="cellIs" dxfId="77" priority="67136" stopIfTrue="1" operator="equal">
      <formula>IF(VLOOKUP($D56,$D$22:$I$31,4,0)&gt;0,I56,"xyz")</formula>
    </cfRule>
  </conditionalFormatting>
  <conditionalFormatting sqref="J49">
    <cfRule type="cellIs" dxfId="76" priority="67139" stopIfTrue="1" operator="equal">
      <formula>IF($C56="Annual",IF(VLOOKUP($D56,$D$22:$I$31,4,0)&gt;0,K56,"xxx"),"xxx")</formula>
    </cfRule>
  </conditionalFormatting>
  <conditionalFormatting sqref="L49">
    <cfRule type="cellIs" dxfId="75" priority="67140" stopIfTrue="1" operator="equal">
      <formula>IF($C56="Annual",IF(VLOOKUP($D56,$D$22:$I$31,5,0)&gt;0,O56,"xxx"),"xxx")</formula>
    </cfRule>
  </conditionalFormatting>
  <conditionalFormatting sqref="I50 K50 M50">
    <cfRule type="cellIs" dxfId="74" priority="67141" stopIfTrue="1" operator="equal">
      <formula>IF(VLOOKUP($D58,$D$22:$I$31,4,0)&gt;0,I58,"xyz")</formula>
    </cfRule>
  </conditionalFormatting>
  <conditionalFormatting sqref="J50">
    <cfRule type="cellIs" dxfId="73" priority="67144" stopIfTrue="1" operator="equal">
      <formula>IF($C58="Annual",IF(VLOOKUP($D58,$D$22:$I$31,4,0)&gt;0,K58,"xxx"),"xxx")</formula>
    </cfRule>
  </conditionalFormatting>
  <conditionalFormatting sqref="L50">
    <cfRule type="cellIs" dxfId="72" priority="67145" stopIfTrue="1" operator="equal">
      <formula>IF($C58="Annual",IF(VLOOKUP($D58,$D$22:$I$31,5,0)&gt;0,O58,"xxx"),"xxx")</formula>
    </cfRule>
  </conditionalFormatting>
  <conditionalFormatting sqref="N47">
    <cfRule type="cellIs" dxfId="71" priority="67146" stopIfTrue="1" operator="equal">
      <formula>IF($C52="Annual",IF(VLOOKUP($D52,$D$22:$I$31,6,0)&gt;0,#REF!,"xxx"),"xxx")</formula>
    </cfRule>
  </conditionalFormatting>
  <conditionalFormatting sqref="N48">
    <cfRule type="cellIs" dxfId="70" priority="67147" stopIfTrue="1" operator="equal">
      <formula>IF($C54="Annual",IF(VLOOKUP($D54,$D$22:$I$31,6,0)&gt;0,#REF!,"xxx"),"xxx")</formula>
    </cfRule>
  </conditionalFormatting>
  <conditionalFormatting sqref="N49">
    <cfRule type="cellIs" dxfId="69" priority="67148" stopIfTrue="1" operator="equal">
      <formula>IF($C56="Annual",IF(VLOOKUP($D56,$D$22:$I$31,6,0)&gt;0,#REF!,"xxx"),"xxx")</formula>
    </cfRule>
  </conditionalFormatting>
  <conditionalFormatting sqref="N50">
    <cfRule type="cellIs" dxfId="68" priority="67149" stopIfTrue="1" operator="equal">
      <formula>IF($C58="Annual",IF(VLOOKUP($D58,$D$22:$I$31,6,0)&gt;0,#REF!,"xxx"),"xxx")</formula>
    </cfRule>
  </conditionalFormatting>
  <conditionalFormatting sqref="J42 L42 N42">
    <cfRule type="cellIs" dxfId="67" priority="67150" stopIfTrue="1" operator="equal">
      <formula>IF($E42="Annual",IF(VLOOKUP($D42,$D$22:$I$31,4,0)&gt;0,K42,"xxx"),"xxx")</formula>
    </cfRule>
  </conditionalFormatting>
  <conditionalFormatting sqref="J43">
    <cfRule type="cellIs" dxfId="66" priority="67153" stopIfTrue="1" operator="equal">
      <formula>IF($E44="Annual",IF(VLOOKUP($D44,$D$22:$I$31,4,0)&gt;0,K44,"xxx"),"xxx")</formula>
    </cfRule>
  </conditionalFormatting>
  <conditionalFormatting sqref="J44">
    <cfRule type="cellIs" dxfId="65" priority="67154" stopIfTrue="1" operator="equal">
      <formula>IF($E46="Annual",IF(VLOOKUP($D46,$D$22:$I$31,4,0)&gt;0,K46,"xxx"),"xxx")</formula>
    </cfRule>
  </conditionalFormatting>
  <conditionalFormatting sqref="L42">
    <cfRule type="cellIs" dxfId="64" priority="67155" stopIfTrue="1" operator="equal">
      <formula>IF($E42="Annual",IF(VLOOKUP($D42,$D$22:$I$31,5,0)&gt;0,#REF!,"xxx"),"xxx")</formula>
    </cfRule>
  </conditionalFormatting>
  <conditionalFormatting sqref="L43">
    <cfRule type="cellIs" dxfId="63" priority="67156" stopIfTrue="1" operator="equal">
      <formula>IF($E44="Annual",IF(VLOOKUP($D44,$D$22:$I$31,5,0)&gt;0,#REF!,"xxx"),"xxx")</formula>
    </cfRule>
  </conditionalFormatting>
  <conditionalFormatting sqref="L44">
    <cfRule type="cellIs" dxfId="62" priority="67157" stopIfTrue="1" operator="equal">
      <formula>IF($E46="Annual",IF(VLOOKUP($D46,$D$22:$I$31,5,0)&gt;0,#REF!,"xxx"),"xxx")</formula>
    </cfRule>
  </conditionalFormatting>
  <conditionalFormatting sqref="L45">
    <cfRule type="cellIs" dxfId="61" priority="67158" stopIfTrue="1" operator="equal">
      <formula>IF($E48="Annual",IF(VLOOKUP($D48,$D$22:$I$31,5,0)&gt;0,#REF!,"xxx"),"xxx")</formula>
    </cfRule>
  </conditionalFormatting>
  <conditionalFormatting sqref="L46">
    <cfRule type="cellIs" dxfId="60" priority="67159" stopIfTrue="1" operator="equal">
      <formula>IF($E50="Annual",IF(VLOOKUP($D50,$D$22:$I$31,5,0)&gt;0,#REF!,"xxx"),"xxx")</formula>
    </cfRule>
  </conditionalFormatting>
  <conditionalFormatting sqref="N42">
    <cfRule type="cellIs" dxfId="59" priority="67160" stopIfTrue="1" operator="equal">
      <formula>IF($E42="Annual",IF(VLOOKUP($D42,$D$22:$I$31,6,0)&gt;0,#REF!,"xxx"),"xxx")</formula>
    </cfRule>
  </conditionalFormatting>
  <conditionalFormatting sqref="N43">
    <cfRule type="cellIs" dxfId="58" priority="67161" stopIfTrue="1" operator="equal">
      <formula>IF($E44="Annual",IF(VLOOKUP($D44,$D$22:$I$31,6,0)&gt;0,#REF!,"xxx"),"xxx")</formula>
    </cfRule>
  </conditionalFormatting>
  <conditionalFormatting sqref="N44">
    <cfRule type="cellIs" dxfId="57" priority="67162" stopIfTrue="1" operator="equal">
      <formula>IF($E46="Annual",IF(VLOOKUP($D46,$D$22:$I$31,6,0)&gt;0,#REF!,"xxx"),"xxx")</formula>
    </cfRule>
  </conditionalFormatting>
  <conditionalFormatting sqref="N45">
    <cfRule type="cellIs" dxfId="56" priority="67163" stopIfTrue="1" operator="equal">
      <formula>IF($E48="Annual",IF(VLOOKUP($D48,$D$22:$I$31,6,0)&gt;0,#REF!,"xxx"),"xxx")</formula>
    </cfRule>
  </conditionalFormatting>
  <conditionalFormatting sqref="N46">
    <cfRule type="cellIs" dxfId="55" priority="67164" stopIfTrue="1" operator="equal">
      <formula>IF($E50="Annual",IF(VLOOKUP($D50,$D$22:$I$31,6,0)&gt;0,#REF!,"xxx"),"xxx")</formula>
    </cfRule>
  </conditionalFormatting>
  <conditionalFormatting sqref="I45:I47 K45:K47 M45:M47">
    <cfRule type="cellIs" dxfId="54" priority="67191" stopIfTrue="1" operator="equal">
      <formula>IF(VLOOKUP($D48,$D$22:$I$31,4,0)&gt;0,I48,"xyz")</formula>
    </cfRule>
  </conditionalFormatting>
  <conditionalFormatting sqref="I46:I47 K46:K47 M46:M47">
    <cfRule type="cellIs" dxfId="53" priority="67194" stopIfTrue="1" operator="equal">
      <formula>IF(VLOOKUP($D50,$D$22:$I$31,4,0)&gt;0,I50,"xyz")</formula>
    </cfRule>
  </conditionalFormatting>
  <conditionalFormatting sqref="J46:J47">
    <cfRule type="cellIs" dxfId="52" priority="67197" stopIfTrue="1" operator="equal">
      <formula>IF($E50="Annual",IF(VLOOKUP($D50,$D$22:$I$31,4,0)&gt;0,K50,"xxx"),"xxx")</formula>
    </cfRule>
  </conditionalFormatting>
  <conditionalFormatting sqref="J45:J47">
    <cfRule type="cellIs" dxfId="51" priority="67198" stopIfTrue="1" operator="equal">
      <formula>IF($E48="Annual",IF(VLOOKUP($D48,$D$22:$I$31,4,0)&gt;0,K48,"xxx"),"xxx")</formula>
    </cfRule>
  </conditionalFormatting>
  <dataValidations count="23">
    <dataValidation type="list" allowBlank="1" showInputMessage="1" showErrorMessage="1" sqref="E42:E51" xr:uid="{00000000-0002-0000-0900-000000000000}">
      <formula1>"One Time, Annual"</formula1>
    </dataValidation>
    <dataValidation type="list" allowBlank="1" showInputMessage="1" showErrorMessage="1" sqref="F42:F51" xr:uid="{00000000-0002-0000-0900-000001000000}">
      <formula1>"Existing, Winback/New"</formula1>
    </dataValidation>
    <dataValidation type="whole" allowBlank="1" showInputMessage="1" showErrorMessage="1" errorTitle="Credit Entry Error" error="Term must be a whole number from 1 to 120.  Please reenter." sqref="G42" xr:uid="{00000000-0002-0000-0900-000002000000}">
      <formula1>1</formula1>
      <formula2>120</formula2>
    </dataValidation>
    <dataValidation type="custom" allowBlank="1" showInputMessage="1" showErrorMessage="1" sqref="G43:G51" xr:uid="{00000000-0002-0000-0900-000003000000}">
      <formula1>"="</formula1>
    </dataValidation>
    <dataValidation type="list" allowBlank="1" showInputMessage="1" showErrorMessage="1" sqref="C42:C51" xr:uid="{00000000-0002-0000-0900-000004000000}">
      <formula1>prodNumList</formula1>
    </dataValidation>
    <dataValidation type="whole" operator="greaterThan" allowBlank="1" showInputMessage="1" showErrorMessage="1" errorTitle="Credit Entry Error" error="Credit values must be a whole number greater than $0.  Pelase reenter." sqref="I42:I51 K42:K51 M42:M51" xr:uid="{00000000-0002-0000-0900-000005000000}">
      <formula1>0</formula1>
    </dataValidation>
    <dataValidation type="whole" operator="greaterThanOrEqual" allowBlank="1" showInputMessage="1" showErrorMessage="1" errorTitle="Credit Entry Error" error="Current Credit Values must be a whole number greater than $0.  Pelase reenter." sqref="H42:H51" xr:uid="{00000000-0002-0000-0900-000006000000}">
      <formula1>0</formula1>
    </dataValidation>
    <dataValidation type="list" allowBlank="1" showInputMessage="1" showErrorMessage="1" sqref="E17" xr:uid="{00000000-0002-0000-0900-000007000000}">
      <formula1>sLookupTables_eRate_MobilityStateContractList.sState</formula1>
    </dataValidation>
    <dataValidation type="list" allowBlank="1" showInputMessage="1" sqref="E16:G16" xr:uid="{00000000-0002-0000-0900-000008000000}">
      <formula1>"Enter Value, N/A"</formula1>
    </dataValidation>
    <dataValidation operator="lessThan" allowBlank="1" showInputMessage="1" showErrorMessage="1" errorTitle="Numeric Required" error="Field requires numbers.  Enter loss values with negative (-99999), and net increases with positive number." sqref="E8:G8" xr:uid="{00000000-0002-0000-0900-000009000000}"/>
    <dataValidation type="list" allowBlank="1" showInputMessage="1" showErrorMessage="1" sqref="E11:G11" xr:uid="{00000000-0002-0000-0900-00000A000000}">
      <formula1>sLookupTables_ContractPlatforms.ContractPlatform</formula1>
    </dataValidation>
    <dataValidation type="list" allowBlank="1" sqref="E12:G12" xr:uid="{00000000-0002-0000-0900-00000B000000}">
      <formula1>contracts</formula1>
    </dataValidation>
    <dataValidation type="list" allowBlank="1" showInputMessage="1" showErrorMessage="1" sqref="E15:G15" xr:uid="{00000000-0002-0000-0900-00000C000000}">
      <formula1>sLookupTables_MobilityMACAttainment.MobilityMAC</formula1>
    </dataValidation>
    <dataValidation type="list" allowBlank="1" showInputMessage="1" sqref="E14:G14" xr:uid="{00000000-0002-0000-0900-00000D000000}">
      <formula1>sLookupTables_MobilityAssociation.MobilityAssociation</formula1>
    </dataValidation>
    <dataValidation type="list" allowBlank="1" showInputMessage="1" sqref="E13:G13" xr:uid="{00000000-0002-0000-0900-00000E000000}">
      <formula1>IF(LEFT(oppty.ContractPlatform,3)="MAC",sLookupTables_MobilityMACs.MobilityMAC,IF(LEFT(oppty.ContractPlatform,3)="Att",sLookupTables_MobilityAttainment.MobilityAttainment,IF(oppty.CommitmentType="ABN",sLookupTables_AbnMarcs.AbnMarcs,entervalue)))</formula1>
    </dataValidation>
    <dataValidation type="list" allowBlank="1" showInputMessage="1" showErrorMessage="1" sqref="J42:J51" xr:uid="{00000000-0002-0000-0900-00000F000000}">
      <formula1>OFFSET(termlist,0,0,IF($E42="Annual",ROUNDUP(INDEX($G$22:$G$31,C42)/12,0),0),1)</formula1>
    </dataValidation>
    <dataValidation type="list" allowBlank="1" showInputMessage="1" showErrorMessage="1" sqref="N42:N51" xr:uid="{00000000-0002-0000-0900-000010000000}">
      <formula1>OFFSET(termlist,0,0,IF($E42="Annual",ROUNDUP(INDEX($I$22:$I$31,C42)/12,0),0),1)</formula1>
    </dataValidation>
    <dataValidation type="list" allowBlank="1" showInputMessage="1" showErrorMessage="1" sqref="L42:L51" xr:uid="{00000000-0002-0000-0900-000011000000}">
      <formula1>OFFSET(termlist,0,0,IF($E42="Annual",ROUNDUP(INDEX($H$22:$H$31,C42)/12,0),0),1)</formula1>
    </dataValidation>
    <dataValidation type="list" allowBlank="1" showInputMessage="1" showErrorMessage="1" sqref="J22:J31" xr:uid="{00000000-0002-0000-0900-000012000000}">
      <formula1>"add/replace,edit,skip,delete"</formula1>
    </dataValidation>
    <dataValidation type="list" allowBlank="1" showInputMessage="1" showErrorMessage="1" sqref="D22:F31" xr:uid="{00000000-0002-0000-0900-000013000000}">
      <formula1>OFFSET(ScratchStart,0,0,MAX(1,Scratch_ValueCount),1)</formula1>
    </dataValidation>
    <dataValidation type="list" allowBlank="1" showInputMessage="1" showErrorMessage="1" sqref="K22:K31" xr:uid="{00000000-0002-0000-0900-000014000000}">
      <formula1>"yes,no"</formula1>
    </dataValidation>
    <dataValidation type="list" allowBlank="1" showInputMessage="1" showErrorMessage="1" sqref="C22:C31" xr:uid="{00000000-0002-0000-0900-000015000000}">
      <formula1>IF(oppty.ccMode,sTop_Products.sJurisdiction.CC,sTop_Products.sJurisdiction)</formula1>
    </dataValidation>
    <dataValidation type="whole" allowBlank="1" showInputMessage="1" showErrorMessage="1" error="Please enter a whole number between 1 and 500" sqref="G22:I31" xr:uid="{00000000-0002-0000-0900-000016000000}">
      <formula1>1</formula1>
      <formula2>400</formula2>
    </dataValidation>
  </dataValidations>
  <pageMargins left="0.75" right="0.75" top="1" bottom="1" header="0.5" footer="0.5"/>
  <pageSetup orientation="portrait" r:id="rId1"/>
  <headerFooter alignWithMargins="0">
    <oddFooter>&amp;CAT&amp;&amp;T Proprietary (Internal Use Only)</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39" r:id="rId4" name="Button 15">
              <controlPr defaultSize="0" autoFill="0" autoPict="0" macro="[0]!Step1_Back">
                <anchor moveWithCells="1">
                  <from>
                    <xdr:col>0</xdr:col>
                    <xdr:colOff>161925</xdr:colOff>
                    <xdr:row>0</xdr:row>
                    <xdr:rowOff>76200</xdr:rowOff>
                  </from>
                  <to>
                    <xdr:col>2</xdr:col>
                    <xdr:colOff>876300</xdr:colOff>
                    <xdr:row>2</xdr:row>
                    <xdr:rowOff>57150</xdr:rowOff>
                  </to>
                </anchor>
              </controlPr>
            </control>
          </mc:Choice>
        </mc:AlternateContent>
        <mc:AlternateContent xmlns:mc="http://schemas.openxmlformats.org/markup-compatibility/2006">
          <mc:Choice Requires="x14">
            <control shapeId="1040" r:id="rId5" name="Button 16">
              <controlPr defaultSize="0" autoFill="0" autoPict="0" macro="[0]!to_Product1">
                <anchor moveWithCells="1">
                  <from>
                    <xdr:col>2</xdr:col>
                    <xdr:colOff>1600200</xdr:colOff>
                    <xdr:row>0</xdr:row>
                    <xdr:rowOff>76200</xdr:rowOff>
                  </from>
                  <to>
                    <xdr:col>3</xdr:col>
                    <xdr:colOff>1362075</xdr:colOff>
                    <xdr:row>2</xdr:row>
                    <xdr:rowOff>57150</xdr:rowOff>
                  </to>
                </anchor>
              </controlPr>
            </control>
          </mc:Choice>
        </mc:AlternateContent>
        <mc:AlternateContent xmlns:mc="http://schemas.openxmlformats.org/markup-compatibility/2006">
          <mc:Choice Requires="x14">
            <control shapeId="1041" r:id="rId6" name="Button 17">
              <controlPr defaultSize="0" autoFill="0" autoPict="0" macro="[0]!clearTopLevelStep1Button">
                <anchor moveWithCells="1">
                  <from>
                    <xdr:col>2</xdr:col>
                    <xdr:colOff>1600200</xdr:colOff>
                    <xdr:row>2</xdr:row>
                    <xdr:rowOff>123825</xdr:rowOff>
                  </from>
                  <to>
                    <xdr:col>3</xdr:col>
                    <xdr:colOff>1362075</xdr:colOff>
                    <xdr:row>4</xdr:row>
                    <xdr:rowOff>95250</xdr:rowOff>
                  </to>
                </anchor>
              </controlPr>
            </control>
          </mc:Choice>
        </mc:AlternateContent>
        <mc:AlternateContent xmlns:mc="http://schemas.openxmlformats.org/markup-compatibility/2006">
          <mc:Choice Requires="x14">
            <control shapeId="1042" r:id="rId7" name="Button 18">
              <controlPr defaultSize="0" autoFill="0" autoPict="0" macro="[0]!ThisWorkbook.reset">
                <anchor moveWithCells="1">
                  <from>
                    <xdr:col>0</xdr:col>
                    <xdr:colOff>161925</xdr:colOff>
                    <xdr:row>2</xdr:row>
                    <xdr:rowOff>133350</xdr:rowOff>
                  </from>
                  <to>
                    <xdr:col>2</xdr:col>
                    <xdr:colOff>876300</xdr:colOff>
                    <xdr:row>4</xdr:row>
                    <xdr:rowOff>114300</xdr:rowOff>
                  </to>
                </anchor>
              </controlPr>
            </control>
          </mc:Choice>
        </mc:AlternateContent>
        <mc:AlternateContent xmlns:mc="http://schemas.openxmlformats.org/markup-compatibility/2006">
          <mc:Choice Requires="x14">
            <control shapeId="1045" r:id="rId8" name="Option Button 21">
              <controlPr defaultSize="0" autoFill="0" autoLine="0" autoPict="0" macro="[0]!wsStep1.mostLikelyClick">
                <anchor moveWithCells="1">
                  <from>
                    <xdr:col>4</xdr:col>
                    <xdr:colOff>381000</xdr:colOff>
                    <xdr:row>5</xdr:row>
                    <xdr:rowOff>142875</xdr:rowOff>
                  </from>
                  <to>
                    <xdr:col>4</xdr:col>
                    <xdr:colOff>685800</xdr:colOff>
                    <xdr:row>6</xdr:row>
                    <xdr:rowOff>200025</xdr:rowOff>
                  </to>
                </anchor>
              </controlPr>
            </control>
          </mc:Choice>
        </mc:AlternateContent>
        <mc:AlternateContent xmlns:mc="http://schemas.openxmlformats.org/markup-compatibility/2006">
          <mc:Choice Requires="x14">
            <control shapeId="1046" r:id="rId9" name="Option Button 22">
              <controlPr defaultSize="0" autoFill="0" autoLine="0" autoPict="0" macro="[0]!wsStep1.mostLikelyClick">
                <anchor moveWithCells="1">
                  <from>
                    <xdr:col>5</xdr:col>
                    <xdr:colOff>371475</xdr:colOff>
                    <xdr:row>5</xdr:row>
                    <xdr:rowOff>142875</xdr:rowOff>
                  </from>
                  <to>
                    <xdr:col>5</xdr:col>
                    <xdr:colOff>676275</xdr:colOff>
                    <xdr:row>6</xdr:row>
                    <xdr:rowOff>200025</xdr:rowOff>
                  </to>
                </anchor>
              </controlPr>
            </control>
          </mc:Choice>
        </mc:AlternateContent>
        <mc:AlternateContent xmlns:mc="http://schemas.openxmlformats.org/markup-compatibility/2006">
          <mc:Choice Requires="x14">
            <control shapeId="1047" r:id="rId10" name="Option Button 23">
              <controlPr defaultSize="0" autoFill="0" autoLine="0" autoPict="0" macro="[0]!wsStep1.mostLikelyClick">
                <anchor moveWithCells="1">
                  <from>
                    <xdr:col>6</xdr:col>
                    <xdr:colOff>266700</xdr:colOff>
                    <xdr:row>5</xdr:row>
                    <xdr:rowOff>142875</xdr:rowOff>
                  </from>
                  <to>
                    <xdr:col>6</xdr:col>
                    <xdr:colOff>571500</xdr:colOff>
                    <xdr:row>6</xdr:row>
                    <xdr:rowOff>200025</xdr:rowOff>
                  </to>
                </anchor>
              </controlPr>
            </control>
          </mc:Choice>
        </mc:AlternateContent>
        <mc:AlternateContent xmlns:mc="http://schemas.openxmlformats.org/markup-compatibility/2006">
          <mc:Choice Requires="x14">
            <control shapeId="1264" r:id="rId11" name="cbErate">
              <controlPr defaultSize="0" autoFill="0" autoLine="0" autoPict="0" macro="[0]!wsStep1.CheckBoxeRateClick">
                <anchor moveWithCells="1">
                  <from>
                    <xdr:col>4</xdr:col>
                    <xdr:colOff>219075</xdr:colOff>
                    <xdr:row>0</xdr:row>
                    <xdr:rowOff>66675</xdr:rowOff>
                  </from>
                  <to>
                    <xdr:col>4</xdr:col>
                    <xdr:colOff>1047750</xdr:colOff>
                    <xdr:row>2</xdr:row>
                    <xdr:rowOff>76200</xdr:rowOff>
                  </to>
                </anchor>
              </controlPr>
            </control>
          </mc:Choice>
        </mc:AlternateContent>
        <mc:AlternateContent xmlns:mc="http://schemas.openxmlformats.org/markup-compatibility/2006">
          <mc:Choice Requires="x14">
            <control shapeId="1393" r:id="rId12" name="cbTXHB">
              <controlPr defaultSize="0" autoFill="0" autoLine="0" autoPict="0" macro="[0]!wsStep1.CheckBoxHouseBillClick">
                <anchor moveWithCells="1">
                  <from>
                    <xdr:col>5</xdr:col>
                    <xdr:colOff>495300</xdr:colOff>
                    <xdr:row>0</xdr:row>
                    <xdr:rowOff>66675</xdr:rowOff>
                  </from>
                  <to>
                    <xdr:col>6</xdr:col>
                    <xdr:colOff>381000</xdr:colOff>
                    <xdr:row>2</xdr:row>
                    <xdr:rowOff>76200</xdr:rowOff>
                  </to>
                </anchor>
              </controlPr>
            </control>
          </mc:Choice>
        </mc:AlternateContent>
        <mc:AlternateContent xmlns:mc="http://schemas.openxmlformats.org/markup-compatibility/2006">
          <mc:Choice Requires="x14">
            <control shapeId="1471" r:id="rId13" name="btnShowImsProducts">
              <controlPr defaultSize="0" autoFill="0" autoPict="0" macro="[0]!ShowProd">
                <anchor moveWithCells="1">
                  <from>
                    <xdr:col>2</xdr:col>
                    <xdr:colOff>38100</xdr:colOff>
                    <xdr:row>17</xdr:row>
                    <xdr:rowOff>76200</xdr:rowOff>
                  </from>
                  <to>
                    <xdr:col>3</xdr:col>
                    <xdr:colOff>457200</xdr:colOff>
                    <xdr:row>19</xdr:row>
                    <xdr:rowOff>47625</xdr:rowOff>
                  </to>
                </anchor>
              </controlPr>
            </control>
          </mc:Choice>
        </mc:AlternateContent>
        <mc:AlternateContent xmlns:mc="http://schemas.openxmlformats.org/markup-compatibility/2006">
          <mc:Choice Requires="x14">
            <control shapeId="1481" r:id="rId14" name="btnGetAceCosts">
              <controlPr defaultSize="0" autoFill="0" autoPict="0" macro="[0]!GetAceCostdetail">
                <anchor moveWithCells="1">
                  <from>
                    <xdr:col>3</xdr:col>
                    <xdr:colOff>533400</xdr:colOff>
                    <xdr:row>16</xdr:row>
                    <xdr:rowOff>114300</xdr:rowOff>
                  </from>
                  <to>
                    <xdr:col>3</xdr:col>
                    <xdr:colOff>2562225</xdr:colOff>
                    <xdr:row>18</xdr:row>
                    <xdr:rowOff>19050</xdr:rowOff>
                  </to>
                </anchor>
              </controlPr>
            </control>
          </mc:Choice>
        </mc:AlternateContent>
        <mc:AlternateContent xmlns:mc="http://schemas.openxmlformats.org/markup-compatibility/2006">
          <mc:Choice Requires="x14">
            <control shapeId="1483" r:id="rId15" name="btnCreateCostbook">
              <controlPr defaultSize="0" autoFill="0" autoPict="0" macro="[0]!genAceCostBook">
                <anchor moveWithCells="1">
                  <from>
                    <xdr:col>3</xdr:col>
                    <xdr:colOff>533400</xdr:colOff>
                    <xdr:row>18</xdr:row>
                    <xdr:rowOff>66675</xdr:rowOff>
                  </from>
                  <to>
                    <xdr:col>3</xdr:col>
                    <xdr:colOff>2562225</xdr:colOff>
                    <xdr:row>19</xdr:row>
                    <xdr:rowOff>133350</xdr:rowOff>
                  </to>
                </anchor>
              </controlPr>
            </control>
          </mc:Choice>
        </mc:AlternateContent>
        <mc:AlternateContent xmlns:mc="http://schemas.openxmlformats.org/markup-compatibility/2006">
          <mc:Choice Requires="x14">
            <control shapeId="1484" r:id="rId16" name="btn.versionLessNoMatch">
              <controlPr defaultSize="0" autoFill="0" autoPict="0" macro="[0]!saveLessSelectedNoMatch">
                <anchor moveWithCells="1">
                  <from>
                    <xdr:col>7</xdr:col>
                    <xdr:colOff>342900</xdr:colOff>
                    <xdr:row>15</xdr:row>
                    <xdr:rowOff>123825</xdr:rowOff>
                  </from>
                  <to>
                    <xdr:col>9</xdr:col>
                    <xdr:colOff>114300</xdr:colOff>
                    <xdr:row>18</xdr:row>
                    <xdr:rowOff>95250</xdr:rowOff>
                  </to>
                </anchor>
              </controlPr>
            </control>
          </mc:Choice>
        </mc:AlternateContent>
        <mc:AlternateContent xmlns:mc="http://schemas.openxmlformats.org/markup-compatibility/2006">
          <mc:Choice Requires="x14">
            <control shapeId="1489" r:id="rId17" name="btn.main.LoadCDT">
              <controlPr defaultSize="0" autoFill="0" autoPict="0" macro="[0]!wsStep1.CDTLoad">
                <anchor moveWithCells="1">
                  <from>
                    <xdr:col>7</xdr:col>
                    <xdr:colOff>361950</xdr:colOff>
                    <xdr:row>4</xdr:row>
                    <xdr:rowOff>28575</xdr:rowOff>
                  </from>
                  <to>
                    <xdr:col>9</xdr:col>
                    <xdr:colOff>133350</xdr:colOff>
                    <xdr:row>6</xdr:row>
                    <xdr:rowOff>76200</xdr:rowOff>
                  </to>
                </anchor>
              </controlPr>
            </control>
          </mc:Choice>
        </mc:AlternateContent>
        <mc:AlternateContent xmlns:mc="http://schemas.openxmlformats.org/markup-compatibility/2006">
          <mc:Choice Requires="x14">
            <control shapeId="1490" r:id="rId18" name="btn.main.ManageCDT">
              <controlPr defaultSize="0" autoFill="0" autoPict="0" macro="[0]!wsStep1.CDTManage">
                <anchor moveWithCells="1">
                  <from>
                    <xdr:col>7</xdr:col>
                    <xdr:colOff>361950</xdr:colOff>
                    <xdr:row>6</xdr:row>
                    <xdr:rowOff>200025</xdr:rowOff>
                  </from>
                  <to>
                    <xdr:col>9</xdr:col>
                    <xdr:colOff>152400</xdr:colOff>
                    <xdr:row>9</xdr:row>
                    <xdr:rowOff>9525</xdr:rowOff>
                  </to>
                </anchor>
              </controlPr>
            </control>
          </mc:Choice>
        </mc:AlternateContent>
        <mc:AlternateContent xmlns:mc="http://schemas.openxmlformats.org/markup-compatibility/2006">
          <mc:Choice Requires="x14">
            <control shapeId="1491" r:id="rId19" name="btn.main.FinalizeCDT">
              <controlPr defaultSize="0" autoFill="0" autoPict="0" macro="[0]!wsStep1.CDTFinal">
                <anchor moveWithCells="1">
                  <from>
                    <xdr:col>7</xdr:col>
                    <xdr:colOff>371475</xdr:colOff>
                    <xdr:row>9</xdr:row>
                    <xdr:rowOff>95250</xdr:rowOff>
                  </from>
                  <to>
                    <xdr:col>9</xdr:col>
                    <xdr:colOff>142875</xdr:colOff>
                    <xdr:row>12</xdr:row>
                    <xdr:rowOff>9525</xdr:rowOff>
                  </to>
                </anchor>
              </controlPr>
            </control>
          </mc:Choice>
        </mc:AlternateContent>
        <mc:AlternateContent xmlns:mc="http://schemas.openxmlformats.org/markup-compatibility/2006">
          <mc:Choice Requires="x14">
            <control shapeId="1494" r:id="rId20" name="btn.main.OLExpress">
              <controlPr defaultSize="0" autoFill="0" autoPict="0" macro="[0]!wsStep1.CDTOnline">
                <anchor moveWithCells="1">
                  <from>
                    <xdr:col>7</xdr:col>
                    <xdr:colOff>371475</xdr:colOff>
                    <xdr:row>12</xdr:row>
                    <xdr:rowOff>114300</xdr:rowOff>
                  </from>
                  <to>
                    <xdr:col>9</xdr:col>
                    <xdr:colOff>152400</xdr:colOff>
                    <xdr:row>15</xdr:row>
                    <xdr:rowOff>28575</xdr:rowOff>
                  </to>
                </anchor>
              </controlPr>
            </control>
          </mc:Choice>
        </mc:AlternateContent>
        <mc:AlternateContent xmlns:mc="http://schemas.openxmlformats.org/markup-compatibility/2006">
          <mc:Choice Requires="x14">
            <control shapeId="1495" r:id="rId21" name="btn.FMR.CheckForErrors">
              <controlPr defaultSize="0" autoFill="0" autoPict="0" macro="[0]!checkForCdtErrorsBtn">
                <anchor moveWithCells="1">
                  <from>
                    <xdr:col>7</xdr:col>
                    <xdr:colOff>361950</xdr:colOff>
                    <xdr:row>3</xdr:row>
                    <xdr:rowOff>123825</xdr:rowOff>
                  </from>
                  <to>
                    <xdr:col>9</xdr:col>
                    <xdr:colOff>142875</xdr:colOff>
                    <xdr:row>6</xdr:row>
                    <xdr:rowOff>19050</xdr:rowOff>
                  </to>
                </anchor>
              </controlPr>
            </control>
          </mc:Choice>
        </mc:AlternateContent>
        <mc:AlternateContent xmlns:mc="http://schemas.openxmlformats.org/markup-compatibility/2006">
          <mc:Choice Requires="x14">
            <control shapeId="1497" r:id="rId22" name="btn.FMR.GenerateRL">
              <controlPr defaultSize="0" autoFill="0" autoPict="0" macro="[0]!saveDealButton">
                <anchor moveWithCells="1">
                  <from>
                    <xdr:col>7</xdr:col>
                    <xdr:colOff>390525</xdr:colOff>
                    <xdr:row>6</xdr:row>
                    <xdr:rowOff>142875</xdr:rowOff>
                  </from>
                  <to>
                    <xdr:col>9</xdr:col>
                    <xdr:colOff>161925</xdr:colOff>
                    <xdr:row>8</xdr:row>
                    <xdr:rowOff>104775</xdr:rowOff>
                  </to>
                </anchor>
              </controlPr>
            </control>
          </mc:Choice>
        </mc:AlternateContent>
        <mc:AlternateContent xmlns:mc="http://schemas.openxmlformats.org/markup-compatibility/2006">
          <mc:Choice Requires="x14">
            <control shapeId="1499" r:id="rId23" name="btnImportInR">
              <controlPr defaultSize="0" autoFill="0" autoPict="0" macro="[0]!ImportINRLandingPad">
                <anchor moveWithCells="1">
                  <from>
                    <xdr:col>7</xdr:col>
                    <xdr:colOff>381000</xdr:colOff>
                    <xdr:row>15</xdr:row>
                    <xdr:rowOff>57150</xdr:rowOff>
                  </from>
                  <to>
                    <xdr:col>9</xdr:col>
                    <xdr:colOff>161925</xdr:colOff>
                    <xdr:row>16</xdr:row>
                    <xdr:rowOff>152400</xdr:rowOff>
                  </to>
                </anchor>
              </controlPr>
            </control>
          </mc:Choice>
        </mc:AlternateContent>
        <mc:AlternateContent xmlns:mc="http://schemas.openxmlformats.org/markup-compatibility/2006">
          <mc:Choice Requires="x14">
            <control shapeId="1501" r:id="rId24" name="btn.ImportComplete">
              <controlPr defaultSize="0" autoFill="0" autoPict="0" macro="[0]!ImportOther">
                <anchor moveWithCells="1">
                  <from>
                    <xdr:col>7</xdr:col>
                    <xdr:colOff>352425</xdr:colOff>
                    <xdr:row>0</xdr:row>
                    <xdr:rowOff>38100</xdr:rowOff>
                  </from>
                  <to>
                    <xdr:col>9</xdr:col>
                    <xdr:colOff>123825</xdr:colOff>
                    <xdr:row>2</xdr:row>
                    <xdr:rowOff>95250</xdr:rowOff>
                  </to>
                </anchor>
              </controlPr>
            </control>
          </mc:Choice>
        </mc:AlternateContent>
        <mc:AlternateContent xmlns:mc="http://schemas.openxmlformats.org/markup-compatibility/2006">
          <mc:Choice Requires="x14">
            <control shapeId="1502" r:id="rId25" name="cbAvpnCondenseNo">
              <controlPr defaultSize="0" autoFill="0" autoLine="0" autoPict="0">
                <anchor moveWithCells="1">
                  <from>
                    <xdr:col>33</xdr:col>
                    <xdr:colOff>57150</xdr:colOff>
                    <xdr:row>1</xdr:row>
                    <xdr:rowOff>104775</xdr:rowOff>
                  </from>
                  <to>
                    <xdr:col>35</xdr:col>
                    <xdr:colOff>457200</xdr:colOff>
                    <xdr:row>3</xdr:row>
                    <xdr:rowOff>38100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wsProduct0"/>
  <dimension ref="A1:IF205"/>
  <sheetViews>
    <sheetView showGridLines="0" topLeftCell="A2" zoomScaleNormal="100" workbookViewId="0">
      <selection activeCell="AQ94" sqref="AQ94"/>
    </sheetView>
  </sheetViews>
  <sheetFormatPr defaultColWidth="9.140625" defaultRowHeight="10.5" customHeight="1"/>
  <cols>
    <col min="1" max="2" width="3.85546875" style="167" customWidth="1"/>
    <col min="3" max="63" width="10.7109375" style="167" customWidth="1"/>
    <col min="64" max="72" width="9.140625" style="167"/>
    <col min="73" max="91" width="9.140625" style="241"/>
    <col min="92" max="107" width="9.140625" style="167"/>
    <col min="108" max="121" width="9.140625" style="241"/>
    <col min="122" max="128" width="9.140625" style="167"/>
    <col min="129" max="129" width="12.42578125" style="167" customWidth="1"/>
    <col min="130" max="134" width="9.140625" style="167"/>
    <col min="135" max="138" width="9.140625" style="941"/>
    <col min="139" max="182" width="9.140625" style="167"/>
    <col min="183" max="186" width="9.140625" style="690"/>
    <col min="187" max="188" width="9"/>
    <col min="189" max="207" width="9.140625" style="690"/>
    <col min="208" max="16384" width="9.140625" style="167"/>
  </cols>
  <sheetData>
    <row r="1" spans="1:240" ht="33.75" hidden="1">
      <c r="A1" s="125">
        <v>0</v>
      </c>
      <c r="B1" s="42" t="s">
        <v>442</v>
      </c>
      <c r="C1" s="675" t="s">
        <v>10183</v>
      </c>
      <c r="D1" s="1047"/>
      <c r="E1" s="43" t="s">
        <v>443</v>
      </c>
      <c r="F1" s="44"/>
      <c r="G1" s="45"/>
      <c r="H1" s="43" t="s">
        <v>374</v>
      </c>
      <c r="I1" s="44"/>
      <c r="J1" s="44"/>
      <c r="K1" s="44"/>
      <c r="L1" s="44"/>
      <c r="M1" s="660"/>
      <c r="N1" s="660"/>
      <c r="O1" s="660"/>
      <c r="P1" s="660"/>
      <c r="Q1" s="44"/>
      <c r="R1" s="44"/>
      <c r="T1" s="659" t="s">
        <v>8073</v>
      </c>
      <c r="U1" s="44"/>
      <c r="W1" s="149" t="s">
        <v>8038</v>
      </c>
      <c r="X1" s="44"/>
      <c r="Y1" s="660"/>
      <c r="Z1" s="660"/>
      <c r="AA1" s="660"/>
      <c r="AB1" s="660"/>
      <c r="AC1" s="44"/>
      <c r="AD1" s="44"/>
      <c r="AE1" s="44"/>
      <c r="AF1" s="44"/>
      <c r="AG1" s="44"/>
      <c r="AJ1" s="167" t="s">
        <v>7977</v>
      </c>
      <c r="AK1" s="44"/>
      <c r="AL1" s="44"/>
      <c r="AM1" s="44"/>
      <c r="AO1" s="241" t="s">
        <v>8036</v>
      </c>
      <c r="AP1" s="44">
        <f ca="1">IF(OFFSET(term1Start,prodNum,0)="","",OFFSET(term1Start,prodNum,0))</f>
        <v>1</v>
      </c>
      <c r="AQ1" s="44">
        <f ca="1">IF(OFFSET(term1Start,prodNum,1)="","",OFFSET(term1Start,prodNum,1))</f>
        <v>2</v>
      </c>
      <c r="AR1" s="44">
        <f ca="1">IF(OFFSET(term1Start,prodNum,2)="","",OFFSET(term1Start,prodNum,2))</f>
        <v>3</v>
      </c>
      <c r="AT1" s="241" t="s">
        <v>8037</v>
      </c>
      <c r="AU1" s="44">
        <f ca="1">IF(AP1="",0,INDEX(stdTermOffsets,MATCH(AP1,StdTerms,1)))</f>
        <v>2</v>
      </c>
      <c r="AV1" s="44">
        <f ca="1">IF(AQ1="",0,INDEX(stdTermOffsets,MATCH(AQ1,StdTerms,1)))</f>
        <v>2</v>
      </c>
      <c r="AW1" s="44">
        <f ca="1">IF(AR1="",0,INDEX(stdTermOffsets,MATCH(AR1,StdTerms,1)))</f>
        <v>2</v>
      </c>
      <c r="AY1" s="675" t="s">
        <v>9197</v>
      </c>
      <c r="AZ1" s="676"/>
      <c r="BA1" s="676"/>
      <c r="BB1" s="676"/>
      <c r="BC1" s="676"/>
      <c r="BD1" s="677"/>
      <c r="BE1" s="677"/>
      <c r="BF1" s="677"/>
      <c r="BG1" s="677"/>
      <c r="BH1" s="676"/>
      <c r="BI1" s="676"/>
      <c r="BK1" s="1046" t="s">
        <v>9960</v>
      </c>
      <c r="BL1" s="676"/>
      <c r="BM1" s="1047"/>
      <c r="BO1" s="849" t="s">
        <v>10168</v>
      </c>
      <c r="BP1" s="676"/>
      <c r="BR1" s="849" t="s">
        <v>10227</v>
      </c>
      <c r="BS1" s="676"/>
      <c r="BU1" s="1046" t="s">
        <v>10255</v>
      </c>
      <c r="BV1" s="676"/>
      <c r="BW1" s="676"/>
      <c r="BX1" s="676"/>
      <c r="BY1" s="676"/>
      <c r="BZ1" s="676"/>
      <c r="CA1" s="676"/>
      <c r="CB1" s="676"/>
      <c r="CC1" s="676"/>
      <c r="CD1" s="676"/>
      <c r="CE1" s="676"/>
      <c r="CG1" s="1046" t="s">
        <v>10304</v>
      </c>
      <c r="CH1" s="676"/>
      <c r="CI1" s="676"/>
      <c r="CJ1" s="676"/>
      <c r="CK1" s="676"/>
      <c r="CL1" s="676"/>
      <c r="CM1" s="676"/>
      <c r="CN1" s="676"/>
      <c r="CO1" s="676"/>
      <c r="CP1" s="676"/>
      <c r="CQ1" s="676"/>
      <c r="CR1" s="241"/>
      <c r="CS1" s="1551" t="s">
        <v>11139</v>
      </c>
      <c r="CT1" s="676" t="b">
        <f ca="1">IFERROR(INDIRECT("'Prod"&amp;prodNum&amp;"-01-ais2'!D4"),"")&lt;&gt;""</f>
        <v>0</v>
      </c>
      <c r="CU1" s="1551" t="s">
        <v>11140</v>
      </c>
      <c r="CV1" s="676" t="b">
        <f ca="1">OR(IFERROR(INDIRECT("'NSS ASE "&amp;prodNum&amp;"'!B14"),"")&lt;&gt;"",TopProdID=577)</f>
        <v>0</v>
      </c>
      <c r="CW1" s="1551" t="s">
        <v>11543</v>
      </c>
      <c r="CX1" s="676"/>
      <c r="CY1" s="1551" t="s">
        <v>11555</v>
      </c>
      <c r="CZ1" s="676"/>
      <c r="DA1" s="1551" t="s">
        <v>11565</v>
      </c>
      <c r="DB1" s="676"/>
      <c r="DD1" s="167"/>
      <c r="DE1" s="167"/>
      <c r="DF1" s="167"/>
      <c r="DG1" s="167"/>
      <c r="DH1" s="167"/>
      <c r="DI1" s="167"/>
      <c r="DR1" s="241"/>
      <c r="DS1" s="241"/>
      <c r="DT1" s="241"/>
      <c r="DU1" s="241"/>
      <c r="DV1" s="241"/>
      <c r="DW1" s="241"/>
    </row>
    <row r="2" spans="1:240" ht="12.75">
      <c r="L2" s="1238" t="s">
        <v>12635</v>
      </c>
    </row>
    <row r="3" spans="1:240" ht="12.75">
      <c r="L3" s="42" t="s">
        <v>12636</v>
      </c>
    </row>
    <row r="4" spans="1:240" ht="12.75">
      <c r="L4" s="131" t="s">
        <v>365</v>
      </c>
      <c r="N4" s="1066"/>
    </row>
    <row r="5" spans="1:240" ht="12.75">
      <c r="N5" s="135"/>
    </row>
    <row r="6" spans="1:240" ht="12.75" customHeight="1">
      <c r="C6" s="47" t="str">
        <f ca="1">OFFSET(ProdStart,$A$1,1)</f>
        <v>Products</v>
      </c>
      <c r="L6" s="42" t="s">
        <v>496</v>
      </c>
      <c r="N6" s="147" t="str">
        <f ca="1">IF(OR(TopProdID=1214,INDIRECT("O"&amp;ROW(Subprod_Name_2))&lt;&gt;""),"",IF(AND(NOT(ISERROR(FIND("TELCO",UPPER(INDEX(Affiliate_Type,MAX(1,prodNum)))))),OR(OFFSET(Subprod_Headers_1,ROWS(Subprod_Data_1)+2,COLUMNS(Subprod_Headers_1),1,1)&gt;0,AND(OFFSET(Subprod_Headers_1,ROWS(Subprod_Data_1)+2,COLUMNS(Subprod_Headers_1)+1,1,1)&gt;0,OR(AND(OFFSET(Subprod_Headers_1,-1,COLUMNS(Subprod_Headers_1)+9,1,1)&lt;&gt;"",OFFSET(Subprod_Headers_1,ROWS(Subprod_Data_1)+2,COLUMNS(Subprod_Headers_1)+4,1,1)&gt;OFFSET(Subprod_Headers_1,ROWS(Subprod_Data_1)+2,COLUMNS(Subprod_Headers_1)+9,1,1)),AND(OFFSET(Subprod_Headers_1,-1,COLUMNS(Subprod_Headers_1)+15,1,1)&lt;&gt;"",OFFSET(Subprod_Headers_1,ROWS(Subprod_Data_1)+2,COLUMNS(Subprod_Headers_1)+4,1,1)&gt;OFFSET(Subprod_Headers_1,ROWS(Subprod_Data_1)+2,COLUMNS(Subprod_Headers_1)+15,1,1)),AND(OFFSET(Subprod_Headers_1,-1,COLUMNS(Subprod_Headers_1)+21,1,1)&lt;&gt;"",OFFSET(Subprod_Headers_1,ROWS(Subprod_Data_1)+2,COLUMNS(Subprod_Headers_1)+4,1,1)&gt;OFFSET(Subprod_Headers_1,ROWS(Subprod_Data_1)+2,COLUMNS(Subprod_Headers_1)+21,1,1)))))),"AIS Required for Regulatory",""))</f>
        <v/>
      </c>
      <c r="P6" s="147"/>
      <c r="Q6" s="147"/>
      <c r="R6" s="147"/>
      <c r="S6" s="147"/>
      <c r="AV6" s="167" t="str">
        <f ca="1">N6</f>
        <v/>
      </c>
      <c r="BB6" s="167" t="str">
        <f ca="1">N6</f>
        <v/>
      </c>
      <c r="BH6" s="167" t="str">
        <f ca="1">N6</f>
        <v/>
      </c>
    </row>
    <row r="7" spans="1:240" ht="12.75">
      <c r="C7" s="52" t="s">
        <v>246</v>
      </c>
      <c r="D7" s="42" t="str">
        <f ca="1">OFFSET(ProdStart,$A$1,2)</f>
        <v>State/Biller</v>
      </c>
      <c r="F7" s="1238" t="str">
        <f ca="1">IF(OFFSET(extSrcStart,prodNum,19)&lt;&gt;"","SOC: "&amp;OFFSET(extSrcStart,prodNum,19),"")</f>
        <v>SOC: SoC</v>
      </c>
      <c r="L7" s="131" t="s">
        <v>497</v>
      </c>
    </row>
    <row r="8" spans="1:240" ht="10.5" customHeight="1">
      <c r="C8" s="52" t="s">
        <v>441</v>
      </c>
      <c r="D8" s="42" t="str">
        <f ca="1">OFFSET(ProdStart,$A$1,3)</f>
        <v>Jurisdiction</v>
      </c>
      <c r="F8" s="241" t="str">
        <f ca="1">OFFSET(extSrcStart,prodNum,21)&amp;IF(OFFSET(extSrcStart,prodNum,4)&lt;&gt;"",OFFSET(extSrcStart,prodNum,4)&amp;" File:","")</f>
        <v>VoltageMapping Source File:</v>
      </c>
      <c r="G8" s="167" t="str">
        <f ca="1">T(OFFSET(extSrcStart,prodNum,0))</f>
        <v>External Source Link</v>
      </c>
      <c r="CN8" s="241"/>
      <c r="CO8" s="241"/>
    </row>
    <row r="9" spans="1:240" ht="10.5" customHeight="1">
      <c r="B9" s="97"/>
      <c r="C9" s="148"/>
      <c r="CN9" s="241"/>
      <c r="CO9" s="241"/>
    </row>
    <row r="10" spans="1:240" ht="15">
      <c r="B10" s="97"/>
      <c r="C10" s="330" t="s">
        <v>254</v>
      </c>
      <c r="AT10" s="1438"/>
      <c r="AX10" s="125"/>
      <c r="AY10" s="125"/>
      <c r="BD10" s="125"/>
      <c r="BE10" s="125"/>
      <c r="BJ10" s="125"/>
      <c r="BK10" s="125"/>
      <c r="BU10" s="167"/>
      <c r="BV10" s="167"/>
      <c r="BW10" s="167"/>
      <c r="BX10" s="167"/>
      <c r="BY10" s="167"/>
      <c r="BZ10" s="167"/>
      <c r="CA10" s="167"/>
      <c r="CB10" s="167"/>
      <c r="CC10" s="167"/>
      <c r="CD10" s="167"/>
      <c r="CE10" s="167"/>
      <c r="CF10" s="167"/>
      <c r="CG10" s="167"/>
      <c r="CH10" s="167"/>
      <c r="CI10" s="167"/>
      <c r="CJ10" s="167"/>
      <c r="CK10" s="167"/>
      <c r="CL10" s="167"/>
      <c r="CM10" s="167"/>
      <c r="DD10" s="167"/>
      <c r="DE10" s="167"/>
      <c r="DF10" s="167"/>
      <c r="DG10" s="167"/>
      <c r="DH10" s="167"/>
      <c r="DI10" s="167"/>
      <c r="DJ10" s="167"/>
      <c r="DK10" s="167"/>
      <c r="DL10" s="167"/>
      <c r="DM10" s="167"/>
      <c r="DN10" s="167"/>
      <c r="DO10" s="167"/>
      <c r="DP10" s="167"/>
      <c r="DQ10" s="167"/>
      <c r="EI10" s="941"/>
    </row>
    <row r="11" spans="1:240" ht="14.25" customHeight="1">
      <c r="B11" s="97"/>
      <c r="C11" s="1439" t="str">
        <f ca="1">IF(LEFT(OFFSET(extSrcStart,prodNum,21),8)="Freemium","FIRST 6 MONTHS FREE","")</f>
        <v/>
      </c>
      <c r="AT11" s="331" t="str">
        <f ca="1">IF(AV11="","","Scenario 1")</f>
        <v>Scenario 1</v>
      </c>
      <c r="AU11" s="332"/>
      <c r="AV11" s="333" t="str">
        <f ca="1">IF(OFFSET('Step 1'!$G$21,$A$1,0)=0,"",OFFSET('Step 1'!$G$21,$A$1,0)&amp;" months term")</f>
        <v>1 months term</v>
      </c>
      <c r="AW11" s="332"/>
      <c r="AX11" s="88" t="str">
        <f ca="1">IF(AT11="","","Std Pricing: "&amp;OFFSET(DJ11,0,$AU$1))</f>
        <v>Std Pricing: MTM</v>
      </c>
      <c r="AY11" s="88"/>
      <c r="AZ11" s="334" t="str">
        <f ca="1">IF(BB11="","","Scenario 2")</f>
        <v>Scenario 2</v>
      </c>
      <c r="BA11" s="335"/>
      <c r="BB11" s="336" t="str">
        <f ca="1">IF(OFFSET('Step 1'!$G$21,$A$1,1)=0,"",OFFSET('Step 1'!$G$21,$A$1,1)&amp;" months term")</f>
        <v>2 months term</v>
      </c>
      <c r="BC11" s="337"/>
      <c r="BD11" s="85" t="str">
        <f ca="1">IF(AZ11="","","Std Pricing: "&amp;OFFSET(DJ11,0,$AV$1))</f>
        <v>Std Pricing: MTM</v>
      </c>
      <c r="BE11" s="85"/>
      <c r="BF11" s="331" t="str">
        <f ca="1">IF(BH11="","","Scenario 3")</f>
        <v>Scenario 3</v>
      </c>
      <c r="BG11" s="338"/>
      <c r="BH11" s="333" t="str">
        <f ca="1">IF(OFFSET('Step 1'!$G$21,$A$1,2)=0,"",OFFSET('Step 1'!$G$21,$A$1,2)&amp;" months term")</f>
        <v>3 months term</v>
      </c>
      <c r="BI11" s="332"/>
      <c r="BJ11" s="88" t="str">
        <f ca="1">IF(BF11="","","Std Pricing: "&amp;OFFSET(DJ11,0,$AW$1))</f>
        <v>Std Pricing: MTM</v>
      </c>
      <c r="BK11" s="99"/>
      <c r="BL11" s="97"/>
      <c r="BU11" s="167"/>
      <c r="BV11" s="167"/>
      <c r="BW11" s="167"/>
      <c r="BX11" s="167"/>
      <c r="BY11" s="167"/>
      <c r="BZ11" s="167"/>
      <c r="CA11" s="167"/>
      <c r="CB11" s="167"/>
      <c r="CC11" s="167"/>
      <c r="CD11" s="167"/>
      <c r="CE11" s="167"/>
      <c r="CF11" s="167"/>
      <c r="CG11" s="167"/>
      <c r="CH11" s="167"/>
      <c r="CI11" s="167"/>
      <c r="CJ11" s="167"/>
      <c r="CK11" s="167"/>
      <c r="CL11" s="167"/>
      <c r="CM11" s="167"/>
      <c r="DD11" s="167"/>
      <c r="DE11" s="167"/>
      <c r="DF11" s="167"/>
      <c r="DG11" s="167"/>
      <c r="DH11" s="167"/>
      <c r="DI11" s="167"/>
      <c r="DJ11" s="167"/>
      <c r="DK11" s="167"/>
      <c r="DL11" s="339" t="s">
        <v>8</v>
      </c>
      <c r="DM11" s="339"/>
      <c r="DN11" s="339" t="s">
        <v>9</v>
      </c>
      <c r="DO11" s="339"/>
      <c r="DP11" s="339" t="s">
        <v>10</v>
      </c>
      <c r="DQ11" s="339"/>
      <c r="DR11" s="339" t="s">
        <v>11</v>
      </c>
      <c r="DS11" s="339"/>
      <c r="DT11" s="339" t="s">
        <v>12</v>
      </c>
      <c r="DU11" s="339"/>
      <c r="DV11" s="339" t="s">
        <v>13</v>
      </c>
      <c r="DW11" s="339"/>
      <c r="DX11" s="339" t="s">
        <v>261</v>
      </c>
      <c r="DY11" s="340"/>
      <c r="DZ11" s="341"/>
      <c r="EA11" s="339" t="s">
        <v>211</v>
      </c>
      <c r="EB11" s="339"/>
      <c r="EC11" s="339" t="s">
        <v>214</v>
      </c>
      <c r="ED11" s="340"/>
      <c r="EE11" s="339" t="s">
        <v>10228</v>
      </c>
      <c r="EF11" s="340"/>
      <c r="EG11" s="340" t="s">
        <v>10598</v>
      </c>
      <c r="EH11" s="340" t="s">
        <v>10983</v>
      </c>
      <c r="EI11" s="340" t="s">
        <v>11667</v>
      </c>
      <c r="EJ11" s="342"/>
      <c r="EK11" s="342"/>
      <c r="EL11" s="342"/>
      <c r="EM11" s="342"/>
      <c r="EN11" s="342"/>
      <c r="EO11" s="342"/>
      <c r="ES11" s="339" t="s">
        <v>8</v>
      </c>
      <c r="ET11" s="339"/>
      <c r="EU11" s="339" t="s">
        <v>9</v>
      </c>
      <c r="EV11" s="339"/>
      <c r="EW11" s="339" t="s">
        <v>10</v>
      </c>
      <c r="EX11" s="339"/>
      <c r="EY11" s="339" t="s">
        <v>11</v>
      </c>
      <c r="EZ11" s="339"/>
      <c r="FA11" s="339" t="s">
        <v>12</v>
      </c>
      <c r="FB11" s="339"/>
      <c r="FC11" s="339" t="s">
        <v>13</v>
      </c>
      <c r="FD11" s="339"/>
      <c r="FH11" s="339" t="s">
        <v>211</v>
      </c>
      <c r="FI11" s="339"/>
      <c r="FM11" s="690"/>
      <c r="FN11" s="690"/>
      <c r="FO11" s="690"/>
      <c r="FP11" s="690"/>
      <c r="FQ11" s="339" t="s">
        <v>8</v>
      </c>
      <c r="FR11" s="339"/>
      <c r="FS11" s="339" t="s">
        <v>9</v>
      </c>
      <c r="FT11" s="339"/>
      <c r="FU11" s="339" t="s">
        <v>10</v>
      </c>
      <c r="FV11" s="339"/>
      <c r="FW11" s="339" t="s">
        <v>11</v>
      </c>
      <c r="FX11" s="339"/>
      <c r="FY11" s="339" t="s">
        <v>12</v>
      </c>
      <c r="FZ11" s="339"/>
      <c r="GA11" s="339" t="s">
        <v>211</v>
      </c>
      <c r="GB11" s="339"/>
      <c r="GC11" s="339" t="s">
        <v>13</v>
      </c>
      <c r="GD11" s="339"/>
      <c r="GL11" s="339" t="s">
        <v>8</v>
      </c>
      <c r="GM11" s="339"/>
      <c r="GN11" s="339" t="s">
        <v>9</v>
      </c>
      <c r="GO11" s="339"/>
      <c r="GP11" s="339" t="s">
        <v>10</v>
      </c>
      <c r="GQ11" s="339"/>
      <c r="GR11" s="339" t="s">
        <v>11</v>
      </c>
      <c r="GS11" s="339"/>
      <c r="GT11" s="339" t="s">
        <v>12</v>
      </c>
      <c r="GU11" s="339"/>
      <c r="GV11" s="339" t="s">
        <v>211</v>
      </c>
      <c r="GW11" s="339"/>
      <c r="GX11" s="339" t="s">
        <v>13</v>
      </c>
      <c r="GY11" s="339"/>
    </row>
    <row r="12" spans="1:240" ht="45" customHeight="1">
      <c r="B12" s="97"/>
      <c r="C12" s="49" t="s">
        <v>375</v>
      </c>
      <c r="D12" s="49" t="s">
        <v>375</v>
      </c>
      <c r="E12" s="49" t="s">
        <v>375</v>
      </c>
      <c r="F12" s="49" t="s">
        <v>375</v>
      </c>
      <c r="G12" s="49" t="s">
        <v>375</v>
      </c>
      <c r="H12" s="49" t="s">
        <v>375</v>
      </c>
      <c r="I12" s="49" t="s">
        <v>375</v>
      </c>
      <c r="J12" s="49" t="s">
        <v>375</v>
      </c>
      <c r="K12" s="49" t="s">
        <v>375</v>
      </c>
      <c r="L12" s="49" t="s">
        <v>375</v>
      </c>
      <c r="M12" s="49" t="s">
        <v>375</v>
      </c>
      <c r="N12" s="49" t="s">
        <v>375</v>
      </c>
      <c r="O12" s="49" t="s">
        <v>375</v>
      </c>
      <c r="P12" s="49" t="s">
        <v>375</v>
      </c>
      <c r="Q12" s="49" t="s">
        <v>375</v>
      </c>
      <c r="R12" s="49" t="s">
        <v>375</v>
      </c>
      <c r="S12" s="49" t="s">
        <v>375</v>
      </c>
      <c r="T12" s="49" t="s">
        <v>375</v>
      </c>
      <c r="U12" s="49" t="s">
        <v>375</v>
      </c>
      <c r="V12" s="49" t="s">
        <v>375</v>
      </c>
      <c r="W12" s="49" t="s">
        <v>375</v>
      </c>
      <c r="X12" s="49" t="s">
        <v>375</v>
      </c>
      <c r="Y12" s="49" t="s">
        <v>375</v>
      </c>
      <c r="Z12" s="49" t="s">
        <v>375</v>
      </c>
      <c r="AA12" s="49" t="s">
        <v>375</v>
      </c>
      <c r="AB12" s="49" t="s">
        <v>375</v>
      </c>
      <c r="AC12" s="49" t="s">
        <v>375</v>
      </c>
      <c r="AD12" s="49" t="s">
        <v>375</v>
      </c>
      <c r="AE12" s="49" t="s">
        <v>375</v>
      </c>
      <c r="AF12" s="49" t="s">
        <v>375</v>
      </c>
      <c r="AG12" s="49" t="s">
        <v>375</v>
      </c>
      <c r="AH12" s="49" t="s">
        <v>375</v>
      </c>
      <c r="AI12" s="49" t="s">
        <v>375</v>
      </c>
      <c r="AJ12" s="49" t="s">
        <v>249</v>
      </c>
      <c r="AK12" s="49" t="s">
        <v>250</v>
      </c>
      <c r="AL12" s="49" t="s">
        <v>251</v>
      </c>
      <c r="AM12" s="49" t="s">
        <v>252</v>
      </c>
      <c r="AN12" s="49" t="s">
        <v>197</v>
      </c>
      <c r="AO12" s="49" t="s">
        <v>516</v>
      </c>
      <c r="AP12" s="49" t="s">
        <v>517</v>
      </c>
      <c r="AQ12" s="49" t="s">
        <v>518</v>
      </c>
      <c r="AR12" s="49" t="s">
        <v>388</v>
      </c>
      <c r="AS12" s="70" t="s">
        <v>389</v>
      </c>
      <c r="AT12" s="72" t="s">
        <v>519</v>
      </c>
      <c r="AU12" s="51" t="s">
        <v>520</v>
      </c>
      <c r="AV12" s="51" t="s">
        <v>521</v>
      </c>
      <c r="AW12" s="51" t="s">
        <v>509</v>
      </c>
      <c r="AX12" s="51" t="s">
        <v>510</v>
      </c>
      <c r="AY12" s="66" t="s">
        <v>511</v>
      </c>
      <c r="AZ12" s="77" t="s">
        <v>360</v>
      </c>
      <c r="BA12" s="51" t="s">
        <v>361</v>
      </c>
      <c r="BB12" s="51" t="s">
        <v>362</v>
      </c>
      <c r="BC12" s="51" t="s">
        <v>363</v>
      </c>
      <c r="BD12" s="51" t="s">
        <v>243</v>
      </c>
      <c r="BE12" s="66" t="s">
        <v>244</v>
      </c>
      <c r="BF12" s="72" t="s">
        <v>512</v>
      </c>
      <c r="BG12" s="51" t="s">
        <v>513</v>
      </c>
      <c r="BH12" s="51" t="s">
        <v>514</v>
      </c>
      <c r="BI12" s="51" t="s">
        <v>515</v>
      </c>
      <c r="BJ12" s="51" t="s">
        <v>358</v>
      </c>
      <c r="BK12" s="100" t="s">
        <v>359</v>
      </c>
      <c r="BL12" s="97"/>
      <c r="BU12" s="167"/>
      <c r="BV12" s="167"/>
      <c r="BW12" s="167"/>
      <c r="BX12" s="167"/>
      <c r="BY12" s="167"/>
      <c r="BZ12" s="167"/>
      <c r="CA12" s="167"/>
      <c r="CB12" s="167"/>
      <c r="CC12" s="167"/>
      <c r="CD12" s="167"/>
      <c r="CE12" s="167"/>
      <c r="CF12" s="167"/>
      <c r="CG12" s="167"/>
      <c r="CH12" s="167"/>
      <c r="CI12" s="167"/>
      <c r="CJ12" s="167"/>
      <c r="CK12" s="167"/>
      <c r="CL12" s="167"/>
      <c r="CM12" s="167"/>
      <c r="DD12" s="167"/>
      <c r="DE12" s="167"/>
      <c r="DF12" s="167"/>
      <c r="DG12" s="167"/>
      <c r="DH12" s="167"/>
      <c r="DI12" s="167"/>
      <c r="DJ12" s="167"/>
      <c r="DK12" s="167"/>
      <c r="DL12" s="167"/>
      <c r="DM12" s="167"/>
      <c r="DN12" s="167"/>
      <c r="DO12" s="167"/>
      <c r="DP12" s="167"/>
      <c r="DQ12" s="167"/>
      <c r="DY12" s="97"/>
      <c r="DZ12" s="97"/>
      <c r="ED12" s="97"/>
      <c r="EF12" s="1081"/>
      <c r="EG12" s="1081"/>
      <c r="EH12" s="1081"/>
      <c r="EI12" s="1081"/>
      <c r="EJ12" s="97"/>
      <c r="EK12" s="97"/>
      <c r="EL12" s="97"/>
      <c r="EM12" s="97"/>
      <c r="EN12" s="97"/>
      <c r="EO12" s="97"/>
      <c r="FM12" s="690"/>
      <c r="FN12" s="690"/>
      <c r="FO12" s="690"/>
      <c r="FP12" s="690"/>
      <c r="FQ12" s="690"/>
      <c r="FR12" s="690"/>
      <c r="FS12" s="690"/>
      <c r="FT12" s="690"/>
      <c r="FU12" s="690"/>
      <c r="FV12" s="690"/>
      <c r="FW12" s="690"/>
      <c r="FX12" s="690"/>
      <c r="FY12" s="690"/>
      <c r="FZ12" s="690"/>
      <c r="HE12" s="1240" t="s">
        <v>10254</v>
      </c>
      <c r="HF12" s="1239"/>
      <c r="HG12" s="1239"/>
      <c r="HH12" s="1239"/>
      <c r="HI12" s="1239"/>
      <c r="HJ12" s="1239"/>
      <c r="HK12" s="1239"/>
      <c r="HL12" s="1239"/>
      <c r="HM12" s="1239"/>
      <c r="HN12" s="1239"/>
      <c r="HO12" s="1239"/>
      <c r="HP12" s="1239"/>
      <c r="HQ12" s="1239"/>
      <c r="HR12" s="1239"/>
      <c r="HS12" s="1240" t="s">
        <v>10253</v>
      </c>
      <c r="HT12" s="1239"/>
      <c r="HU12" s="1239"/>
      <c r="HV12" s="1239"/>
      <c r="HW12" s="1239"/>
      <c r="HX12" s="1239"/>
      <c r="HY12" s="1239"/>
      <c r="HZ12" s="1239"/>
      <c r="IA12" s="1239"/>
      <c r="IB12" s="1239"/>
      <c r="IC12" s="1239"/>
      <c r="ID12" s="1239"/>
      <c r="IE12" s="1239"/>
      <c r="IF12" s="1239"/>
    </row>
    <row r="13" spans="1:240" ht="10.5" customHeight="1">
      <c r="B13" s="97"/>
      <c r="C13" s="343"/>
      <c r="D13" s="343"/>
      <c r="E13" s="343"/>
      <c r="F13" s="343"/>
      <c r="G13" s="343"/>
      <c r="H13" s="343"/>
      <c r="I13" s="343"/>
      <c r="J13" s="343"/>
      <c r="K13" s="343"/>
      <c r="L13" s="343"/>
      <c r="M13" s="343"/>
      <c r="N13" s="343"/>
      <c r="O13" s="343"/>
      <c r="P13" s="343"/>
      <c r="Q13" s="343"/>
      <c r="R13" s="343"/>
      <c r="S13" s="343"/>
      <c r="T13" s="343"/>
      <c r="U13" s="343"/>
      <c r="V13" s="343"/>
      <c r="W13" s="343"/>
      <c r="X13" s="343"/>
      <c r="Y13" s="343"/>
      <c r="Z13" s="343"/>
      <c r="AA13" s="343"/>
      <c r="AB13" s="343"/>
      <c r="AC13" s="343"/>
      <c r="AD13" s="343"/>
      <c r="AE13" s="343"/>
      <c r="AF13" s="343"/>
      <c r="AG13" s="343"/>
      <c r="AH13" s="343"/>
      <c r="AI13" s="343"/>
      <c r="AJ13" s="343"/>
      <c r="AK13" s="343"/>
      <c r="AL13" s="343"/>
      <c r="AM13" s="343"/>
      <c r="AN13" s="343"/>
      <c r="AO13" s="343"/>
      <c r="AP13" s="343"/>
      <c r="AQ13" s="343"/>
      <c r="AR13" s="343"/>
      <c r="AS13" s="344"/>
      <c r="AT13" s="345"/>
      <c r="AU13" s="343"/>
      <c r="AV13" s="53"/>
      <c r="AW13" s="53"/>
      <c r="AX13" s="54"/>
      <c r="AY13" s="54"/>
      <c r="AZ13" s="346"/>
      <c r="BA13" s="343"/>
      <c r="BB13" s="53"/>
      <c r="BC13" s="53"/>
      <c r="BD13" s="54"/>
      <c r="BE13" s="54"/>
      <c r="BF13" s="345"/>
      <c r="BG13" s="343"/>
      <c r="BH13" s="53"/>
      <c r="BI13" s="53"/>
      <c r="BJ13" s="54"/>
      <c r="BK13" s="101"/>
      <c r="BL13" s="97"/>
      <c r="BU13" s="167"/>
      <c r="BV13" s="167"/>
      <c r="BW13" s="167"/>
      <c r="BX13" s="167"/>
      <c r="BY13" s="167"/>
      <c r="BZ13" s="167"/>
      <c r="CA13" s="167"/>
      <c r="CB13" s="167"/>
      <c r="CC13" s="167"/>
      <c r="CD13" s="167"/>
      <c r="CE13" s="167"/>
      <c r="CF13" s="167"/>
      <c r="CG13" s="167"/>
      <c r="CH13" s="167"/>
      <c r="CI13" s="167"/>
      <c r="CJ13" s="167"/>
      <c r="CK13" s="167"/>
      <c r="CL13" s="167"/>
      <c r="CM13" s="167"/>
      <c r="DD13" s="167"/>
      <c r="DE13" s="167"/>
      <c r="DF13" s="167"/>
      <c r="DG13" s="167"/>
      <c r="DH13" s="339" t="s">
        <v>631</v>
      </c>
      <c r="DI13" s="339" t="s">
        <v>632</v>
      </c>
      <c r="DJ13" s="339" t="s">
        <v>379</v>
      </c>
      <c r="DK13" s="339" t="s">
        <v>575</v>
      </c>
      <c r="DL13" s="339" t="s">
        <v>380</v>
      </c>
      <c r="DM13" s="339" t="s">
        <v>381</v>
      </c>
      <c r="DN13" s="339" t="s">
        <v>382</v>
      </c>
      <c r="DO13" s="339" t="s">
        <v>383</v>
      </c>
      <c r="DP13" s="339" t="s">
        <v>384</v>
      </c>
      <c r="DQ13" s="339" t="s">
        <v>385</v>
      </c>
      <c r="DR13" s="339" t="s">
        <v>386</v>
      </c>
      <c r="DS13" s="339" t="s">
        <v>387</v>
      </c>
      <c r="DT13" s="339" t="s">
        <v>390</v>
      </c>
      <c r="DU13" s="339" t="s">
        <v>391</v>
      </c>
      <c r="DV13" s="339" t="s">
        <v>392</v>
      </c>
      <c r="DW13" s="339" t="s">
        <v>393</v>
      </c>
      <c r="DX13" s="339" t="s">
        <v>197</v>
      </c>
      <c r="DY13" s="339" t="s">
        <v>262</v>
      </c>
      <c r="DZ13" s="339" t="s">
        <v>263</v>
      </c>
      <c r="EA13" s="339" t="s">
        <v>212</v>
      </c>
      <c r="EB13" s="339" t="s">
        <v>213</v>
      </c>
      <c r="EC13" s="339" t="s">
        <v>215</v>
      </c>
      <c r="ED13" s="339" t="s">
        <v>14</v>
      </c>
      <c r="EE13" s="339" t="s">
        <v>8005</v>
      </c>
      <c r="EF13" s="339" t="s">
        <v>10229</v>
      </c>
      <c r="EG13" s="339"/>
      <c r="EH13" s="339"/>
      <c r="EI13" s="339"/>
      <c r="EJ13" s="342"/>
      <c r="EK13" s="342"/>
      <c r="EL13" s="342"/>
      <c r="EM13" s="342"/>
      <c r="EN13" s="342"/>
      <c r="EO13" s="342"/>
      <c r="EQ13" s="339" t="s">
        <v>379</v>
      </c>
      <c r="ER13" s="339" t="s">
        <v>575</v>
      </c>
      <c r="ES13" s="339" t="s">
        <v>380</v>
      </c>
      <c r="ET13" s="339" t="s">
        <v>381</v>
      </c>
      <c r="EU13" s="339" t="s">
        <v>382</v>
      </c>
      <c r="EV13" s="339" t="s">
        <v>383</v>
      </c>
      <c r="EW13" s="339" t="s">
        <v>384</v>
      </c>
      <c r="EX13" s="339" t="s">
        <v>385</v>
      </c>
      <c r="EY13" s="339" t="s">
        <v>386</v>
      </c>
      <c r="EZ13" s="339" t="s">
        <v>387</v>
      </c>
      <c r="FA13" s="339" t="s">
        <v>390</v>
      </c>
      <c r="FB13" s="339" t="s">
        <v>391</v>
      </c>
      <c r="FC13" s="339" t="s">
        <v>392</v>
      </c>
      <c r="FD13" s="339" t="s">
        <v>393</v>
      </c>
      <c r="FH13" s="339" t="s">
        <v>212</v>
      </c>
      <c r="FI13" s="339" t="s">
        <v>213</v>
      </c>
      <c r="FL13" s="339" t="s">
        <v>9596</v>
      </c>
      <c r="FM13" s="339" t="s">
        <v>9597</v>
      </c>
      <c r="FN13" s="339" t="s">
        <v>9598</v>
      </c>
      <c r="FO13" s="339" t="s">
        <v>9599</v>
      </c>
      <c r="FP13" s="339" t="s">
        <v>9600</v>
      </c>
      <c r="FQ13" s="339" t="s">
        <v>380</v>
      </c>
      <c r="FR13" s="339" t="s">
        <v>381</v>
      </c>
      <c r="FS13" s="339" t="s">
        <v>382</v>
      </c>
      <c r="FT13" s="339" t="s">
        <v>383</v>
      </c>
      <c r="FU13" s="339" t="s">
        <v>384</v>
      </c>
      <c r="FV13" s="339" t="s">
        <v>385</v>
      </c>
      <c r="FW13" s="339" t="s">
        <v>386</v>
      </c>
      <c r="FX13" s="339" t="s">
        <v>387</v>
      </c>
      <c r="FY13" s="339" t="s">
        <v>390</v>
      </c>
      <c r="FZ13" s="339" t="s">
        <v>391</v>
      </c>
      <c r="GA13" s="339" t="s">
        <v>212</v>
      </c>
      <c r="GB13" s="339" t="s">
        <v>213</v>
      </c>
      <c r="GC13" s="339" t="s">
        <v>392</v>
      </c>
      <c r="GD13" s="339" t="s">
        <v>393</v>
      </c>
      <c r="GG13" s="339" t="s">
        <v>9596</v>
      </c>
      <c r="GH13" s="339" t="s">
        <v>9597</v>
      </c>
      <c r="GI13" s="339" t="s">
        <v>9598</v>
      </c>
      <c r="GJ13" s="339" t="s">
        <v>9599</v>
      </c>
      <c r="GK13" s="339" t="s">
        <v>9600</v>
      </c>
      <c r="GL13" s="339" t="s">
        <v>380</v>
      </c>
      <c r="GM13" s="339" t="s">
        <v>381</v>
      </c>
      <c r="GN13" s="339" t="s">
        <v>382</v>
      </c>
      <c r="GO13" s="339" t="s">
        <v>383</v>
      </c>
      <c r="GP13" s="339" t="s">
        <v>384</v>
      </c>
      <c r="GQ13" s="339" t="s">
        <v>385</v>
      </c>
      <c r="GR13" s="339" t="s">
        <v>386</v>
      </c>
      <c r="GS13" s="339" t="s">
        <v>387</v>
      </c>
      <c r="GT13" s="339" t="s">
        <v>390</v>
      </c>
      <c r="GU13" s="339" t="s">
        <v>391</v>
      </c>
      <c r="GV13" s="339" t="s">
        <v>212</v>
      </c>
      <c r="GW13" s="339" t="s">
        <v>213</v>
      </c>
      <c r="GX13" s="339" t="s">
        <v>392</v>
      </c>
      <c r="GY13" s="339" t="s">
        <v>393</v>
      </c>
      <c r="HE13" s="339" t="s">
        <v>380</v>
      </c>
      <c r="HF13" s="339" t="s">
        <v>381</v>
      </c>
      <c r="HG13" s="339" t="s">
        <v>382</v>
      </c>
      <c r="HH13" s="339" t="s">
        <v>383</v>
      </c>
      <c r="HI13" s="339" t="s">
        <v>384</v>
      </c>
      <c r="HJ13" s="339" t="s">
        <v>385</v>
      </c>
      <c r="HK13" s="339" t="s">
        <v>386</v>
      </c>
      <c r="HL13" s="339" t="s">
        <v>387</v>
      </c>
      <c r="HM13" s="339" t="s">
        <v>390</v>
      </c>
      <c r="HN13" s="339" t="s">
        <v>391</v>
      </c>
      <c r="HO13" s="339" t="s">
        <v>212</v>
      </c>
      <c r="HP13" s="339" t="s">
        <v>213</v>
      </c>
      <c r="HQ13" s="339" t="s">
        <v>392</v>
      </c>
      <c r="HR13" s="339" t="s">
        <v>393</v>
      </c>
      <c r="HS13" s="339" t="s">
        <v>380</v>
      </c>
      <c r="HT13" s="339" t="s">
        <v>381</v>
      </c>
      <c r="HU13" s="339" t="s">
        <v>382</v>
      </c>
      <c r="HV13" s="339" t="s">
        <v>383</v>
      </c>
      <c r="HW13" s="339" t="s">
        <v>384</v>
      </c>
      <c r="HX13" s="339" t="s">
        <v>385</v>
      </c>
      <c r="HY13" s="339" t="s">
        <v>386</v>
      </c>
      <c r="HZ13" s="339" t="s">
        <v>387</v>
      </c>
      <c r="IA13" s="339" t="s">
        <v>390</v>
      </c>
      <c r="IB13" s="339" t="s">
        <v>391</v>
      </c>
      <c r="IC13" s="339" t="s">
        <v>212</v>
      </c>
      <c r="ID13" s="339" t="s">
        <v>213</v>
      </c>
      <c r="IE13" s="339" t="s">
        <v>392</v>
      </c>
      <c r="IF13" s="339" t="s">
        <v>393</v>
      </c>
    </row>
    <row r="14" spans="1:240" s="1082" customFormat="1" ht="12.75">
      <c r="C14" s="120"/>
      <c r="D14" s="120"/>
      <c r="E14" s="120"/>
      <c r="F14" s="120"/>
      <c r="G14" s="120"/>
      <c r="H14" s="120"/>
      <c r="I14" s="120"/>
      <c r="J14" s="120"/>
      <c r="K14" s="120"/>
      <c r="L14" s="120"/>
      <c r="M14" s="120"/>
      <c r="N14" s="120"/>
      <c r="O14" s="120"/>
      <c r="P14" s="120"/>
      <c r="Q14" s="120"/>
      <c r="R14" s="120"/>
      <c r="S14" s="120"/>
      <c r="T14" s="120"/>
      <c r="U14" s="120"/>
      <c r="V14" s="120"/>
      <c r="W14" s="120"/>
      <c r="X14" s="120"/>
      <c r="Y14" s="120"/>
      <c r="Z14" s="120"/>
      <c r="AA14" s="120"/>
      <c r="AB14" s="120"/>
      <c r="AC14" s="120"/>
      <c r="AD14" s="120"/>
      <c r="AE14" s="120"/>
      <c r="AF14" s="120"/>
      <c r="AG14" s="120"/>
      <c r="AH14" s="120"/>
      <c r="AI14" s="120"/>
      <c r="AJ14" s="59"/>
      <c r="AK14" s="59"/>
      <c r="AL14" s="59"/>
      <c r="AM14" s="59"/>
      <c r="AN14" s="59"/>
      <c r="AO14" s="59"/>
      <c r="AP14" s="59"/>
      <c r="AQ14" s="59"/>
      <c r="AR14" s="59"/>
      <c r="AS14" s="67"/>
      <c r="AT14" s="74"/>
      <c r="AU14" s="63"/>
      <c r="AV14" s="59"/>
      <c r="AW14" s="59"/>
      <c r="AX14" s="59"/>
      <c r="AY14" s="67"/>
      <c r="AZ14" s="79"/>
      <c r="BA14" s="63"/>
      <c r="BB14" s="59"/>
      <c r="BC14" s="59"/>
      <c r="BD14" s="59"/>
      <c r="BE14" s="67"/>
      <c r="BF14" s="74"/>
      <c r="BG14" s="63"/>
      <c r="BH14" s="59"/>
      <c r="BI14" s="59"/>
      <c r="BJ14" s="59"/>
      <c r="BK14" s="102"/>
      <c r="BV14" s="1065"/>
      <c r="BW14" s="1065"/>
      <c r="BX14" s="1065"/>
      <c r="BY14" s="1065"/>
      <c r="BZ14" s="1065"/>
      <c r="CA14" s="1065"/>
      <c r="DH14" s="347"/>
      <c r="DI14" s="347"/>
      <c r="DJ14" s="347"/>
      <c r="DK14" s="347"/>
      <c r="DL14" s="96"/>
      <c r="DM14" s="96"/>
      <c r="DN14" s="96"/>
      <c r="DO14" s="96"/>
      <c r="DP14" s="96"/>
      <c r="DQ14" s="96"/>
      <c r="DR14" s="96"/>
      <c r="DS14" s="96"/>
      <c r="DT14" s="96"/>
      <c r="DU14" s="96"/>
      <c r="DV14" s="96"/>
      <c r="DW14" s="96"/>
      <c r="DX14" s="113"/>
      <c r="DY14" s="113"/>
      <c r="DZ14" s="113">
        <v>1</v>
      </c>
      <c r="EA14" s="96"/>
      <c r="EB14" s="96"/>
      <c r="EC14" s="113"/>
      <c r="ED14" s="113"/>
      <c r="EE14" s="113"/>
      <c r="EF14" s="113"/>
      <c r="EG14" s="113"/>
      <c r="EH14" s="113"/>
      <c r="EI14" s="113"/>
      <c r="EJ14" s="119"/>
      <c r="EK14" s="119"/>
      <c r="EL14" s="119"/>
      <c r="EM14" s="119"/>
      <c r="EN14" s="119"/>
      <c r="EO14" s="119"/>
      <c r="EQ14" s="347"/>
      <c r="ER14" s="347"/>
      <c r="ES14" s="96"/>
      <c r="ET14" s="96"/>
      <c r="EU14" s="96"/>
      <c r="EV14" s="96"/>
      <c r="EW14" s="96"/>
      <c r="EX14" s="96"/>
      <c r="EY14" s="96"/>
      <c r="EZ14" s="96"/>
      <c r="FA14" s="96"/>
      <c r="FB14" s="96"/>
      <c r="FC14" s="96"/>
      <c r="FD14" s="96"/>
      <c r="FH14" s="96"/>
      <c r="FI14" s="96"/>
      <c r="FL14" s="347"/>
      <c r="FM14" s="347"/>
      <c r="FN14" s="347"/>
      <c r="FO14" s="347"/>
      <c r="FP14" s="347"/>
      <c r="FQ14" s="96"/>
      <c r="FR14" s="96"/>
      <c r="FS14" s="96"/>
      <c r="FT14" s="96"/>
      <c r="FU14" s="96"/>
      <c r="FV14" s="96"/>
      <c r="FW14" s="96"/>
      <c r="FX14" s="96"/>
      <c r="FY14" s="96"/>
      <c r="FZ14" s="96"/>
      <c r="GA14" s="96"/>
      <c r="GB14" s="96"/>
      <c r="GC14" s="96"/>
      <c r="GD14" s="96"/>
      <c r="GE14" s="1065"/>
      <c r="GF14" s="1065"/>
      <c r="GG14" s="347"/>
      <c r="GH14" s="347"/>
      <c r="GI14" s="347"/>
      <c r="GJ14" s="347"/>
      <c r="GK14" s="347"/>
      <c r="GL14" s="96"/>
      <c r="GM14" s="96"/>
      <c r="GN14" s="96"/>
      <c r="GO14" s="96"/>
      <c r="GP14" s="96"/>
      <c r="GQ14" s="96"/>
      <c r="GR14" s="96"/>
      <c r="GS14" s="96"/>
      <c r="GT14" s="96"/>
      <c r="GU14" s="96"/>
      <c r="GV14" s="96"/>
      <c r="GW14" s="96"/>
      <c r="GX14" s="96"/>
      <c r="GY14" s="96"/>
      <c r="HE14" s="113"/>
      <c r="HF14" s="113"/>
      <c r="HG14" s="113"/>
      <c r="HH14" s="113"/>
      <c r="HI14" s="113"/>
      <c r="HJ14" s="113"/>
      <c r="HK14" s="113"/>
      <c r="HL14" s="113"/>
      <c r="HM14" s="113"/>
      <c r="HN14" s="113"/>
      <c r="HO14" s="113"/>
      <c r="HP14" s="113"/>
      <c r="HQ14" s="113"/>
      <c r="HR14" s="113"/>
      <c r="HS14" s="113"/>
      <c r="HT14" s="113"/>
      <c r="HU14" s="113"/>
      <c r="HV14" s="113"/>
      <c r="HW14" s="113"/>
      <c r="HX14" s="113"/>
      <c r="HY14" s="113"/>
      <c r="HZ14" s="113"/>
      <c r="IA14" s="113"/>
      <c r="IB14" s="113"/>
      <c r="IC14" s="113"/>
      <c r="ID14" s="113"/>
      <c r="IE14" s="113"/>
      <c r="IF14" s="113"/>
    </row>
    <row r="15" spans="1:240" s="1082" customFormat="1" ht="12.75">
      <c r="C15" s="120"/>
      <c r="D15" s="120"/>
      <c r="E15" s="120"/>
      <c r="F15" s="120"/>
      <c r="G15" s="120"/>
      <c r="H15" s="120"/>
      <c r="I15" s="120"/>
      <c r="J15" s="120"/>
      <c r="K15" s="120"/>
      <c r="L15" s="120"/>
      <c r="M15" s="120"/>
      <c r="N15" s="120"/>
      <c r="O15" s="120"/>
      <c r="P15" s="120"/>
      <c r="Q15" s="120"/>
      <c r="R15" s="120"/>
      <c r="S15" s="120"/>
      <c r="T15" s="120"/>
      <c r="U15" s="120"/>
      <c r="V15" s="120"/>
      <c r="W15" s="120"/>
      <c r="X15" s="120"/>
      <c r="Y15" s="120"/>
      <c r="Z15" s="120"/>
      <c r="AA15" s="120"/>
      <c r="AB15" s="120"/>
      <c r="AC15" s="120"/>
      <c r="AD15" s="120"/>
      <c r="AE15" s="120"/>
      <c r="AF15" s="120"/>
      <c r="AG15" s="120"/>
      <c r="AH15" s="120"/>
      <c r="AI15" s="120"/>
      <c r="AJ15" s="60"/>
      <c r="AK15" s="60"/>
      <c r="AL15" s="60"/>
      <c r="AM15" s="60"/>
      <c r="AN15" s="59"/>
      <c r="AO15" s="60"/>
      <c r="AP15" s="60"/>
      <c r="AQ15" s="59"/>
      <c r="AR15" s="60"/>
      <c r="AS15" s="68"/>
      <c r="AT15" s="75"/>
      <c r="AU15" s="64"/>
      <c r="AV15" s="60"/>
      <c r="AW15" s="60"/>
      <c r="AX15" s="60"/>
      <c r="AY15" s="68"/>
      <c r="AZ15" s="80"/>
      <c r="BA15" s="64"/>
      <c r="BB15" s="60"/>
      <c r="BC15" s="60"/>
      <c r="BD15" s="60"/>
      <c r="BE15" s="68"/>
      <c r="BF15" s="75"/>
      <c r="BG15" s="64"/>
      <c r="BH15" s="60"/>
      <c r="BI15" s="60"/>
      <c r="BJ15" s="60"/>
      <c r="BK15" s="103"/>
      <c r="BX15" s="1065"/>
      <c r="BY15" s="1065"/>
      <c r="BZ15" s="1065"/>
      <c r="CA15" s="1065"/>
      <c r="DH15" s="347"/>
      <c r="DI15" s="347"/>
      <c r="DJ15" s="347"/>
      <c r="DK15" s="347"/>
      <c r="DL15" s="96"/>
      <c r="DM15" s="96"/>
      <c r="DN15" s="96"/>
      <c r="DO15" s="96"/>
      <c r="DP15" s="96"/>
      <c r="DQ15" s="96"/>
      <c r="DR15" s="96"/>
      <c r="DS15" s="96"/>
      <c r="DT15" s="96"/>
      <c r="DU15" s="96"/>
      <c r="DV15" s="96"/>
      <c r="DW15" s="96"/>
      <c r="DX15" s="113"/>
      <c r="DY15" s="113"/>
      <c r="DZ15" s="113">
        <v>1</v>
      </c>
      <c r="EA15" s="96"/>
      <c r="EB15" s="96"/>
      <c r="EC15" s="113"/>
      <c r="ED15" s="113"/>
      <c r="EE15" s="113"/>
      <c r="EF15" s="113"/>
      <c r="EG15" s="113"/>
      <c r="EH15" s="113"/>
      <c r="EI15" s="113"/>
      <c r="EJ15" s="119"/>
      <c r="EK15" s="119"/>
      <c r="EL15" s="119"/>
      <c r="EM15" s="119"/>
      <c r="EN15" s="119"/>
      <c r="EO15" s="119"/>
      <c r="EQ15" s="347"/>
      <c r="ER15" s="347"/>
      <c r="ES15" s="96"/>
      <c r="ET15" s="96"/>
      <c r="EU15" s="96"/>
      <c r="EV15" s="96"/>
      <c r="EW15" s="96"/>
      <c r="EX15" s="96"/>
      <c r="EY15" s="96"/>
      <c r="EZ15" s="96"/>
      <c r="FA15" s="96"/>
      <c r="FB15" s="96"/>
      <c r="FC15" s="96"/>
      <c r="FD15" s="96"/>
      <c r="FH15" s="96"/>
      <c r="FI15" s="96"/>
      <c r="FL15" s="347"/>
      <c r="FM15" s="347"/>
      <c r="FN15" s="347"/>
      <c r="FO15" s="347"/>
      <c r="FP15" s="347"/>
      <c r="FQ15" s="96"/>
      <c r="FR15" s="96"/>
      <c r="FS15" s="96"/>
      <c r="FT15" s="96"/>
      <c r="FU15" s="96"/>
      <c r="FV15" s="96"/>
      <c r="FW15" s="96"/>
      <c r="FX15" s="96"/>
      <c r="FY15" s="96"/>
      <c r="FZ15" s="96"/>
      <c r="GA15" s="96"/>
      <c r="GB15" s="96"/>
      <c r="GC15" s="96"/>
      <c r="GD15" s="96"/>
      <c r="GE15" s="1065"/>
      <c r="GF15" s="1065"/>
      <c r="GG15" s="347"/>
      <c r="GH15" s="347"/>
      <c r="GI15" s="347"/>
      <c r="GJ15" s="347"/>
      <c r="GK15" s="347"/>
      <c r="GL15" s="96"/>
      <c r="GM15" s="96"/>
      <c r="GN15" s="96"/>
      <c r="GO15" s="96"/>
      <c r="GP15" s="96"/>
      <c r="GQ15" s="96"/>
      <c r="GR15" s="96"/>
      <c r="GS15" s="96"/>
      <c r="GT15" s="96"/>
      <c r="GU15" s="96"/>
      <c r="GV15" s="96"/>
      <c r="GW15" s="96"/>
      <c r="GX15" s="96"/>
      <c r="GY15" s="96"/>
      <c r="HE15" s="113"/>
      <c r="HF15" s="113"/>
      <c r="HG15" s="113"/>
      <c r="HH15" s="113"/>
      <c r="HI15" s="113"/>
      <c r="HJ15" s="113"/>
      <c r="HK15" s="113"/>
      <c r="HL15" s="113"/>
      <c r="HM15" s="113"/>
      <c r="HN15" s="113"/>
      <c r="HO15" s="113"/>
      <c r="HP15" s="113"/>
      <c r="HQ15" s="113"/>
      <c r="HR15" s="113"/>
      <c r="HS15" s="113"/>
      <c r="HT15" s="113"/>
      <c r="HU15" s="113"/>
      <c r="HV15" s="113"/>
      <c r="HW15" s="113"/>
      <c r="HX15" s="113"/>
      <c r="HY15" s="113"/>
      <c r="HZ15" s="113"/>
      <c r="IA15" s="113"/>
      <c r="IB15" s="113"/>
      <c r="IC15" s="113"/>
      <c r="ID15" s="113"/>
      <c r="IE15" s="113"/>
      <c r="IF15" s="113"/>
    </row>
    <row r="16" spans="1:240" ht="10.5" customHeight="1">
      <c r="B16" s="97"/>
      <c r="C16" s="348"/>
      <c r="D16" s="348"/>
      <c r="E16" s="348"/>
      <c r="F16" s="348"/>
      <c r="G16" s="348"/>
      <c r="H16" s="348"/>
      <c r="I16" s="348"/>
      <c r="J16" s="348"/>
      <c r="K16" s="348"/>
      <c r="L16" s="348"/>
      <c r="M16" s="348"/>
      <c r="N16" s="348"/>
      <c r="O16" s="348"/>
      <c r="P16" s="348"/>
      <c r="Q16" s="348"/>
      <c r="R16" s="348"/>
      <c r="S16" s="348"/>
      <c r="T16" s="348"/>
      <c r="U16" s="348"/>
      <c r="V16" s="348"/>
      <c r="W16" s="348"/>
      <c r="X16" s="348"/>
      <c r="Y16" s="348"/>
      <c r="Z16" s="348"/>
      <c r="AA16" s="348"/>
      <c r="AB16" s="348"/>
      <c r="AC16" s="348"/>
      <c r="AD16" s="348"/>
      <c r="AE16" s="348"/>
      <c r="AF16" s="348"/>
      <c r="AG16" s="348"/>
      <c r="AH16" s="348"/>
      <c r="AI16" s="348" t="s">
        <v>253</v>
      </c>
      <c r="AJ16" s="55">
        <f>SUM(AJ14:AJ15)</f>
        <v>0</v>
      </c>
      <c r="AK16" s="56">
        <f>SUM(AK14:AK15)</f>
        <v>0</v>
      </c>
      <c r="AL16" s="56">
        <f>SUM(AL14:AL15)</f>
        <v>0</v>
      </c>
      <c r="AM16" s="56">
        <f>SUM(AM14:AM15)</f>
        <v>0</v>
      </c>
      <c r="AN16" s="58"/>
      <c r="AO16" s="58">
        <f>SUMPRODUCT(AJ14:AJ15,AO14:AO15,DZ14:DZ15)+SUMPRODUCT(AK14:AK15,AO14:AO15,DZ14:DZ15)</f>
        <v>0</v>
      </c>
      <c r="AP16" s="58">
        <f>SUMPRODUCT(AJ14:AJ15,AP14:AP15,DZ14:DZ15)</f>
        <v>0</v>
      </c>
      <c r="AQ16" s="58">
        <f>SUMPRODUCT(AJ14:AJ15,AQ14:AQ15,DZ14:DZ15)+SUMPRODUCT(AK14:AK15,AQ14:AQ15,DZ14:DZ15)</f>
        <v>0</v>
      </c>
      <c r="AR16" s="58">
        <f>SUMPRODUCT(AJ14:AJ15,AR14:AR15,DZ14:DZ15)+SUMPRODUCT(AK14:AK15,AR14:AR15,DZ14:DZ15)</f>
        <v>0</v>
      </c>
      <c r="AS16" s="69">
        <f>SUMPRODUCT(AJ14:AJ15,AS14:AS15,DZ14:DZ15)</f>
        <v>0</v>
      </c>
      <c r="AT16" s="76">
        <f>SUMPRODUCT(AJ14:AJ15,AT14:AT15,DZ14:DZ15)+SUMPRODUCT(AK14:AK15,AT14:AT15,DZ14:DZ15)</f>
        <v>0</v>
      </c>
      <c r="AU16" s="58">
        <f>SUMPRODUCT(AJ14:AJ15,AU14:AU15,DZ14:DZ15)</f>
        <v>0</v>
      </c>
      <c r="AV16" s="57">
        <f>IF(AT16=0,0,(AT16-AX16)/AT16)</f>
        <v>0</v>
      </c>
      <c r="AW16" s="57">
        <f>IF(AU16=0,0,(AU16-AY16)/AU16)</f>
        <v>0</v>
      </c>
      <c r="AX16" s="58">
        <f>SUMPRODUCT(AJ14:AJ15,AX14:AX15,DZ14:DZ15)+SUMPRODUCT(AK14:AK15,AX14:AX15,DZ14:DZ15)</f>
        <v>0</v>
      </c>
      <c r="AY16" s="69">
        <f>SUMPRODUCT(AJ14:AJ15,AY14:AY15,DZ14:DZ15)</f>
        <v>0</v>
      </c>
      <c r="AZ16" s="81">
        <f>SUMPRODUCT(AJ14:AJ15,AZ14:AZ15,DZ14:DZ15)+SUMPRODUCT(AK14:AK15,AZ14:AZ15,DZ14:DZ15)</f>
        <v>0</v>
      </c>
      <c r="BA16" s="58">
        <f>SUMPRODUCT(AJ14:AJ15,BA14:BA15,DZ14:DZ15)</f>
        <v>0</v>
      </c>
      <c r="BB16" s="57">
        <f>IF(AZ16=0,0,(AZ16-BD16)/AZ16)</f>
        <v>0</v>
      </c>
      <c r="BC16" s="57">
        <f>IF(BA16=0,0,(BA16-BE16)/BA16)</f>
        <v>0</v>
      </c>
      <c r="BD16" s="58">
        <f>SUMPRODUCT(AJ14:AJ15,BD14:BD15,DZ14:DZ15)+SUMPRODUCT(AK14:AK15,BD14:BD15,DZ14:DZ15)</f>
        <v>0</v>
      </c>
      <c r="BE16" s="69">
        <f>SUMPRODUCT(AJ14:AJ15,BE14:BE15,DZ14:DZ15)</f>
        <v>0</v>
      </c>
      <c r="BF16" s="76">
        <f>SUMPRODUCT(AJ14:AJ15,BF14:BF15,DZ14:DZ15)+SUMPRODUCT(AK14:AK15,BF14:BF15,DZ14:DZ15)</f>
        <v>0</v>
      </c>
      <c r="BG16" s="58">
        <f>SUMPRODUCT(AJ14:AJ15,BG14:BG15,DZ14:DZ15)</f>
        <v>0</v>
      </c>
      <c r="BH16" s="57">
        <f>IF(BF16=0,0,(BF16-BJ16)/BF16)</f>
        <v>0</v>
      </c>
      <c r="BI16" s="57">
        <f>IF(BG16=0,0,(BG16-BK16)/BG16)</f>
        <v>0</v>
      </c>
      <c r="BJ16" s="58">
        <f>SUMPRODUCT(AJ14:AJ15,BJ14:BJ15,DZ14:DZ15)+SUMPRODUCT(AK14:AK15,BJ14:BJ15,DZ14:DZ15)</f>
        <v>0</v>
      </c>
      <c r="BK16" s="104">
        <f>SUMPRODUCT(AJ14:AJ15,BK14:BK15,DZ14:DZ15)</f>
        <v>0</v>
      </c>
      <c r="BL16" s="97"/>
      <c r="BU16" s="167"/>
      <c r="BV16" s="167"/>
      <c r="BW16" s="167"/>
      <c r="BX16" s="167"/>
      <c r="BY16" s="167"/>
      <c r="BZ16" s="167"/>
      <c r="CA16" s="167"/>
      <c r="CB16" s="167"/>
      <c r="CC16" s="167"/>
      <c r="CD16" s="167"/>
      <c r="CE16" s="167"/>
      <c r="CF16" s="167"/>
      <c r="CG16" s="167"/>
      <c r="CH16" s="167"/>
      <c r="CI16" s="167"/>
      <c r="CJ16" s="167"/>
      <c r="CK16" s="167"/>
      <c r="CL16" s="167"/>
      <c r="CM16" s="167"/>
      <c r="DD16" s="167"/>
      <c r="DE16" s="167"/>
      <c r="DF16" s="167"/>
      <c r="DG16" s="167"/>
      <c r="DH16" s="167"/>
      <c r="DI16" s="167"/>
      <c r="DJ16" s="167"/>
      <c r="DK16" s="167"/>
      <c r="DL16" s="167"/>
      <c r="DM16" s="167"/>
      <c r="DN16" s="167"/>
      <c r="DO16" s="167"/>
      <c r="DP16" s="167"/>
      <c r="DQ16" s="167"/>
      <c r="EI16" s="941"/>
      <c r="FL16" s="690"/>
      <c r="FM16" s="690"/>
      <c r="FN16" s="690"/>
      <c r="FO16" s="690"/>
      <c r="FP16" s="690"/>
      <c r="FQ16" s="690"/>
      <c r="FR16" s="690"/>
      <c r="FS16" s="690"/>
      <c r="FT16" s="690"/>
      <c r="FU16" s="690"/>
      <c r="FV16" s="690"/>
      <c r="FW16" s="690"/>
      <c r="FX16" s="690"/>
      <c r="FY16" s="690"/>
      <c r="FZ16" s="690"/>
      <c r="HE16" s="1239"/>
      <c r="HF16" s="1239"/>
      <c r="HG16" s="1239"/>
      <c r="HH16" s="1239"/>
      <c r="HI16" s="1239"/>
      <c r="HJ16" s="1239"/>
      <c r="HK16" s="1239"/>
      <c r="HL16" s="1239"/>
      <c r="HM16" s="1239"/>
      <c r="HN16" s="1239"/>
      <c r="HO16" s="1239"/>
      <c r="HP16" s="1239"/>
      <c r="HQ16" s="1239"/>
      <c r="HR16" s="1239"/>
      <c r="HS16" s="1239"/>
      <c r="HT16" s="1239"/>
      <c r="HU16" s="1239"/>
      <c r="HV16" s="1239"/>
      <c r="HW16" s="1239"/>
      <c r="HX16" s="1239"/>
      <c r="HY16" s="1239"/>
      <c r="HZ16" s="1239"/>
      <c r="IA16" s="1239"/>
      <c r="IB16" s="1239"/>
      <c r="IC16" s="1239"/>
      <c r="ID16" s="1239"/>
      <c r="IE16" s="1239"/>
      <c r="IF16" s="1239"/>
    </row>
    <row r="17" spans="2:240" ht="10.5" customHeight="1">
      <c r="EI17" s="941"/>
      <c r="FL17" s="849"/>
      <c r="FM17" s="849"/>
      <c r="FN17" s="849"/>
      <c r="FO17" s="849"/>
      <c r="FP17" s="849"/>
      <c r="FQ17" s="849"/>
      <c r="FR17" s="849"/>
      <c r="FS17" s="849"/>
      <c r="FT17" s="849"/>
      <c r="FU17" s="849"/>
      <c r="FV17" s="849"/>
      <c r="FW17" s="690"/>
      <c r="FX17" s="690"/>
      <c r="FY17" s="690"/>
      <c r="FZ17" s="690"/>
      <c r="GG17" s="849"/>
      <c r="GH17" s="849"/>
      <c r="GI17" s="849"/>
      <c r="GJ17" s="849"/>
      <c r="GK17" s="849"/>
      <c r="GL17" s="849"/>
      <c r="GM17" s="849"/>
      <c r="GN17" s="849"/>
      <c r="GO17" s="849"/>
      <c r="GP17" s="849"/>
      <c r="GQ17" s="849"/>
      <c r="HE17" s="1239"/>
      <c r="HF17" s="1239"/>
      <c r="HG17" s="1239"/>
      <c r="HH17" s="1239"/>
      <c r="HI17" s="1239"/>
      <c r="HJ17" s="1239"/>
      <c r="HK17" s="1239"/>
      <c r="HL17" s="1239"/>
      <c r="HM17" s="1239"/>
      <c r="HN17" s="1239"/>
      <c r="HO17" s="1239"/>
      <c r="HP17" s="1239"/>
      <c r="HQ17" s="1239"/>
      <c r="HR17" s="1239"/>
      <c r="HS17" s="1239"/>
      <c r="HT17" s="1239"/>
      <c r="HU17" s="1239"/>
      <c r="HV17" s="1239"/>
      <c r="HW17" s="1239"/>
      <c r="HX17" s="1239"/>
      <c r="HY17" s="1239"/>
      <c r="HZ17" s="1239"/>
      <c r="IA17" s="1239"/>
      <c r="IB17" s="1239"/>
      <c r="IC17" s="1239"/>
      <c r="ID17" s="1239"/>
      <c r="IE17" s="1239"/>
      <c r="IF17" s="1239"/>
    </row>
    <row r="18" spans="2:240" ht="15.75">
      <c r="B18" s="97"/>
      <c r="C18" s="330" t="s">
        <v>254</v>
      </c>
      <c r="L18" s="1437" t="str">
        <f t="array" aca="1" ref="L18" ca="1">IFERROR(IF(AND(IsASE=TRUE,O20="Certified?"),IF(AND(oppty.ErateAuth=FALSE,oppty.HouseAuth=FALSE,SUM(IF(O22:O23="Submit to NSS",1,0))=0,COUNTIF(O22:O23,"*")&gt;0),IF(SUM(IF(O22:O23="Facilities Qualified",1,0))+SUM(IF(O22:O23="BBUNI - Site Certified",1,0))=COUNTIF(O22:O23,"*"),"Overall Location Qualification: Proceed to Online - Facilities Qualified","Overall Location Qualification: Proceed to Online - Facilities and/or Locations not Qualified"),IF(COUNTIF(O22:O23,"*")&gt;0,IF(IFERROR(INDIRECT("'NSS ASE "&amp;prodNum&amp;"'!B14"),"")="","Overall Location Qualification: PcGlobes required for further processing","Overall Location Qualification: Submit to NSS"),"")),""),"")</f>
        <v/>
      </c>
      <c r="M18" s="1437" t="str">
        <f t="array" aca="1" ref="M18" ca="1">IFERROR(IF(AND(IsASE=TRUE,Q20="Certified?"),IF(AND(oppty.ErateAuth=FALSE,oppty.HouseAuth=FALSE,SUM(IF(Q22:Q23="Submit to NSS",1,0))=0,COUNTIF(Q22:Q23,"*")&gt;0),IF(SUM(IF(Q22:Q23="Facilities Qualified",1,0))+SUM(IF(Q22:Q23="BBUNI - Site Certified",1,0))=COUNTIF(Q22:Q23,"*"),"Overall Location Qualification: Proceed to Online - Facilities Qualified","Overall Location Qualification: Proceed to Online - Facilities and/or Locations not Qualified"),IF(COUNTIF(Q22:Q23,"*")&gt;0,IF(IFERROR(INDIRECT("'NSS ASE "&amp;prodNum&amp;"'!B14"),"")="","Overall Location Qualification: PcGlobes required for further processing","Overall Location Qualification: Submit to NSS"),"")),""),"")</f>
        <v/>
      </c>
      <c r="N18" s="1558" t="str">
        <f t="array" ref="N18">IFERROR(IF(AND(IsASE=TRUE,Q20="Certified?"),IF(AND(oppty.HouseAuth=FALSE,SUM(IF(Q22:Q23="Non-Qualified",1,0))=0,COUNTIF(Q22:Q23,"*")&gt;0),IF(SUM(IF(Q22:Q23="Certified",1,0))+SUM(IF(Q22:Q23="BBUNI - Site Certified",1,0))=COUNTIF(Q22:Q23,"*"),"Certified - Proceed to ICB Online. Submission to NSS is not required for Rate Letter generation",IF(hasAis,"Qualified - Proceed to Online",IF(hasSSS,"Qualified - Proceed to ICB Online or Submit to NSS","Qualified - Proceed to ICB Online or Complete the upload steps for Sales Solution Summary file"))),IF(COUNTIF(Q22:Q23,"*")&gt;0,IF(hasAis,"Non-Qualified - Proceed to Online",IF(hasSSS,"Non-Qualified - Submit to NSS","Non-Qualified - Complete the upload steps for Sales Solution Summary file")),"")),""),"")</f>
        <v/>
      </c>
      <c r="O18" s="1558" t="str">
        <f t="array" ref="O18">IFERROR(IF(AND(IsASE=TRUE,OR(S20="Certified?",Q20="Certified?")),IF(AND(oppty.HouseAuth=FALSE,SUM(IF(S22:S23="Non-Qualified",1,0))=0,COUNTIF(S22:S23,"*")&gt;0),IF(SUM(IF(S22:S23="Certified",1,0))+SUM(IF(S22:S23="BBUNI - Site Certified",1,0))=COUNTIF(S22:S23,"*"),"Certified - Proceed to ICB Online. NSS is not req'd for Rate Letter generation",IF(hasAis,"Qualified - Proceed to Online",IF(hasSSS,"Qualified - Proceed to ICB Online or Submit to NSS","Qualified - Proceed to ICB Online or upload a SSSF"))),IF(COUNTIF(S22:S23,"*")&gt;0,IF(hasAis,"Non-Qualified - Proceed to Online",IF(hasSSS,IF(J1=6090,"Non-Qualified - Need NSS Costs","Non-Qualified - Submit to NSS"),"Non-Qualified - Upload a SSSF")),"")),""),"")</f>
        <v/>
      </c>
      <c r="P18" s="1558" t="str">
        <f t="array" ref="P18">IFERROR(IF(AND(IsASE=TRUE,Q20="Certified?"),IF(AND(oppty.HouseAuth=FALSE,SUM(IF(Q22:Q23="Non-Qualified",1,0))=0,COUNTIF(Q22:Q23,"*")&gt;0),IF(SUM(IF(Q22:Q23="Certified",1,0))+SUM(IF(Q22:Q23="BBUNI - Site Certified",1,0))=COUNTIF(Q22:Q23,"*"),"Certified - Proceed to ICB Online. NSS is not req'd for Rate Letter generation",IF(hasAis,"Qualified - Proceed to Online",IF(hasSSS,"Qualified - Proceed to ICB Online or Submit to NSS","Qualified - Proceed to ICB Online or upload a SSSF"))),IF(COUNTIF(Q22:Q23,"*")&gt;0,IF(hasAis,"Non-Qualified - Proceed to Online",IF(hasSSS,IF(J1=6090,"Non-Qualified - Need NSS Costs","Non-Qualified - Submit to NSS"),"Non-Qualified - Upload a SSSF")),"")),""),"")</f>
        <v/>
      </c>
      <c r="Q18" s="1558" t="str">
        <f t="array" ref="Q18">IFERROR(IF(AND(OR(TopProdID=1184,TopProdID=1185),W20="Circuit Certified?"),IF(AND(SUM(IF(W22:W23="Not Certified",1,0))=0,COUNTIF(W22:W23,"*")&gt;0),IF(SUM(IF(W22:W23="Certified",1,0)),"Certified - Proceed to ICB Online. NSS is not req'd for Rate Letter generation",IF(hasAis,"Qualified - Proceed to Online","Qualified - Proceed to ICB Online or Submit to NSS via PricerD")),IF(COUNTIF(W22:W23,"*")&gt;0,IF(hasAis,"Not Certified - Proceed to Online","Not Certified - Need NSS Costs"),"")),""),"")</f>
        <v/>
      </c>
      <c r="S18" s="167" t="str">
        <f t="array" ref="S18">IFERROR(IF(AND(OR(TopProdID=1184,TopProdID=1185),S20="Certified?"),IF(AND(oppty.HouseAuth=FALSE,SUM(IF(S22:S23="Non-Qualified",1,0))=0,COUNTIF(S22:S23,"*")&gt;0),IF(SUM(IF(S22:S23="Certified",1,0))+SUM(IF(S22:S23="BBUNI - Site Certified",1,0))=COUNTIF(S22:S23,"*"),"Certified - Proceed to ICB Online. NSS is not req'd for Rate Letter generation",IF(hasAis,"Qualified - Proceed to Online",IF(hasSSS,"Qualified - Proceed to ICB Online or Submit to NSS","Qualified - Proceed to ICB Online or upload a SSSF"))),IF(COUNTIF(S22:S23,"*")&gt;0,IF(hasAis,"Non-Qualified - Proceed to Online",IF(hasSSS,IF(J1=6090,"Non-Qualified - Need NSS Costs","Non-Qualified - Submit to NSS"),"Non-Qualified - Upload a SSSF")),"")),""),"")</f>
        <v/>
      </c>
      <c r="AX18" s="125"/>
      <c r="AY18" s="125"/>
      <c r="BD18" s="125"/>
      <c r="BE18" s="125"/>
      <c r="BJ18" s="125"/>
      <c r="BK18" s="125"/>
      <c r="BU18" s="167"/>
      <c r="BV18" s="167"/>
      <c r="BW18" s="167"/>
      <c r="BX18" s="167"/>
      <c r="BY18" s="167"/>
      <c r="BZ18" s="167"/>
      <c r="CA18" s="167"/>
      <c r="CB18" s="167"/>
      <c r="CC18" s="167"/>
      <c r="CD18" s="167"/>
      <c r="CE18" s="167"/>
      <c r="CF18" s="167"/>
      <c r="CG18" s="167"/>
      <c r="CH18" s="167"/>
      <c r="CI18" s="167"/>
      <c r="CJ18" s="167"/>
      <c r="CK18" s="167"/>
      <c r="CL18" s="167"/>
      <c r="CM18" s="167"/>
      <c r="DD18" s="167"/>
      <c r="DE18" s="167"/>
      <c r="DF18" s="167"/>
      <c r="DG18" s="167"/>
      <c r="DH18" s="167"/>
      <c r="DI18" s="167"/>
      <c r="DJ18" s="167"/>
      <c r="DK18" s="167"/>
      <c r="DL18" s="167"/>
      <c r="DM18" s="167"/>
      <c r="DN18" s="167"/>
      <c r="DO18" s="167"/>
      <c r="DP18" s="167"/>
      <c r="DQ18" s="167"/>
      <c r="EI18" s="941"/>
      <c r="FL18" s="690"/>
      <c r="FM18" s="690"/>
      <c r="FN18" s="690"/>
      <c r="FO18" s="690"/>
      <c r="FP18" s="690"/>
      <c r="FQ18" s="690"/>
      <c r="FR18" s="690"/>
      <c r="FS18" s="690"/>
      <c r="FT18" s="690"/>
      <c r="FU18" s="690"/>
      <c r="FV18" s="690"/>
      <c r="FW18" s="690"/>
      <c r="FX18" s="690"/>
      <c r="FY18" s="690"/>
      <c r="FZ18" s="690"/>
      <c r="HE18" s="1239"/>
      <c r="HF18" s="1239"/>
      <c r="HG18" s="1239"/>
      <c r="HH18" s="1239"/>
      <c r="HI18" s="1239"/>
      <c r="HJ18" s="1239"/>
      <c r="HK18" s="1239"/>
      <c r="HL18" s="1239"/>
      <c r="HM18" s="1239"/>
      <c r="HN18" s="1239"/>
      <c r="HO18" s="1239"/>
      <c r="HP18" s="1239"/>
      <c r="HQ18" s="1239"/>
      <c r="HR18" s="1239"/>
      <c r="HS18" s="1241"/>
      <c r="HT18" s="1239"/>
      <c r="HU18" s="1239"/>
      <c r="HV18" s="1239"/>
      <c r="HW18" s="1239"/>
      <c r="HX18" s="1239"/>
      <c r="HY18" s="1239"/>
      <c r="HZ18" s="1239"/>
      <c r="IA18" s="1239"/>
      <c r="IB18" s="1239"/>
      <c r="IC18" s="1239"/>
      <c r="ID18" s="1239"/>
      <c r="IE18" s="1239"/>
      <c r="IF18" s="1239"/>
    </row>
    <row r="19" spans="2:240" ht="10.5" customHeight="1">
      <c r="B19" s="97"/>
      <c r="AT19" s="331" t="str">
        <f ca="1">IF(AV19="","","Scenario 1")</f>
        <v>Scenario 1</v>
      </c>
      <c r="AU19" s="332"/>
      <c r="AV19" s="333" t="str">
        <f ca="1">IF(OFFSET('Step 1'!$G$21,$A$1,0)=0,"",OFFSET('Step 1'!$G$21,$A$1,0)&amp;" months term")</f>
        <v>1 months term</v>
      </c>
      <c r="AW19" s="332"/>
      <c r="AX19" s="88" t="str">
        <f ca="1">IF(AT19="","","Std Pricing: "&amp;OFFSET(DJ19,0,$AU$1))</f>
        <v>Std Pricing: MTM</v>
      </c>
      <c r="AY19" s="88"/>
      <c r="AZ19" s="334" t="str">
        <f ca="1">IF(BB19="","","Scenario 2")</f>
        <v>Scenario 2</v>
      </c>
      <c r="BA19" s="335"/>
      <c r="BB19" s="336" t="str">
        <f ca="1">IF(OFFSET('Step 1'!$G$21,$A$1,1)=0,"",OFFSET('Step 1'!$G$21,$A$1,1)&amp;" months term")</f>
        <v>2 months term</v>
      </c>
      <c r="BC19" s="337"/>
      <c r="BD19" s="85" t="str">
        <f ca="1">IF(AZ19="","","Std Pricing: "&amp;OFFSET(DJ19,0,$AV$1))</f>
        <v>Std Pricing: MTM</v>
      </c>
      <c r="BE19" s="85"/>
      <c r="BF19" s="331" t="str">
        <f ca="1">IF(BH19="","","Scenario 3")</f>
        <v>Scenario 3</v>
      </c>
      <c r="BG19" s="338"/>
      <c r="BH19" s="333" t="str">
        <f ca="1">IF(OFFSET('Step 1'!$G$21,$A$1,2)=0,"",OFFSET('Step 1'!$G$21,$A$1,2)&amp;" months term")</f>
        <v>3 months term</v>
      </c>
      <c r="BI19" s="332"/>
      <c r="BJ19" s="88" t="str">
        <f ca="1">IF(BF19="","","Std Pricing: "&amp;OFFSET(DJ19,0,$AW$1))</f>
        <v>Std Pricing: MTM</v>
      </c>
      <c r="BK19" s="99"/>
      <c r="BL19" s="97"/>
      <c r="BU19" s="167"/>
      <c r="BV19" s="167"/>
      <c r="BW19" s="167"/>
      <c r="BX19" s="167"/>
      <c r="BY19" s="167"/>
      <c r="BZ19" s="167"/>
      <c r="CA19" s="167"/>
      <c r="CB19" s="167"/>
      <c r="CC19" s="167"/>
      <c r="CD19" s="167"/>
      <c r="CE19" s="167"/>
      <c r="CF19" s="167"/>
      <c r="CG19" s="167"/>
      <c r="CH19" s="167"/>
      <c r="CI19" s="167"/>
      <c r="CJ19" s="167"/>
      <c r="CK19" s="167"/>
      <c r="CL19" s="167"/>
      <c r="CM19" s="167"/>
      <c r="DD19" s="167"/>
      <c r="DE19" s="167"/>
      <c r="DF19" s="167"/>
      <c r="DG19" s="167"/>
      <c r="DH19" s="167"/>
      <c r="DI19" s="167"/>
      <c r="DJ19" s="167"/>
      <c r="DK19" s="167"/>
      <c r="DL19" s="339" t="s">
        <v>8</v>
      </c>
      <c r="DM19" s="339"/>
      <c r="DN19" s="339" t="s">
        <v>9</v>
      </c>
      <c r="DO19" s="339"/>
      <c r="DP19" s="339" t="s">
        <v>10</v>
      </c>
      <c r="DQ19" s="339"/>
      <c r="DR19" s="339" t="s">
        <v>11</v>
      </c>
      <c r="DS19" s="339"/>
      <c r="DT19" s="339" t="s">
        <v>12</v>
      </c>
      <c r="DU19" s="339"/>
      <c r="DV19" s="339" t="s">
        <v>13</v>
      </c>
      <c r="DW19" s="339"/>
      <c r="DX19" s="339" t="s">
        <v>261</v>
      </c>
      <c r="DY19" s="340"/>
      <c r="DZ19" s="341"/>
      <c r="EA19" s="339" t="s">
        <v>211</v>
      </c>
      <c r="EB19" s="339"/>
      <c r="EC19" s="339" t="s">
        <v>214</v>
      </c>
      <c r="ED19" s="340"/>
      <c r="EE19" s="339" t="s">
        <v>10228</v>
      </c>
      <c r="EF19" s="340"/>
      <c r="EG19" s="340"/>
      <c r="EH19" s="340"/>
      <c r="EI19" s="340"/>
      <c r="EJ19" s="342"/>
      <c r="EK19" s="342"/>
      <c r="EL19" s="342"/>
      <c r="EM19" s="342"/>
      <c r="EN19" s="342"/>
      <c r="EO19" s="342"/>
      <c r="ES19" s="339" t="s">
        <v>8</v>
      </c>
      <c r="ET19" s="339"/>
      <c r="EU19" s="339" t="s">
        <v>9</v>
      </c>
      <c r="EV19" s="339"/>
      <c r="EW19" s="339" t="s">
        <v>10</v>
      </c>
      <c r="EX19" s="339"/>
      <c r="EY19" s="339" t="s">
        <v>11</v>
      </c>
      <c r="EZ19" s="339"/>
      <c r="FA19" s="339" t="s">
        <v>12</v>
      </c>
      <c r="FB19" s="339"/>
      <c r="FC19" s="339" t="s">
        <v>13</v>
      </c>
      <c r="FD19" s="339"/>
      <c r="FH19" s="339" t="s">
        <v>211</v>
      </c>
      <c r="FI19" s="339"/>
      <c r="FL19" s="690"/>
      <c r="FM19" s="690"/>
      <c r="FN19" s="690"/>
      <c r="FO19" s="690"/>
      <c r="FP19" s="690"/>
      <c r="FQ19" s="339" t="s">
        <v>8</v>
      </c>
      <c r="FR19" s="339"/>
      <c r="FS19" s="339" t="s">
        <v>9</v>
      </c>
      <c r="FT19" s="339"/>
      <c r="FU19" s="339" t="s">
        <v>10</v>
      </c>
      <c r="FV19" s="339"/>
      <c r="FW19" s="339" t="s">
        <v>11</v>
      </c>
      <c r="FX19" s="339"/>
      <c r="FY19" s="339" t="s">
        <v>12</v>
      </c>
      <c r="FZ19" s="339"/>
      <c r="GA19" s="339" t="s">
        <v>211</v>
      </c>
      <c r="GB19" s="339"/>
      <c r="GC19" s="339" t="s">
        <v>13</v>
      </c>
      <c r="GD19" s="339"/>
      <c r="GL19" s="339" t="s">
        <v>8</v>
      </c>
      <c r="GM19" s="339"/>
      <c r="GN19" s="339" t="s">
        <v>9</v>
      </c>
      <c r="GO19" s="339"/>
      <c r="GP19" s="339" t="s">
        <v>10</v>
      </c>
      <c r="GQ19" s="339"/>
      <c r="GR19" s="339" t="s">
        <v>11</v>
      </c>
      <c r="GS19" s="339"/>
      <c r="GT19" s="339" t="s">
        <v>12</v>
      </c>
      <c r="GU19" s="339"/>
      <c r="GV19" s="339" t="s">
        <v>211</v>
      </c>
      <c r="GW19" s="339"/>
      <c r="GX19" s="339" t="s">
        <v>13</v>
      </c>
      <c r="GY19" s="339"/>
      <c r="HE19" s="1239"/>
      <c r="HF19" s="1239"/>
      <c r="HG19" s="1239"/>
      <c r="HH19" s="1239"/>
      <c r="HI19" s="1239"/>
      <c r="HJ19" s="1239"/>
      <c r="HK19" s="1239"/>
      <c r="HL19" s="1239"/>
      <c r="HM19" s="1239"/>
      <c r="HN19" s="1239"/>
      <c r="HO19" s="1239"/>
      <c r="HP19" s="1239"/>
      <c r="HQ19" s="1239"/>
      <c r="HR19" s="1239"/>
      <c r="HS19" s="1239"/>
      <c r="HT19" s="1239"/>
      <c r="HU19" s="1239"/>
      <c r="HV19" s="1239"/>
      <c r="HW19" s="1239"/>
      <c r="HX19" s="1239"/>
      <c r="HY19" s="1239"/>
      <c r="HZ19" s="1239"/>
      <c r="IA19" s="1239"/>
      <c r="IB19" s="1239"/>
      <c r="IC19" s="1239"/>
      <c r="ID19" s="1239"/>
      <c r="IE19" s="1239"/>
      <c r="IF19" s="1239"/>
    </row>
    <row r="20" spans="2:240" ht="45" customHeight="1">
      <c r="B20" s="97"/>
      <c r="C20" s="49" t="s">
        <v>375</v>
      </c>
      <c r="D20" s="49" t="s">
        <v>375</v>
      </c>
      <c r="E20" s="49" t="s">
        <v>375</v>
      </c>
      <c r="F20" s="49" t="s">
        <v>375</v>
      </c>
      <c r="G20" s="49" t="s">
        <v>375</v>
      </c>
      <c r="H20" s="49" t="s">
        <v>375</v>
      </c>
      <c r="I20" s="49" t="s">
        <v>375</v>
      </c>
      <c r="J20" s="49" t="s">
        <v>375</v>
      </c>
      <c r="K20" s="662" t="s">
        <v>375</v>
      </c>
      <c r="L20" s="49" t="s">
        <v>375</v>
      </c>
      <c r="M20" s="49" t="s">
        <v>375</v>
      </c>
      <c r="N20" s="49" t="s">
        <v>375</v>
      </c>
      <c r="O20" s="49" t="s">
        <v>375</v>
      </c>
      <c r="P20" s="49" t="s">
        <v>375</v>
      </c>
      <c r="Q20" s="49" t="s">
        <v>375</v>
      </c>
      <c r="R20" s="49" t="s">
        <v>375</v>
      </c>
      <c r="S20" s="49" t="s">
        <v>375</v>
      </c>
      <c r="T20" s="49" t="s">
        <v>375</v>
      </c>
      <c r="U20" s="49" t="s">
        <v>375</v>
      </c>
      <c r="V20" s="49" t="s">
        <v>375</v>
      </c>
      <c r="W20" s="49" t="s">
        <v>375</v>
      </c>
      <c r="X20" s="49" t="s">
        <v>375</v>
      </c>
      <c r="Y20" s="49" t="s">
        <v>375</v>
      </c>
      <c r="Z20" s="49" t="s">
        <v>375</v>
      </c>
      <c r="AA20" s="49" t="s">
        <v>375</v>
      </c>
      <c r="AB20" s="49" t="s">
        <v>375</v>
      </c>
      <c r="AC20" s="49" t="s">
        <v>375</v>
      </c>
      <c r="AD20" s="49" t="s">
        <v>375</v>
      </c>
      <c r="AE20" s="49" t="s">
        <v>375</v>
      </c>
      <c r="AF20" s="49" t="s">
        <v>375</v>
      </c>
      <c r="AG20" s="49" t="s">
        <v>375</v>
      </c>
      <c r="AH20" s="49" t="s">
        <v>375</v>
      </c>
      <c r="AI20" s="49" t="s">
        <v>375</v>
      </c>
      <c r="AJ20" s="49" t="s">
        <v>249</v>
      </c>
      <c r="AK20" s="49" t="s">
        <v>250</v>
      </c>
      <c r="AL20" s="49" t="s">
        <v>251</v>
      </c>
      <c r="AM20" s="49" t="s">
        <v>252</v>
      </c>
      <c r="AN20" s="49" t="s">
        <v>197</v>
      </c>
      <c r="AO20" s="49" t="s">
        <v>516</v>
      </c>
      <c r="AP20" s="49" t="s">
        <v>517</v>
      </c>
      <c r="AQ20" s="49" t="s">
        <v>518</v>
      </c>
      <c r="AR20" s="49" t="s">
        <v>388</v>
      </c>
      <c r="AS20" s="70" t="s">
        <v>389</v>
      </c>
      <c r="AT20" s="72" t="s">
        <v>519</v>
      </c>
      <c r="AU20" s="51" t="s">
        <v>520</v>
      </c>
      <c r="AV20" s="51" t="s">
        <v>521</v>
      </c>
      <c r="AW20" s="51" t="s">
        <v>509</v>
      </c>
      <c r="AX20" s="51" t="s">
        <v>510</v>
      </c>
      <c r="AY20" s="66" t="s">
        <v>511</v>
      </c>
      <c r="AZ20" s="77" t="s">
        <v>360</v>
      </c>
      <c r="BA20" s="51" t="s">
        <v>361</v>
      </c>
      <c r="BB20" s="51" t="s">
        <v>362</v>
      </c>
      <c r="BC20" s="51" t="s">
        <v>363</v>
      </c>
      <c r="BD20" s="51" t="s">
        <v>243</v>
      </c>
      <c r="BE20" s="66" t="s">
        <v>244</v>
      </c>
      <c r="BF20" s="72" t="s">
        <v>512</v>
      </c>
      <c r="BG20" s="51" t="s">
        <v>513</v>
      </c>
      <c r="BH20" s="51" t="s">
        <v>514</v>
      </c>
      <c r="BI20" s="51" t="s">
        <v>515</v>
      </c>
      <c r="BJ20" s="51" t="s">
        <v>358</v>
      </c>
      <c r="BK20" s="100" t="s">
        <v>359</v>
      </c>
      <c r="BL20" s="97"/>
      <c r="BU20" s="167"/>
      <c r="BV20" s="167"/>
      <c r="BW20" s="167"/>
      <c r="BX20" s="167"/>
      <c r="BY20" s="167"/>
      <c r="BZ20" s="167"/>
      <c r="CA20" s="167"/>
      <c r="CB20" s="167"/>
      <c r="CC20" s="167"/>
      <c r="CD20" s="167"/>
      <c r="CE20" s="167"/>
      <c r="CF20" s="167"/>
      <c r="CG20" s="167"/>
      <c r="CH20" s="167"/>
      <c r="CI20" s="167"/>
      <c r="CJ20" s="167"/>
      <c r="CK20" s="167"/>
      <c r="CL20" s="167"/>
      <c r="CM20" s="167"/>
      <c r="DD20" s="167"/>
      <c r="DE20" s="167"/>
      <c r="DF20" s="167"/>
      <c r="DG20" s="167"/>
      <c r="DH20" s="167"/>
      <c r="DI20" s="167"/>
      <c r="DJ20" s="167"/>
      <c r="DK20" s="167"/>
      <c r="DL20" s="167"/>
      <c r="DM20" s="167"/>
      <c r="DN20" s="167"/>
      <c r="DO20" s="167"/>
      <c r="DP20" s="167"/>
      <c r="DQ20" s="167"/>
      <c r="DY20" s="97"/>
      <c r="DZ20" s="97"/>
      <c r="ED20" s="97"/>
      <c r="EF20" s="1081"/>
      <c r="EG20" s="1081"/>
      <c r="EH20" s="1081"/>
      <c r="EI20" s="1081"/>
      <c r="EJ20" s="97"/>
      <c r="EK20" s="97"/>
      <c r="EL20" s="97"/>
      <c r="EM20" s="97"/>
      <c r="EN20" s="97"/>
      <c r="EO20" s="97"/>
      <c r="FL20" s="690"/>
      <c r="FM20" s="690"/>
      <c r="FN20" s="690"/>
      <c r="FO20" s="690"/>
      <c r="FP20" s="690"/>
      <c r="FQ20" s="690"/>
      <c r="FR20" s="690"/>
      <c r="FS20" s="690"/>
      <c r="FT20" s="690"/>
      <c r="FU20" s="690"/>
      <c r="FV20" s="690"/>
      <c r="FW20" s="690"/>
      <c r="FX20" s="690"/>
      <c r="FY20" s="690"/>
      <c r="FZ20" s="690"/>
      <c r="HE20" s="1240" t="s">
        <v>10254</v>
      </c>
      <c r="HF20" s="1239"/>
      <c r="HG20" s="1239"/>
      <c r="HH20" s="1239"/>
      <c r="HI20" s="1239"/>
      <c r="HJ20" s="1239"/>
      <c r="HK20" s="1239"/>
      <c r="HL20" s="1239"/>
      <c r="HM20" s="1239"/>
      <c r="HN20" s="1239"/>
      <c r="HO20" s="1239"/>
      <c r="HP20" s="1239"/>
      <c r="HQ20" s="1239"/>
      <c r="HR20" s="1239"/>
      <c r="HS20" s="1240" t="s">
        <v>10253</v>
      </c>
      <c r="HT20" s="1239"/>
      <c r="HU20" s="1239"/>
      <c r="HV20" s="1239"/>
      <c r="HW20" s="1239"/>
      <c r="HX20" s="1239"/>
      <c r="HY20" s="1239"/>
      <c r="HZ20" s="1239"/>
      <c r="IA20" s="1239"/>
      <c r="IB20" s="1239"/>
      <c r="IC20" s="1239"/>
      <c r="ID20" s="1239"/>
      <c r="IE20" s="1239"/>
      <c r="IF20" s="1239"/>
    </row>
    <row r="21" spans="2:240" ht="10.5" customHeight="1">
      <c r="B21" s="97"/>
      <c r="C21" s="343"/>
      <c r="D21" s="343"/>
      <c r="E21" s="343"/>
      <c r="F21" s="343"/>
      <c r="G21" s="343"/>
      <c r="H21" s="343"/>
      <c r="I21" s="343"/>
      <c r="J21" s="343"/>
      <c r="K21" s="343"/>
      <c r="L21" s="343"/>
      <c r="M21" s="343"/>
      <c r="N21" s="343"/>
      <c r="O21" s="343"/>
      <c r="P21" s="343"/>
      <c r="Q21" s="343"/>
      <c r="R21" s="343"/>
      <c r="S21" s="343"/>
      <c r="T21" s="343"/>
      <c r="U21" s="1585" t="str">
        <f>IF(U20="NSS Complete?",IF(COUNTIF(U22:U23,"")=ROWS(U22:U23),"",IF(COUNTIF(U22:U23,"Need NSS Costs")&gt;0,"no","yes")),"")</f>
        <v/>
      </c>
      <c r="V21" s="343"/>
      <c r="W21" s="1585" t="str">
        <f>IF(W20="NSS Complete?",IF(COUNTIF(W22:W23,"")=ROWS(W22:W23),"",IF(COUNTIF(W22:W23,"Need NSS Costs")&gt;0,"no","yes")),"")</f>
        <v/>
      </c>
      <c r="X21" s="343"/>
      <c r="Y21" s="343"/>
      <c r="Z21" s="343"/>
      <c r="AA21" s="343"/>
      <c r="AB21" s="343"/>
      <c r="AC21" s="343"/>
      <c r="AD21" s="343"/>
      <c r="AE21" s="343"/>
      <c r="AF21" s="343"/>
      <c r="AG21" s="343"/>
      <c r="AH21" s="343"/>
      <c r="AI21" s="343"/>
      <c r="AJ21" s="343"/>
      <c r="AK21" s="343"/>
      <c r="AL21" s="343"/>
      <c r="AM21" s="343"/>
      <c r="AN21" s="343"/>
      <c r="AO21" s="343"/>
      <c r="AP21" s="343"/>
      <c r="AQ21" s="343"/>
      <c r="AR21" s="343"/>
      <c r="AS21" s="344"/>
      <c r="AT21" s="345"/>
      <c r="AU21" s="343"/>
      <c r="AV21" s="53"/>
      <c r="AW21" s="53"/>
      <c r="AX21" s="54"/>
      <c r="AY21" s="54"/>
      <c r="AZ21" s="346"/>
      <c r="BA21" s="343"/>
      <c r="BB21" s="53"/>
      <c r="BC21" s="53"/>
      <c r="BD21" s="54"/>
      <c r="BE21" s="54"/>
      <c r="BF21" s="345"/>
      <c r="BG21" s="343"/>
      <c r="BH21" s="53"/>
      <c r="BI21" s="53"/>
      <c r="BJ21" s="54"/>
      <c r="BK21" s="101"/>
      <c r="BL21" s="97"/>
      <c r="BU21" s="167"/>
      <c r="BV21" s="167"/>
      <c r="BW21" s="167"/>
      <c r="BX21" s="167"/>
      <c r="BY21" s="167"/>
      <c r="BZ21" s="167"/>
      <c r="CA21" s="167"/>
      <c r="CB21" s="167"/>
      <c r="CC21" s="167"/>
      <c r="CD21" s="167"/>
      <c r="CE21" s="167"/>
      <c r="CF21" s="167"/>
      <c r="CG21" s="167"/>
      <c r="CH21" s="167"/>
      <c r="CI21" s="167"/>
      <c r="CJ21" s="167"/>
      <c r="CK21" s="167"/>
      <c r="CL21" s="167"/>
      <c r="CM21" s="167"/>
      <c r="DD21" s="167"/>
      <c r="DE21" s="167"/>
      <c r="DF21" s="167"/>
      <c r="DG21" s="167"/>
      <c r="DH21" s="339" t="s">
        <v>631</v>
      </c>
      <c r="DI21" s="339" t="s">
        <v>632</v>
      </c>
      <c r="DJ21" s="339" t="s">
        <v>379</v>
      </c>
      <c r="DK21" s="339" t="s">
        <v>575</v>
      </c>
      <c r="DL21" s="339" t="s">
        <v>380</v>
      </c>
      <c r="DM21" s="339" t="s">
        <v>381</v>
      </c>
      <c r="DN21" s="339" t="s">
        <v>382</v>
      </c>
      <c r="DO21" s="339" t="s">
        <v>383</v>
      </c>
      <c r="DP21" s="339" t="s">
        <v>384</v>
      </c>
      <c r="DQ21" s="339" t="s">
        <v>385</v>
      </c>
      <c r="DR21" s="339" t="s">
        <v>386</v>
      </c>
      <c r="DS21" s="339" t="s">
        <v>387</v>
      </c>
      <c r="DT21" s="339" t="s">
        <v>390</v>
      </c>
      <c r="DU21" s="339" t="s">
        <v>391</v>
      </c>
      <c r="DV21" s="339" t="s">
        <v>392</v>
      </c>
      <c r="DW21" s="339" t="s">
        <v>393</v>
      </c>
      <c r="DX21" s="339" t="s">
        <v>197</v>
      </c>
      <c r="DY21" s="339" t="s">
        <v>262</v>
      </c>
      <c r="DZ21" s="339" t="s">
        <v>263</v>
      </c>
      <c r="EA21" s="339" t="s">
        <v>212</v>
      </c>
      <c r="EB21" s="339" t="s">
        <v>213</v>
      </c>
      <c r="EC21" s="339" t="s">
        <v>215</v>
      </c>
      <c r="ED21" s="339" t="s">
        <v>14</v>
      </c>
      <c r="EE21" s="339" t="s">
        <v>8005</v>
      </c>
      <c r="EF21" s="339" t="s">
        <v>10229</v>
      </c>
      <c r="EG21" s="339"/>
      <c r="EH21" s="339"/>
      <c r="EI21" s="339"/>
      <c r="EJ21" s="342"/>
      <c r="EK21" s="342"/>
      <c r="EL21" s="342"/>
      <c r="EM21" s="342"/>
      <c r="EN21" s="342"/>
      <c r="EO21" s="342"/>
      <c r="EQ21" s="339" t="s">
        <v>379</v>
      </c>
      <c r="ER21" s="339" t="s">
        <v>575</v>
      </c>
      <c r="ES21" s="339" t="s">
        <v>380</v>
      </c>
      <c r="ET21" s="339" t="s">
        <v>381</v>
      </c>
      <c r="EU21" s="339" t="s">
        <v>382</v>
      </c>
      <c r="EV21" s="339" t="s">
        <v>383</v>
      </c>
      <c r="EW21" s="339" t="s">
        <v>384</v>
      </c>
      <c r="EX21" s="339" t="s">
        <v>385</v>
      </c>
      <c r="EY21" s="339" t="s">
        <v>386</v>
      </c>
      <c r="EZ21" s="339" t="s">
        <v>387</v>
      </c>
      <c r="FA21" s="339" t="s">
        <v>390</v>
      </c>
      <c r="FB21" s="339" t="s">
        <v>391</v>
      </c>
      <c r="FC21" s="339" t="s">
        <v>392</v>
      </c>
      <c r="FD21" s="339" t="s">
        <v>393</v>
      </c>
      <c r="FH21" s="339" t="s">
        <v>212</v>
      </c>
      <c r="FI21" s="339" t="s">
        <v>213</v>
      </c>
      <c r="FL21" s="339" t="s">
        <v>9596</v>
      </c>
      <c r="FM21" s="339" t="s">
        <v>9597</v>
      </c>
      <c r="FN21" s="339" t="s">
        <v>9598</v>
      </c>
      <c r="FO21" s="339" t="s">
        <v>9599</v>
      </c>
      <c r="FP21" s="339" t="s">
        <v>9600</v>
      </c>
      <c r="FQ21" s="339" t="s">
        <v>380</v>
      </c>
      <c r="FR21" s="339" t="s">
        <v>381</v>
      </c>
      <c r="FS21" s="339" t="s">
        <v>382</v>
      </c>
      <c r="FT21" s="339" t="s">
        <v>383</v>
      </c>
      <c r="FU21" s="339" t="s">
        <v>384</v>
      </c>
      <c r="FV21" s="339" t="s">
        <v>385</v>
      </c>
      <c r="FW21" s="339" t="s">
        <v>386</v>
      </c>
      <c r="FX21" s="339" t="s">
        <v>387</v>
      </c>
      <c r="FY21" s="339" t="s">
        <v>390</v>
      </c>
      <c r="FZ21" s="339" t="s">
        <v>391</v>
      </c>
      <c r="GA21" s="339" t="s">
        <v>212</v>
      </c>
      <c r="GB21" s="339" t="s">
        <v>213</v>
      </c>
      <c r="GC21" s="339" t="s">
        <v>392</v>
      </c>
      <c r="GD21" s="339" t="s">
        <v>393</v>
      </c>
      <c r="GG21" s="339" t="s">
        <v>9596</v>
      </c>
      <c r="GH21" s="339" t="s">
        <v>9597</v>
      </c>
      <c r="GI21" s="339" t="s">
        <v>9598</v>
      </c>
      <c r="GJ21" s="339" t="s">
        <v>9599</v>
      </c>
      <c r="GK21" s="339" t="s">
        <v>9600</v>
      </c>
      <c r="GL21" s="339" t="s">
        <v>380</v>
      </c>
      <c r="GM21" s="339" t="s">
        <v>381</v>
      </c>
      <c r="GN21" s="339" t="s">
        <v>382</v>
      </c>
      <c r="GO21" s="339" t="s">
        <v>383</v>
      </c>
      <c r="GP21" s="339" t="s">
        <v>384</v>
      </c>
      <c r="GQ21" s="339" t="s">
        <v>385</v>
      </c>
      <c r="GR21" s="339" t="s">
        <v>386</v>
      </c>
      <c r="GS21" s="339" t="s">
        <v>387</v>
      </c>
      <c r="GT21" s="339" t="s">
        <v>390</v>
      </c>
      <c r="GU21" s="339" t="s">
        <v>391</v>
      </c>
      <c r="GV21" s="339" t="s">
        <v>212</v>
      </c>
      <c r="GW21" s="339" t="s">
        <v>213</v>
      </c>
      <c r="GX21" s="339" t="s">
        <v>392</v>
      </c>
      <c r="GY21" s="339" t="s">
        <v>393</v>
      </c>
      <c r="HE21" s="339" t="s">
        <v>380</v>
      </c>
      <c r="HF21" s="339" t="s">
        <v>381</v>
      </c>
      <c r="HG21" s="339" t="s">
        <v>382</v>
      </c>
      <c r="HH21" s="339" t="s">
        <v>383</v>
      </c>
      <c r="HI21" s="339" t="s">
        <v>384</v>
      </c>
      <c r="HJ21" s="339" t="s">
        <v>385</v>
      </c>
      <c r="HK21" s="339" t="s">
        <v>386</v>
      </c>
      <c r="HL21" s="339" t="s">
        <v>387</v>
      </c>
      <c r="HM21" s="339" t="s">
        <v>390</v>
      </c>
      <c r="HN21" s="339" t="s">
        <v>391</v>
      </c>
      <c r="HO21" s="339" t="s">
        <v>212</v>
      </c>
      <c r="HP21" s="339" t="s">
        <v>213</v>
      </c>
      <c r="HQ21" s="339" t="s">
        <v>392</v>
      </c>
      <c r="HR21" s="339" t="s">
        <v>393</v>
      </c>
      <c r="HS21" s="339" t="s">
        <v>380</v>
      </c>
      <c r="HT21" s="339" t="s">
        <v>381</v>
      </c>
      <c r="HU21" s="339" t="s">
        <v>382</v>
      </c>
      <c r="HV21" s="339" t="s">
        <v>383</v>
      </c>
      <c r="HW21" s="339" t="s">
        <v>384</v>
      </c>
      <c r="HX21" s="339" t="s">
        <v>385</v>
      </c>
      <c r="HY21" s="339" t="s">
        <v>386</v>
      </c>
      <c r="HZ21" s="339" t="s">
        <v>387</v>
      </c>
      <c r="IA21" s="339" t="s">
        <v>390</v>
      </c>
      <c r="IB21" s="339" t="s">
        <v>391</v>
      </c>
      <c r="IC21" s="339" t="s">
        <v>212</v>
      </c>
      <c r="ID21" s="339" t="s">
        <v>213</v>
      </c>
      <c r="IE21" s="339" t="s">
        <v>392</v>
      </c>
      <c r="IF21" s="339" t="s">
        <v>393</v>
      </c>
    </row>
    <row r="22" spans="2:240" s="1082" customFormat="1" ht="12.75">
      <c r="C22" s="120"/>
      <c r="D22" s="120"/>
      <c r="E22" s="120"/>
      <c r="F22" s="120"/>
      <c r="G22" s="120"/>
      <c r="H22" s="120"/>
      <c r="I22" s="120"/>
      <c r="J22" s="120"/>
      <c r="K22" s="120"/>
      <c r="L22" s="120"/>
      <c r="M22" s="120"/>
      <c r="N22" s="120"/>
      <c r="O22" s="120"/>
      <c r="P22" s="120"/>
      <c r="Q22" s="120"/>
      <c r="R22" s="120"/>
      <c r="S22" s="120"/>
      <c r="T22" s="120"/>
      <c r="U22" s="120"/>
      <c r="V22" s="120"/>
      <c r="W22" s="120"/>
      <c r="X22" s="120"/>
      <c r="Y22" s="120"/>
      <c r="Z22" s="120"/>
      <c r="AA22" s="120"/>
      <c r="AB22" s="120"/>
      <c r="AC22" s="120"/>
      <c r="AD22" s="120"/>
      <c r="AE22" s="120"/>
      <c r="AF22" s="120"/>
      <c r="AG22" s="120"/>
      <c r="AH22" s="120"/>
      <c r="AI22" s="120"/>
      <c r="AJ22" s="59"/>
      <c r="AK22" s="59"/>
      <c r="AL22" s="59"/>
      <c r="AM22" s="59"/>
      <c r="AN22" s="59"/>
      <c r="AO22" s="59"/>
      <c r="AP22" s="59"/>
      <c r="AQ22" s="59"/>
      <c r="AR22" s="59"/>
      <c r="AS22" s="67"/>
      <c r="AT22" s="74"/>
      <c r="AU22" s="63"/>
      <c r="AV22" s="59"/>
      <c r="AW22" s="59"/>
      <c r="AX22" s="59"/>
      <c r="AY22" s="67"/>
      <c r="AZ22" s="79"/>
      <c r="BA22" s="63"/>
      <c r="BB22" s="59"/>
      <c r="BC22" s="59"/>
      <c r="BD22" s="59"/>
      <c r="BE22" s="67"/>
      <c r="BF22" s="74"/>
      <c r="BG22" s="63"/>
      <c r="BH22" s="59"/>
      <c r="BI22" s="59"/>
      <c r="BJ22" s="59"/>
      <c r="BK22" s="102"/>
      <c r="BV22" s="1065"/>
      <c r="BW22" s="1065"/>
      <c r="BX22" s="1065"/>
      <c r="BY22" s="1065"/>
      <c r="BZ22" s="1065"/>
      <c r="CA22" s="1065"/>
      <c r="DH22" s="347"/>
      <c r="DI22" s="347"/>
      <c r="DJ22" s="347"/>
      <c r="DK22" s="347"/>
      <c r="DL22" s="96"/>
      <c r="DM22" s="96"/>
      <c r="DN22" s="96"/>
      <c r="DO22" s="96"/>
      <c r="DP22" s="96"/>
      <c r="DQ22" s="96"/>
      <c r="DR22" s="96"/>
      <c r="DS22" s="96"/>
      <c r="DT22" s="96"/>
      <c r="DU22" s="96"/>
      <c r="DV22" s="96"/>
      <c r="DW22" s="96"/>
      <c r="DX22" s="113"/>
      <c r="DY22" s="113"/>
      <c r="DZ22" s="113"/>
      <c r="EA22" s="96"/>
      <c r="EB22" s="96"/>
      <c r="EC22" s="113"/>
      <c r="ED22" s="113"/>
      <c r="EE22" s="113"/>
      <c r="EF22" s="113"/>
      <c r="EG22" s="113"/>
      <c r="EH22" s="113"/>
      <c r="EI22" s="113"/>
      <c r="EJ22" s="119"/>
      <c r="EK22" s="119"/>
      <c r="EL22" s="119"/>
      <c r="EM22" s="119"/>
      <c r="EN22" s="119"/>
      <c r="EO22" s="119"/>
      <c r="EQ22" s="347"/>
      <c r="ER22" s="347"/>
      <c r="ES22" s="96"/>
      <c r="ET22" s="96"/>
      <c r="EU22" s="96"/>
      <c r="EV22" s="96"/>
      <c r="EW22" s="96"/>
      <c r="EX22" s="96"/>
      <c r="EY22" s="96"/>
      <c r="EZ22" s="96"/>
      <c r="FA22" s="96"/>
      <c r="FB22" s="96"/>
      <c r="FC22" s="96"/>
      <c r="FD22" s="96"/>
      <c r="FH22" s="96"/>
      <c r="FI22" s="96"/>
      <c r="FL22" s="347"/>
      <c r="FM22" s="347"/>
      <c r="FN22" s="347"/>
      <c r="FO22" s="347"/>
      <c r="FP22" s="347"/>
      <c r="FQ22" s="96"/>
      <c r="FR22" s="96"/>
      <c r="FS22" s="96"/>
      <c r="FT22" s="96"/>
      <c r="FU22" s="96"/>
      <c r="FV22" s="96"/>
      <c r="FW22" s="96"/>
      <c r="FX22" s="96"/>
      <c r="FY22" s="96"/>
      <c r="FZ22" s="96"/>
      <c r="GA22" s="96"/>
      <c r="GB22" s="96"/>
      <c r="GC22" s="96"/>
      <c r="GD22" s="96"/>
      <c r="GE22" s="1065"/>
      <c r="GF22" s="1065"/>
      <c r="GG22" s="347"/>
      <c r="GH22" s="347"/>
      <c r="GI22" s="347"/>
      <c r="GJ22" s="347"/>
      <c r="GK22" s="347"/>
      <c r="GL22" s="96"/>
      <c r="GM22" s="96"/>
      <c r="GN22" s="96"/>
      <c r="GO22" s="96"/>
      <c r="GP22" s="96"/>
      <c r="GQ22" s="96"/>
      <c r="GR22" s="96"/>
      <c r="GS22" s="96"/>
      <c r="GT22" s="96"/>
      <c r="GU22" s="96"/>
      <c r="GV22" s="96"/>
      <c r="GW22" s="96"/>
      <c r="GX22" s="96"/>
      <c r="GY22" s="96"/>
      <c r="HE22" s="113"/>
      <c r="HF22" s="113"/>
      <c r="HG22" s="113"/>
      <c r="HH22" s="113"/>
      <c r="HI22" s="113"/>
      <c r="HJ22" s="113"/>
      <c r="HK22" s="113"/>
      <c r="HL22" s="113"/>
      <c r="HM22" s="113"/>
      <c r="HN22" s="113"/>
      <c r="HO22" s="113"/>
      <c r="HP22" s="113"/>
      <c r="HQ22" s="113"/>
      <c r="HR22" s="113"/>
      <c r="HS22" s="113"/>
      <c r="HT22" s="113"/>
      <c r="HU22" s="113"/>
      <c r="HV22" s="113"/>
      <c r="HW22" s="113"/>
      <c r="HX22" s="113"/>
      <c r="HY22" s="113"/>
      <c r="HZ22" s="113"/>
      <c r="IA22" s="113"/>
      <c r="IB22" s="113"/>
      <c r="IC22" s="113"/>
      <c r="ID22" s="113"/>
      <c r="IE22" s="113"/>
      <c r="IF22" s="113"/>
    </row>
    <row r="23" spans="2:240" s="1082" customFormat="1" ht="12.75">
      <c r="C23" s="120"/>
      <c r="D23" s="120"/>
      <c r="E23" s="120"/>
      <c r="F23" s="120"/>
      <c r="G23" s="120"/>
      <c r="H23" s="120"/>
      <c r="I23" s="120"/>
      <c r="J23" s="120"/>
      <c r="K23" s="120"/>
      <c r="L23" s="120"/>
      <c r="M23" s="120"/>
      <c r="N23" s="120"/>
      <c r="O23" s="120"/>
      <c r="P23" s="120"/>
      <c r="Q23" s="120"/>
      <c r="R23" s="120"/>
      <c r="S23" s="120"/>
      <c r="T23" s="120"/>
      <c r="U23" s="120"/>
      <c r="V23" s="120"/>
      <c r="W23" s="120"/>
      <c r="X23" s="120"/>
      <c r="Y23" s="120"/>
      <c r="Z23" s="120"/>
      <c r="AA23" s="120"/>
      <c r="AB23" s="120"/>
      <c r="AC23" s="120"/>
      <c r="AD23" s="120"/>
      <c r="AE23" s="120"/>
      <c r="AF23" s="120"/>
      <c r="AG23" s="120"/>
      <c r="AH23" s="120"/>
      <c r="AI23" s="120"/>
      <c r="AJ23" s="60"/>
      <c r="AK23" s="60"/>
      <c r="AL23" s="60"/>
      <c r="AM23" s="60"/>
      <c r="AN23" s="59"/>
      <c r="AO23" s="60"/>
      <c r="AP23" s="60"/>
      <c r="AQ23" s="60"/>
      <c r="AR23" s="60"/>
      <c r="AS23" s="68"/>
      <c r="AT23" s="75"/>
      <c r="AU23" s="64"/>
      <c r="AV23" s="60"/>
      <c r="AW23" s="60"/>
      <c r="AX23" s="60"/>
      <c r="AY23" s="68"/>
      <c r="AZ23" s="80"/>
      <c r="BA23" s="64"/>
      <c r="BB23" s="60"/>
      <c r="BC23" s="60"/>
      <c r="BD23" s="60"/>
      <c r="BE23" s="68"/>
      <c r="BF23" s="75"/>
      <c r="BG23" s="64"/>
      <c r="BH23" s="60"/>
      <c r="BI23" s="60"/>
      <c r="BJ23" s="60"/>
      <c r="BK23" s="103"/>
      <c r="BX23" s="1065"/>
      <c r="BY23" s="1065"/>
      <c r="BZ23" s="1065"/>
      <c r="CA23" s="1065"/>
      <c r="DH23" s="347"/>
      <c r="DI23" s="347"/>
      <c r="DJ23" s="347"/>
      <c r="DK23" s="347"/>
      <c r="DL23" s="96"/>
      <c r="DM23" s="96"/>
      <c r="DN23" s="96"/>
      <c r="DO23" s="96"/>
      <c r="DP23" s="96"/>
      <c r="DQ23" s="96"/>
      <c r="DR23" s="96"/>
      <c r="DS23" s="96"/>
      <c r="DT23" s="96"/>
      <c r="DU23" s="96"/>
      <c r="DV23" s="96"/>
      <c r="DW23" s="96"/>
      <c r="DX23" s="113"/>
      <c r="DY23" s="113"/>
      <c r="DZ23" s="113"/>
      <c r="EA23" s="96"/>
      <c r="EB23" s="96"/>
      <c r="EC23" s="113"/>
      <c r="ED23" s="113"/>
      <c r="EE23" s="113"/>
      <c r="EF23" s="113"/>
      <c r="EG23" s="113"/>
      <c r="EH23" s="113"/>
      <c r="EI23" s="113"/>
      <c r="EJ23" s="119"/>
      <c r="EK23" s="119"/>
      <c r="EL23" s="119"/>
      <c r="EM23" s="119"/>
      <c r="EN23" s="119"/>
      <c r="EO23" s="119"/>
      <c r="EQ23" s="347"/>
      <c r="ER23" s="347"/>
      <c r="ES23" s="96"/>
      <c r="ET23" s="96"/>
      <c r="EU23" s="96"/>
      <c r="EV23" s="96"/>
      <c r="EW23" s="96"/>
      <c r="EX23" s="96"/>
      <c r="EY23" s="96"/>
      <c r="EZ23" s="96"/>
      <c r="FA23" s="96"/>
      <c r="FB23" s="96"/>
      <c r="FC23" s="96"/>
      <c r="FD23" s="96"/>
      <c r="FH23" s="96"/>
      <c r="FI23" s="96"/>
      <c r="FL23" s="347"/>
      <c r="FM23" s="347"/>
      <c r="FN23" s="347"/>
      <c r="FO23" s="347"/>
      <c r="FP23" s="347"/>
      <c r="FQ23" s="96"/>
      <c r="FR23" s="96"/>
      <c r="FS23" s="96"/>
      <c r="FT23" s="96"/>
      <c r="FU23" s="96"/>
      <c r="FV23" s="96"/>
      <c r="FW23" s="96"/>
      <c r="FX23" s="96"/>
      <c r="FY23" s="96"/>
      <c r="FZ23" s="96"/>
      <c r="GA23" s="96"/>
      <c r="GB23" s="96"/>
      <c r="GC23" s="96"/>
      <c r="GD23" s="96"/>
      <c r="GE23" s="1065"/>
      <c r="GF23" s="1065"/>
      <c r="GG23" s="347"/>
      <c r="GH23" s="347"/>
      <c r="GI23" s="347"/>
      <c r="GJ23" s="347"/>
      <c r="GK23" s="347"/>
      <c r="GL23" s="96"/>
      <c r="GM23" s="96"/>
      <c r="GN23" s="96"/>
      <c r="GO23" s="96"/>
      <c r="GP23" s="96"/>
      <c r="GQ23" s="96"/>
      <c r="GR23" s="96"/>
      <c r="GS23" s="96"/>
      <c r="GT23" s="96"/>
      <c r="GU23" s="96"/>
      <c r="GV23" s="96"/>
      <c r="GW23" s="96"/>
      <c r="GX23" s="96"/>
      <c r="GY23" s="96"/>
      <c r="HE23" s="113"/>
      <c r="HF23" s="113"/>
      <c r="HG23" s="113"/>
      <c r="HH23" s="113"/>
      <c r="HI23" s="113"/>
      <c r="HJ23" s="113"/>
      <c r="HK23" s="113"/>
      <c r="HL23" s="113"/>
      <c r="HM23" s="113"/>
      <c r="HN23" s="113"/>
      <c r="HO23" s="113"/>
      <c r="HP23" s="113"/>
      <c r="HQ23" s="113"/>
      <c r="HR23" s="113"/>
      <c r="HS23" s="113"/>
      <c r="HT23" s="113"/>
      <c r="HU23" s="113"/>
      <c r="HV23" s="113"/>
      <c r="HW23" s="113"/>
      <c r="HX23" s="113"/>
      <c r="HY23" s="113"/>
      <c r="HZ23" s="113"/>
      <c r="IA23" s="113"/>
      <c r="IB23" s="113"/>
      <c r="IC23" s="113"/>
      <c r="ID23" s="113"/>
      <c r="IE23" s="113"/>
      <c r="IF23" s="113"/>
    </row>
    <row r="24" spans="2:240" ht="10.5" customHeight="1">
      <c r="B24" s="97"/>
      <c r="C24" s="348"/>
      <c r="D24" s="348"/>
      <c r="E24" s="348"/>
      <c r="F24" s="348"/>
      <c r="G24" s="348"/>
      <c r="H24" s="348"/>
      <c r="I24" s="348"/>
      <c r="J24" s="348"/>
      <c r="K24" s="348"/>
      <c r="L24" s="348"/>
      <c r="M24" s="348"/>
      <c r="N24" s="348"/>
      <c r="O24" s="348"/>
      <c r="P24" s="348"/>
      <c r="Q24" s="348"/>
      <c r="R24" s="348"/>
      <c r="S24" s="348"/>
      <c r="T24" s="348"/>
      <c r="U24" s="348"/>
      <c r="V24" s="348"/>
      <c r="W24" s="348"/>
      <c r="X24" s="348"/>
      <c r="Y24" s="348"/>
      <c r="Z24" s="348"/>
      <c r="AA24" s="348"/>
      <c r="AB24" s="348"/>
      <c r="AC24" s="348"/>
      <c r="AD24" s="348"/>
      <c r="AE24" s="348"/>
      <c r="AF24" s="348"/>
      <c r="AG24" s="348"/>
      <c r="AH24" s="348"/>
      <c r="AI24" s="348" t="s">
        <v>253</v>
      </c>
      <c r="AJ24" s="55">
        <f>SUM(AJ22:AJ23)</f>
        <v>0</v>
      </c>
      <c r="AK24" s="56">
        <f>SUM(AK22:AK23)</f>
        <v>0</v>
      </c>
      <c r="AL24" s="56">
        <f>SUM(AL22:AL23)</f>
        <v>0</v>
      </c>
      <c r="AM24" s="56">
        <f>SUM(AM22:AM23)</f>
        <v>0</v>
      </c>
      <c r="AN24" s="58"/>
      <c r="AO24" s="58">
        <f>SUMPRODUCT(AJ22:AJ23,AO22:AO23,DZ22:DZ23)+SUMPRODUCT(AK22:AK23,AO22:AO23,DZ22:DZ23)</f>
        <v>0</v>
      </c>
      <c r="AP24" s="58">
        <f>SUMPRODUCT(AJ22:AJ23,AP22:AP23,DZ22:DZ23)</f>
        <v>0</v>
      </c>
      <c r="AQ24" s="58">
        <f>SUMPRODUCT(AJ22:AJ23,AQ22:AQ23,DZ22:DZ23)+SUMPRODUCT(AK22:AK23,AQ22:AQ23,DZ22:DZ23)</f>
        <v>0</v>
      </c>
      <c r="AR24" s="58">
        <f>SUMPRODUCT(AJ22:AJ23,AR22:AR23,DZ22:DZ23)+SUMPRODUCT(AK22:AK23,AR22:AR23,DZ22:DZ23)</f>
        <v>0</v>
      </c>
      <c r="AS24" s="69">
        <f>SUMPRODUCT(AJ22:AJ23,AS22:AS23,DZ22:DZ23)</f>
        <v>0</v>
      </c>
      <c r="AT24" s="76">
        <f>SUMPRODUCT(AJ22:AJ23,AT22:AT23,DZ22:DZ23)+SUMPRODUCT(AK22:AK23,AT22:AT23,DZ22:DZ23)</f>
        <v>0</v>
      </c>
      <c r="AU24" s="58">
        <f>SUMPRODUCT(AJ22:AJ23,AU22:AU23,DZ22:DZ23)</f>
        <v>0</v>
      </c>
      <c r="AV24" s="57">
        <f>IF(AT24=0,0,(AT24-AX24)/AT24)</f>
        <v>0</v>
      </c>
      <c r="AW24" s="57">
        <f>IF(AU24=0,0,(AU24-AY24)/AU24)</f>
        <v>0</v>
      </c>
      <c r="AX24" s="58">
        <f>SUMPRODUCT(AJ22:AJ23,AX22:AX23,DZ22:DZ23)+SUMPRODUCT(AK22:AK23,AX22:AX23,DZ22:DZ23)</f>
        <v>0</v>
      </c>
      <c r="AY24" s="69">
        <f>SUMPRODUCT(AJ22:AJ23,AY22:AY23,DZ22:DZ23)</f>
        <v>0</v>
      </c>
      <c r="AZ24" s="81">
        <f>SUMPRODUCT(AJ22:AJ23,AZ22:AZ23,DZ22:DZ23)+SUMPRODUCT(AK22:AK23,AZ22:AZ23,DZ22:DZ23)</f>
        <v>0</v>
      </c>
      <c r="BA24" s="58">
        <f>SUMPRODUCT(AJ22:AJ23,BA22:BA23,DZ22:DZ23)</f>
        <v>0</v>
      </c>
      <c r="BB24" s="57">
        <f>IF(AZ24=0,0,(AZ24-BD24)/AZ24)</f>
        <v>0</v>
      </c>
      <c r="BC24" s="57">
        <f>IF(BA24=0,0,(BA24-BE24)/BA24)</f>
        <v>0</v>
      </c>
      <c r="BD24" s="58">
        <f>SUMPRODUCT(AJ22:AJ23,BD22:BD23,DZ22:DZ23)+SUMPRODUCT(AK22:AK23,BD22:BD23,DZ22:DZ23)</f>
        <v>0</v>
      </c>
      <c r="BE24" s="69">
        <f>SUMPRODUCT(AJ22:AJ23,BE22:BE23,DZ22:DZ23)</f>
        <v>0</v>
      </c>
      <c r="BF24" s="76">
        <f>SUMPRODUCT(AJ22:AJ23,BF22:BF23,DZ22:DZ23)+SUMPRODUCT(AK22:AK23,BF22:BF23,DZ22:DZ23)</f>
        <v>0</v>
      </c>
      <c r="BG24" s="58">
        <f>SUMPRODUCT(AJ22:AJ23,BG22:BG23,DZ22:DZ23)</f>
        <v>0</v>
      </c>
      <c r="BH24" s="57">
        <f>IF(BF24=0,0,(BF24-BJ24)/BF24)</f>
        <v>0</v>
      </c>
      <c r="BI24" s="57">
        <f>IF(BG24=0,0,(BG24-BK24)/BG24)</f>
        <v>0</v>
      </c>
      <c r="BJ24" s="58">
        <f>SUMPRODUCT(AJ22:AJ23,BJ22:BJ23,DZ22:DZ23)+SUMPRODUCT(AK22:AK23,BJ22:BJ23,DZ22:DZ23)</f>
        <v>0</v>
      </c>
      <c r="BK24" s="104">
        <f>SUMPRODUCT(AJ22:AJ23,BK22:BK23,DZ22:DZ23)</f>
        <v>0</v>
      </c>
      <c r="BL24" s="97"/>
      <c r="BU24" s="167"/>
      <c r="BV24" s="167"/>
      <c r="BW24" s="167"/>
      <c r="BX24" s="167"/>
      <c r="BY24" s="167"/>
      <c r="BZ24" s="167"/>
      <c r="CA24" s="167"/>
      <c r="CB24" s="167"/>
      <c r="CC24" s="167"/>
      <c r="CD24" s="167"/>
      <c r="CE24" s="167"/>
      <c r="CF24" s="167"/>
      <c r="CG24" s="167"/>
      <c r="CH24" s="167"/>
      <c r="CI24" s="167"/>
      <c r="CJ24" s="167"/>
      <c r="CK24" s="167"/>
      <c r="CL24" s="167"/>
      <c r="CM24" s="167"/>
      <c r="DD24" s="167"/>
      <c r="DE24" s="167"/>
      <c r="DF24" s="167"/>
      <c r="DG24" s="167"/>
      <c r="DH24" s="167"/>
      <c r="DI24" s="167"/>
      <c r="DJ24" s="167"/>
      <c r="DK24" s="167"/>
      <c r="DL24" s="167"/>
      <c r="DM24" s="167"/>
      <c r="DN24" s="167"/>
      <c r="DO24" s="167"/>
      <c r="DP24" s="167"/>
      <c r="DQ24" s="167"/>
      <c r="EI24" s="941"/>
      <c r="FL24" s="690"/>
      <c r="FM24" s="690"/>
      <c r="FN24" s="690"/>
      <c r="FO24" s="690"/>
      <c r="FP24" s="690"/>
      <c r="FQ24" s="690"/>
      <c r="FR24" s="690"/>
      <c r="FS24" s="690"/>
      <c r="FT24" s="690"/>
      <c r="FU24" s="690"/>
      <c r="FV24" s="690"/>
      <c r="FW24" s="690"/>
      <c r="FX24" s="690"/>
      <c r="FY24" s="690"/>
      <c r="FZ24" s="690"/>
      <c r="HE24" s="1239"/>
      <c r="HF24" s="1239"/>
      <c r="HG24" s="1239"/>
      <c r="HH24" s="1239"/>
      <c r="HI24" s="1239"/>
      <c r="HJ24" s="1239"/>
      <c r="HK24" s="1239"/>
      <c r="HL24" s="1239"/>
      <c r="HM24" s="1239"/>
      <c r="HN24" s="1239"/>
      <c r="HO24" s="1239"/>
      <c r="HP24" s="1239"/>
      <c r="HQ24" s="1239"/>
      <c r="HR24" s="1239"/>
      <c r="HS24" s="1239"/>
      <c r="HT24" s="1239"/>
      <c r="HU24" s="1239"/>
      <c r="HV24" s="1239"/>
      <c r="HW24" s="1239"/>
      <c r="HX24" s="1239"/>
      <c r="HY24" s="1239"/>
      <c r="HZ24" s="1239"/>
      <c r="IA24" s="1239"/>
      <c r="IB24" s="1239"/>
      <c r="IC24" s="1239"/>
      <c r="ID24" s="1239"/>
      <c r="IE24" s="1239"/>
      <c r="IF24" s="1239"/>
    </row>
    <row r="25" spans="2:240" ht="10.5" customHeight="1">
      <c r="EI25" s="941"/>
      <c r="FL25" s="849"/>
      <c r="FM25" s="849"/>
      <c r="FN25" s="849"/>
      <c r="FO25" s="849"/>
      <c r="FP25" s="849"/>
      <c r="FQ25" s="849"/>
      <c r="FR25" s="849"/>
      <c r="FS25" s="849"/>
      <c r="FT25" s="849"/>
      <c r="FU25" s="849"/>
      <c r="FV25" s="849"/>
      <c r="FW25" s="690"/>
      <c r="FX25" s="690"/>
      <c r="FY25" s="690"/>
      <c r="FZ25" s="690"/>
      <c r="GG25" s="849"/>
      <c r="GH25" s="849"/>
      <c r="GI25" s="849"/>
      <c r="GJ25" s="849"/>
      <c r="GK25" s="849"/>
      <c r="GL25" s="849"/>
      <c r="GM25" s="849"/>
      <c r="GN25" s="849"/>
      <c r="GO25" s="849"/>
      <c r="GP25" s="849"/>
      <c r="GQ25" s="849"/>
      <c r="HE25" s="1239"/>
      <c r="HF25" s="1239"/>
      <c r="HG25" s="1239"/>
      <c r="HH25" s="1239"/>
      <c r="HI25" s="1239"/>
      <c r="HJ25" s="1239"/>
      <c r="HK25" s="1239"/>
      <c r="HL25" s="1239"/>
      <c r="HM25" s="1239"/>
      <c r="HN25" s="1239"/>
      <c r="HO25" s="1239"/>
      <c r="HP25" s="1239"/>
      <c r="HQ25" s="1239"/>
      <c r="HR25" s="1239"/>
      <c r="HS25" s="1239"/>
      <c r="HT25" s="1239"/>
      <c r="HU25" s="1239"/>
      <c r="HV25" s="1239"/>
      <c r="HW25" s="1239"/>
      <c r="HX25" s="1239"/>
      <c r="HY25" s="1239"/>
      <c r="HZ25" s="1239"/>
      <c r="IA25" s="1239"/>
      <c r="IB25" s="1239"/>
      <c r="IC25" s="1239"/>
      <c r="ID25" s="1239"/>
      <c r="IE25" s="1239"/>
      <c r="IF25" s="1239"/>
    </row>
    <row r="26" spans="2:240" ht="15">
      <c r="B26" s="97"/>
      <c r="C26" s="330" t="s">
        <v>254</v>
      </c>
      <c r="AX26" s="125"/>
      <c r="AY26" s="125"/>
      <c r="BD26" s="125"/>
      <c r="BE26" s="125"/>
      <c r="BJ26" s="125"/>
      <c r="BK26" s="125"/>
      <c r="BU26" s="167"/>
      <c r="BV26" s="167"/>
      <c r="BW26" s="167"/>
      <c r="BX26" s="167"/>
      <c r="BY26" s="167"/>
      <c r="BZ26" s="167"/>
      <c r="CA26" s="167"/>
      <c r="CB26" s="167"/>
      <c r="CC26" s="167"/>
      <c r="CD26" s="167"/>
      <c r="CE26" s="167"/>
      <c r="CF26" s="167"/>
      <c r="CG26" s="167"/>
      <c r="CH26" s="167"/>
      <c r="CI26" s="167"/>
      <c r="CJ26" s="167"/>
      <c r="CK26" s="167"/>
      <c r="CL26" s="167"/>
      <c r="CM26" s="167"/>
      <c r="DD26" s="167"/>
      <c r="DE26" s="167"/>
      <c r="DF26" s="167"/>
      <c r="DG26" s="167"/>
      <c r="DH26" s="167"/>
      <c r="DI26" s="167"/>
      <c r="DJ26" s="167"/>
      <c r="DK26" s="167"/>
      <c r="DL26" s="167"/>
      <c r="DM26" s="167"/>
      <c r="DN26" s="167"/>
      <c r="DO26" s="167"/>
      <c r="DP26" s="167"/>
      <c r="DQ26" s="167"/>
      <c r="EI26" s="941"/>
      <c r="FL26" s="690"/>
      <c r="FM26" s="690"/>
      <c r="FN26" s="690"/>
      <c r="FO26" s="690"/>
      <c r="FP26" s="690"/>
      <c r="FQ26" s="690"/>
      <c r="FR26" s="690"/>
      <c r="FS26" s="690"/>
      <c r="FT26" s="690"/>
      <c r="FU26" s="690"/>
      <c r="FV26" s="690"/>
      <c r="FW26" s="690"/>
      <c r="FX26" s="690"/>
      <c r="FY26" s="690"/>
      <c r="FZ26" s="690"/>
      <c r="HE26" s="1239"/>
      <c r="HF26" s="1239"/>
      <c r="HG26" s="1239"/>
      <c r="HH26" s="1239"/>
      <c r="HI26" s="1239"/>
      <c r="HJ26" s="1239"/>
      <c r="HK26" s="1239"/>
      <c r="HL26" s="1239"/>
      <c r="HM26" s="1239"/>
      <c r="HN26" s="1239"/>
      <c r="HO26" s="1239"/>
      <c r="HP26" s="1239"/>
      <c r="HQ26" s="1239"/>
      <c r="HR26" s="1239"/>
      <c r="HS26" s="1239"/>
      <c r="HT26" s="1239"/>
      <c r="HU26" s="1239"/>
      <c r="HV26" s="1239"/>
      <c r="HW26" s="1239"/>
      <c r="HX26" s="1239"/>
      <c r="HY26" s="1239"/>
      <c r="HZ26" s="1239"/>
      <c r="IA26" s="1239"/>
      <c r="IB26" s="1239"/>
      <c r="IC26" s="1239"/>
      <c r="ID26" s="1239"/>
      <c r="IE26" s="1239"/>
      <c r="IF26" s="1239"/>
    </row>
    <row r="27" spans="2:240" ht="10.5" customHeight="1">
      <c r="B27" s="97"/>
      <c r="AT27" s="331" t="str">
        <f ca="1">IF(AV27="","","Scenario 1")</f>
        <v>Scenario 1</v>
      </c>
      <c r="AU27" s="332"/>
      <c r="AV27" s="333" t="str">
        <f ca="1">IF(OFFSET('Step 1'!$G$21,$A$1,0)=0,"",OFFSET('Step 1'!$G$21,$A$1,0)&amp;" months term")</f>
        <v>1 months term</v>
      </c>
      <c r="AW27" s="332"/>
      <c r="AX27" s="88" t="str">
        <f ca="1">IF(AT27="","","Std Pricing: "&amp;OFFSET(DJ27,0,$AU$1))</f>
        <v>Std Pricing: MTM</v>
      </c>
      <c r="AY27" s="88"/>
      <c r="AZ27" s="334" t="str">
        <f ca="1">IF(BB27="","","Scenario 2")</f>
        <v>Scenario 2</v>
      </c>
      <c r="BA27" s="335"/>
      <c r="BB27" s="336" t="str">
        <f ca="1">IF(OFFSET('Step 1'!$G$21,$A$1,1)=0,"",OFFSET('Step 1'!$G$21,$A$1,1)&amp;" months term")</f>
        <v>2 months term</v>
      </c>
      <c r="BC27" s="337"/>
      <c r="BD27" s="85" t="str">
        <f ca="1">IF(AZ27="","","Std Pricing: "&amp;OFFSET(DJ27,0,$AV$1))</f>
        <v>Std Pricing: MTM</v>
      </c>
      <c r="BE27" s="85"/>
      <c r="BF27" s="331" t="str">
        <f ca="1">IF(BH27="","","Scenario 3")</f>
        <v>Scenario 3</v>
      </c>
      <c r="BG27" s="338"/>
      <c r="BH27" s="333" t="str">
        <f ca="1">IF(OFFSET('Step 1'!$G$21,$A$1,2)=0,"",OFFSET('Step 1'!$G$21,$A$1,2)&amp;" months term")</f>
        <v>3 months term</v>
      </c>
      <c r="BI27" s="332"/>
      <c r="BJ27" s="88" t="str">
        <f ca="1">IF(BF27="","","Std Pricing: "&amp;OFFSET(DJ27,0,$AW$1))</f>
        <v>Std Pricing: MTM</v>
      </c>
      <c r="BK27" s="99"/>
      <c r="BL27" s="97"/>
      <c r="BU27" s="167"/>
      <c r="BV27" s="167"/>
      <c r="BW27" s="167"/>
      <c r="BX27" s="167"/>
      <c r="BY27" s="167"/>
      <c r="BZ27" s="167"/>
      <c r="CA27" s="167"/>
      <c r="CB27" s="167"/>
      <c r="CC27" s="167"/>
      <c r="CD27" s="167"/>
      <c r="CE27" s="167"/>
      <c r="CF27" s="167"/>
      <c r="CG27" s="167"/>
      <c r="CH27" s="167"/>
      <c r="CI27" s="167"/>
      <c r="CJ27" s="167"/>
      <c r="CK27" s="167"/>
      <c r="CL27" s="167"/>
      <c r="CM27" s="167"/>
      <c r="DD27" s="167"/>
      <c r="DE27" s="167"/>
      <c r="DF27" s="167"/>
      <c r="DG27" s="167"/>
      <c r="DH27" s="167"/>
      <c r="DI27" s="167"/>
      <c r="DJ27" s="167"/>
      <c r="DK27" s="167"/>
      <c r="DL27" s="339" t="s">
        <v>8</v>
      </c>
      <c r="DM27" s="339"/>
      <c r="DN27" s="339" t="s">
        <v>9</v>
      </c>
      <c r="DO27" s="339"/>
      <c r="DP27" s="339" t="s">
        <v>10</v>
      </c>
      <c r="DQ27" s="339"/>
      <c r="DR27" s="339" t="s">
        <v>11</v>
      </c>
      <c r="DS27" s="339"/>
      <c r="DT27" s="339" t="s">
        <v>12</v>
      </c>
      <c r="DU27" s="339"/>
      <c r="DV27" s="339" t="s">
        <v>13</v>
      </c>
      <c r="DW27" s="339"/>
      <c r="DX27" s="339" t="s">
        <v>261</v>
      </c>
      <c r="DY27" s="340"/>
      <c r="DZ27" s="341"/>
      <c r="EA27" s="339" t="s">
        <v>211</v>
      </c>
      <c r="EB27" s="339"/>
      <c r="EC27" s="339" t="s">
        <v>214</v>
      </c>
      <c r="ED27" s="340"/>
      <c r="EE27" s="339" t="s">
        <v>10228</v>
      </c>
      <c r="EF27" s="340"/>
      <c r="EG27" s="340"/>
      <c r="EH27" s="340"/>
      <c r="EI27" s="340"/>
      <c r="EJ27" s="342"/>
      <c r="EK27" s="342"/>
      <c r="EL27" s="342"/>
      <c r="EM27" s="342"/>
      <c r="EN27" s="342"/>
      <c r="EO27" s="342"/>
      <c r="ES27" s="339" t="s">
        <v>8</v>
      </c>
      <c r="ET27" s="339"/>
      <c r="EU27" s="339" t="s">
        <v>9</v>
      </c>
      <c r="EV27" s="339"/>
      <c r="EW27" s="339" t="s">
        <v>10</v>
      </c>
      <c r="EX27" s="339"/>
      <c r="EY27" s="339" t="s">
        <v>11</v>
      </c>
      <c r="EZ27" s="339"/>
      <c r="FA27" s="339" t="s">
        <v>12</v>
      </c>
      <c r="FB27" s="339"/>
      <c r="FC27" s="339" t="s">
        <v>13</v>
      </c>
      <c r="FD27" s="339"/>
      <c r="FH27" s="339" t="s">
        <v>211</v>
      </c>
      <c r="FI27" s="339"/>
      <c r="FL27" s="690"/>
      <c r="FM27" s="690"/>
      <c r="FN27" s="690"/>
      <c r="FO27" s="690"/>
      <c r="FP27" s="690"/>
      <c r="FQ27" s="339" t="s">
        <v>8</v>
      </c>
      <c r="FR27" s="339"/>
      <c r="FS27" s="339" t="s">
        <v>9</v>
      </c>
      <c r="FT27" s="339"/>
      <c r="FU27" s="339" t="s">
        <v>10</v>
      </c>
      <c r="FV27" s="339"/>
      <c r="FW27" s="339" t="s">
        <v>11</v>
      </c>
      <c r="FX27" s="339"/>
      <c r="FY27" s="339" t="s">
        <v>12</v>
      </c>
      <c r="FZ27" s="339"/>
      <c r="GA27" s="339" t="s">
        <v>211</v>
      </c>
      <c r="GB27" s="339"/>
      <c r="GC27" s="339" t="s">
        <v>13</v>
      </c>
      <c r="GD27" s="339"/>
      <c r="GL27" s="339" t="s">
        <v>8</v>
      </c>
      <c r="GM27" s="339"/>
      <c r="GN27" s="339" t="s">
        <v>9</v>
      </c>
      <c r="GO27" s="339"/>
      <c r="GP27" s="339" t="s">
        <v>10</v>
      </c>
      <c r="GQ27" s="339"/>
      <c r="GR27" s="339" t="s">
        <v>11</v>
      </c>
      <c r="GS27" s="339"/>
      <c r="GT27" s="339" t="s">
        <v>12</v>
      </c>
      <c r="GU27" s="339"/>
      <c r="GV27" s="339" t="s">
        <v>211</v>
      </c>
      <c r="GW27" s="339"/>
      <c r="GX27" s="339" t="s">
        <v>13</v>
      </c>
      <c r="GY27" s="339"/>
      <c r="HE27" s="1239"/>
      <c r="HF27" s="1239"/>
      <c r="HG27" s="1239"/>
      <c r="HH27" s="1239"/>
      <c r="HI27" s="1239"/>
      <c r="HJ27" s="1239"/>
      <c r="HK27" s="1239"/>
      <c r="HL27" s="1239"/>
      <c r="HM27" s="1239"/>
      <c r="HN27" s="1239"/>
      <c r="HO27" s="1239"/>
      <c r="HP27" s="1239"/>
      <c r="HQ27" s="1239"/>
      <c r="HR27" s="1239"/>
      <c r="HS27" s="1239"/>
      <c r="HT27" s="1239"/>
      <c r="HU27" s="1239"/>
      <c r="HV27" s="1239"/>
      <c r="HW27" s="1239"/>
      <c r="HX27" s="1239"/>
      <c r="HY27" s="1239"/>
      <c r="HZ27" s="1239"/>
      <c r="IA27" s="1239"/>
      <c r="IB27" s="1239"/>
      <c r="IC27" s="1239"/>
      <c r="ID27" s="1239"/>
      <c r="IE27" s="1239"/>
      <c r="IF27" s="1239"/>
    </row>
    <row r="28" spans="2:240" ht="45" customHeight="1">
      <c r="B28" s="97"/>
      <c r="C28" s="49" t="s">
        <v>375</v>
      </c>
      <c r="D28" s="49" t="s">
        <v>375</v>
      </c>
      <c r="E28" s="49" t="s">
        <v>375</v>
      </c>
      <c r="F28" s="49" t="s">
        <v>375</v>
      </c>
      <c r="G28" s="49" t="s">
        <v>375</v>
      </c>
      <c r="H28" s="49" t="s">
        <v>375</v>
      </c>
      <c r="I28" s="49" t="s">
        <v>375</v>
      </c>
      <c r="J28" s="49" t="s">
        <v>375</v>
      </c>
      <c r="K28" s="49" t="s">
        <v>375</v>
      </c>
      <c r="L28" s="49" t="s">
        <v>375</v>
      </c>
      <c r="M28" s="49" t="s">
        <v>375</v>
      </c>
      <c r="N28" s="49" t="s">
        <v>375</v>
      </c>
      <c r="O28" s="49" t="s">
        <v>375</v>
      </c>
      <c r="P28" s="49" t="s">
        <v>375</v>
      </c>
      <c r="Q28" s="49" t="s">
        <v>375</v>
      </c>
      <c r="R28" s="49" t="s">
        <v>375</v>
      </c>
      <c r="S28" s="49" t="s">
        <v>375</v>
      </c>
      <c r="T28" s="49" t="s">
        <v>375</v>
      </c>
      <c r="U28" s="49" t="s">
        <v>375</v>
      </c>
      <c r="V28" s="49" t="s">
        <v>375</v>
      </c>
      <c r="W28" s="49" t="s">
        <v>375</v>
      </c>
      <c r="X28" s="49" t="s">
        <v>375</v>
      </c>
      <c r="Y28" s="49" t="s">
        <v>375</v>
      </c>
      <c r="Z28" s="49" t="s">
        <v>375</v>
      </c>
      <c r="AA28" s="49" t="s">
        <v>375</v>
      </c>
      <c r="AB28" s="49" t="s">
        <v>375</v>
      </c>
      <c r="AC28" s="49" t="s">
        <v>375</v>
      </c>
      <c r="AD28" s="49" t="s">
        <v>375</v>
      </c>
      <c r="AE28" s="49" t="s">
        <v>375</v>
      </c>
      <c r="AF28" s="49" t="s">
        <v>375</v>
      </c>
      <c r="AG28" s="49" t="s">
        <v>375</v>
      </c>
      <c r="AH28" s="49" t="s">
        <v>375</v>
      </c>
      <c r="AI28" s="49" t="s">
        <v>375</v>
      </c>
      <c r="AJ28" s="49" t="s">
        <v>249</v>
      </c>
      <c r="AK28" s="49" t="s">
        <v>250</v>
      </c>
      <c r="AL28" s="49" t="s">
        <v>251</v>
      </c>
      <c r="AM28" s="49" t="s">
        <v>252</v>
      </c>
      <c r="AN28" s="49" t="s">
        <v>197</v>
      </c>
      <c r="AO28" s="49" t="s">
        <v>516</v>
      </c>
      <c r="AP28" s="49" t="s">
        <v>517</v>
      </c>
      <c r="AQ28" s="49" t="s">
        <v>518</v>
      </c>
      <c r="AR28" s="49" t="s">
        <v>388</v>
      </c>
      <c r="AS28" s="70" t="s">
        <v>389</v>
      </c>
      <c r="AT28" s="72" t="s">
        <v>519</v>
      </c>
      <c r="AU28" s="51" t="s">
        <v>520</v>
      </c>
      <c r="AV28" s="51" t="s">
        <v>521</v>
      </c>
      <c r="AW28" s="51" t="s">
        <v>509</v>
      </c>
      <c r="AX28" s="51" t="s">
        <v>510</v>
      </c>
      <c r="AY28" s="66" t="s">
        <v>511</v>
      </c>
      <c r="AZ28" s="77" t="s">
        <v>360</v>
      </c>
      <c r="BA28" s="51" t="s">
        <v>361</v>
      </c>
      <c r="BB28" s="51" t="s">
        <v>362</v>
      </c>
      <c r="BC28" s="51" t="s">
        <v>363</v>
      </c>
      <c r="BD28" s="51" t="s">
        <v>243</v>
      </c>
      <c r="BE28" s="66" t="s">
        <v>244</v>
      </c>
      <c r="BF28" s="72" t="s">
        <v>512</v>
      </c>
      <c r="BG28" s="51" t="s">
        <v>513</v>
      </c>
      <c r="BH28" s="51" t="s">
        <v>514</v>
      </c>
      <c r="BI28" s="51" t="s">
        <v>515</v>
      </c>
      <c r="BJ28" s="51" t="s">
        <v>358</v>
      </c>
      <c r="BK28" s="100" t="s">
        <v>359</v>
      </c>
      <c r="BL28" s="97"/>
      <c r="BU28" s="167"/>
      <c r="BV28" s="167"/>
      <c r="BW28" s="167"/>
      <c r="BX28" s="167"/>
      <c r="BY28" s="167"/>
      <c r="BZ28" s="167"/>
      <c r="CA28" s="167"/>
      <c r="CB28" s="167"/>
      <c r="CC28" s="167"/>
      <c r="CD28" s="167"/>
      <c r="CE28" s="167"/>
      <c r="CF28" s="167"/>
      <c r="CG28" s="167"/>
      <c r="CH28" s="167"/>
      <c r="CI28" s="167"/>
      <c r="CJ28" s="167"/>
      <c r="CK28" s="167"/>
      <c r="CL28" s="167"/>
      <c r="CM28" s="167"/>
      <c r="DD28" s="167"/>
      <c r="DE28" s="167"/>
      <c r="DF28" s="167"/>
      <c r="DG28" s="167"/>
      <c r="DH28" s="167"/>
      <c r="DI28" s="167"/>
      <c r="DJ28" s="167"/>
      <c r="DK28" s="167"/>
      <c r="DL28" s="167"/>
      <c r="DM28" s="167"/>
      <c r="DN28" s="167"/>
      <c r="DO28" s="167"/>
      <c r="DP28" s="167"/>
      <c r="DQ28" s="167"/>
      <c r="DY28" s="97"/>
      <c r="DZ28" s="97"/>
      <c r="ED28" s="97"/>
      <c r="EF28" s="1081"/>
      <c r="EG28" s="1081"/>
      <c r="EH28" s="1081"/>
      <c r="EI28" s="1081"/>
      <c r="EJ28" s="97"/>
      <c r="EK28" s="97"/>
      <c r="EL28" s="97"/>
      <c r="EM28" s="97"/>
      <c r="EN28" s="97"/>
      <c r="EO28" s="97"/>
      <c r="FL28" s="690"/>
      <c r="FM28" s="690"/>
      <c r="FN28" s="690"/>
      <c r="FO28" s="690"/>
      <c r="FP28" s="690"/>
      <c r="FQ28" s="690"/>
      <c r="FR28" s="690"/>
      <c r="FS28" s="690"/>
      <c r="FT28" s="690"/>
      <c r="FU28" s="690"/>
      <c r="FV28" s="690"/>
      <c r="FW28" s="690"/>
      <c r="FX28" s="690"/>
      <c r="FY28" s="690"/>
      <c r="FZ28" s="690"/>
      <c r="HE28" s="1240" t="s">
        <v>10254</v>
      </c>
      <c r="HF28" s="1239"/>
      <c r="HG28" s="1239"/>
      <c r="HH28" s="1239"/>
      <c r="HI28" s="1239"/>
      <c r="HJ28" s="1239"/>
      <c r="HK28" s="1239"/>
      <c r="HL28" s="1239"/>
      <c r="HM28" s="1239"/>
      <c r="HN28" s="1239"/>
      <c r="HO28" s="1239"/>
      <c r="HP28" s="1239"/>
      <c r="HQ28" s="1239"/>
      <c r="HR28" s="1239"/>
      <c r="HS28" s="1240" t="s">
        <v>10253</v>
      </c>
      <c r="HT28" s="1239"/>
      <c r="HU28" s="1239"/>
      <c r="HV28" s="1239"/>
      <c r="HW28" s="1239"/>
      <c r="HX28" s="1239"/>
      <c r="HY28" s="1239"/>
      <c r="HZ28" s="1239"/>
      <c r="IA28" s="1239"/>
      <c r="IB28" s="1239"/>
      <c r="IC28" s="1239"/>
      <c r="ID28" s="1239"/>
      <c r="IE28" s="1239"/>
      <c r="IF28" s="1239"/>
    </row>
    <row r="29" spans="2:240" ht="10.5" customHeight="1">
      <c r="B29" s="97"/>
      <c r="C29" s="343"/>
      <c r="D29" s="343"/>
      <c r="E29" s="343"/>
      <c r="F29" s="343"/>
      <c r="G29" s="343"/>
      <c r="H29" s="343"/>
      <c r="I29" s="343"/>
      <c r="J29" s="343"/>
      <c r="K29" s="343"/>
      <c r="L29" s="343"/>
      <c r="M29" s="343"/>
      <c r="N29" s="343"/>
      <c r="O29" s="343"/>
      <c r="P29" s="343"/>
      <c r="Q29" s="343"/>
      <c r="R29" s="343"/>
      <c r="S29" s="343"/>
      <c r="T29" s="343"/>
      <c r="U29" s="343"/>
      <c r="V29" s="343"/>
      <c r="W29" s="343"/>
      <c r="X29" s="343"/>
      <c r="Y29" s="343"/>
      <c r="Z29" s="343"/>
      <c r="AA29" s="343"/>
      <c r="AB29" s="343"/>
      <c r="AC29" s="343"/>
      <c r="AD29" s="343"/>
      <c r="AE29" s="343"/>
      <c r="AF29" s="343"/>
      <c r="AG29" s="343"/>
      <c r="AH29" s="343"/>
      <c r="AI29" s="343"/>
      <c r="AJ29" s="343"/>
      <c r="AK29" s="343"/>
      <c r="AL29" s="343"/>
      <c r="AM29" s="343"/>
      <c r="AN29" s="343"/>
      <c r="AO29" s="343"/>
      <c r="AP29" s="343"/>
      <c r="AQ29" s="343"/>
      <c r="AR29" s="343"/>
      <c r="AS29" s="344"/>
      <c r="AT29" s="345"/>
      <c r="AU29" s="343"/>
      <c r="AV29" s="53"/>
      <c r="AW29" s="53"/>
      <c r="AX29" s="54"/>
      <c r="AY29" s="54"/>
      <c r="AZ29" s="346"/>
      <c r="BA29" s="343"/>
      <c r="BB29" s="53"/>
      <c r="BC29" s="53"/>
      <c r="BD29" s="54"/>
      <c r="BE29" s="54"/>
      <c r="BF29" s="345"/>
      <c r="BG29" s="343"/>
      <c r="BH29" s="53"/>
      <c r="BI29" s="53"/>
      <c r="BJ29" s="54"/>
      <c r="BK29" s="101"/>
      <c r="BL29" s="97"/>
      <c r="BU29" s="167"/>
      <c r="BV29" s="167"/>
      <c r="BW29" s="167"/>
      <c r="BX29" s="167"/>
      <c r="BY29" s="167"/>
      <c r="BZ29" s="167"/>
      <c r="CA29" s="167"/>
      <c r="CB29" s="167"/>
      <c r="CC29" s="167"/>
      <c r="CD29" s="167"/>
      <c r="CE29" s="167"/>
      <c r="CF29" s="167"/>
      <c r="CG29" s="167"/>
      <c r="CH29" s="167"/>
      <c r="CI29" s="167"/>
      <c r="CJ29" s="167"/>
      <c r="CK29" s="167"/>
      <c r="CL29" s="167"/>
      <c r="CM29" s="167"/>
      <c r="DD29" s="167"/>
      <c r="DE29" s="167"/>
      <c r="DF29" s="167"/>
      <c r="DG29" s="167"/>
      <c r="DH29" s="339" t="s">
        <v>631</v>
      </c>
      <c r="DI29" s="339" t="s">
        <v>632</v>
      </c>
      <c r="DJ29" s="339" t="s">
        <v>379</v>
      </c>
      <c r="DK29" s="339" t="s">
        <v>575</v>
      </c>
      <c r="DL29" s="339" t="s">
        <v>380</v>
      </c>
      <c r="DM29" s="339" t="s">
        <v>381</v>
      </c>
      <c r="DN29" s="339" t="s">
        <v>382</v>
      </c>
      <c r="DO29" s="339" t="s">
        <v>383</v>
      </c>
      <c r="DP29" s="339" t="s">
        <v>384</v>
      </c>
      <c r="DQ29" s="339" t="s">
        <v>385</v>
      </c>
      <c r="DR29" s="339" t="s">
        <v>386</v>
      </c>
      <c r="DS29" s="339" t="s">
        <v>387</v>
      </c>
      <c r="DT29" s="339" t="s">
        <v>390</v>
      </c>
      <c r="DU29" s="339" t="s">
        <v>391</v>
      </c>
      <c r="DV29" s="339" t="s">
        <v>392</v>
      </c>
      <c r="DW29" s="339" t="s">
        <v>393</v>
      </c>
      <c r="DX29" s="339" t="s">
        <v>197</v>
      </c>
      <c r="DY29" s="339" t="s">
        <v>262</v>
      </c>
      <c r="DZ29" s="339" t="s">
        <v>263</v>
      </c>
      <c r="EA29" s="339" t="s">
        <v>212</v>
      </c>
      <c r="EB29" s="339" t="s">
        <v>213</v>
      </c>
      <c r="EC29" s="339" t="s">
        <v>215</v>
      </c>
      <c r="ED29" s="339" t="s">
        <v>14</v>
      </c>
      <c r="EE29" s="339" t="s">
        <v>8005</v>
      </c>
      <c r="EF29" s="339" t="s">
        <v>10229</v>
      </c>
      <c r="EG29" s="339"/>
      <c r="EH29" s="339"/>
      <c r="EI29" s="339"/>
      <c r="EJ29" s="342"/>
      <c r="EK29" s="342"/>
      <c r="EL29" s="342"/>
      <c r="EM29" s="342"/>
      <c r="EN29" s="342"/>
      <c r="EO29" s="342"/>
      <c r="EQ29" s="339" t="s">
        <v>379</v>
      </c>
      <c r="ER29" s="339" t="s">
        <v>575</v>
      </c>
      <c r="ES29" s="339" t="s">
        <v>380</v>
      </c>
      <c r="ET29" s="339" t="s">
        <v>381</v>
      </c>
      <c r="EU29" s="339" t="s">
        <v>382</v>
      </c>
      <c r="EV29" s="339" t="s">
        <v>383</v>
      </c>
      <c r="EW29" s="339" t="s">
        <v>384</v>
      </c>
      <c r="EX29" s="339" t="s">
        <v>385</v>
      </c>
      <c r="EY29" s="339" t="s">
        <v>386</v>
      </c>
      <c r="EZ29" s="339" t="s">
        <v>387</v>
      </c>
      <c r="FA29" s="339" t="s">
        <v>390</v>
      </c>
      <c r="FB29" s="339" t="s">
        <v>391</v>
      </c>
      <c r="FC29" s="339" t="s">
        <v>392</v>
      </c>
      <c r="FD29" s="339" t="s">
        <v>393</v>
      </c>
      <c r="FH29" s="339" t="s">
        <v>212</v>
      </c>
      <c r="FI29" s="339" t="s">
        <v>213</v>
      </c>
      <c r="FL29" s="339" t="s">
        <v>9596</v>
      </c>
      <c r="FM29" s="339" t="s">
        <v>9597</v>
      </c>
      <c r="FN29" s="339" t="s">
        <v>9598</v>
      </c>
      <c r="FO29" s="339" t="s">
        <v>9599</v>
      </c>
      <c r="FP29" s="339" t="s">
        <v>9600</v>
      </c>
      <c r="FQ29" s="339" t="s">
        <v>380</v>
      </c>
      <c r="FR29" s="339" t="s">
        <v>381</v>
      </c>
      <c r="FS29" s="339" t="s">
        <v>382</v>
      </c>
      <c r="FT29" s="339" t="s">
        <v>383</v>
      </c>
      <c r="FU29" s="339" t="s">
        <v>384</v>
      </c>
      <c r="FV29" s="339" t="s">
        <v>385</v>
      </c>
      <c r="FW29" s="339" t="s">
        <v>386</v>
      </c>
      <c r="FX29" s="339" t="s">
        <v>387</v>
      </c>
      <c r="FY29" s="339" t="s">
        <v>390</v>
      </c>
      <c r="FZ29" s="339" t="s">
        <v>391</v>
      </c>
      <c r="GA29" s="339" t="s">
        <v>212</v>
      </c>
      <c r="GB29" s="339" t="s">
        <v>213</v>
      </c>
      <c r="GC29" s="339" t="s">
        <v>392</v>
      </c>
      <c r="GD29" s="339" t="s">
        <v>393</v>
      </c>
      <c r="GG29" s="339" t="s">
        <v>9596</v>
      </c>
      <c r="GH29" s="339" t="s">
        <v>9597</v>
      </c>
      <c r="GI29" s="339" t="s">
        <v>9598</v>
      </c>
      <c r="GJ29" s="339" t="s">
        <v>9599</v>
      </c>
      <c r="GK29" s="339" t="s">
        <v>9600</v>
      </c>
      <c r="GL29" s="339" t="s">
        <v>380</v>
      </c>
      <c r="GM29" s="339" t="s">
        <v>381</v>
      </c>
      <c r="GN29" s="339" t="s">
        <v>382</v>
      </c>
      <c r="GO29" s="339" t="s">
        <v>383</v>
      </c>
      <c r="GP29" s="339" t="s">
        <v>384</v>
      </c>
      <c r="GQ29" s="339" t="s">
        <v>385</v>
      </c>
      <c r="GR29" s="339" t="s">
        <v>386</v>
      </c>
      <c r="GS29" s="339" t="s">
        <v>387</v>
      </c>
      <c r="GT29" s="339" t="s">
        <v>390</v>
      </c>
      <c r="GU29" s="339" t="s">
        <v>391</v>
      </c>
      <c r="GV29" s="339" t="s">
        <v>212</v>
      </c>
      <c r="GW29" s="339" t="s">
        <v>213</v>
      </c>
      <c r="GX29" s="339" t="s">
        <v>392</v>
      </c>
      <c r="GY29" s="339" t="s">
        <v>393</v>
      </c>
      <c r="HE29" s="339" t="s">
        <v>380</v>
      </c>
      <c r="HF29" s="339" t="s">
        <v>381</v>
      </c>
      <c r="HG29" s="339" t="s">
        <v>382</v>
      </c>
      <c r="HH29" s="339" t="s">
        <v>383</v>
      </c>
      <c r="HI29" s="339" t="s">
        <v>384</v>
      </c>
      <c r="HJ29" s="339" t="s">
        <v>385</v>
      </c>
      <c r="HK29" s="339" t="s">
        <v>386</v>
      </c>
      <c r="HL29" s="339" t="s">
        <v>387</v>
      </c>
      <c r="HM29" s="339" t="s">
        <v>390</v>
      </c>
      <c r="HN29" s="339" t="s">
        <v>391</v>
      </c>
      <c r="HO29" s="339" t="s">
        <v>212</v>
      </c>
      <c r="HP29" s="339" t="s">
        <v>213</v>
      </c>
      <c r="HQ29" s="339" t="s">
        <v>392</v>
      </c>
      <c r="HR29" s="339" t="s">
        <v>393</v>
      </c>
      <c r="HS29" s="339" t="s">
        <v>380</v>
      </c>
      <c r="HT29" s="339" t="s">
        <v>381</v>
      </c>
      <c r="HU29" s="339" t="s">
        <v>382</v>
      </c>
      <c r="HV29" s="339" t="s">
        <v>383</v>
      </c>
      <c r="HW29" s="339" t="s">
        <v>384</v>
      </c>
      <c r="HX29" s="339" t="s">
        <v>385</v>
      </c>
      <c r="HY29" s="339" t="s">
        <v>386</v>
      </c>
      <c r="HZ29" s="339" t="s">
        <v>387</v>
      </c>
      <c r="IA29" s="339" t="s">
        <v>390</v>
      </c>
      <c r="IB29" s="339" t="s">
        <v>391</v>
      </c>
      <c r="IC29" s="339" t="s">
        <v>212</v>
      </c>
      <c r="ID29" s="339" t="s">
        <v>213</v>
      </c>
      <c r="IE29" s="339" t="s">
        <v>392</v>
      </c>
      <c r="IF29" s="339" t="s">
        <v>393</v>
      </c>
    </row>
    <row r="30" spans="2:240" s="1082" customFormat="1" ht="12.75">
      <c r="C30" s="120"/>
      <c r="D30" s="120"/>
      <c r="E30" s="120"/>
      <c r="F30" s="120"/>
      <c r="G30" s="120"/>
      <c r="H30" s="120"/>
      <c r="I30" s="120"/>
      <c r="J30" s="120"/>
      <c r="K30" s="120"/>
      <c r="L30" s="120"/>
      <c r="M30" s="120"/>
      <c r="N30" s="120"/>
      <c r="O30" s="120"/>
      <c r="P30" s="120"/>
      <c r="Q30" s="120"/>
      <c r="R30" s="120"/>
      <c r="S30" s="120"/>
      <c r="T30" s="120"/>
      <c r="U30" s="120"/>
      <c r="V30" s="120"/>
      <c r="W30" s="120"/>
      <c r="X30" s="120"/>
      <c r="Y30" s="120"/>
      <c r="Z30" s="120"/>
      <c r="AA30" s="120"/>
      <c r="AB30" s="120"/>
      <c r="AC30" s="120"/>
      <c r="AD30" s="120"/>
      <c r="AE30" s="120"/>
      <c r="AF30" s="120"/>
      <c r="AG30" s="120"/>
      <c r="AH30" s="120"/>
      <c r="AI30" s="120"/>
      <c r="AJ30" s="59"/>
      <c r="AK30" s="59"/>
      <c r="AL30" s="59"/>
      <c r="AM30" s="59"/>
      <c r="AN30" s="59"/>
      <c r="AO30" s="59"/>
      <c r="AP30" s="59"/>
      <c r="AQ30" s="59"/>
      <c r="AR30" s="59"/>
      <c r="AS30" s="67"/>
      <c r="AT30" s="74"/>
      <c r="AU30" s="63"/>
      <c r="AV30" s="59"/>
      <c r="AW30" s="59"/>
      <c r="AX30" s="59"/>
      <c r="AY30" s="67"/>
      <c r="AZ30" s="79"/>
      <c r="BA30" s="63"/>
      <c r="BB30" s="59"/>
      <c r="BC30" s="59"/>
      <c r="BD30" s="59"/>
      <c r="BE30" s="67"/>
      <c r="BF30" s="74"/>
      <c r="BG30" s="63"/>
      <c r="BH30" s="59"/>
      <c r="BI30" s="59"/>
      <c r="BJ30" s="59"/>
      <c r="BK30" s="102"/>
      <c r="BV30" s="1065"/>
      <c r="BW30" s="1065"/>
      <c r="BX30" s="1065"/>
      <c r="BY30" s="1065"/>
      <c r="BZ30" s="1065"/>
      <c r="CA30" s="1065"/>
      <c r="DH30" s="347"/>
      <c r="DI30" s="347"/>
      <c r="DJ30" s="347"/>
      <c r="DK30" s="347"/>
      <c r="DL30" s="96"/>
      <c r="DM30" s="96"/>
      <c r="DN30" s="96"/>
      <c r="DO30" s="96"/>
      <c r="DP30" s="96"/>
      <c r="DQ30" s="96"/>
      <c r="DR30" s="96"/>
      <c r="DS30" s="96"/>
      <c r="DT30" s="96"/>
      <c r="DU30" s="96"/>
      <c r="DV30" s="96"/>
      <c r="DW30" s="96"/>
      <c r="DX30" s="113"/>
      <c r="DY30" s="113"/>
      <c r="DZ30" s="113"/>
      <c r="EA30" s="96"/>
      <c r="EB30" s="96"/>
      <c r="EC30" s="113"/>
      <c r="ED30" s="113"/>
      <c r="EE30" s="113"/>
      <c r="EF30" s="113"/>
      <c r="EG30" s="113"/>
      <c r="EH30" s="113"/>
      <c r="EI30" s="113"/>
      <c r="EJ30" s="119"/>
      <c r="EK30" s="119"/>
      <c r="EL30" s="119"/>
      <c r="EM30" s="119"/>
      <c r="EN30" s="119"/>
      <c r="EO30" s="119"/>
      <c r="EQ30" s="347"/>
      <c r="ER30" s="347"/>
      <c r="ES30" s="96"/>
      <c r="ET30" s="96"/>
      <c r="EU30" s="96"/>
      <c r="EV30" s="96"/>
      <c r="EW30" s="96"/>
      <c r="EX30" s="96"/>
      <c r="EY30" s="96"/>
      <c r="EZ30" s="96"/>
      <c r="FA30" s="96"/>
      <c r="FB30" s="96"/>
      <c r="FC30" s="96"/>
      <c r="FD30" s="96"/>
      <c r="FH30" s="96"/>
      <c r="FI30" s="96"/>
      <c r="FL30" s="347"/>
      <c r="FM30" s="347"/>
      <c r="FN30" s="347"/>
      <c r="FO30" s="347"/>
      <c r="FP30" s="347"/>
      <c r="FQ30" s="96"/>
      <c r="FR30" s="96"/>
      <c r="FS30" s="96"/>
      <c r="FT30" s="96"/>
      <c r="FU30" s="96"/>
      <c r="FV30" s="96"/>
      <c r="FW30" s="96"/>
      <c r="FX30" s="96"/>
      <c r="FY30" s="96"/>
      <c r="FZ30" s="96"/>
      <c r="GA30" s="96"/>
      <c r="GB30" s="96"/>
      <c r="GC30" s="96"/>
      <c r="GD30" s="96"/>
      <c r="GE30" s="1065"/>
      <c r="GF30" s="1065"/>
      <c r="GG30" s="347"/>
      <c r="GH30" s="347"/>
      <c r="GI30" s="347"/>
      <c r="GJ30" s="347"/>
      <c r="GK30" s="347"/>
      <c r="GL30" s="96"/>
      <c r="GM30" s="96"/>
      <c r="GN30" s="96"/>
      <c r="GO30" s="96"/>
      <c r="GP30" s="96"/>
      <c r="GQ30" s="96"/>
      <c r="GR30" s="96"/>
      <c r="GS30" s="96"/>
      <c r="GT30" s="96"/>
      <c r="GU30" s="96"/>
      <c r="GV30" s="96"/>
      <c r="GW30" s="96"/>
      <c r="GX30" s="96"/>
      <c r="GY30" s="96"/>
      <c r="HE30" s="113"/>
      <c r="HF30" s="113"/>
      <c r="HG30" s="113"/>
      <c r="HH30" s="113"/>
      <c r="HI30" s="113"/>
      <c r="HJ30" s="113"/>
      <c r="HK30" s="113"/>
      <c r="HL30" s="113"/>
      <c r="HM30" s="113"/>
      <c r="HN30" s="113"/>
      <c r="HO30" s="113"/>
      <c r="HP30" s="113"/>
      <c r="HQ30" s="113"/>
      <c r="HR30" s="113"/>
      <c r="HS30" s="113"/>
      <c r="HT30" s="113"/>
      <c r="HU30" s="113"/>
      <c r="HV30" s="113"/>
      <c r="HW30" s="113"/>
      <c r="HX30" s="113"/>
      <c r="HY30" s="113"/>
      <c r="HZ30" s="113"/>
      <c r="IA30" s="113"/>
      <c r="IB30" s="113"/>
      <c r="IC30" s="113"/>
      <c r="ID30" s="113"/>
      <c r="IE30" s="113"/>
      <c r="IF30" s="113"/>
    </row>
    <row r="31" spans="2:240" s="1082" customFormat="1" ht="12.75">
      <c r="C31" s="120"/>
      <c r="D31" s="120"/>
      <c r="E31" s="120"/>
      <c r="F31" s="120"/>
      <c r="G31" s="120"/>
      <c r="H31" s="120"/>
      <c r="I31" s="120"/>
      <c r="J31" s="120"/>
      <c r="K31" s="120"/>
      <c r="L31" s="120"/>
      <c r="M31" s="120"/>
      <c r="N31" s="120"/>
      <c r="O31" s="120"/>
      <c r="P31" s="120"/>
      <c r="Q31" s="120"/>
      <c r="R31" s="120"/>
      <c r="S31" s="120"/>
      <c r="T31" s="120"/>
      <c r="U31" s="120"/>
      <c r="V31" s="120"/>
      <c r="W31" s="120"/>
      <c r="X31" s="120"/>
      <c r="Y31" s="120"/>
      <c r="Z31" s="120"/>
      <c r="AA31" s="120"/>
      <c r="AB31" s="120"/>
      <c r="AC31" s="120"/>
      <c r="AD31" s="120"/>
      <c r="AE31" s="120"/>
      <c r="AF31" s="120"/>
      <c r="AG31" s="120"/>
      <c r="AH31" s="120"/>
      <c r="AI31" s="120"/>
      <c r="AJ31" s="60"/>
      <c r="AK31" s="60"/>
      <c r="AL31" s="60"/>
      <c r="AM31" s="60"/>
      <c r="AN31" s="59"/>
      <c r="AO31" s="60"/>
      <c r="AP31" s="60"/>
      <c r="AQ31" s="60"/>
      <c r="AR31" s="60"/>
      <c r="AS31" s="68"/>
      <c r="AT31" s="75"/>
      <c r="AU31" s="64"/>
      <c r="AV31" s="60"/>
      <c r="AW31" s="60"/>
      <c r="AX31" s="60"/>
      <c r="AY31" s="68"/>
      <c r="AZ31" s="80"/>
      <c r="BA31" s="64"/>
      <c r="BB31" s="60"/>
      <c r="BC31" s="60"/>
      <c r="BD31" s="60"/>
      <c r="BE31" s="68"/>
      <c r="BF31" s="75"/>
      <c r="BG31" s="64"/>
      <c r="BH31" s="60"/>
      <c r="BI31" s="60"/>
      <c r="BJ31" s="60"/>
      <c r="BK31" s="103"/>
      <c r="BX31" s="1065"/>
      <c r="BY31" s="1065"/>
      <c r="BZ31" s="1065"/>
      <c r="CA31" s="1065"/>
      <c r="DH31" s="347"/>
      <c r="DI31" s="347"/>
      <c r="DJ31" s="347"/>
      <c r="DK31" s="347"/>
      <c r="DL31" s="96"/>
      <c r="DM31" s="96"/>
      <c r="DN31" s="96"/>
      <c r="DO31" s="96"/>
      <c r="DP31" s="96"/>
      <c r="DQ31" s="96"/>
      <c r="DR31" s="96"/>
      <c r="DS31" s="96"/>
      <c r="DT31" s="96"/>
      <c r="DU31" s="96"/>
      <c r="DV31" s="96"/>
      <c r="DW31" s="96"/>
      <c r="DX31" s="113"/>
      <c r="DY31" s="113"/>
      <c r="DZ31" s="113"/>
      <c r="EA31" s="96"/>
      <c r="EB31" s="96"/>
      <c r="EC31" s="113"/>
      <c r="ED31" s="113"/>
      <c r="EE31" s="113"/>
      <c r="EF31" s="113"/>
      <c r="EG31" s="113"/>
      <c r="EH31" s="113"/>
      <c r="EI31" s="113"/>
      <c r="EJ31" s="119"/>
      <c r="EK31" s="119"/>
      <c r="EL31" s="119"/>
      <c r="EM31" s="119"/>
      <c r="EN31" s="119"/>
      <c r="EO31" s="119"/>
      <c r="EQ31" s="347"/>
      <c r="ER31" s="347"/>
      <c r="ES31" s="96"/>
      <c r="ET31" s="96"/>
      <c r="EU31" s="96"/>
      <c r="EV31" s="96"/>
      <c r="EW31" s="96"/>
      <c r="EX31" s="96"/>
      <c r="EY31" s="96"/>
      <c r="EZ31" s="96"/>
      <c r="FA31" s="96"/>
      <c r="FB31" s="96"/>
      <c r="FC31" s="96"/>
      <c r="FD31" s="96"/>
      <c r="FH31" s="96"/>
      <c r="FI31" s="96"/>
      <c r="FL31" s="347"/>
      <c r="FM31" s="347"/>
      <c r="FN31" s="347"/>
      <c r="FO31" s="347"/>
      <c r="FP31" s="347"/>
      <c r="FQ31" s="96"/>
      <c r="FR31" s="96"/>
      <c r="FS31" s="96"/>
      <c r="FT31" s="96"/>
      <c r="FU31" s="96"/>
      <c r="FV31" s="96"/>
      <c r="FW31" s="96"/>
      <c r="FX31" s="96"/>
      <c r="FY31" s="96"/>
      <c r="FZ31" s="96"/>
      <c r="GA31" s="96"/>
      <c r="GB31" s="96"/>
      <c r="GC31" s="96"/>
      <c r="GD31" s="96"/>
      <c r="GE31" s="1065"/>
      <c r="GF31" s="1065"/>
      <c r="GG31" s="347"/>
      <c r="GH31" s="347"/>
      <c r="GI31" s="347"/>
      <c r="GJ31" s="347"/>
      <c r="GK31" s="347"/>
      <c r="GL31" s="96"/>
      <c r="GM31" s="96"/>
      <c r="GN31" s="96"/>
      <c r="GO31" s="96"/>
      <c r="GP31" s="96"/>
      <c r="GQ31" s="96"/>
      <c r="GR31" s="96"/>
      <c r="GS31" s="96"/>
      <c r="GT31" s="96"/>
      <c r="GU31" s="96"/>
      <c r="GV31" s="96"/>
      <c r="GW31" s="96"/>
      <c r="GX31" s="96"/>
      <c r="GY31" s="96"/>
      <c r="HE31" s="113"/>
      <c r="HF31" s="113"/>
      <c r="HG31" s="113"/>
      <c r="HH31" s="113"/>
      <c r="HI31" s="113"/>
      <c r="HJ31" s="113"/>
      <c r="HK31" s="113"/>
      <c r="HL31" s="113"/>
      <c r="HM31" s="113"/>
      <c r="HN31" s="113"/>
      <c r="HO31" s="113"/>
      <c r="HP31" s="113"/>
      <c r="HQ31" s="113"/>
      <c r="HR31" s="113"/>
      <c r="HS31" s="113"/>
      <c r="HT31" s="113"/>
      <c r="HU31" s="113"/>
      <c r="HV31" s="113"/>
      <c r="HW31" s="113"/>
      <c r="HX31" s="113"/>
      <c r="HY31" s="113"/>
      <c r="HZ31" s="113"/>
      <c r="IA31" s="113"/>
      <c r="IB31" s="113"/>
      <c r="IC31" s="113"/>
      <c r="ID31" s="113"/>
      <c r="IE31" s="113"/>
      <c r="IF31" s="113"/>
    </row>
    <row r="32" spans="2:240" ht="10.5" customHeight="1">
      <c r="B32" s="97"/>
      <c r="C32" s="348"/>
      <c r="D32" s="348"/>
      <c r="E32" s="348"/>
      <c r="F32" s="348"/>
      <c r="G32" s="348"/>
      <c r="H32" s="348"/>
      <c r="I32" s="348"/>
      <c r="J32" s="348"/>
      <c r="K32" s="348"/>
      <c r="L32" s="348"/>
      <c r="M32" s="348"/>
      <c r="N32" s="348"/>
      <c r="O32" s="348"/>
      <c r="P32" s="348"/>
      <c r="Q32" s="348"/>
      <c r="R32" s="348"/>
      <c r="S32" s="348"/>
      <c r="T32" s="348"/>
      <c r="U32" s="348"/>
      <c r="V32" s="348"/>
      <c r="W32" s="348"/>
      <c r="X32" s="348"/>
      <c r="Y32" s="348"/>
      <c r="Z32" s="348"/>
      <c r="AA32" s="348"/>
      <c r="AB32" s="348"/>
      <c r="AC32" s="348"/>
      <c r="AD32" s="348"/>
      <c r="AE32" s="348"/>
      <c r="AF32" s="348"/>
      <c r="AG32" s="348"/>
      <c r="AH32" s="348"/>
      <c r="AI32" s="348" t="s">
        <v>253</v>
      </c>
      <c r="AJ32" s="55">
        <f>SUM(AJ30:AJ31)</f>
        <v>0</v>
      </c>
      <c r="AK32" s="56">
        <f>SUM(AK30:AK31)</f>
        <v>0</v>
      </c>
      <c r="AL32" s="56">
        <f>SUM(AL30:AL31)</f>
        <v>0</v>
      </c>
      <c r="AM32" s="56">
        <f>SUM(AM30:AM31)</f>
        <v>0</v>
      </c>
      <c r="AN32" s="58"/>
      <c r="AO32" s="58">
        <f>SUMPRODUCT(AJ30:AJ31,AO30:AO31,DZ30:DZ31)+SUMPRODUCT(AK30:AK31,AO30:AO31,DZ30:DZ31)</f>
        <v>0</v>
      </c>
      <c r="AP32" s="58">
        <f>SUMPRODUCT(AJ30:AJ31,AP30:AP31,DZ30:DZ31)</f>
        <v>0</v>
      </c>
      <c r="AQ32" s="58">
        <f>SUMPRODUCT(AJ30:AJ31,AQ30:AQ31,DZ30:DZ31)+SUMPRODUCT(AK30:AK31,AQ30:AQ31,DZ30:DZ31)</f>
        <v>0</v>
      </c>
      <c r="AR32" s="58">
        <f>SUMPRODUCT(AJ30:AJ31,AR30:AR31,DZ30:DZ31)+SUMPRODUCT(AK30:AK31,AR30:AR31,DZ30:DZ31)</f>
        <v>0</v>
      </c>
      <c r="AS32" s="69">
        <f>SUMPRODUCT(AJ30:AJ31,AS30:AS31,DZ30:DZ31)</f>
        <v>0</v>
      </c>
      <c r="AT32" s="76">
        <f>SUMPRODUCT(AJ30:AJ31,AT30:AT31,DZ30:DZ31)+SUMPRODUCT(AK30:AK31,AT30:AT31,DZ30:DZ31)</f>
        <v>0</v>
      </c>
      <c r="AU32" s="58">
        <f>SUMPRODUCT(AJ30:AJ31,AU30:AU31,DZ30:DZ31)</f>
        <v>0</v>
      </c>
      <c r="AV32" s="57">
        <f>IF(AT32=0,0,(AT32-AX32)/AT32)</f>
        <v>0</v>
      </c>
      <c r="AW32" s="57">
        <f>IF(AU32=0,0,(AU32-AY32)/AU32)</f>
        <v>0</v>
      </c>
      <c r="AX32" s="58">
        <f>SUMPRODUCT(AJ30:AJ31,AX30:AX31,DZ30:DZ31)+SUMPRODUCT(AK30:AK31,AX30:AX31,DZ30:DZ31)</f>
        <v>0</v>
      </c>
      <c r="AY32" s="69">
        <f>SUMPRODUCT(AJ30:AJ31,AY30:AY31,DZ30:DZ31)</f>
        <v>0</v>
      </c>
      <c r="AZ32" s="81">
        <f>SUMPRODUCT(AJ30:AJ31,AZ30:AZ31,DZ30:DZ31)+SUMPRODUCT(AK30:AK31,AZ30:AZ31,DZ30:DZ31)</f>
        <v>0</v>
      </c>
      <c r="BA32" s="58">
        <f>SUMPRODUCT(AJ30:AJ31,BA30:BA31,DZ30:DZ31)</f>
        <v>0</v>
      </c>
      <c r="BB32" s="57">
        <f>IF(AZ32=0,0,(AZ32-BD32)/AZ32)</f>
        <v>0</v>
      </c>
      <c r="BC32" s="57">
        <f>IF(BA32=0,0,(BA32-BE32)/BA32)</f>
        <v>0</v>
      </c>
      <c r="BD32" s="58">
        <f>SUMPRODUCT(AJ30:AJ31,BD30:BD31,DZ30:DZ31)+SUMPRODUCT(AK30:AK31,BD30:BD31,DZ30:DZ31)</f>
        <v>0</v>
      </c>
      <c r="BE32" s="69">
        <f>SUMPRODUCT(AJ30:AJ31,BE30:BE31,DZ30:DZ31)</f>
        <v>0</v>
      </c>
      <c r="BF32" s="76">
        <f>SUMPRODUCT(AJ30:AJ31,BF30:BF31,DZ30:DZ31)+SUMPRODUCT(AK30:AK31,BF30:BF31,DZ30:DZ31)</f>
        <v>0</v>
      </c>
      <c r="BG32" s="58">
        <f>SUMPRODUCT(AJ30:AJ31,BG30:BG31,DZ30:DZ31)</f>
        <v>0</v>
      </c>
      <c r="BH32" s="57">
        <f>IF(BF32=0,0,(BF32-BJ32)/BF32)</f>
        <v>0</v>
      </c>
      <c r="BI32" s="57">
        <f>IF(BG32=0,0,(BG32-BK32)/BG32)</f>
        <v>0</v>
      </c>
      <c r="BJ32" s="58">
        <f>SUMPRODUCT(AJ30:AJ31,BJ30:BJ31,DZ30:DZ31)+SUMPRODUCT(AK30:AK31,BJ30:BJ31,DZ30:DZ31)</f>
        <v>0</v>
      </c>
      <c r="BK32" s="104">
        <f>SUMPRODUCT(AJ30:AJ31,BK30:BK31,DZ30:DZ31)</f>
        <v>0</v>
      </c>
      <c r="BL32" s="97"/>
      <c r="BU32" s="167"/>
      <c r="BV32" s="167"/>
      <c r="BW32" s="167"/>
      <c r="BX32" s="167"/>
      <c r="BY32" s="167"/>
      <c r="BZ32" s="167"/>
      <c r="CA32" s="167"/>
      <c r="CB32" s="167"/>
      <c r="CC32" s="167"/>
      <c r="CD32" s="167"/>
      <c r="CE32" s="167"/>
      <c r="CF32" s="167"/>
      <c r="CG32" s="167"/>
      <c r="CH32" s="167"/>
      <c r="CI32" s="167"/>
      <c r="CJ32" s="167"/>
      <c r="CK32" s="167"/>
      <c r="CL32" s="167"/>
      <c r="CM32" s="167"/>
      <c r="DD32" s="167"/>
      <c r="DE32" s="167"/>
      <c r="DF32" s="167"/>
      <c r="DG32" s="167"/>
      <c r="DH32" s="167"/>
      <c r="DI32" s="167"/>
      <c r="DJ32" s="167"/>
      <c r="DK32" s="167"/>
      <c r="DL32" s="167"/>
      <c r="DM32" s="167"/>
      <c r="DN32" s="167"/>
      <c r="DO32" s="167"/>
      <c r="DP32" s="167"/>
      <c r="DQ32" s="167"/>
      <c r="EI32" s="941"/>
      <c r="FL32" s="690"/>
      <c r="FM32" s="690"/>
      <c r="FN32" s="690"/>
      <c r="FO32" s="690"/>
      <c r="FP32" s="690"/>
      <c r="FQ32" s="690"/>
      <c r="FR32" s="690"/>
      <c r="FS32" s="690"/>
      <c r="FT32" s="690"/>
      <c r="FU32" s="690"/>
      <c r="FV32" s="690"/>
      <c r="FW32" s="690"/>
      <c r="FX32" s="690"/>
      <c r="FY32" s="690"/>
      <c r="FZ32" s="690"/>
      <c r="HE32" s="1239"/>
      <c r="HF32" s="1239"/>
      <c r="HG32" s="1239"/>
      <c r="HH32" s="1239"/>
      <c r="HI32" s="1239"/>
      <c r="HJ32" s="1239"/>
      <c r="HK32" s="1239"/>
      <c r="HL32" s="1239"/>
      <c r="HM32" s="1239"/>
      <c r="HN32" s="1239"/>
      <c r="HO32" s="1239"/>
      <c r="HP32" s="1239"/>
      <c r="HQ32" s="1239"/>
      <c r="HR32" s="1239"/>
      <c r="HS32" s="1239"/>
      <c r="HT32" s="1239"/>
      <c r="HU32" s="1239"/>
      <c r="HV32" s="1239"/>
      <c r="HW32" s="1239"/>
      <c r="HX32" s="1239"/>
      <c r="HY32" s="1239"/>
      <c r="HZ32" s="1239"/>
      <c r="IA32" s="1239"/>
      <c r="IB32" s="1239"/>
      <c r="IC32" s="1239"/>
      <c r="ID32" s="1239"/>
      <c r="IE32" s="1239"/>
      <c r="IF32" s="1239"/>
    </row>
    <row r="33" spans="2:240" ht="10.5" customHeight="1">
      <c r="EI33" s="941"/>
      <c r="FL33" s="849"/>
      <c r="FM33" s="849"/>
      <c r="FN33" s="849"/>
      <c r="FO33" s="849"/>
      <c r="FP33" s="849"/>
      <c r="FQ33" s="849"/>
      <c r="FR33" s="849"/>
      <c r="FS33" s="849"/>
      <c r="FT33" s="849"/>
      <c r="FU33" s="849"/>
      <c r="FV33" s="849"/>
      <c r="FW33" s="690"/>
      <c r="FX33" s="690"/>
      <c r="FY33" s="690"/>
      <c r="FZ33" s="690"/>
      <c r="GG33" s="849"/>
      <c r="GH33" s="849"/>
      <c r="GI33" s="849"/>
      <c r="GJ33" s="849"/>
      <c r="GK33" s="849"/>
      <c r="GL33" s="849"/>
      <c r="GM33" s="849"/>
      <c r="GN33" s="849"/>
      <c r="GO33" s="849"/>
      <c r="GP33" s="849"/>
      <c r="GQ33" s="849"/>
      <c r="HE33" s="1239"/>
      <c r="HF33" s="1239"/>
      <c r="HG33" s="1239"/>
      <c r="HH33" s="1239"/>
      <c r="HI33" s="1239"/>
      <c r="HJ33" s="1239"/>
      <c r="HK33" s="1239"/>
      <c r="HL33" s="1239"/>
      <c r="HM33" s="1239"/>
      <c r="HN33" s="1239"/>
      <c r="HO33" s="1239"/>
      <c r="HP33" s="1239"/>
      <c r="HQ33" s="1239"/>
      <c r="HR33" s="1239"/>
      <c r="HS33" s="1239"/>
      <c r="HT33" s="1239"/>
      <c r="HU33" s="1239"/>
      <c r="HV33" s="1239"/>
      <c r="HW33" s="1239"/>
      <c r="HX33" s="1239"/>
      <c r="HY33" s="1239"/>
      <c r="HZ33" s="1239"/>
      <c r="IA33" s="1239"/>
      <c r="IB33" s="1239"/>
      <c r="IC33" s="1239"/>
      <c r="ID33" s="1239"/>
      <c r="IE33" s="1239"/>
      <c r="IF33" s="1239"/>
    </row>
    <row r="34" spans="2:240" ht="15">
      <c r="B34" s="97"/>
      <c r="C34" s="330" t="s">
        <v>254</v>
      </c>
      <c r="AX34" s="125"/>
      <c r="AY34" s="125"/>
      <c r="BD34" s="125"/>
      <c r="BE34" s="125"/>
      <c r="BJ34" s="125"/>
      <c r="BK34" s="125"/>
      <c r="BU34" s="167"/>
      <c r="BV34" s="167"/>
      <c r="BW34" s="167"/>
      <c r="BX34" s="167"/>
      <c r="BY34" s="167"/>
      <c r="BZ34" s="167"/>
      <c r="CA34" s="167"/>
      <c r="CB34" s="167"/>
      <c r="CC34" s="167"/>
      <c r="CD34" s="167"/>
      <c r="CE34" s="167"/>
      <c r="CF34" s="167"/>
      <c r="CG34" s="167"/>
      <c r="CH34" s="167"/>
      <c r="CI34" s="167"/>
      <c r="CJ34" s="167"/>
      <c r="CK34" s="167"/>
      <c r="CL34" s="167"/>
      <c r="CM34" s="167"/>
      <c r="DD34" s="167"/>
      <c r="DE34" s="167"/>
      <c r="DF34" s="167"/>
      <c r="DG34" s="167"/>
      <c r="DH34" s="167"/>
      <c r="DI34" s="167"/>
      <c r="DJ34" s="167"/>
      <c r="DK34" s="167"/>
      <c r="DL34" s="167"/>
      <c r="DM34" s="167"/>
      <c r="DN34" s="167"/>
      <c r="DO34" s="167"/>
      <c r="DP34" s="167"/>
      <c r="DQ34" s="167"/>
      <c r="EI34" s="941"/>
      <c r="FL34" s="690"/>
      <c r="FM34" s="690"/>
      <c r="FN34" s="690"/>
      <c r="FO34" s="690"/>
      <c r="FP34" s="690"/>
      <c r="FQ34" s="690"/>
      <c r="FR34" s="690"/>
      <c r="FS34" s="690"/>
      <c r="FT34" s="690"/>
      <c r="FU34" s="690"/>
      <c r="FV34" s="690"/>
      <c r="FW34" s="690"/>
      <c r="FX34" s="690"/>
      <c r="FY34" s="690"/>
      <c r="FZ34" s="690"/>
      <c r="HE34" s="1239"/>
      <c r="HF34" s="1239"/>
      <c r="HG34" s="1239"/>
      <c r="HH34" s="1239"/>
      <c r="HI34" s="1239"/>
      <c r="HJ34" s="1239"/>
      <c r="HK34" s="1239"/>
      <c r="HL34" s="1239"/>
      <c r="HM34" s="1239"/>
      <c r="HN34" s="1239"/>
      <c r="HO34" s="1239"/>
      <c r="HP34" s="1239"/>
      <c r="HQ34" s="1239"/>
      <c r="HR34" s="1239"/>
      <c r="HS34" s="1241"/>
      <c r="HT34" s="1239"/>
      <c r="HU34" s="1239"/>
      <c r="HV34" s="1239"/>
      <c r="HW34" s="1239"/>
      <c r="HX34" s="1239"/>
      <c r="HY34" s="1239"/>
      <c r="HZ34" s="1239"/>
      <c r="IA34" s="1239"/>
      <c r="IB34" s="1239"/>
      <c r="IC34" s="1239"/>
      <c r="ID34" s="1239"/>
      <c r="IE34" s="1239"/>
      <c r="IF34" s="1239"/>
    </row>
    <row r="35" spans="2:240" ht="10.5" customHeight="1">
      <c r="B35" s="97"/>
      <c r="AT35" s="331" t="str">
        <f ca="1">IF(AV35="","","Scenario 1")</f>
        <v>Scenario 1</v>
      </c>
      <c r="AU35" s="332"/>
      <c r="AV35" s="333" t="str">
        <f ca="1">IF(OFFSET('Step 1'!$G$21,$A$1,0)=0,"",OFFSET('Step 1'!$G$21,$A$1,0)&amp;" months term")</f>
        <v>1 months term</v>
      </c>
      <c r="AW35" s="332"/>
      <c r="AX35" s="88" t="str">
        <f ca="1">IF(AT35="","","Std Pricing: "&amp;OFFSET(DJ35,0,$AU$1))</f>
        <v>Std Pricing: MTM</v>
      </c>
      <c r="AY35" s="88"/>
      <c r="AZ35" s="334" t="str">
        <f ca="1">IF(BB35="","","Scenario 2")</f>
        <v>Scenario 2</v>
      </c>
      <c r="BA35" s="335"/>
      <c r="BB35" s="336" t="str">
        <f ca="1">IF(OFFSET('Step 1'!$G$21,$A$1,1)=0,"",OFFSET('Step 1'!$G$21,$A$1,1)&amp;" months term")</f>
        <v>2 months term</v>
      </c>
      <c r="BC35" s="337"/>
      <c r="BD35" s="85" t="str">
        <f ca="1">IF(AZ35="","","Std Pricing: "&amp;OFFSET(DJ35,0,$AV$1))</f>
        <v>Std Pricing: MTM</v>
      </c>
      <c r="BE35" s="85"/>
      <c r="BF35" s="331" t="str">
        <f ca="1">IF(BH35="","","Scenario 3")</f>
        <v>Scenario 3</v>
      </c>
      <c r="BG35" s="338"/>
      <c r="BH35" s="333" t="str">
        <f ca="1">IF(OFFSET('Step 1'!$G$21,$A$1,2)=0,"",OFFSET('Step 1'!$G$21,$A$1,2)&amp;" months term")</f>
        <v>3 months term</v>
      </c>
      <c r="BI35" s="332"/>
      <c r="BJ35" s="88" t="str">
        <f ca="1">IF(BF35="","","Std Pricing: "&amp;OFFSET(DJ35,0,$AW$1))</f>
        <v>Std Pricing: MTM</v>
      </c>
      <c r="BK35" s="99"/>
      <c r="BL35" s="97"/>
      <c r="BU35" s="167"/>
      <c r="BV35" s="167"/>
      <c r="BW35" s="167"/>
      <c r="BX35" s="167"/>
      <c r="BY35" s="167"/>
      <c r="BZ35" s="167"/>
      <c r="CA35" s="167"/>
      <c r="CB35" s="167"/>
      <c r="CC35" s="167"/>
      <c r="CD35" s="167"/>
      <c r="CE35" s="167"/>
      <c r="CF35" s="167"/>
      <c r="CG35" s="167"/>
      <c r="CH35" s="167"/>
      <c r="CI35" s="167"/>
      <c r="CJ35" s="167"/>
      <c r="CK35" s="167"/>
      <c r="CL35" s="167"/>
      <c r="CM35" s="167"/>
      <c r="DD35" s="167"/>
      <c r="DE35" s="167"/>
      <c r="DF35" s="167"/>
      <c r="DG35" s="167"/>
      <c r="DH35" s="167"/>
      <c r="DI35" s="167"/>
      <c r="DJ35" s="167"/>
      <c r="DK35" s="167"/>
      <c r="DL35" s="339" t="s">
        <v>8</v>
      </c>
      <c r="DM35" s="339"/>
      <c r="DN35" s="339" t="s">
        <v>9</v>
      </c>
      <c r="DO35" s="339"/>
      <c r="DP35" s="339" t="s">
        <v>10</v>
      </c>
      <c r="DQ35" s="339"/>
      <c r="DR35" s="339" t="s">
        <v>11</v>
      </c>
      <c r="DS35" s="339"/>
      <c r="DT35" s="339" t="s">
        <v>12</v>
      </c>
      <c r="DU35" s="339"/>
      <c r="DV35" s="339" t="s">
        <v>13</v>
      </c>
      <c r="DW35" s="339"/>
      <c r="DX35" s="339" t="s">
        <v>261</v>
      </c>
      <c r="DY35" s="340"/>
      <c r="DZ35" s="341"/>
      <c r="EA35" s="339" t="s">
        <v>211</v>
      </c>
      <c r="EB35" s="339"/>
      <c r="EC35" s="339" t="s">
        <v>214</v>
      </c>
      <c r="ED35" s="340"/>
      <c r="EE35" s="339" t="s">
        <v>10228</v>
      </c>
      <c r="EF35" s="340"/>
      <c r="EG35" s="340"/>
      <c r="EH35" s="340"/>
      <c r="EI35" s="340"/>
      <c r="EJ35" s="342"/>
      <c r="EK35" s="342"/>
      <c r="EL35" s="342"/>
      <c r="EM35" s="342"/>
      <c r="EN35" s="342"/>
      <c r="EO35" s="342"/>
      <c r="ES35" s="339" t="s">
        <v>8</v>
      </c>
      <c r="ET35" s="339"/>
      <c r="EU35" s="339" t="s">
        <v>9</v>
      </c>
      <c r="EV35" s="339"/>
      <c r="EW35" s="339" t="s">
        <v>10</v>
      </c>
      <c r="EX35" s="339"/>
      <c r="EY35" s="339" t="s">
        <v>11</v>
      </c>
      <c r="EZ35" s="339"/>
      <c r="FA35" s="339" t="s">
        <v>12</v>
      </c>
      <c r="FB35" s="339"/>
      <c r="FC35" s="339" t="s">
        <v>13</v>
      </c>
      <c r="FD35" s="339"/>
      <c r="FH35" s="339" t="s">
        <v>211</v>
      </c>
      <c r="FI35" s="339"/>
      <c r="FL35" s="690"/>
      <c r="FM35" s="690"/>
      <c r="FN35" s="690"/>
      <c r="FO35" s="690"/>
      <c r="FP35" s="690"/>
      <c r="FQ35" s="339" t="s">
        <v>8</v>
      </c>
      <c r="FR35" s="339"/>
      <c r="FS35" s="339" t="s">
        <v>9</v>
      </c>
      <c r="FT35" s="339"/>
      <c r="FU35" s="339" t="s">
        <v>10</v>
      </c>
      <c r="FV35" s="339"/>
      <c r="FW35" s="339" t="s">
        <v>11</v>
      </c>
      <c r="FX35" s="339"/>
      <c r="FY35" s="339" t="s">
        <v>12</v>
      </c>
      <c r="FZ35" s="339"/>
      <c r="GA35" s="339" t="s">
        <v>211</v>
      </c>
      <c r="GB35" s="339"/>
      <c r="GC35" s="339" t="s">
        <v>13</v>
      </c>
      <c r="GD35" s="339"/>
      <c r="GL35" s="339" t="s">
        <v>8</v>
      </c>
      <c r="GM35" s="339"/>
      <c r="GN35" s="339" t="s">
        <v>9</v>
      </c>
      <c r="GO35" s="339"/>
      <c r="GP35" s="339" t="s">
        <v>10</v>
      </c>
      <c r="GQ35" s="339"/>
      <c r="GR35" s="339" t="s">
        <v>11</v>
      </c>
      <c r="GS35" s="339"/>
      <c r="GT35" s="339" t="s">
        <v>12</v>
      </c>
      <c r="GU35" s="339"/>
      <c r="GV35" s="339" t="s">
        <v>211</v>
      </c>
      <c r="GW35" s="339"/>
      <c r="GX35" s="339" t="s">
        <v>13</v>
      </c>
      <c r="GY35" s="339"/>
      <c r="HE35" s="1239"/>
      <c r="HF35" s="1239"/>
      <c r="HG35" s="1239"/>
      <c r="HH35" s="1239"/>
      <c r="HI35" s="1239"/>
      <c r="HJ35" s="1239"/>
      <c r="HK35" s="1239"/>
      <c r="HL35" s="1239"/>
      <c r="HM35" s="1239"/>
      <c r="HN35" s="1239"/>
      <c r="HO35" s="1239"/>
      <c r="HP35" s="1239"/>
      <c r="HQ35" s="1239"/>
      <c r="HR35" s="1239"/>
      <c r="HS35" s="1239"/>
      <c r="HT35" s="1239"/>
      <c r="HU35" s="1239"/>
      <c r="HV35" s="1239"/>
      <c r="HW35" s="1239"/>
      <c r="HX35" s="1239"/>
      <c r="HY35" s="1239"/>
      <c r="HZ35" s="1239"/>
      <c r="IA35" s="1239"/>
      <c r="IB35" s="1239"/>
      <c r="IC35" s="1239"/>
      <c r="ID35" s="1239"/>
      <c r="IE35" s="1239"/>
      <c r="IF35" s="1239"/>
    </row>
    <row r="36" spans="2:240" ht="45" customHeight="1">
      <c r="B36" s="97"/>
      <c r="C36" s="49" t="s">
        <v>375</v>
      </c>
      <c r="D36" s="49" t="s">
        <v>375</v>
      </c>
      <c r="E36" s="49" t="s">
        <v>375</v>
      </c>
      <c r="F36" s="49" t="s">
        <v>375</v>
      </c>
      <c r="G36" s="49" t="s">
        <v>375</v>
      </c>
      <c r="H36" s="49" t="s">
        <v>375</v>
      </c>
      <c r="I36" s="49" t="s">
        <v>375</v>
      </c>
      <c r="J36" s="49" t="s">
        <v>375</v>
      </c>
      <c r="K36" s="49" t="s">
        <v>375</v>
      </c>
      <c r="L36" s="49" t="s">
        <v>375</v>
      </c>
      <c r="M36" s="49" t="s">
        <v>375</v>
      </c>
      <c r="N36" s="49" t="s">
        <v>375</v>
      </c>
      <c r="O36" s="49" t="s">
        <v>375</v>
      </c>
      <c r="P36" s="49" t="s">
        <v>375</v>
      </c>
      <c r="Q36" s="49" t="s">
        <v>375</v>
      </c>
      <c r="R36" s="49" t="s">
        <v>375</v>
      </c>
      <c r="S36" s="49" t="s">
        <v>375</v>
      </c>
      <c r="T36" s="49" t="s">
        <v>375</v>
      </c>
      <c r="U36" s="49" t="s">
        <v>375</v>
      </c>
      <c r="V36" s="49" t="s">
        <v>375</v>
      </c>
      <c r="W36" s="49" t="s">
        <v>375</v>
      </c>
      <c r="X36" s="49" t="s">
        <v>375</v>
      </c>
      <c r="Y36" s="49" t="s">
        <v>375</v>
      </c>
      <c r="Z36" s="49" t="s">
        <v>375</v>
      </c>
      <c r="AA36" s="49" t="s">
        <v>375</v>
      </c>
      <c r="AB36" s="49" t="s">
        <v>375</v>
      </c>
      <c r="AC36" s="49" t="s">
        <v>375</v>
      </c>
      <c r="AD36" s="49" t="s">
        <v>375</v>
      </c>
      <c r="AE36" s="49" t="s">
        <v>375</v>
      </c>
      <c r="AF36" s="49" t="s">
        <v>375</v>
      </c>
      <c r="AG36" s="49" t="s">
        <v>375</v>
      </c>
      <c r="AH36" s="49" t="s">
        <v>375</v>
      </c>
      <c r="AI36" s="49" t="s">
        <v>375</v>
      </c>
      <c r="AJ36" s="49" t="s">
        <v>249</v>
      </c>
      <c r="AK36" s="49" t="s">
        <v>250</v>
      </c>
      <c r="AL36" s="49" t="s">
        <v>251</v>
      </c>
      <c r="AM36" s="49" t="s">
        <v>252</v>
      </c>
      <c r="AN36" s="49" t="s">
        <v>197</v>
      </c>
      <c r="AO36" s="49" t="s">
        <v>516</v>
      </c>
      <c r="AP36" s="49" t="s">
        <v>517</v>
      </c>
      <c r="AQ36" s="49" t="s">
        <v>518</v>
      </c>
      <c r="AR36" s="49" t="s">
        <v>388</v>
      </c>
      <c r="AS36" s="70" t="s">
        <v>389</v>
      </c>
      <c r="AT36" s="72" t="s">
        <v>519</v>
      </c>
      <c r="AU36" s="51" t="s">
        <v>520</v>
      </c>
      <c r="AV36" s="51" t="s">
        <v>521</v>
      </c>
      <c r="AW36" s="51" t="s">
        <v>509</v>
      </c>
      <c r="AX36" s="51" t="s">
        <v>510</v>
      </c>
      <c r="AY36" s="66" t="s">
        <v>511</v>
      </c>
      <c r="AZ36" s="77" t="s">
        <v>360</v>
      </c>
      <c r="BA36" s="51" t="s">
        <v>361</v>
      </c>
      <c r="BB36" s="51" t="s">
        <v>362</v>
      </c>
      <c r="BC36" s="51" t="s">
        <v>363</v>
      </c>
      <c r="BD36" s="51" t="s">
        <v>243</v>
      </c>
      <c r="BE36" s="66" t="s">
        <v>244</v>
      </c>
      <c r="BF36" s="72" t="s">
        <v>512</v>
      </c>
      <c r="BG36" s="51" t="s">
        <v>513</v>
      </c>
      <c r="BH36" s="51" t="s">
        <v>514</v>
      </c>
      <c r="BI36" s="51" t="s">
        <v>515</v>
      </c>
      <c r="BJ36" s="51" t="s">
        <v>358</v>
      </c>
      <c r="BK36" s="100" t="s">
        <v>359</v>
      </c>
      <c r="BL36" s="97"/>
      <c r="BU36" s="167"/>
      <c r="BV36" s="167"/>
      <c r="BW36" s="167"/>
      <c r="BX36" s="167"/>
      <c r="BY36" s="167"/>
      <c r="BZ36" s="167"/>
      <c r="CA36" s="167"/>
      <c r="CB36" s="167"/>
      <c r="CC36" s="167"/>
      <c r="CD36" s="167"/>
      <c r="CE36" s="167"/>
      <c r="CF36" s="167"/>
      <c r="CG36" s="167"/>
      <c r="CH36" s="167"/>
      <c r="CI36" s="167"/>
      <c r="CJ36" s="167"/>
      <c r="CK36" s="167"/>
      <c r="CL36" s="167"/>
      <c r="CM36" s="167"/>
      <c r="DD36" s="167"/>
      <c r="DE36" s="167"/>
      <c r="DF36" s="167"/>
      <c r="DG36" s="167"/>
      <c r="DH36" s="167"/>
      <c r="DI36" s="167"/>
      <c r="DJ36" s="167"/>
      <c r="DK36" s="167"/>
      <c r="DL36" s="167"/>
      <c r="DM36" s="167"/>
      <c r="DN36" s="167"/>
      <c r="DO36" s="167"/>
      <c r="DP36" s="167"/>
      <c r="DQ36" s="167"/>
      <c r="DY36" s="97"/>
      <c r="DZ36" s="97"/>
      <c r="ED36" s="97"/>
      <c r="EF36" s="1081"/>
      <c r="EG36" s="1081"/>
      <c r="EH36" s="1081"/>
      <c r="EI36" s="1081"/>
      <c r="EJ36" s="97"/>
      <c r="EK36" s="97"/>
      <c r="EL36" s="97"/>
      <c r="EM36" s="97"/>
      <c r="EN36" s="97"/>
      <c r="EO36" s="97"/>
      <c r="FL36" s="690"/>
      <c r="FM36" s="690"/>
      <c r="FN36" s="690"/>
      <c r="FO36" s="690"/>
      <c r="FP36" s="690"/>
      <c r="FQ36" s="690"/>
      <c r="FR36" s="690"/>
      <c r="FS36" s="690"/>
      <c r="FT36" s="690"/>
      <c r="FU36" s="690"/>
      <c r="FV36" s="690"/>
      <c r="FW36" s="690"/>
      <c r="FX36" s="690"/>
      <c r="FY36" s="690"/>
      <c r="FZ36" s="690"/>
      <c r="HE36" s="1240" t="s">
        <v>10254</v>
      </c>
      <c r="HF36" s="1239"/>
      <c r="HG36" s="1239"/>
      <c r="HH36" s="1239"/>
      <c r="HI36" s="1239"/>
      <c r="HJ36" s="1239"/>
      <c r="HK36" s="1239"/>
      <c r="HL36" s="1239"/>
      <c r="HM36" s="1239"/>
      <c r="HN36" s="1239"/>
      <c r="HO36" s="1239"/>
      <c r="HP36" s="1239"/>
      <c r="HQ36" s="1239"/>
      <c r="HR36" s="1239"/>
      <c r="HS36" s="1240" t="s">
        <v>10253</v>
      </c>
      <c r="HT36" s="1239"/>
      <c r="HU36" s="1239"/>
      <c r="HV36" s="1239"/>
      <c r="HW36" s="1239"/>
      <c r="HX36" s="1239"/>
      <c r="HY36" s="1239"/>
      <c r="HZ36" s="1239"/>
      <c r="IA36" s="1239"/>
      <c r="IB36" s="1239"/>
      <c r="IC36" s="1239"/>
      <c r="ID36" s="1239"/>
      <c r="IE36" s="1239"/>
      <c r="IF36" s="1239"/>
    </row>
    <row r="37" spans="2:240" ht="10.5" customHeight="1">
      <c r="B37" s="97"/>
      <c r="C37" s="343"/>
      <c r="D37" s="343"/>
      <c r="E37" s="343"/>
      <c r="F37" s="343"/>
      <c r="G37" s="343"/>
      <c r="H37" s="343"/>
      <c r="I37" s="343"/>
      <c r="J37" s="343"/>
      <c r="K37" s="343"/>
      <c r="L37" s="343"/>
      <c r="M37" s="343"/>
      <c r="N37" s="343"/>
      <c r="O37" s="343"/>
      <c r="P37" s="343"/>
      <c r="Q37" s="343"/>
      <c r="R37" s="343"/>
      <c r="S37" s="343"/>
      <c r="T37" s="343"/>
      <c r="U37" s="343"/>
      <c r="V37" s="343"/>
      <c r="W37" s="343"/>
      <c r="X37" s="343"/>
      <c r="Y37" s="343"/>
      <c r="Z37" s="343"/>
      <c r="AA37" s="343"/>
      <c r="AB37" s="343"/>
      <c r="AC37" s="343"/>
      <c r="AD37" s="343"/>
      <c r="AE37" s="343"/>
      <c r="AF37" s="343"/>
      <c r="AG37" s="343"/>
      <c r="AH37" s="343"/>
      <c r="AI37" s="343"/>
      <c r="AJ37" s="343"/>
      <c r="AK37" s="343"/>
      <c r="AL37" s="343"/>
      <c r="AM37" s="343"/>
      <c r="AN37" s="343"/>
      <c r="AO37" s="343"/>
      <c r="AP37" s="343"/>
      <c r="AQ37" s="343"/>
      <c r="AR37" s="343"/>
      <c r="AS37" s="344"/>
      <c r="AT37" s="345"/>
      <c r="AU37" s="343"/>
      <c r="AV37" s="53"/>
      <c r="AW37" s="53"/>
      <c r="AX37" s="54"/>
      <c r="AY37" s="54"/>
      <c r="AZ37" s="346"/>
      <c r="BA37" s="343"/>
      <c r="BB37" s="53"/>
      <c r="BC37" s="53"/>
      <c r="BD37" s="54"/>
      <c r="BE37" s="54"/>
      <c r="BF37" s="345"/>
      <c r="BG37" s="343"/>
      <c r="BH37" s="53"/>
      <c r="BI37" s="53"/>
      <c r="BJ37" s="54"/>
      <c r="BK37" s="101"/>
      <c r="BL37" s="97"/>
      <c r="BU37" s="167"/>
      <c r="BV37" s="167"/>
      <c r="BW37" s="167"/>
      <c r="BX37" s="167"/>
      <c r="BY37" s="167"/>
      <c r="BZ37" s="167"/>
      <c r="CA37" s="167"/>
      <c r="CB37" s="167"/>
      <c r="CC37" s="167"/>
      <c r="CD37" s="167"/>
      <c r="CE37" s="167"/>
      <c r="CF37" s="167"/>
      <c r="CG37" s="167"/>
      <c r="CH37" s="167"/>
      <c r="CI37" s="167"/>
      <c r="CJ37" s="167"/>
      <c r="CK37" s="167"/>
      <c r="CL37" s="167"/>
      <c r="CM37" s="167"/>
      <c r="DD37" s="167"/>
      <c r="DE37" s="167"/>
      <c r="DF37" s="167"/>
      <c r="DG37" s="167"/>
      <c r="DH37" s="339" t="s">
        <v>631</v>
      </c>
      <c r="DI37" s="339" t="s">
        <v>632</v>
      </c>
      <c r="DJ37" s="339" t="s">
        <v>379</v>
      </c>
      <c r="DK37" s="339" t="s">
        <v>575</v>
      </c>
      <c r="DL37" s="339" t="s">
        <v>380</v>
      </c>
      <c r="DM37" s="339" t="s">
        <v>381</v>
      </c>
      <c r="DN37" s="339" t="s">
        <v>382</v>
      </c>
      <c r="DO37" s="339" t="s">
        <v>383</v>
      </c>
      <c r="DP37" s="339" t="s">
        <v>384</v>
      </c>
      <c r="DQ37" s="339" t="s">
        <v>385</v>
      </c>
      <c r="DR37" s="339" t="s">
        <v>386</v>
      </c>
      <c r="DS37" s="339" t="s">
        <v>387</v>
      </c>
      <c r="DT37" s="339" t="s">
        <v>390</v>
      </c>
      <c r="DU37" s="339" t="s">
        <v>391</v>
      </c>
      <c r="DV37" s="339" t="s">
        <v>392</v>
      </c>
      <c r="DW37" s="339" t="s">
        <v>393</v>
      </c>
      <c r="DX37" s="339" t="s">
        <v>197</v>
      </c>
      <c r="DY37" s="339" t="s">
        <v>262</v>
      </c>
      <c r="DZ37" s="339" t="s">
        <v>263</v>
      </c>
      <c r="EA37" s="339" t="s">
        <v>212</v>
      </c>
      <c r="EB37" s="339" t="s">
        <v>213</v>
      </c>
      <c r="EC37" s="339" t="s">
        <v>215</v>
      </c>
      <c r="ED37" s="339" t="s">
        <v>14</v>
      </c>
      <c r="EE37" s="339" t="s">
        <v>8005</v>
      </c>
      <c r="EF37" s="339" t="s">
        <v>10229</v>
      </c>
      <c r="EG37" s="339"/>
      <c r="EH37" s="339"/>
      <c r="EI37" s="339"/>
      <c r="EJ37" s="342"/>
      <c r="EK37" s="342"/>
      <c r="EL37" s="342"/>
      <c r="EM37" s="342"/>
      <c r="EN37" s="342"/>
      <c r="EO37" s="342"/>
      <c r="EQ37" s="339" t="s">
        <v>379</v>
      </c>
      <c r="ER37" s="339" t="s">
        <v>575</v>
      </c>
      <c r="ES37" s="339" t="s">
        <v>380</v>
      </c>
      <c r="ET37" s="339" t="s">
        <v>381</v>
      </c>
      <c r="EU37" s="339" t="s">
        <v>382</v>
      </c>
      <c r="EV37" s="339" t="s">
        <v>383</v>
      </c>
      <c r="EW37" s="339" t="s">
        <v>384</v>
      </c>
      <c r="EX37" s="339" t="s">
        <v>385</v>
      </c>
      <c r="EY37" s="339" t="s">
        <v>386</v>
      </c>
      <c r="EZ37" s="339" t="s">
        <v>387</v>
      </c>
      <c r="FA37" s="339" t="s">
        <v>390</v>
      </c>
      <c r="FB37" s="339" t="s">
        <v>391</v>
      </c>
      <c r="FC37" s="339" t="s">
        <v>392</v>
      </c>
      <c r="FD37" s="339" t="s">
        <v>393</v>
      </c>
      <c r="FH37" s="339" t="s">
        <v>212</v>
      </c>
      <c r="FI37" s="339" t="s">
        <v>213</v>
      </c>
      <c r="FL37" s="339" t="s">
        <v>9596</v>
      </c>
      <c r="FM37" s="339" t="s">
        <v>9597</v>
      </c>
      <c r="FN37" s="339" t="s">
        <v>9598</v>
      </c>
      <c r="FO37" s="339" t="s">
        <v>9599</v>
      </c>
      <c r="FP37" s="339" t="s">
        <v>9600</v>
      </c>
      <c r="FQ37" s="339" t="s">
        <v>380</v>
      </c>
      <c r="FR37" s="339" t="s">
        <v>381</v>
      </c>
      <c r="FS37" s="339" t="s">
        <v>382</v>
      </c>
      <c r="FT37" s="339" t="s">
        <v>383</v>
      </c>
      <c r="FU37" s="339" t="s">
        <v>384</v>
      </c>
      <c r="FV37" s="339" t="s">
        <v>385</v>
      </c>
      <c r="FW37" s="339" t="s">
        <v>386</v>
      </c>
      <c r="FX37" s="339" t="s">
        <v>387</v>
      </c>
      <c r="FY37" s="339" t="s">
        <v>390</v>
      </c>
      <c r="FZ37" s="339" t="s">
        <v>391</v>
      </c>
      <c r="GA37" s="339" t="s">
        <v>212</v>
      </c>
      <c r="GB37" s="339" t="s">
        <v>213</v>
      </c>
      <c r="GC37" s="339" t="s">
        <v>392</v>
      </c>
      <c r="GD37" s="339" t="s">
        <v>393</v>
      </c>
      <c r="GG37" s="339" t="s">
        <v>9596</v>
      </c>
      <c r="GH37" s="339" t="s">
        <v>9597</v>
      </c>
      <c r="GI37" s="339" t="s">
        <v>9598</v>
      </c>
      <c r="GJ37" s="339" t="s">
        <v>9599</v>
      </c>
      <c r="GK37" s="339" t="s">
        <v>9600</v>
      </c>
      <c r="GL37" s="339" t="s">
        <v>380</v>
      </c>
      <c r="GM37" s="339" t="s">
        <v>381</v>
      </c>
      <c r="GN37" s="339" t="s">
        <v>382</v>
      </c>
      <c r="GO37" s="339" t="s">
        <v>383</v>
      </c>
      <c r="GP37" s="339" t="s">
        <v>384</v>
      </c>
      <c r="GQ37" s="339" t="s">
        <v>385</v>
      </c>
      <c r="GR37" s="339" t="s">
        <v>386</v>
      </c>
      <c r="GS37" s="339" t="s">
        <v>387</v>
      </c>
      <c r="GT37" s="339" t="s">
        <v>390</v>
      </c>
      <c r="GU37" s="339" t="s">
        <v>391</v>
      </c>
      <c r="GV37" s="339" t="s">
        <v>212</v>
      </c>
      <c r="GW37" s="339" t="s">
        <v>213</v>
      </c>
      <c r="GX37" s="339" t="s">
        <v>392</v>
      </c>
      <c r="GY37" s="339" t="s">
        <v>393</v>
      </c>
      <c r="HE37" s="339" t="s">
        <v>380</v>
      </c>
      <c r="HF37" s="339" t="s">
        <v>381</v>
      </c>
      <c r="HG37" s="339" t="s">
        <v>382</v>
      </c>
      <c r="HH37" s="339" t="s">
        <v>383</v>
      </c>
      <c r="HI37" s="339" t="s">
        <v>384</v>
      </c>
      <c r="HJ37" s="339" t="s">
        <v>385</v>
      </c>
      <c r="HK37" s="339" t="s">
        <v>386</v>
      </c>
      <c r="HL37" s="339" t="s">
        <v>387</v>
      </c>
      <c r="HM37" s="339" t="s">
        <v>390</v>
      </c>
      <c r="HN37" s="339" t="s">
        <v>391</v>
      </c>
      <c r="HO37" s="339" t="s">
        <v>212</v>
      </c>
      <c r="HP37" s="339" t="s">
        <v>213</v>
      </c>
      <c r="HQ37" s="339" t="s">
        <v>392</v>
      </c>
      <c r="HR37" s="339" t="s">
        <v>393</v>
      </c>
      <c r="HS37" s="339" t="s">
        <v>380</v>
      </c>
      <c r="HT37" s="339" t="s">
        <v>381</v>
      </c>
      <c r="HU37" s="339" t="s">
        <v>382</v>
      </c>
      <c r="HV37" s="339" t="s">
        <v>383</v>
      </c>
      <c r="HW37" s="339" t="s">
        <v>384</v>
      </c>
      <c r="HX37" s="339" t="s">
        <v>385</v>
      </c>
      <c r="HY37" s="339" t="s">
        <v>386</v>
      </c>
      <c r="HZ37" s="339" t="s">
        <v>387</v>
      </c>
      <c r="IA37" s="339" t="s">
        <v>390</v>
      </c>
      <c r="IB37" s="339" t="s">
        <v>391</v>
      </c>
      <c r="IC37" s="339" t="s">
        <v>212</v>
      </c>
      <c r="ID37" s="339" t="s">
        <v>213</v>
      </c>
      <c r="IE37" s="339" t="s">
        <v>392</v>
      </c>
      <c r="IF37" s="339" t="s">
        <v>393</v>
      </c>
    </row>
    <row r="38" spans="2:240" s="1082" customFormat="1" ht="12.75">
      <c r="C38" s="120"/>
      <c r="D38" s="120"/>
      <c r="E38" s="120"/>
      <c r="F38" s="120"/>
      <c r="G38" s="120"/>
      <c r="H38" s="120"/>
      <c r="I38" s="120"/>
      <c r="J38" s="120"/>
      <c r="K38" s="120"/>
      <c r="L38" s="120"/>
      <c r="M38" s="120"/>
      <c r="N38" s="120"/>
      <c r="O38" s="120"/>
      <c r="P38" s="120"/>
      <c r="Q38" s="120"/>
      <c r="R38" s="120"/>
      <c r="S38" s="120"/>
      <c r="T38" s="120"/>
      <c r="U38" s="120"/>
      <c r="V38" s="120"/>
      <c r="W38" s="120"/>
      <c r="X38" s="120"/>
      <c r="Y38" s="120"/>
      <c r="Z38" s="120"/>
      <c r="AA38" s="120"/>
      <c r="AB38" s="120"/>
      <c r="AC38" s="120"/>
      <c r="AD38" s="120"/>
      <c r="AE38" s="120"/>
      <c r="AF38" s="120"/>
      <c r="AG38" s="120"/>
      <c r="AH38" s="120"/>
      <c r="AI38" s="120"/>
      <c r="AJ38" s="59"/>
      <c r="AK38" s="59"/>
      <c r="AL38" s="59"/>
      <c r="AM38" s="59"/>
      <c r="AN38" s="59"/>
      <c r="AO38" s="59"/>
      <c r="AP38" s="59"/>
      <c r="AQ38" s="59"/>
      <c r="AR38" s="59"/>
      <c r="AS38" s="67"/>
      <c r="AT38" s="74"/>
      <c r="AU38" s="63"/>
      <c r="AV38" s="59"/>
      <c r="AW38" s="59"/>
      <c r="AX38" s="59"/>
      <c r="AY38" s="67"/>
      <c r="AZ38" s="79"/>
      <c r="BA38" s="63"/>
      <c r="BB38" s="59"/>
      <c r="BC38" s="59"/>
      <c r="BD38" s="59"/>
      <c r="BE38" s="67"/>
      <c r="BF38" s="74"/>
      <c r="BG38" s="63"/>
      <c r="BH38" s="59"/>
      <c r="BI38" s="59"/>
      <c r="BJ38" s="59"/>
      <c r="BK38" s="102"/>
      <c r="BV38" s="1065"/>
      <c r="BW38" s="1065"/>
      <c r="BX38" s="1065"/>
      <c r="BY38" s="1065"/>
      <c r="BZ38" s="1065"/>
      <c r="CA38" s="1065"/>
      <c r="DH38" s="347"/>
      <c r="DI38" s="347"/>
      <c r="DJ38" s="347"/>
      <c r="DK38" s="347"/>
      <c r="DL38" s="96"/>
      <c r="DM38" s="96"/>
      <c r="DN38" s="96"/>
      <c r="DO38" s="96"/>
      <c r="DP38" s="96"/>
      <c r="DQ38" s="96"/>
      <c r="DR38" s="96"/>
      <c r="DS38" s="96"/>
      <c r="DT38" s="96"/>
      <c r="DU38" s="96"/>
      <c r="DV38" s="96"/>
      <c r="DW38" s="96"/>
      <c r="DX38" s="113"/>
      <c r="DY38" s="113"/>
      <c r="DZ38" s="113"/>
      <c r="EA38" s="96"/>
      <c r="EB38" s="96"/>
      <c r="EC38" s="113"/>
      <c r="ED38" s="113"/>
      <c r="EE38" s="113"/>
      <c r="EF38" s="113"/>
      <c r="EG38" s="113"/>
      <c r="EH38" s="113"/>
      <c r="EI38" s="113"/>
      <c r="EJ38" s="119"/>
      <c r="EK38" s="119"/>
      <c r="EL38" s="119"/>
      <c r="EM38" s="119"/>
      <c r="EN38" s="119"/>
      <c r="EO38" s="119"/>
      <c r="EQ38" s="347"/>
      <c r="ER38" s="347"/>
      <c r="ES38" s="96"/>
      <c r="ET38" s="96"/>
      <c r="EU38" s="96"/>
      <c r="EV38" s="96"/>
      <c r="EW38" s="96"/>
      <c r="EX38" s="96"/>
      <c r="EY38" s="96"/>
      <c r="EZ38" s="96"/>
      <c r="FA38" s="96"/>
      <c r="FB38" s="96"/>
      <c r="FC38" s="96"/>
      <c r="FD38" s="96"/>
      <c r="FH38" s="96"/>
      <c r="FI38" s="96"/>
      <c r="FL38" s="347"/>
      <c r="FM38" s="347"/>
      <c r="FN38" s="347"/>
      <c r="FO38" s="347"/>
      <c r="FP38" s="347"/>
      <c r="FQ38" s="96"/>
      <c r="FR38" s="96"/>
      <c r="FS38" s="96"/>
      <c r="FT38" s="96"/>
      <c r="FU38" s="96"/>
      <c r="FV38" s="96"/>
      <c r="FW38" s="96"/>
      <c r="FX38" s="96"/>
      <c r="FY38" s="96"/>
      <c r="FZ38" s="96"/>
      <c r="GA38" s="96"/>
      <c r="GB38" s="96"/>
      <c r="GC38" s="96"/>
      <c r="GD38" s="96"/>
      <c r="GE38" s="1065"/>
      <c r="GF38" s="1065"/>
      <c r="GG38" s="347"/>
      <c r="GH38" s="347"/>
      <c r="GI38" s="347"/>
      <c r="GJ38" s="347"/>
      <c r="GK38" s="347"/>
      <c r="GL38" s="96"/>
      <c r="GM38" s="96"/>
      <c r="GN38" s="96"/>
      <c r="GO38" s="96"/>
      <c r="GP38" s="96"/>
      <c r="GQ38" s="96"/>
      <c r="GR38" s="96"/>
      <c r="GS38" s="96"/>
      <c r="GT38" s="96"/>
      <c r="GU38" s="96"/>
      <c r="GV38" s="96"/>
      <c r="GW38" s="96"/>
      <c r="GX38" s="96"/>
      <c r="GY38" s="96"/>
      <c r="HE38" s="113"/>
      <c r="HF38" s="113"/>
      <c r="HG38" s="113"/>
      <c r="HH38" s="113"/>
      <c r="HI38" s="113"/>
      <c r="HJ38" s="113"/>
      <c r="HK38" s="113"/>
      <c r="HL38" s="113"/>
      <c r="HM38" s="113"/>
      <c r="HN38" s="113"/>
      <c r="HO38" s="113"/>
      <c r="HP38" s="113"/>
      <c r="HQ38" s="113"/>
      <c r="HR38" s="113"/>
      <c r="HS38" s="113"/>
      <c r="HT38" s="113"/>
      <c r="HU38" s="113"/>
      <c r="HV38" s="113"/>
      <c r="HW38" s="113"/>
      <c r="HX38" s="113"/>
      <c r="HY38" s="113"/>
      <c r="HZ38" s="113"/>
      <c r="IA38" s="113"/>
      <c r="IB38" s="113"/>
      <c r="IC38" s="113"/>
      <c r="ID38" s="113"/>
      <c r="IE38" s="113"/>
      <c r="IF38" s="113"/>
    </row>
    <row r="39" spans="2:240" s="1082" customFormat="1" ht="12.75">
      <c r="C39" s="120"/>
      <c r="D39" s="120"/>
      <c r="E39" s="120"/>
      <c r="F39" s="120"/>
      <c r="G39" s="120"/>
      <c r="H39" s="120"/>
      <c r="I39" s="120"/>
      <c r="J39" s="120"/>
      <c r="K39" s="120"/>
      <c r="L39" s="120"/>
      <c r="M39" s="120"/>
      <c r="N39" s="120"/>
      <c r="O39" s="120"/>
      <c r="P39" s="120"/>
      <c r="Q39" s="120"/>
      <c r="R39" s="120"/>
      <c r="S39" s="120"/>
      <c r="T39" s="120"/>
      <c r="U39" s="120"/>
      <c r="V39" s="120"/>
      <c r="W39" s="120"/>
      <c r="X39" s="120"/>
      <c r="Y39" s="120"/>
      <c r="Z39" s="120"/>
      <c r="AA39" s="120"/>
      <c r="AB39" s="120"/>
      <c r="AC39" s="120"/>
      <c r="AD39" s="120"/>
      <c r="AE39" s="120"/>
      <c r="AF39" s="120"/>
      <c r="AG39" s="120"/>
      <c r="AH39" s="120"/>
      <c r="AI39" s="120"/>
      <c r="AJ39" s="60"/>
      <c r="AK39" s="60"/>
      <c r="AL39" s="60"/>
      <c r="AM39" s="60"/>
      <c r="AN39" s="59"/>
      <c r="AO39" s="60"/>
      <c r="AP39" s="60"/>
      <c r="AQ39" s="60"/>
      <c r="AR39" s="60"/>
      <c r="AS39" s="68"/>
      <c r="AT39" s="75"/>
      <c r="AU39" s="64"/>
      <c r="AV39" s="60"/>
      <c r="AW39" s="60"/>
      <c r="AX39" s="60"/>
      <c r="AY39" s="68"/>
      <c r="AZ39" s="80"/>
      <c r="BA39" s="64"/>
      <c r="BB39" s="60"/>
      <c r="BC39" s="60"/>
      <c r="BD39" s="60"/>
      <c r="BE39" s="68"/>
      <c r="BF39" s="75"/>
      <c r="BG39" s="64"/>
      <c r="BH39" s="60"/>
      <c r="BI39" s="60"/>
      <c r="BJ39" s="60"/>
      <c r="BK39" s="103"/>
      <c r="BX39" s="1065"/>
      <c r="BY39" s="1065"/>
      <c r="BZ39" s="1065"/>
      <c r="CA39" s="1065"/>
      <c r="DH39" s="347"/>
      <c r="DI39" s="347"/>
      <c r="DJ39" s="347"/>
      <c r="DK39" s="347"/>
      <c r="DL39" s="96"/>
      <c r="DM39" s="96"/>
      <c r="DN39" s="96"/>
      <c r="DO39" s="96"/>
      <c r="DP39" s="96"/>
      <c r="DQ39" s="96"/>
      <c r="DR39" s="96"/>
      <c r="DS39" s="96"/>
      <c r="DT39" s="96"/>
      <c r="DU39" s="96"/>
      <c r="DV39" s="96"/>
      <c r="DW39" s="96"/>
      <c r="DX39" s="113"/>
      <c r="DY39" s="113"/>
      <c r="DZ39" s="113"/>
      <c r="EA39" s="96"/>
      <c r="EB39" s="96"/>
      <c r="EC39" s="113"/>
      <c r="ED39" s="113"/>
      <c r="EE39" s="113"/>
      <c r="EF39" s="113"/>
      <c r="EG39" s="113"/>
      <c r="EH39" s="113"/>
      <c r="EI39" s="113"/>
      <c r="EJ39" s="119"/>
      <c r="EK39" s="119"/>
      <c r="EL39" s="119"/>
      <c r="EM39" s="119"/>
      <c r="EN39" s="119"/>
      <c r="EO39" s="119"/>
      <c r="EQ39" s="347"/>
      <c r="ER39" s="347"/>
      <c r="ES39" s="96"/>
      <c r="ET39" s="96"/>
      <c r="EU39" s="96"/>
      <c r="EV39" s="96"/>
      <c r="EW39" s="96"/>
      <c r="EX39" s="96"/>
      <c r="EY39" s="96"/>
      <c r="EZ39" s="96"/>
      <c r="FA39" s="96"/>
      <c r="FB39" s="96"/>
      <c r="FC39" s="96"/>
      <c r="FD39" s="96"/>
      <c r="FH39" s="96"/>
      <c r="FI39" s="96"/>
      <c r="FL39" s="347"/>
      <c r="FM39" s="347"/>
      <c r="FN39" s="347"/>
      <c r="FO39" s="347"/>
      <c r="FP39" s="347"/>
      <c r="FQ39" s="96"/>
      <c r="FR39" s="96"/>
      <c r="FS39" s="96"/>
      <c r="FT39" s="96"/>
      <c r="FU39" s="96"/>
      <c r="FV39" s="96"/>
      <c r="FW39" s="96"/>
      <c r="FX39" s="96"/>
      <c r="FY39" s="96"/>
      <c r="FZ39" s="96"/>
      <c r="GA39" s="96"/>
      <c r="GB39" s="96"/>
      <c r="GC39" s="96"/>
      <c r="GD39" s="96"/>
      <c r="GE39" s="1065"/>
      <c r="GF39" s="1065"/>
      <c r="GG39" s="347"/>
      <c r="GH39" s="347"/>
      <c r="GI39" s="347"/>
      <c r="GJ39" s="347"/>
      <c r="GK39" s="347"/>
      <c r="GL39" s="96"/>
      <c r="GM39" s="96"/>
      <c r="GN39" s="96"/>
      <c r="GO39" s="96"/>
      <c r="GP39" s="96"/>
      <c r="GQ39" s="96"/>
      <c r="GR39" s="96"/>
      <c r="GS39" s="96"/>
      <c r="GT39" s="96"/>
      <c r="GU39" s="96"/>
      <c r="GV39" s="96"/>
      <c r="GW39" s="96"/>
      <c r="GX39" s="96"/>
      <c r="GY39" s="96"/>
      <c r="HE39" s="113"/>
      <c r="HF39" s="113"/>
      <c r="HG39" s="113"/>
      <c r="HH39" s="113"/>
      <c r="HI39" s="113"/>
      <c r="HJ39" s="113"/>
      <c r="HK39" s="113"/>
      <c r="HL39" s="113"/>
      <c r="HM39" s="113"/>
      <c r="HN39" s="113"/>
      <c r="HO39" s="113"/>
      <c r="HP39" s="113"/>
      <c r="HQ39" s="113"/>
      <c r="HR39" s="113"/>
      <c r="HS39" s="113"/>
      <c r="HT39" s="113"/>
      <c r="HU39" s="113"/>
      <c r="HV39" s="113"/>
      <c r="HW39" s="113"/>
      <c r="HX39" s="113"/>
      <c r="HY39" s="113"/>
      <c r="HZ39" s="113"/>
      <c r="IA39" s="113"/>
      <c r="IB39" s="113"/>
      <c r="IC39" s="113"/>
      <c r="ID39" s="113"/>
      <c r="IE39" s="113"/>
      <c r="IF39" s="113"/>
    </row>
    <row r="40" spans="2:240" ht="10.5" customHeight="1">
      <c r="B40" s="97"/>
      <c r="C40" s="348"/>
      <c r="D40" s="348"/>
      <c r="E40" s="348"/>
      <c r="F40" s="348"/>
      <c r="G40" s="348"/>
      <c r="H40" s="348"/>
      <c r="I40" s="348"/>
      <c r="J40" s="348"/>
      <c r="K40" s="348"/>
      <c r="L40" s="348"/>
      <c r="M40" s="348"/>
      <c r="N40" s="348"/>
      <c r="O40" s="348"/>
      <c r="P40" s="348"/>
      <c r="Q40" s="348"/>
      <c r="R40" s="348"/>
      <c r="S40" s="348"/>
      <c r="T40" s="348"/>
      <c r="U40" s="348"/>
      <c r="V40" s="348"/>
      <c r="W40" s="348"/>
      <c r="X40" s="348"/>
      <c r="Y40" s="348"/>
      <c r="Z40" s="348"/>
      <c r="AA40" s="348"/>
      <c r="AB40" s="348"/>
      <c r="AC40" s="348"/>
      <c r="AD40" s="348"/>
      <c r="AE40" s="348"/>
      <c r="AF40" s="348"/>
      <c r="AG40" s="348"/>
      <c r="AH40" s="348"/>
      <c r="AI40" s="348" t="s">
        <v>253</v>
      </c>
      <c r="AJ40" s="55">
        <f>SUM(AJ38:AJ39)</f>
        <v>0</v>
      </c>
      <c r="AK40" s="56">
        <f>SUM(AK38:AK39)</f>
        <v>0</v>
      </c>
      <c r="AL40" s="56">
        <f>SUM(AL38:AL39)</f>
        <v>0</v>
      </c>
      <c r="AM40" s="56">
        <f>SUM(AM38:AM39)</f>
        <v>0</v>
      </c>
      <c r="AN40" s="58"/>
      <c r="AO40" s="58">
        <f>SUMPRODUCT(AJ38:AJ39,AO38:AO39,DZ38:DZ39)+SUMPRODUCT(AK38:AK39,AO38:AO39,DZ38:DZ39)</f>
        <v>0</v>
      </c>
      <c r="AP40" s="58">
        <f>SUMPRODUCT(AJ38:AJ39,AP38:AP39,DZ38:DZ39)</f>
        <v>0</v>
      </c>
      <c r="AQ40" s="58">
        <f>SUMPRODUCT(AJ38:AJ39,AQ38:AQ39,DZ38:DZ39)+SUMPRODUCT(AK38:AK39,AQ38:AQ39,DZ38:DZ39)</f>
        <v>0</v>
      </c>
      <c r="AR40" s="58">
        <f>SUMPRODUCT(AJ38:AJ39,AR38:AR39,DZ38:DZ39)+SUMPRODUCT(AK38:AK39,AR38:AR39,DZ38:DZ39)</f>
        <v>0</v>
      </c>
      <c r="AS40" s="69">
        <f>SUMPRODUCT(AJ38:AJ39,AS38:AS39,DZ38:DZ39)</f>
        <v>0</v>
      </c>
      <c r="AT40" s="76">
        <f>SUMPRODUCT(AJ38:AJ39,AT38:AT39,DZ38:DZ39)+SUMPRODUCT(AK38:AK39,AT38:AT39,DZ38:DZ39)</f>
        <v>0</v>
      </c>
      <c r="AU40" s="58">
        <f>SUMPRODUCT(AJ38:AJ39,AU38:AU39,DZ38:DZ39)</f>
        <v>0</v>
      </c>
      <c r="AV40" s="57">
        <f>IF(AT40=0,0,(AT40-AX40)/AT40)</f>
        <v>0</v>
      </c>
      <c r="AW40" s="57">
        <f>IF(AU40=0,0,(AU40-AY40)/AU40)</f>
        <v>0</v>
      </c>
      <c r="AX40" s="58">
        <f>SUMPRODUCT(AJ38:AJ39,AX38:AX39,DZ38:DZ39)+SUMPRODUCT(AK38:AK39,AX38:AX39,DZ38:DZ39)</f>
        <v>0</v>
      </c>
      <c r="AY40" s="69">
        <f>SUMPRODUCT(AJ38:AJ39,AY38:AY39,DZ38:DZ39)</f>
        <v>0</v>
      </c>
      <c r="AZ40" s="81">
        <f>SUMPRODUCT(AJ38:AJ39,AZ38:AZ39,DZ38:DZ39)+SUMPRODUCT(AK38:AK39,AZ38:AZ39,DZ38:DZ39)</f>
        <v>0</v>
      </c>
      <c r="BA40" s="58">
        <f>SUMPRODUCT(AJ38:AJ39,BA38:BA39,DZ38:DZ39)</f>
        <v>0</v>
      </c>
      <c r="BB40" s="57">
        <f>IF(AZ40=0,0,(AZ40-BD40)/AZ40)</f>
        <v>0</v>
      </c>
      <c r="BC40" s="57">
        <f>IF(BA40=0,0,(BA40-BE40)/BA40)</f>
        <v>0</v>
      </c>
      <c r="BD40" s="58">
        <f>SUMPRODUCT(AJ38:AJ39,BD38:BD39,DZ38:DZ39)+SUMPRODUCT(AK38:AK39,BD38:BD39,DZ38:DZ39)</f>
        <v>0</v>
      </c>
      <c r="BE40" s="69">
        <f>SUMPRODUCT(AJ38:AJ39,BE38:BE39,DZ38:DZ39)</f>
        <v>0</v>
      </c>
      <c r="BF40" s="76">
        <f>SUMPRODUCT(AJ38:AJ39,BF38:BF39,DZ38:DZ39)+SUMPRODUCT(AK38:AK39,BF38:BF39,DZ38:DZ39)</f>
        <v>0</v>
      </c>
      <c r="BG40" s="58">
        <f>SUMPRODUCT(AJ38:AJ39,BG38:BG39,DZ38:DZ39)</f>
        <v>0</v>
      </c>
      <c r="BH40" s="57">
        <f>IF(BF40=0,0,(BF40-BJ40)/BF40)</f>
        <v>0</v>
      </c>
      <c r="BI40" s="57">
        <f>IF(BG40=0,0,(BG40-BK40)/BG40)</f>
        <v>0</v>
      </c>
      <c r="BJ40" s="58">
        <f>SUMPRODUCT(AJ38:AJ39,BJ38:BJ39,DZ38:DZ39)+SUMPRODUCT(AK38:AK39,BJ38:BJ39,DZ38:DZ39)</f>
        <v>0</v>
      </c>
      <c r="BK40" s="104">
        <f>SUMPRODUCT(AJ38:AJ39,BK38:BK39,DZ38:DZ39)</f>
        <v>0</v>
      </c>
      <c r="BL40" s="97"/>
      <c r="BU40" s="167"/>
      <c r="BV40" s="167"/>
      <c r="BW40" s="167"/>
      <c r="BX40" s="167"/>
      <c r="BY40" s="167"/>
      <c r="BZ40" s="167"/>
      <c r="CA40" s="167"/>
      <c r="CB40" s="167"/>
      <c r="CC40" s="167"/>
      <c r="CD40" s="167"/>
      <c r="CE40" s="167"/>
      <c r="CF40" s="167"/>
      <c r="CG40" s="167"/>
      <c r="CH40" s="167"/>
      <c r="CI40" s="167"/>
      <c r="CJ40" s="167"/>
      <c r="CK40" s="167"/>
      <c r="CL40" s="167"/>
      <c r="CM40" s="167"/>
      <c r="DD40" s="167"/>
      <c r="DE40" s="167"/>
      <c r="DF40" s="167"/>
      <c r="DG40" s="167"/>
      <c r="DH40" s="167"/>
      <c r="DI40" s="167"/>
      <c r="DJ40" s="167"/>
      <c r="DK40" s="167"/>
      <c r="DL40" s="167"/>
      <c r="DM40" s="167"/>
      <c r="DN40" s="167"/>
      <c r="DO40" s="167"/>
      <c r="DP40" s="167"/>
      <c r="DQ40" s="167"/>
      <c r="EI40" s="941"/>
      <c r="FL40" s="690"/>
      <c r="FM40" s="690"/>
      <c r="FN40" s="690"/>
      <c r="FO40" s="690"/>
      <c r="FP40" s="690"/>
      <c r="FQ40" s="690"/>
      <c r="FR40" s="690"/>
      <c r="FS40" s="690"/>
      <c r="FT40" s="690"/>
      <c r="FU40" s="690"/>
      <c r="FV40" s="690"/>
      <c r="FW40" s="690"/>
      <c r="FX40" s="690"/>
      <c r="FY40" s="690"/>
      <c r="FZ40" s="690"/>
      <c r="HE40" s="1239"/>
      <c r="HF40" s="1239"/>
      <c r="HG40" s="1239"/>
      <c r="HH40" s="1239"/>
      <c r="HI40" s="1239"/>
      <c r="HJ40" s="1239"/>
      <c r="HK40" s="1239"/>
      <c r="HL40" s="1239"/>
      <c r="HM40" s="1239"/>
      <c r="HN40" s="1239"/>
      <c r="HO40" s="1239"/>
      <c r="HP40" s="1239"/>
      <c r="HQ40" s="1239"/>
      <c r="HR40" s="1239"/>
      <c r="HS40" s="1239"/>
      <c r="HT40" s="1239"/>
      <c r="HU40" s="1239"/>
      <c r="HV40" s="1239"/>
      <c r="HW40" s="1239"/>
      <c r="HX40" s="1239"/>
      <c r="HY40" s="1239"/>
      <c r="HZ40" s="1239"/>
      <c r="IA40" s="1239"/>
      <c r="IB40" s="1239"/>
      <c r="IC40" s="1239"/>
      <c r="ID40" s="1239"/>
      <c r="IE40" s="1239"/>
      <c r="IF40" s="1239"/>
    </row>
    <row r="41" spans="2:240" ht="10.5" customHeight="1">
      <c r="EI41" s="941"/>
      <c r="FL41" s="849"/>
      <c r="FM41" s="849"/>
      <c r="FN41" s="849"/>
      <c r="FO41" s="849"/>
      <c r="FP41" s="849"/>
      <c r="FQ41" s="849"/>
      <c r="FR41" s="849"/>
      <c r="FS41" s="849"/>
      <c r="FT41" s="849"/>
      <c r="FU41" s="849"/>
      <c r="FV41" s="849"/>
      <c r="FW41" s="690"/>
      <c r="FX41" s="690"/>
      <c r="FY41" s="690"/>
      <c r="FZ41" s="690"/>
      <c r="GG41" s="849"/>
      <c r="GH41" s="849"/>
      <c r="GI41" s="849"/>
      <c r="GJ41" s="849"/>
      <c r="GK41" s="849"/>
      <c r="GL41" s="849"/>
      <c r="GM41" s="849"/>
      <c r="GN41" s="849"/>
      <c r="GO41" s="849"/>
      <c r="GP41" s="849"/>
      <c r="GQ41" s="849"/>
      <c r="HE41" s="1239"/>
      <c r="HF41" s="1239"/>
      <c r="HG41" s="1239"/>
      <c r="HH41" s="1239"/>
      <c r="HI41" s="1239"/>
      <c r="HJ41" s="1239"/>
      <c r="HK41" s="1239"/>
      <c r="HL41" s="1239"/>
      <c r="HM41" s="1239"/>
      <c r="HN41" s="1239"/>
      <c r="HO41" s="1239"/>
      <c r="HP41" s="1239"/>
      <c r="HQ41" s="1239"/>
      <c r="HR41" s="1239"/>
      <c r="HS41" s="1239"/>
      <c r="HT41" s="1239"/>
      <c r="HU41" s="1239"/>
      <c r="HV41" s="1239"/>
      <c r="HW41" s="1239"/>
      <c r="HX41" s="1239"/>
      <c r="HY41" s="1239"/>
      <c r="HZ41" s="1239"/>
      <c r="IA41" s="1239"/>
      <c r="IB41" s="1239"/>
      <c r="IC41" s="1239"/>
      <c r="ID41" s="1239"/>
      <c r="IE41" s="1239"/>
      <c r="IF41" s="1239"/>
    </row>
    <row r="42" spans="2:240" ht="15">
      <c r="B42" s="97"/>
      <c r="C42" s="330" t="s">
        <v>254</v>
      </c>
      <c r="AX42" s="125"/>
      <c r="AY42" s="125"/>
      <c r="BD42" s="125"/>
      <c r="BE42" s="125"/>
      <c r="BJ42" s="125"/>
      <c r="BK42" s="125"/>
      <c r="BU42" s="167"/>
      <c r="BV42" s="167"/>
      <c r="BW42" s="167"/>
      <c r="BX42" s="167"/>
      <c r="BY42" s="167"/>
      <c r="BZ42" s="167"/>
      <c r="CA42" s="167"/>
      <c r="CB42" s="167"/>
      <c r="CC42" s="167"/>
      <c r="CD42" s="167"/>
      <c r="CE42" s="167"/>
      <c r="CF42" s="167"/>
      <c r="CG42" s="167"/>
      <c r="CH42" s="167"/>
      <c r="CI42" s="167"/>
      <c r="CJ42" s="167"/>
      <c r="CK42" s="167"/>
      <c r="CL42" s="167"/>
      <c r="CM42" s="167"/>
      <c r="DD42" s="167"/>
      <c r="DE42" s="167"/>
      <c r="DF42" s="167"/>
      <c r="DG42" s="167"/>
      <c r="DH42" s="167"/>
      <c r="DI42" s="167"/>
      <c r="DJ42" s="167"/>
      <c r="DK42" s="167"/>
      <c r="DL42" s="167"/>
      <c r="DM42" s="167"/>
      <c r="DN42" s="167"/>
      <c r="DO42" s="167"/>
      <c r="DP42" s="167"/>
      <c r="DQ42" s="167"/>
      <c r="EI42" s="941"/>
      <c r="FL42" s="690"/>
      <c r="FM42" s="690"/>
      <c r="FN42" s="690"/>
      <c r="FO42" s="690"/>
      <c r="FP42" s="690"/>
      <c r="FQ42" s="690"/>
      <c r="FR42" s="690"/>
      <c r="FS42" s="690"/>
      <c r="FT42" s="690"/>
      <c r="FU42" s="690"/>
      <c r="FV42" s="690"/>
      <c r="FW42" s="690"/>
      <c r="FX42" s="690"/>
      <c r="FY42" s="690"/>
      <c r="FZ42" s="690"/>
      <c r="HE42" s="1239"/>
      <c r="HF42" s="1239"/>
      <c r="HG42" s="1239"/>
      <c r="HH42" s="1239"/>
      <c r="HI42" s="1239"/>
      <c r="HJ42" s="1239"/>
      <c r="HK42" s="1239"/>
      <c r="HL42" s="1239"/>
      <c r="HM42" s="1239"/>
      <c r="HN42" s="1239"/>
      <c r="HO42" s="1239"/>
      <c r="HP42" s="1239"/>
      <c r="HQ42" s="1239"/>
      <c r="HR42" s="1239"/>
      <c r="HS42" s="1239"/>
      <c r="HT42" s="1239"/>
      <c r="HU42" s="1239"/>
      <c r="HV42" s="1239"/>
      <c r="HW42" s="1239"/>
      <c r="HX42" s="1239"/>
      <c r="HY42" s="1239"/>
      <c r="HZ42" s="1239"/>
      <c r="IA42" s="1239"/>
      <c r="IB42" s="1239"/>
      <c r="IC42" s="1239"/>
      <c r="ID42" s="1239"/>
      <c r="IE42" s="1239"/>
      <c r="IF42" s="1239"/>
    </row>
    <row r="43" spans="2:240" ht="10.5" customHeight="1">
      <c r="B43" s="97"/>
      <c r="AT43" s="331" t="str">
        <f ca="1">IF(AV43="","","Scenario 1")</f>
        <v>Scenario 1</v>
      </c>
      <c r="AU43" s="332"/>
      <c r="AV43" s="333" t="str">
        <f ca="1">IF(OFFSET('Step 1'!$G$21,$A$1,0)=0,"",OFFSET('Step 1'!$G$21,$A$1,0)&amp;" months term")</f>
        <v>1 months term</v>
      </c>
      <c r="AW43" s="332"/>
      <c r="AX43" s="88" t="str">
        <f ca="1">IF(AT43="","","Std Pricing: "&amp;OFFSET(DJ43,0,$AU$1))</f>
        <v>Std Pricing: MTM</v>
      </c>
      <c r="AY43" s="88"/>
      <c r="AZ43" s="334" t="str">
        <f ca="1">IF(BB43="","","Scenario 2")</f>
        <v>Scenario 2</v>
      </c>
      <c r="BA43" s="335"/>
      <c r="BB43" s="336" t="str">
        <f ca="1">IF(OFFSET('Step 1'!$G$21,$A$1,1)=0,"",OFFSET('Step 1'!$G$21,$A$1,1)&amp;" months term")</f>
        <v>2 months term</v>
      </c>
      <c r="BC43" s="337"/>
      <c r="BD43" s="85" t="str">
        <f ca="1">IF(AZ43="","","Std Pricing: "&amp;OFFSET(DJ43,0,$AV$1))</f>
        <v>Std Pricing: MTM</v>
      </c>
      <c r="BE43" s="85"/>
      <c r="BF43" s="331" t="str">
        <f ca="1">IF(BH43="","","Scenario 3")</f>
        <v>Scenario 3</v>
      </c>
      <c r="BG43" s="338"/>
      <c r="BH43" s="333" t="str">
        <f ca="1">IF(OFFSET('Step 1'!$G$21,$A$1,2)=0,"",OFFSET('Step 1'!$G$21,$A$1,2)&amp;" months term")</f>
        <v>3 months term</v>
      </c>
      <c r="BI43" s="332"/>
      <c r="BJ43" s="88" t="str">
        <f ca="1">IF(BF43="","","Std Pricing: "&amp;OFFSET(DJ43,0,$AW$1))</f>
        <v>Std Pricing: MTM</v>
      </c>
      <c r="BK43" s="99"/>
      <c r="BL43" s="97"/>
      <c r="BU43" s="167"/>
      <c r="BV43" s="167"/>
      <c r="BW43" s="167"/>
      <c r="BX43" s="167"/>
      <c r="BY43" s="167"/>
      <c r="BZ43" s="167"/>
      <c r="CA43" s="167"/>
      <c r="CB43" s="167"/>
      <c r="CC43" s="167"/>
      <c r="CD43" s="167"/>
      <c r="CE43" s="167"/>
      <c r="CF43" s="167"/>
      <c r="CG43" s="167"/>
      <c r="CH43" s="167"/>
      <c r="CI43" s="167"/>
      <c r="CJ43" s="167"/>
      <c r="CK43" s="167"/>
      <c r="CL43" s="167"/>
      <c r="CM43" s="167"/>
      <c r="DD43" s="167"/>
      <c r="DE43" s="167"/>
      <c r="DF43" s="167"/>
      <c r="DG43" s="167"/>
      <c r="DH43" s="167"/>
      <c r="DI43" s="167"/>
      <c r="DJ43" s="167"/>
      <c r="DK43" s="167"/>
      <c r="DL43" s="339" t="s">
        <v>8</v>
      </c>
      <c r="DM43" s="339"/>
      <c r="DN43" s="339" t="s">
        <v>9</v>
      </c>
      <c r="DO43" s="339"/>
      <c r="DP43" s="339" t="s">
        <v>10</v>
      </c>
      <c r="DQ43" s="339"/>
      <c r="DR43" s="339" t="s">
        <v>11</v>
      </c>
      <c r="DS43" s="339"/>
      <c r="DT43" s="339" t="s">
        <v>12</v>
      </c>
      <c r="DU43" s="339"/>
      <c r="DV43" s="339" t="s">
        <v>13</v>
      </c>
      <c r="DW43" s="339"/>
      <c r="DX43" s="339" t="s">
        <v>261</v>
      </c>
      <c r="DY43" s="340"/>
      <c r="DZ43" s="341"/>
      <c r="EA43" s="339" t="s">
        <v>211</v>
      </c>
      <c r="EB43" s="339"/>
      <c r="EC43" s="339" t="s">
        <v>214</v>
      </c>
      <c r="ED43" s="340"/>
      <c r="EE43" s="339" t="s">
        <v>10228</v>
      </c>
      <c r="EF43" s="340"/>
      <c r="EG43" s="340"/>
      <c r="EH43" s="340"/>
      <c r="EI43" s="340"/>
      <c r="EJ43" s="342"/>
      <c r="EK43" s="342"/>
      <c r="EL43" s="342"/>
      <c r="EM43" s="342"/>
      <c r="EN43" s="342"/>
      <c r="EO43" s="342"/>
      <c r="ES43" s="339" t="s">
        <v>8</v>
      </c>
      <c r="ET43" s="339"/>
      <c r="EU43" s="339" t="s">
        <v>9</v>
      </c>
      <c r="EV43" s="339"/>
      <c r="EW43" s="339" t="s">
        <v>10</v>
      </c>
      <c r="EX43" s="339"/>
      <c r="EY43" s="339" t="s">
        <v>11</v>
      </c>
      <c r="EZ43" s="339"/>
      <c r="FA43" s="339" t="s">
        <v>12</v>
      </c>
      <c r="FB43" s="339"/>
      <c r="FC43" s="339" t="s">
        <v>13</v>
      </c>
      <c r="FD43" s="339"/>
      <c r="FH43" s="339" t="s">
        <v>211</v>
      </c>
      <c r="FI43" s="339"/>
      <c r="FL43" s="690"/>
      <c r="FM43" s="690"/>
      <c r="FN43" s="690"/>
      <c r="FO43" s="690"/>
      <c r="FP43" s="690"/>
      <c r="FQ43" s="339" t="s">
        <v>8</v>
      </c>
      <c r="FR43" s="339"/>
      <c r="FS43" s="339" t="s">
        <v>9</v>
      </c>
      <c r="FT43" s="339"/>
      <c r="FU43" s="339" t="s">
        <v>10</v>
      </c>
      <c r="FV43" s="339"/>
      <c r="FW43" s="339" t="s">
        <v>11</v>
      </c>
      <c r="FX43" s="339"/>
      <c r="FY43" s="339" t="s">
        <v>12</v>
      </c>
      <c r="FZ43" s="339"/>
      <c r="GA43" s="339" t="s">
        <v>211</v>
      </c>
      <c r="GB43" s="339"/>
      <c r="GC43" s="339" t="s">
        <v>13</v>
      </c>
      <c r="GD43" s="339"/>
      <c r="GL43" s="339" t="s">
        <v>8</v>
      </c>
      <c r="GM43" s="339"/>
      <c r="GN43" s="339" t="s">
        <v>9</v>
      </c>
      <c r="GO43" s="339"/>
      <c r="GP43" s="339" t="s">
        <v>10</v>
      </c>
      <c r="GQ43" s="339"/>
      <c r="GR43" s="339" t="s">
        <v>11</v>
      </c>
      <c r="GS43" s="339"/>
      <c r="GT43" s="339" t="s">
        <v>12</v>
      </c>
      <c r="GU43" s="339"/>
      <c r="GV43" s="339" t="s">
        <v>211</v>
      </c>
      <c r="GW43" s="339"/>
      <c r="GX43" s="339" t="s">
        <v>13</v>
      </c>
      <c r="GY43" s="339"/>
      <c r="HE43" s="1239"/>
      <c r="HF43" s="1239"/>
      <c r="HG43" s="1239"/>
      <c r="HH43" s="1239"/>
      <c r="HI43" s="1239"/>
      <c r="HJ43" s="1239"/>
      <c r="HK43" s="1239"/>
      <c r="HL43" s="1239"/>
      <c r="HM43" s="1239"/>
      <c r="HN43" s="1239"/>
      <c r="HO43" s="1239"/>
      <c r="HP43" s="1239"/>
      <c r="HQ43" s="1239"/>
      <c r="HR43" s="1239"/>
      <c r="HS43" s="1239"/>
      <c r="HT43" s="1239"/>
      <c r="HU43" s="1239"/>
      <c r="HV43" s="1239"/>
      <c r="HW43" s="1239"/>
      <c r="HX43" s="1239"/>
      <c r="HY43" s="1239"/>
      <c r="HZ43" s="1239"/>
      <c r="IA43" s="1239"/>
      <c r="IB43" s="1239"/>
      <c r="IC43" s="1239"/>
      <c r="ID43" s="1239"/>
      <c r="IE43" s="1239"/>
      <c r="IF43" s="1239"/>
    </row>
    <row r="44" spans="2:240" ht="45" customHeight="1">
      <c r="B44" s="97"/>
      <c r="C44" s="49" t="s">
        <v>375</v>
      </c>
      <c r="D44" s="49" t="s">
        <v>375</v>
      </c>
      <c r="E44" s="49" t="s">
        <v>375</v>
      </c>
      <c r="F44" s="49" t="s">
        <v>375</v>
      </c>
      <c r="G44" s="49" t="s">
        <v>375</v>
      </c>
      <c r="H44" s="49" t="s">
        <v>375</v>
      </c>
      <c r="I44" s="49" t="s">
        <v>375</v>
      </c>
      <c r="J44" s="49" t="s">
        <v>375</v>
      </c>
      <c r="K44" s="49" t="s">
        <v>375</v>
      </c>
      <c r="L44" s="49" t="s">
        <v>375</v>
      </c>
      <c r="M44" s="49" t="s">
        <v>375</v>
      </c>
      <c r="N44" s="49" t="s">
        <v>375</v>
      </c>
      <c r="O44" s="49" t="s">
        <v>375</v>
      </c>
      <c r="P44" s="49" t="s">
        <v>375</v>
      </c>
      <c r="Q44" s="49" t="s">
        <v>375</v>
      </c>
      <c r="R44" s="49" t="s">
        <v>375</v>
      </c>
      <c r="S44" s="49" t="s">
        <v>375</v>
      </c>
      <c r="T44" s="49" t="s">
        <v>375</v>
      </c>
      <c r="U44" s="49" t="s">
        <v>375</v>
      </c>
      <c r="V44" s="49" t="s">
        <v>375</v>
      </c>
      <c r="W44" s="49" t="s">
        <v>375</v>
      </c>
      <c r="X44" s="49" t="s">
        <v>375</v>
      </c>
      <c r="Y44" s="49" t="s">
        <v>375</v>
      </c>
      <c r="Z44" s="49" t="s">
        <v>375</v>
      </c>
      <c r="AA44" s="49" t="s">
        <v>375</v>
      </c>
      <c r="AB44" s="49" t="s">
        <v>375</v>
      </c>
      <c r="AC44" s="49" t="s">
        <v>375</v>
      </c>
      <c r="AD44" s="49" t="s">
        <v>375</v>
      </c>
      <c r="AE44" s="49" t="s">
        <v>375</v>
      </c>
      <c r="AF44" s="49" t="s">
        <v>375</v>
      </c>
      <c r="AG44" s="49" t="s">
        <v>375</v>
      </c>
      <c r="AH44" s="49" t="s">
        <v>375</v>
      </c>
      <c r="AI44" s="49" t="s">
        <v>375</v>
      </c>
      <c r="AJ44" s="49" t="s">
        <v>249</v>
      </c>
      <c r="AK44" s="49" t="s">
        <v>250</v>
      </c>
      <c r="AL44" s="49" t="s">
        <v>251</v>
      </c>
      <c r="AM44" s="49" t="s">
        <v>252</v>
      </c>
      <c r="AN44" s="49" t="s">
        <v>197</v>
      </c>
      <c r="AO44" s="49" t="s">
        <v>516</v>
      </c>
      <c r="AP44" s="49" t="s">
        <v>517</v>
      </c>
      <c r="AQ44" s="49" t="s">
        <v>518</v>
      </c>
      <c r="AR44" s="49" t="s">
        <v>388</v>
      </c>
      <c r="AS44" s="70" t="s">
        <v>389</v>
      </c>
      <c r="AT44" s="72" t="s">
        <v>519</v>
      </c>
      <c r="AU44" s="51" t="s">
        <v>520</v>
      </c>
      <c r="AV44" s="51" t="s">
        <v>521</v>
      </c>
      <c r="AW44" s="51" t="s">
        <v>509</v>
      </c>
      <c r="AX44" s="51" t="s">
        <v>510</v>
      </c>
      <c r="AY44" s="66" t="s">
        <v>511</v>
      </c>
      <c r="AZ44" s="77" t="s">
        <v>360</v>
      </c>
      <c r="BA44" s="51" t="s">
        <v>361</v>
      </c>
      <c r="BB44" s="51" t="s">
        <v>362</v>
      </c>
      <c r="BC44" s="51" t="s">
        <v>363</v>
      </c>
      <c r="BD44" s="51" t="s">
        <v>243</v>
      </c>
      <c r="BE44" s="66" t="s">
        <v>244</v>
      </c>
      <c r="BF44" s="72" t="s">
        <v>512</v>
      </c>
      <c r="BG44" s="51" t="s">
        <v>513</v>
      </c>
      <c r="BH44" s="51" t="s">
        <v>514</v>
      </c>
      <c r="BI44" s="51" t="s">
        <v>515</v>
      </c>
      <c r="BJ44" s="51" t="s">
        <v>358</v>
      </c>
      <c r="BK44" s="100" t="s">
        <v>359</v>
      </c>
      <c r="BL44" s="97"/>
      <c r="BU44" s="167"/>
      <c r="BV44" s="167"/>
      <c r="BW44" s="167"/>
      <c r="BX44" s="167"/>
      <c r="BY44" s="167"/>
      <c r="BZ44" s="167"/>
      <c r="CA44" s="167"/>
      <c r="CB44" s="167"/>
      <c r="CC44" s="167"/>
      <c r="CD44" s="167"/>
      <c r="CE44" s="167"/>
      <c r="CF44" s="167"/>
      <c r="CG44" s="167"/>
      <c r="CH44" s="167"/>
      <c r="CI44" s="167"/>
      <c r="CJ44" s="167"/>
      <c r="CK44" s="167"/>
      <c r="CL44" s="167"/>
      <c r="CM44" s="167"/>
      <c r="DD44" s="167"/>
      <c r="DE44" s="167"/>
      <c r="DF44" s="167"/>
      <c r="DG44" s="167"/>
      <c r="DH44" s="167"/>
      <c r="DI44" s="167"/>
      <c r="DJ44" s="167"/>
      <c r="DK44" s="167"/>
      <c r="DL44" s="167"/>
      <c r="DM44" s="167"/>
      <c r="DN44" s="167"/>
      <c r="DO44" s="167"/>
      <c r="DP44" s="167"/>
      <c r="DQ44" s="167"/>
      <c r="DY44" s="97"/>
      <c r="DZ44" s="97"/>
      <c r="ED44" s="97"/>
      <c r="EF44" s="1081"/>
      <c r="EG44" s="1081"/>
      <c r="EH44" s="1081"/>
      <c r="EI44" s="1081"/>
      <c r="EJ44" s="97"/>
      <c r="EK44" s="97"/>
      <c r="EL44" s="97"/>
      <c r="EM44" s="97"/>
      <c r="EN44" s="97"/>
      <c r="EO44" s="97"/>
      <c r="FL44" s="690"/>
      <c r="FM44" s="690"/>
      <c r="FN44" s="690"/>
      <c r="FO44" s="690"/>
      <c r="FP44" s="690"/>
      <c r="FQ44" s="690"/>
      <c r="FR44" s="690"/>
      <c r="FS44" s="690"/>
      <c r="FT44" s="690"/>
      <c r="FU44" s="690"/>
      <c r="FV44" s="690"/>
      <c r="FW44" s="690"/>
      <c r="FX44" s="690"/>
      <c r="FY44" s="690"/>
      <c r="FZ44" s="690"/>
      <c r="HE44" s="1240" t="s">
        <v>10254</v>
      </c>
      <c r="HF44" s="1239"/>
      <c r="HG44" s="1239"/>
      <c r="HH44" s="1239"/>
      <c r="HI44" s="1239"/>
      <c r="HJ44" s="1239"/>
      <c r="HK44" s="1239"/>
      <c r="HL44" s="1239"/>
      <c r="HM44" s="1239"/>
      <c r="HN44" s="1239"/>
      <c r="HO44" s="1239"/>
      <c r="HP44" s="1239"/>
      <c r="HQ44" s="1239"/>
      <c r="HR44" s="1239"/>
      <c r="HS44" s="1240" t="s">
        <v>10253</v>
      </c>
      <c r="HT44" s="1239"/>
      <c r="HU44" s="1239"/>
      <c r="HV44" s="1239"/>
      <c r="HW44" s="1239"/>
      <c r="HX44" s="1239"/>
      <c r="HY44" s="1239"/>
      <c r="HZ44" s="1239"/>
      <c r="IA44" s="1239"/>
      <c r="IB44" s="1239"/>
      <c r="IC44" s="1239"/>
      <c r="ID44" s="1239"/>
      <c r="IE44" s="1239"/>
      <c r="IF44" s="1239"/>
    </row>
    <row r="45" spans="2:240" ht="10.5" customHeight="1">
      <c r="B45" s="97"/>
      <c r="C45" s="343"/>
      <c r="D45" s="343"/>
      <c r="E45" s="343"/>
      <c r="F45" s="343"/>
      <c r="G45" s="343"/>
      <c r="H45" s="343"/>
      <c r="I45" s="343"/>
      <c r="J45" s="343"/>
      <c r="K45" s="343"/>
      <c r="L45" s="343"/>
      <c r="M45" s="343"/>
      <c r="N45" s="343"/>
      <c r="O45" s="343"/>
      <c r="P45" s="343"/>
      <c r="Q45" s="343"/>
      <c r="R45" s="343"/>
      <c r="S45" s="343"/>
      <c r="T45" s="343"/>
      <c r="U45" s="343"/>
      <c r="V45" s="343"/>
      <c r="W45" s="343"/>
      <c r="X45" s="343"/>
      <c r="Y45" s="343"/>
      <c r="Z45" s="343"/>
      <c r="AA45" s="343"/>
      <c r="AB45" s="343"/>
      <c r="AC45" s="343"/>
      <c r="AD45" s="343"/>
      <c r="AE45" s="343"/>
      <c r="AF45" s="343"/>
      <c r="AG45" s="343"/>
      <c r="AH45" s="343"/>
      <c r="AI45" s="343"/>
      <c r="AJ45" s="343"/>
      <c r="AK45" s="343"/>
      <c r="AL45" s="343"/>
      <c r="AM45" s="343"/>
      <c r="AN45" s="343"/>
      <c r="AO45" s="343"/>
      <c r="AP45" s="343"/>
      <c r="AQ45" s="343"/>
      <c r="AR45" s="343"/>
      <c r="AS45" s="344"/>
      <c r="AT45" s="345"/>
      <c r="AU45" s="343"/>
      <c r="AV45" s="53"/>
      <c r="AW45" s="53"/>
      <c r="AX45" s="54"/>
      <c r="AY45" s="54"/>
      <c r="AZ45" s="346"/>
      <c r="BA45" s="343"/>
      <c r="BB45" s="53"/>
      <c r="BC45" s="53"/>
      <c r="BD45" s="54"/>
      <c r="BE45" s="54"/>
      <c r="BF45" s="345"/>
      <c r="BG45" s="343"/>
      <c r="BH45" s="53"/>
      <c r="BI45" s="53"/>
      <c r="BJ45" s="54"/>
      <c r="BK45" s="101"/>
      <c r="BL45" s="97"/>
      <c r="BU45" s="167"/>
      <c r="BV45" s="167"/>
      <c r="BW45" s="167"/>
      <c r="BX45" s="167"/>
      <c r="BY45" s="167"/>
      <c r="BZ45" s="167"/>
      <c r="CA45" s="167"/>
      <c r="CB45" s="167"/>
      <c r="CC45" s="167"/>
      <c r="CD45" s="167"/>
      <c r="CE45" s="167"/>
      <c r="CF45" s="167"/>
      <c r="CG45" s="167"/>
      <c r="CH45" s="167"/>
      <c r="CI45" s="167"/>
      <c r="CJ45" s="167"/>
      <c r="CK45" s="167"/>
      <c r="CL45" s="167"/>
      <c r="CM45" s="167"/>
      <c r="DD45" s="167"/>
      <c r="DE45" s="167"/>
      <c r="DF45" s="167"/>
      <c r="DG45" s="167"/>
      <c r="DH45" s="339" t="s">
        <v>631</v>
      </c>
      <c r="DI45" s="339" t="s">
        <v>632</v>
      </c>
      <c r="DJ45" s="339" t="s">
        <v>379</v>
      </c>
      <c r="DK45" s="339" t="s">
        <v>575</v>
      </c>
      <c r="DL45" s="339" t="s">
        <v>380</v>
      </c>
      <c r="DM45" s="339" t="s">
        <v>381</v>
      </c>
      <c r="DN45" s="339" t="s">
        <v>382</v>
      </c>
      <c r="DO45" s="339" t="s">
        <v>383</v>
      </c>
      <c r="DP45" s="339" t="s">
        <v>384</v>
      </c>
      <c r="DQ45" s="339" t="s">
        <v>385</v>
      </c>
      <c r="DR45" s="339" t="s">
        <v>386</v>
      </c>
      <c r="DS45" s="339" t="s">
        <v>387</v>
      </c>
      <c r="DT45" s="339" t="s">
        <v>390</v>
      </c>
      <c r="DU45" s="339" t="s">
        <v>391</v>
      </c>
      <c r="DV45" s="339" t="s">
        <v>392</v>
      </c>
      <c r="DW45" s="339" t="s">
        <v>393</v>
      </c>
      <c r="DX45" s="339" t="s">
        <v>197</v>
      </c>
      <c r="DY45" s="339" t="s">
        <v>262</v>
      </c>
      <c r="DZ45" s="339" t="s">
        <v>263</v>
      </c>
      <c r="EA45" s="339" t="s">
        <v>212</v>
      </c>
      <c r="EB45" s="339" t="s">
        <v>213</v>
      </c>
      <c r="EC45" s="339" t="s">
        <v>215</v>
      </c>
      <c r="ED45" s="339" t="s">
        <v>14</v>
      </c>
      <c r="EE45" s="339" t="s">
        <v>8005</v>
      </c>
      <c r="EF45" s="339" t="s">
        <v>10229</v>
      </c>
      <c r="EG45" s="339"/>
      <c r="EH45" s="339"/>
      <c r="EI45" s="339"/>
      <c r="EJ45" s="342"/>
      <c r="EK45" s="342"/>
      <c r="EL45" s="342"/>
      <c r="EM45" s="342"/>
      <c r="EN45" s="342"/>
      <c r="EO45" s="342"/>
      <c r="EQ45" s="339" t="s">
        <v>379</v>
      </c>
      <c r="ER45" s="339" t="s">
        <v>575</v>
      </c>
      <c r="ES45" s="339" t="s">
        <v>380</v>
      </c>
      <c r="ET45" s="339" t="s">
        <v>381</v>
      </c>
      <c r="EU45" s="339" t="s">
        <v>382</v>
      </c>
      <c r="EV45" s="339" t="s">
        <v>383</v>
      </c>
      <c r="EW45" s="339" t="s">
        <v>384</v>
      </c>
      <c r="EX45" s="339" t="s">
        <v>385</v>
      </c>
      <c r="EY45" s="339" t="s">
        <v>386</v>
      </c>
      <c r="EZ45" s="339" t="s">
        <v>387</v>
      </c>
      <c r="FA45" s="339" t="s">
        <v>390</v>
      </c>
      <c r="FB45" s="339" t="s">
        <v>391</v>
      </c>
      <c r="FC45" s="339" t="s">
        <v>392</v>
      </c>
      <c r="FD45" s="339" t="s">
        <v>393</v>
      </c>
      <c r="FH45" s="339" t="s">
        <v>212</v>
      </c>
      <c r="FI45" s="339" t="s">
        <v>213</v>
      </c>
      <c r="FL45" s="339" t="s">
        <v>9596</v>
      </c>
      <c r="FM45" s="339" t="s">
        <v>9597</v>
      </c>
      <c r="FN45" s="339" t="s">
        <v>9598</v>
      </c>
      <c r="FO45" s="339" t="s">
        <v>9599</v>
      </c>
      <c r="FP45" s="339" t="s">
        <v>9600</v>
      </c>
      <c r="FQ45" s="339" t="s">
        <v>380</v>
      </c>
      <c r="FR45" s="339" t="s">
        <v>381</v>
      </c>
      <c r="FS45" s="339" t="s">
        <v>382</v>
      </c>
      <c r="FT45" s="339" t="s">
        <v>383</v>
      </c>
      <c r="FU45" s="339" t="s">
        <v>384</v>
      </c>
      <c r="FV45" s="339" t="s">
        <v>385</v>
      </c>
      <c r="FW45" s="339" t="s">
        <v>386</v>
      </c>
      <c r="FX45" s="339" t="s">
        <v>387</v>
      </c>
      <c r="FY45" s="339" t="s">
        <v>390</v>
      </c>
      <c r="FZ45" s="339" t="s">
        <v>391</v>
      </c>
      <c r="GA45" s="339" t="s">
        <v>212</v>
      </c>
      <c r="GB45" s="339" t="s">
        <v>213</v>
      </c>
      <c r="GC45" s="339" t="s">
        <v>392</v>
      </c>
      <c r="GD45" s="339" t="s">
        <v>393</v>
      </c>
      <c r="GG45" s="339" t="s">
        <v>9596</v>
      </c>
      <c r="GH45" s="339" t="s">
        <v>9597</v>
      </c>
      <c r="GI45" s="339" t="s">
        <v>9598</v>
      </c>
      <c r="GJ45" s="339" t="s">
        <v>9599</v>
      </c>
      <c r="GK45" s="339" t="s">
        <v>9600</v>
      </c>
      <c r="GL45" s="339" t="s">
        <v>380</v>
      </c>
      <c r="GM45" s="339" t="s">
        <v>381</v>
      </c>
      <c r="GN45" s="339" t="s">
        <v>382</v>
      </c>
      <c r="GO45" s="339" t="s">
        <v>383</v>
      </c>
      <c r="GP45" s="339" t="s">
        <v>384</v>
      </c>
      <c r="GQ45" s="339" t="s">
        <v>385</v>
      </c>
      <c r="GR45" s="339" t="s">
        <v>386</v>
      </c>
      <c r="GS45" s="339" t="s">
        <v>387</v>
      </c>
      <c r="GT45" s="339" t="s">
        <v>390</v>
      </c>
      <c r="GU45" s="339" t="s">
        <v>391</v>
      </c>
      <c r="GV45" s="339" t="s">
        <v>212</v>
      </c>
      <c r="GW45" s="339" t="s">
        <v>213</v>
      </c>
      <c r="GX45" s="339" t="s">
        <v>392</v>
      </c>
      <c r="GY45" s="339" t="s">
        <v>393</v>
      </c>
      <c r="HE45" s="339" t="s">
        <v>380</v>
      </c>
      <c r="HF45" s="339" t="s">
        <v>381</v>
      </c>
      <c r="HG45" s="339" t="s">
        <v>382</v>
      </c>
      <c r="HH45" s="339" t="s">
        <v>383</v>
      </c>
      <c r="HI45" s="339" t="s">
        <v>384</v>
      </c>
      <c r="HJ45" s="339" t="s">
        <v>385</v>
      </c>
      <c r="HK45" s="339" t="s">
        <v>386</v>
      </c>
      <c r="HL45" s="339" t="s">
        <v>387</v>
      </c>
      <c r="HM45" s="339" t="s">
        <v>390</v>
      </c>
      <c r="HN45" s="339" t="s">
        <v>391</v>
      </c>
      <c r="HO45" s="339" t="s">
        <v>212</v>
      </c>
      <c r="HP45" s="339" t="s">
        <v>213</v>
      </c>
      <c r="HQ45" s="339" t="s">
        <v>392</v>
      </c>
      <c r="HR45" s="339" t="s">
        <v>393</v>
      </c>
      <c r="HS45" s="339" t="s">
        <v>380</v>
      </c>
      <c r="HT45" s="339" t="s">
        <v>381</v>
      </c>
      <c r="HU45" s="339" t="s">
        <v>382</v>
      </c>
      <c r="HV45" s="339" t="s">
        <v>383</v>
      </c>
      <c r="HW45" s="339" t="s">
        <v>384</v>
      </c>
      <c r="HX45" s="339" t="s">
        <v>385</v>
      </c>
      <c r="HY45" s="339" t="s">
        <v>386</v>
      </c>
      <c r="HZ45" s="339" t="s">
        <v>387</v>
      </c>
      <c r="IA45" s="339" t="s">
        <v>390</v>
      </c>
      <c r="IB45" s="339" t="s">
        <v>391</v>
      </c>
      <c r="IC45" s="339" t="s">
        <v>212</v>
      </c>
      <c r="ID45" s="339" t="s">
        <v>213</v>
      </c>
      <c r="IE45" s="339" t="s">
        <v>392</v>
      </c>
      <c r="IF45" s="339" t="s">
        <v>393</v>
      </c>
    </row>
    <row r="46" spans="2:240" s="1082" customFormat="1" ht="12.75">
      <c r="C46" s="120"/>
      <c r="D46" s="120"/>
      <c r="E46" s="120"/>
      <c r="F46" s="120"/>
      <c r="G46" s="120"/>
      <c r="H46" s="120"/>
      <c r="I46" s="120"/>
      <c r="J46" s="120"/>
      <c r="K46" s="120"/>
      <c r="L46" s="120"/>
      <c r="M46" s="120"/>
      <c r="N46" s="120"/>
      <c r="O46" s="120"/>
      <c r="P46" s="120"/>
      <c r="Q46" s="120"/>
      <c r="R46" s="120"/>
      <c r="S46" s="120"/>
      <c r="T46" s="120"/>
      <c r="U46" s="120"/>
      <c r="V46" s="120"/>
      <c r="W46" s="120"/>
      <c r="X46" s="120"/>
      <c r="Y46" s="120"/>
      <c r="Z46" s="120"/>
      <c r="AA46" s="120"/>
      <c r="AB46" s="120"/>
      <c r="AC46" s="120"/>
      <c r="AD46" s="120"/>
      <c r="AE46" s="120"/>
      <c r="AF46" s="120"/>
      <c r="AG46" s="120"/>
      <c r="AH46" s="120"/>
      <c r="AI46" s="120"/>
      <c r="AJ46" s="59"/>
      <c r="AK46" s="59"/>
      <c r="AL46" s="59"/>
      <c r="AM46" s="59"/>
      <c r="AN46" s="59"/>
      <c r="AO46" s="59"/>
      <c r="AP46" s="59"/>
      <c r="AQ46" s="59"/>
      <c r="AR46" s="59"/>
      <c r="AS46" s="67"/>
      <c r="AT46" s="74"/>
      <c r="AU46" s="63"/>
      <c r="AV46" s="59"/>
      <c r="AW46" s="59"/>
      <c r="AX46" s="59"/>
      <c r="AY46" s="67"/>
      <c r="AZ46" s="79"/>
      <c r="BA46" s="63"/>
      <c r="BB46" s="59"/>
      <c r="BC46" s="59"/>
      <c r="BD46" s="59"/>
      <c r="BE46" s="67"/>
      <c r="BF46" s="74"/>
      <c r="BG46" s="63"/>
      <c r="BH46" s="59"/>
      <c r="BI46" s="59"/>
      <c r="BJ46" s="59"/>
      <c r="BK46" s="102"/>
      <c r="BV46" s="1065"/>
      <c r="BW46" s="1065"/>
      <c r="BX46" s="1065"/>
      <c r="BY46" s="1065"/>
      <c r="BZ46" s="1065"/>
      <c r="CA46" s="1065"/>
      <c r="DH46" s="347"/>
      <c r="DI46" s="347"/>
      <c r="DJ46" s="347"/>
      <c r="DK46" s="347"/>
      <c r="DL46" s="96"/>
      <c r="DM46" s="96"/>
      <c r="DN46" s="96"/>
      <c r="DO46" s="96"/>
      <c r="DP46" s="96"/>
      <c r="DQ46" s="96"/>
      <c r="DR46" s="96"/>
      <c r="DS46" s="96"/>
      <c r="DT46" s="96"/>
      <c r="DU46" s="96"/>
      <c r="DV46" s="96"/>
      <c r="DW46" s="96"/>
      <c r="DX46" s="113"/>
      <c r="DY46" s="113"/>
      <c r="DZ46" s="113"/>
      <c r="EA46" s="96"/>
      <c r="EB46" s="96"/>
      <c r="EC46" s="113"/>
      <c r="ED46" s="113"/>
      <c r="EE46" s="113"/>
      <c r="EF46" s="113"/>
      <c r="EG46" s="113"/>
      <c r="EH46" s="113"/>
      <c r="EI46" s="113"/>
      <c r="EJ46" s="119"/>
      <c r="EK46" s="119"/>
      <c r="EL46" s="119"/>
      <c r="EM46" s="119"/>
      <c r="EN46" s="119"/>
      <c r="EO46" s="119"/>
      <c r="EQ46" s="347"/>
      <c r="ER46" s="347"/>
      <c r="ES46" s="96"/>
      <c r="ET46" s="96"/>
      <c r="EU46" s="96"/>
      <c r="EV46" s="96"/>
      <c r="EW46" s="96"/>
      <c r="EX46" s="96"/>
      <c r="EY46" s="96"/>
      <c r="EZ46" s="96"/>
      <c r="FA46" s="96"/>
      <c r="FB46" s="96"/>
      <c r="FC46" s="96"/>
      <c r="FD46" s="96"/>
      <c r="FH46" s="96"/>
      <c r="FI46" s="96"/>
      <c r="FL46" s="347"/>
      <c r="FM46" s="347"/>
      <c r="FN46" s="347"/>
      <c r="FO46" s="347"/>
      <c r="FP46" s="347"/>
      <c r="FQ46" s="96"/>
      <c r="FR46" s="96"/>
      <c r="FS46" s="96"/>
      <c r="FT46" s="96"/>
      <c r="FU46" s="96"/>
      <c r="FV46" s="96"/>
      <c r="FW46" s="96"/>
      <c r="FX46" s="96"/>
      <c r="FY46" s="96"/>
      <c r="FZ46" s="96"/>
      <c r="GA46" s="96"/>
      <c r="GB46" s="96"/>
      <c r="GC46" s="96"/>
      <c r="GD46" s="96"/>
      <c r="GE46" s="1065"/>
      <c r="GF46" s="1065"/>
      <c r="GG46" s="347"/>
      <c r="GH46" s="347"/>
      <c r="GI46" s="347"/>
      <c r="GJ46" s="347"/>
      <c r="GK46" s="347"/>
      <c r="GL46" s="96"/>
      <c r="GM46" s="96"/>
      <c r="GN46" s="96"/>
      <c r="GO46" s="96"/>
      <c r="GP46" s="96"/>
      <c r="GQ46" s="96"/>
      <c r="GR46" s="96"/>
      <c r="GS46" s="96"/>
      <c r="GT46" s="96"/>
      <c r="GU46" s="96"/>
      <c r="GV46" s="96"/>
      <c r="GW46" s="96"/>
      <c r="GX46" s="96"/>
      <c r="GY46" s="96"/>
      <c r="HE46" s="113"/>
      <c r="HF46" s="113"/>
      <c r="HG46" s="113"/>
      <c r="HH46" s="113"/>
      <c r="HI46" s="113"/>
      <c r="HJ46" s="113"/>
      <c r="HK46" s="113"/>
      <c r="HL46" s="113"/>
      <c r="HM46" s="113"/>
      <c r="HN46" s="113"/>
      <c r="HO46" s="113"/>
      <c r="HP46" s="113"/>
      <c r="HQ46" s="113"/>
      <c r="HR46" s="113"/>
      <c r="HS46" s="113"/>
      <c r="HT46" s="113"/>
      <c r="HU46" s="113"/>
      <c r="HV46" s="113"/>
      <c r="HW46" s="113"/>
      <c r="HX46" s="113"/>
      <c r="HY46" s="113"/>
      <c r="HZ46" s="113"/>
      <c r="IA46" s="113"/>
      <c r="IB46" s="113"/>
      <c r="IC46" s="113"/>
      <c r="ID46" s="113"/>
      <c r="IE46" s="113"/>
      <c r="IF46" s="113"/>
    </row>
    <row r="47" spans="2:240" s="1082" customFormat="1" ht="12.75">
      <c r="C47" s="120"/>
      <c r="D47" s="120"/>
      <c r="E47" s="120"/>
      <c r="F47" s="120"/>
      <c r="G47" s="120"/>
      <c r="H47" s="120"/>
      <c r="I47" s="120"/>
      <c r="J47" s="120"/>
      <c r="K47" s="120"/>
      <c r="L47" s="120"/>
      <c r="M47" s="120"/>
      <c r="N47" s="120"/>
      <c r="O47" s="120"/>
      <c r="P47" s="120"/>
      <c r="Q47" s="120"/>
      <c r="R47" s="120"/>
      <c r="S47" s="120"/>
      <c r="T47" s="120"/>
      <c r="U47" s="120"/>
      <c r="V47" s="120"/>
      <c r="W47" s="120"/>
      <c r="X47" s="120"/>
      <c r="Y47" s="120"/>
      <c r="Z47" s="120"/>
      <c r="AA47" s="120"/>
      <c r="AB47" s="120"/>
      <c r="AC47" s="120"/>
      <c r="AD47" s="120"/>
      <c r="AE47" s="120"/>
      <c r="AF47" s="120"/>
      <c r="AG47" s="120"/>
      <c r="AH47" s="120"/>
      <c r="AI47" s="120"/>
      <c r="AJ47" s="60"/>
      <c r="AK47" s="60"/>
      <c r="AL47" s="60"/>
      <c r="AM47" s="60"/>
      <c r="AN47" s="59"/>
      <c r="AO47" s="60"/>
      <c r="AP47" s="60"/>
      <c r="AQ47" s="60"/>
      <c r="AR47" s="60"/>
      <c r="AS47" s="68"/>
      <c r="AT47" s="75"/>
      <c r="AU47" s="64"/>
      <c r="AV47" s="60"/>
      <c r="AW47" s="60"/>
      <c r="AX47" s="60"/>
      <c r="AY47" s="68"/>
      <c r="AZ47" s="80"/>
      <c r="BA47" s="64"/>
      <c r="BB47" s="60"/>
      <c r="BC47" s="60"/>
      <c r="BD47" s="60"/>
      <c r="BE47" s="68"/>
      <c r="BF47" s="75"/>
      <c r="BG47" s="64"/>
      <c r="BH47" s="60"/>
      <c r="BI47" s="60"/>
      <c r="BJ47" s="60"/>
      <c r="BK47" s="103"/>
      <c r="BX47" s="1065"/>
      <c r="BY47" s="1065"/>
      <c r="BZ47" s="1065"/>
      <c r="CA47" s="1065"/>
      <c r="DH47" s="347"/>
      <c r="DI47" s="347"/>
      <c r="DJ47" s="347"/>
      <c r="DK47" s="347"/>
      <c r="DL47" s="96"/>
      <c r="DM47" s="96"/>
      <c r="DN47" s="96"/>
      <c r="DO47" s="96"/>
      <c r="DP47" s="96"/>
      <c r="DQ47" s="96"/>
      <c r="DR47" s="96"/>
      <c r="DS47" s="96"/>
      <c r="DT47" s="96"/>
      <c r="DU47" s="96"/>
      <c r="DV47" s="96"/>
      <c r="DW47" s="96"/>
      <c r="DX47" s="113"/>
      <c r="DY47" s="113"/>
      <c r="DZ47" s="113"/>
      <c r="EA47" s="96"/>
      <c r="EB47" s="96"/>
      <c r="EC47" s="113"/>
      <c r="ED47" s="113"/>
      <c r="EE47" s="113"/>
      <c r="EF47" s="113"/>
      <c r="EG47" s="113"/>
      <c r="EH47" s="113"/>
      <c r="EI47" s="113"/>
      <c r="EJ47" s="119"/>
      <c r="EK47" s="119"/>
      <c r="EL47" s="119"/>
      <c r="EM47" s="119"/>
      <c r="EN47" s="119"/>
      <c r="EO47" s="119"/>
      <c r="EQ47" s="347"/>
      <c r="ER47" s="347"/>
      <c r="ES47" s="96"/>
      <c r="ET47" s="96"/>
      <c r="EU47" s="96"/>
      <c r="EV47" s="96"/>
      <c r="EW47" s="96"/>
      <c r="EX47" s="96"/>
      <c r="EY47" s="96"/>
      <c r="EZ47" s="96"/>
      <c r="FA47" s="96"/>
      <c r="FB47" s="96"/>
      <c r="FC47" s="96"/>
      <c r="FD47" s="96"/>
      <c r="FH47" s="96"/>
      <c r="FI47" s="96"/>
      <c r="FL47" s="347"/>
      <c r="FM47" s="347"/>
      <c r="FN47" s="347"/>
      <c r="FO47" s="347"/>
      <c r="FP47" s="347"/>
      <c r="FQ47" s="96"/>
      <c r="FR47" s="96"/>
      <c r="FS47" s="96"/>
      <c r="FT47" s="96"/>
      <c r="FU47" s="96"/>
      <c r="FV47" s="96"/>
      <c r="FW47" s="96"/>
      <c r="FX47" s="96"/>
      <c r="FY47" s="96"/>
      <c r="FZ47" s="96"/>
      <c r="GA47" s="96"/>
      <c r="GB47" s="96"/>
      <c r="GC47" s="96"/>
      <c r="GD47" s="96"/>
      <c r="GE47" s="1065"/>
      <c r="GF47" s="1065"/>
      <c r="GG47" s="347"/>
      <c r="GH47" s="347"/>
      <c r="GI47" s="347"/>
      <c r="GJ47" s="347"/>
      <c r="GK47" s="347"/>
      <c r="GL47" s="96"/>
      <c r="GM47" s="96"/>
      <c r="GN47" s="96"/>
      <c r="GO47" s="96"/>
      <c r="GP47" s="96"/>
      <c r="GQ47" s="96"/>
      <c r="GR47" s="96"/>
      <c r="GS47" s="96"/>
      <c r="GT47" s="96"/>
      <c r="GU47" s="96"/>
      <c r="GV47" s="96"/>
      <c r="GW47" s="96"/>
      <c r="GX47" s="96"/>
      <c r="GY47" s="96"/>
      <c r="HE47" s="113"/>
      <c r="HF47" s="113"/>
      <c r="HG47" s="113"/>
      <c r="HH47" s="113"/>
      <c r="HI47" s="113"/>
      <c r="HJ47" s="113"/>
      <c r="HK47" s="113"/>
      <c r="HL47" s="113"/>
      <c r="HM47" s="113"/>
      <c r="HN47" s="113"/>
      <c r="HO47" s="113"/>
      <c r="HP47" s="113"/>
      <c r="HQ47" s="113"/>
      <c r="HR47" s="113"/>
      <c r="HS47" s="113"/>
      <c r="HT47" s="113"/>
      <c r="HU47" s="113"/>
      <c r="HV47" s="113"/>
      <c r="HW47" s="113"/>
      <c r="HX47" s="113"/>
      <c r="HY47" s="113"/>
      <c r="HZ47" s="113"/>
      <c r="IA47" s="113"/>
      <c r="IB47" s="113"/>
      <c r="IC47" s="113"/>
      <c r="ID47" s="113"/>
      <c r="IE47" s="113"/>
      <c r="IF47" s="113"/>
    </row>
    <row r="48" spans="2:240" ht="10.5" customHeight="1">
      <c r="B48" s="97"/>
      <c r="C48" s="348"/>
      <c r="D48" s="348"/>
      <c r="E48" s="348"/>
      <c r="F48" s="348"/>
      <c r="G48" s="348"/>
      <c r="H48" s="348"/>
      <c r="I48" s="348"/>
      <c r="J48" s="348"/>
      <c r="K48" s="348"/>
      <c r="L48" s="348"/>
      <c r="M48" s="348"/>
      <c r="N48" s="348"/>
      <c r="O48" s="348"/>
      <c r="P48" s="348"/>
      <c r="Q48" s="348"/>
      <c r="R48" s="348"/>
      <c r="S48" s="348"/>
      <c r="T48" s="348"/>
      <c r="U48" s="348"/>
      <c r="V48" s="348"/>
      <c r="W48" s="348"/>
      <c r="X48" s="348"/>
      <c r="Y48" s="348"/>
      <c r="Z48" s="348"/>
      <c r="AA48" s="348"/>
      <c r="AB48" s="348"/>
      <c r="AC48" s="348"/>
      <c r="AD48" s="348"/>
      <c r="AE48" s="348"/>
      <c r="AF48" s="348"/>
      <c r="AG48" s="348"/>
      <c r="AH48" s="348"/>
      <c r="AI48" s="348" t="s">
        <v>253</v>
      </c>
      <c r="AJ48" s="55">
        <f>SUM(AJ46:AJ47)</f>
        <v>0</v>
      </c>
      <c r="AK48" s="56">
        <f>SUM(AK46:AK47)</f>
        <v>0</v>
      </c>
      <c r="AL48" s="56">
        <f>SUM(AL46:AL47)</f>
        <v>0</v>
      </c>
      <c r="AM48" s="56">
        <f>SUM(AM46:AM47)</f>
        <v>0</v>
      </c>
      <c r="AN48" s="58"/>
      <c r="AO48" s="58">
        <f>SUMPRODUCT(AJ46:AJ47,AO46:AO47,DZ46:DZ47)+SUMPRODUCT(AK46:AK47,AO46:AO47,DZ46:DZ47)</f>
        <v>0</v>
      </c>
      <c r="AP48" s="58">
        <f>SUMPRODUCT(AJ46:AJ47,AP46:AP47,DZ46:DZ47)</f>
        <v>0</v>
      </c>
      <c r="AQ48" s="58">
        <f>SUMPRODUCT(AJ46:AJ47,AQ46:AQ47,DZ46:DZ47)+SUMPRODUCT(AK46:AK47,AQ46:AQ47,DZ46:DZ47)</f>
        <v>0</v>
      </c>
      <c r="AR48" s="58">
        <f>SUMPRODUCT(AJ46:AJ47,AR46:AR47,DZ46:DZ47)+SUMPRODUCT(AK46:AK47,AR46:AR47,DZ46:DZ47)</f>
        <v>0</v>
      </c>
      <c r="AS48" s="69">
        <f>SUMPRODUCT(AJ46:AJ47,AS46:AS47,DZ46:DZ47)</f>
        <v>0</v>
      </c>
      <c r="AT48" s="76">
        <f>SUMPRODUCT(AJ46:AJ47,AT46:AT47,DZ46:DZ47)+SUMPRODUCT(AK46:AK47,AT46:AT47,DZ46:DZ47)</f>
        <v>0</v>
      </c>
      <c r="AU48" s="58">
        <f>SUMPRODUCT(AJ46:AJ47,AU46:AU47,DZ46:DZ47)</f>
        <v>0</v>
      </c>
      <c r="AV48" s="57">
        <f>IF(AT48=0,0,(AT48-AX48)/AT48)</f>
        <v>0</v>
      </c>
      <c r="AW48" s="57">
        <f>IF(AU48=0,0,(AU48-AY48)/AU48)</f>
        <v>0</v>
      </c>
      <c r="AX48" s="58">
        <f>SUMPRODUCT(AJ46:AJ47,AX46:AX47,DZ46:DZ47)+SUMPRODUCT(AK46:AK47,AX46:AX47,DZ46:DZ47)</f>
        <v>0</v>
      </c>
      <c r="AY48" s="69">
        <f>SUMPRODUCT(AJ46:AJ47,AY46:AY47,DZ46:DZ47)</f>
        <v>0</v>
      </c>
      <c r="AZ48" s="81">
        <f>SUMPRODUCT(AJ46:AJ47,AZ46:AZ47,DZ46:DZ47)+SUMPRODUCT(AK46:AK47,AZ46:AZ47,DZ46:DZ47)</f>
        <v>0</v>
      </c>
      <c r="BA48" s="58">
        <f>SUMPRODUCT(AJ46:AJ47,BA46:BA47,DZ46:DZ47)</f>
        <v>0</v>
      </c>
      <c r="BB48" s="57">
        <f>IF(AZ48=0,0,(AZ48-BD48)/AZ48)</f>
        <v>0</v>
      </c>
      <c r="BC48" s="57">
        <f>IF(BA48=0,0,(BA48-BE48)/BA48)</f>
        <v>0</v>
      </c>
      <c r="BD48" s="58">
        <f>SUMPRODUCT(AJ46:AJ47,BD46:BD47,DZ46:DZ47)+SUMPRODUCT(AK46:AK47,BD46:BD47,DZ46:DZ47)</f>
        <v>0</v>
      </c>
      <c r="BE48" s="69">
        <f>SUMPRODUCT(AJ46:AJ47,BE46:BE47,DZ46:DZ47)</f>
        <v>0</v>
      </c>
      <c r="BF48" s="76">
        <f>SUMPRODUCT(AJ46:AJ47,BF46:BF47,DZ46:DZ47)+SUMPRODUCT(AK46:AK47,BF46:BF47,DZ46:DZ47)</f>
        <v>0</v>
      </c>
      <c r="BG48" s="58">
        <f>SUMPRODUCT(AJ46:AJ47,BG46:BG47,DZ46:DZ47)</f>
        <v>0</v>
      </c>
      <c r="BH48" s="57">
        <f>IF(BF48=0,0,(BF48-BJ48)/BF48)</f>
        <v>0</v>
      </c>
      <c r="BI48" s="57">
        <f>IF(BG48=0,0,(BG48-BK48)/BG48)</f>
        <v>0</v>
      </c>
      <c r="BJ48" s="58">
        <f>SUMPRODUCT(AJ46:AJ47,BJ46:BJ47,DZ46:DZ47)+SUMPRODUCT(AK46:AK47,BJ46:BJ47,DZ46:DZ47)</f>
        <v>0</v>
      </c>
      <c r="BK48" s="104">
        <f>SUMPRODUCT(AJ46:AJ47,BK46:BK47,DZ46:DZ47)</f>
        <v>0</v>
      </c>
      <c r="BL48" s="97"/>
      <c r="BU48" s="167"/>
      <c r="BV48" s="167"/>
      <c r="BW48" s="167"/>
      <c r="BX48" s="167"/>
      <c r="BY48" s="167"/>
      <c r="BZ48" s="167"/>
      <c r="CA48" s="167"/>
      <c r="CB48" s="167"/>
      <c r="CC48" s="167"/>
      <c r="CD48" s="167"/>
      <c r="CE48" s="167"/>
      <c r="CF48" s="167"/>
      <c r="CG48" s="167"/>
      <c r="CH48" s="167"/>
      <c r="CI48" s="167"/>
      <c r="CJ48" s="167"/>
      <c r="CK48" s="167"/>
      <c r="CL48" s="167"/>
      <c r="CM48" s="167"/>
      <c r="DD48" s="167"/>
      <c r="DE48" s="167"/>
      <c r="DF48" s="167"/>
      <c r="DG48" s="167"/>
      <c r="DH48" s="167"/>
      <c r="DI48" s="167"/>
      <c r="DJ48" s="167"/>
      <c r="DK48" s="167"/>
      <c r="DL48" s="167"/>
      <c r="DM48" s="167"/>
      <c r="DN48" s="167"/>
      <c r="DO48" s="167"/>
      <c r="DP48" s="167"/>
      <c r="DQ48" s="167"/>
      <c r="EI48" s="941"/>
      <c r="FL48" s="690"/>
      <c r="FM48" s="690"/>
      <c r="FN48" s="690"/>
      <c r="FO48" s="690"/>
      <c r="FP48" s="690"/>
      <c r="FQ48" s="690"/>
      <c r="FR48" s="690"/>
      <c r="FS48" s="690"/>
      <c r="FT48" s="690"/>
      <c r="FU48" s="690"/>
      <c r="FV48" s="690"/>
      <c r="FW48" s="690"/>
      <c r="FX48" s="690"/>
      <c r="FY48" s="690"/>
      <c r="FZ48" s="690"/>
      <c r="HE48" s="1239"/>
      <c r="HF48" s="1239"/>
      <c r="HG48" s="1239"/>
      <c r="HH48" s="1239"/>
      <c r="HI48" s="1239"/>
      <c r="HJ48" s="1239"/>
      <c r="HK48" s="1239"/>
      <c r="HL48" s="1239"/>
      <c r="HM48" s="1239"/>
      <c r="HN48" s="1239"/>
      <c r="HO48" s="1239"/>
      <c r="HP48" s="1239"/>
      <c r="HQ48" s="1239"/>
      <c r="HR48" s="1239"/>
      <c r="HS48" s="1239"/>
      <c r="HT48" s="1239"/>
      <c r="HU48" s="1239"/>
      <c r="HV48" s="1239"/>
      <c r="HW48" s="1239"/>
      <c r="HX48" s="1239"/>
      <c r="HY48" s="1239"/>
      <c r="HZ48" s="1239"/>
      <c r="IA48" s="1239"/>
      <c r="IB48" s="1239"/>
      <c r="IC48" s="1239"/>
      <c r="ID48" s="1239"/>
      <c r="IE48" s="1239"/>
      <c r="IF48" s="1239"/>
    </row>
    <row r="49" spans="2:240" ht="10.5" customHeight="1">
      <c r="EI49" s="941"/>
      <c r="FL49" s="849"/>
      <c r="FM49" s="849"/>
      <c r="FN49" s="849"/>
      <c r="FO49" s="849"/>
      <c r="FP49" s="849"/>
      <c r="FQ49" s="849"/>
      <c r="FR49" s="849"/>
      <c r="FS49" s="849"/>
      <c r="FT49" s="849"/>
      <c r="FU49" s="849"/>
      <c r="FV49" s="849"/>
      <c r="FW49" s="690"/>
      <c r="FX49" s="690"/>
      <c r="FY49" s="690"/>
      <c r="FZ49" s="690"/>
      <c r="GG49" s="849"/>
      <c r="GH49" s="849"/>
      <c r="GI49" s="849"/>
      <c r="GJ49" s="849"/>
      <c r="GK49" s="849"/>
      <c r="GL49" s="849"/>
      <c r="GM49" s="849"/>
      <c r="GN49" s="849"/>
      <c r="GO49" s="849"/>
      <c r="GP49" s="849"/>
      <c r="GQ49" s="849"/>
      <c r="HE49" s="1239"/>
      <c r="HF49" s="1239"/>
      <c r="HG49" s="1239"/>
      <c r="HH49" s="1239"/>
      <c r="HI49" s="1239"/>
      <c r="HJ49" s="1239"/>
      <c r="HK49" s="1239"/>
      <c r="HL49" s="1239"/>
      <c r="HM49" s="1239"/>
      <c r="HN49" s="1239"/>
      <c r="HO49" s="1239"/>
      <c r="HP49" s="1239"/>
      <c r="HQ49" s="1239"/>
      <c r="HR49" s="1239"/>
      <c r="HS49" s="1239"/>
      <c r="HT49" s="1239"/>
      <c r="HU49" s="1239"/>
      <c r="HV49" s="1239"/>
      <c r="HW49" s="1239"/>
      <c r="HX49" s="1239"/>
      <c r="HY49" s="1239"/>
      <c r="HZ49" s="1239"/>
      <c r="IA49" s="1239"/>
      <c r="IB49" s="1239"/>
      <c r="IC49" s="1239"/>
      <c r="ID49" s="1239"/>
      <c r="IE49" s="1239"/>
      <c r="IF49" s="1239"/>
    </row>
    <row r="50" spans="2:240" ht="15">
      <c r="B50" s="97"/>
      <c r="C50" s="330" t="s">
        <v>254</v>
      </c>
      <c r="AX50" s="125"/>
      <c r="AY50" s="125"/>
      <c r="BD50" s="125"/>
      <c r="BE50" s="125"/>
      <c r="BJ50" s="125"/>
      <c r="BK50" s="125"/>
      <c r="BU50" s="167"/>
      <c r="BV50" s="167"/>
      <c r="BW50" s="167"/>
      <c r="BX50" s="167"/>
      <c r="BY50" s="167"/>
      <c r="BZ50" s="167"/>
      <c r="CA50" s="167"/>
      <c r="CB50" s="167"/>
      <c r="CC50" s="167"/>
      <c r="CD50" s="167"/>
      <c r="CE50" s="167"/>
      <c r="CF50" s="167"/>
      <c r="CG50" s="167"/>
      <c r="CH50" s="167"/>
      <c r="CI50" s="167"/>
      <c r="CJ50" s="167"/>
      <c r="CK50" s="167"/>
      <c r="CL50" s="167"/>
      <c r="CM50" s="167"/>
      <c r="DD50" s="167"/>
      <c r="DE50" s="167"/>
      <c r="DF50" s="167"/>
      <c r="DG50" s="167"/>
      <c r="DH50" s="167"/>
      <c r="DI50" s="167"/>
      <c r="DJ50" s="167"/>
      <c r="DK50" s="167"/>
      <c r="DL50" s="167"/>
      <c r="DM50" s="167"/>
      <c r="DN50" s="167"/>
      <c r="DO50" s="167"/>
      <c r="DP50" s="167"/>
      <c r="DQ50" s="167"/>
      <c r="EI50" s="941"/>
      <c r="FL50" s="690"/>
      <c r="FM50" s="690"/>
      <c r="FN50" s="690"/>
      <c r="FO50" s="690"/>
      <c r="FP50" s="690"/>
      <c r="FQ50" s="690"/>
      <c r="FR50" s="690"/>
      <c r="FS50" s="690"/>
      <c r="FT50" s="690"/>
      <c r="FU50" s="690"/>
      <c r="FV50" s="690"/>
      <c r="FW50" s="690"/>
      <c r="FX50" s="690"/>
      <c r="FY50" s="690"/>
      <c r="FZ50" s="690"/>
      <c r="HE50" s="1239"/>
      <c r="HF50" s="1239"/>
      <c r="HG50" s="1239"/>
      <c r="HH50" s="1239"/>
      <c r="HI50" s="1239"/>
      <c r="HJ50" s="1239"/>
      <c r="HK50" s="1239"/>
      <c r="HL50" s="1239"/>
      <c r="HM50" s="1239"/>
      <c r="HN50" s="1239"/>
      <c r="HO50" s="1239"/>
      <c r="HP50" s="1239"/>
      <c r="HQ50" s="1239"/>
      <c r="HR50" s="1239"/>
      <c r="HS50" s="1241"/>
      <c r="HT50" s="1239"/>
      <c r="HU50" s="1239"/>
      <c r="HV50" s="1239"/>
      <c r="HW50" s="1239"/>
      <c r="HX50" s="1239"/>
      <c r="HY50" s="1239"/>
      <c r="HZ50" s="1239"/>
      <c r="IA50" s="1239"/>
      <c r="IB50" s="1239"/>
      <c r="IC50" s="1239"/>
      <c r="ID50" s="1239"/>
      <c r="IE50" s="1239"/>
      <c r="IF50" s="1239"/>
    </row>
    <row r="51" spans="2:240" ht="10.5" customHeight="1">
      <c r="B51" s="97"/>
      <c r="AT51" s="331" t="str">
        <f ca="1">IF(AV51="","","Scenario 1")</f>
        <v>Scenario 1</v>
      </c>
      <c r="AU51" s="332"/>
      <c r="AV51" s="333" t="str">
        <f ca="1">IF(OFFSET('Step 1'!$G$21,$A$1,0)=0,"",OFFSET('Step 1'!$G$21,$A$1,0)&amp;" months term")</f>
        <v>1 months term</v>
      </c>
      <c r="AW51" s="332"/>
      <c r="AX51" s="88" t="str">
        <f ca="1">IF(AT51="","","Std Pricing: "&amp;OFFSET(DJ51,0,$AU$1))</f>
        <v>Std Pricing: MTM</v>
      </c>
      <c r="AY51" s="88"/>
      <c r="AZ51" s="334" t="str">
        <f ca="1">IF(BB51="","","Scenario 2")</f>
        <v>Scenario 2</v>
      </c>
      <c r="BA51" s="335"/>
      <c r="BB51" s="336" t="str">
        <f ca="1">IF(OFFSET('Step 1'!$G$21,$A$1,1)=0,"",OFFSET('Step 1'!$G$21,$A$1,1)&amp;" months term")</f>
        <v>2 months term</v>
      </c>
      <c r="BC51" s="337"/>
      <c r="BD51" s="85" t="str">
        <f ca="1">IF(AZ51="","","Std Pricing: "&amp;OFFSET(DJ51,0,$AV$1))</f>
        <v>Std Pricing: MTM</v>
      </c>
      <c r="BE51" s="85"/>
      <c r="BF51" s="331" t="str">
        <f ca="1">IF(BH51="","","Scenario 3")</f>
        <v>Scenario 3</v>
      </c>
      <c r="BG51" s="338"/>
      <c r="BH51" s="333" t="str">
        <f ca="1">IF(OFFSET('Step 1'!$G$21,$A$1,2)=0,"",OFFSET('Step 1'!$G$21,$A$1,2)&amp;" months term")</f>
        <v>3 months term</v>
      </c>
      <c r="BI51" s="332"/>
      <c r="BJ51" s="88" t="str">
        <f ca="1">IF(BF51="","","Std Pricing: "&amp;OFFSET(DJ51,0,$AW$1))</f>
        <v>Std Pricing: MTM</v>
      </c>
      <c r="BK51" s="99"/>
      <c r="BL51" s="97"/>
      <c r="BU51" s="167"/>
      <c r="BV51" s="167"/>
      <c r="BW51" s="167"/>
      <c r="BX51" s="167"/>
      <c r="BY51" s="167"/>
      <c r="BZ51" s="167"/>
      <c r="CA51" s="167"/>
      <c r="CB51" s="167"/>
      <c r="CC51" s="167"/>
      <c r="CD51" s="167"/>
      <c r="CE51" s="167"/>
      <c r="CF51" s="167"/>
      <c r="CG51" s="167"/>
      <c r="CH51" s="167"/>
      <c r="CI51" s="167"/>
      <c r="CJ51" s="167"/>
      <c r="CK51" s="167"/>
      <c r="CL51" s="167"/>
      <c r="CM51" s="167"/>
      <c r="DD51" s="167"/>
      <c r="DE51" s="167"/>
      <c r="DF51" s="167"/>
      <c r="DG51" s="167"/>
      <c r="DH51" s="167"/>
      <c r="DI51" s="167"/>
      <c r="DJ51" s="167"/>
      <c r="DK51" s="167"/>
      <c r="DL51" s="339" t="s">
        <v>8</v>
      </c>
      <c r="DM51" s="339"/>
      <c r="DN51" s="339" t="s">
        <v>9</v>
      </c>
      <c r="DO51" s="339"/>
      <c r="DP51" s="339" t="s">
        <v>10</v>
      </c>
      <c r="DQ51" s="339"/>
      <c r="DR51" s="339" t="s">
        <v>11</v>
      </c>
      <c r="DS51" s="339"/>
      <c r="DT51" s="339" t="s">
        <v>12</v>
      </c>
      <c r="DU51" s="339"/>
      <c r="DV51" s="339" t="s">
        <v>13</v>
      </c>
      <c r="DW51" s="339"/>
      <c r="DX51" s="339" t="s">
        <v>261</v>
      </c>
      <c r="DY51" s="340"/>
      <c r="DZ51" s="341"/>
      <c r="EA51" s="339" t="s">
        <v>211</v>
      </c>
      <c r="EB51" s="339"/>
      <c r="EC51" s="339" t="s">
        <v>214</v>
      </c>
      <c r="ED51" s="340"/>
      <c r="EE51" s="339" t="s">
        <v>10228</v>
      </c>
      <c r="EF51" s="340"/>
      <c r="EG51" s="340"/>
      <c r="EH51" s="340"/>
      <c r="EI51" s="340"/>
      <c r="EJ51" s="342"/>
      <c r="EK51" s="342"/>
      <c r="EL51" s="342"/>
      <c r="EM51" s="342"/>
      <c r="EN51" s="342"/>
      <c r="EO51" s="342"/>
      <c r="ES51" s="339" t="s">
        <v>8</v>
      </c>
      <c r="ET51" s="339"/>
      <c r="EU51" s="339" t="s">
        <v>9</v>
      </c>
      <c r="EV51" s="339"/>
      <c r="EW51" s="339" t="s">
        <v>10</v>
      </c>
      <c r="EX51" s="339"/>
      <c r="EY51" s="339" t="s">
        <v>11</v>
      </c>
      <c r="EZ51" s="339"/>
      <c r="FA51" s="339" t="s">
        <v>12</v>
      </c>
      <c r="FB51" s="339"/>
      <c r="FC51" s="339" t="s">
        <v>13</v>
      </c>
      <c r="FD51" s="339"/>
      <c r="FH51" s="339" t="s">
        <v>211</v>
      </c>
      <c r="FI51" s="339"/>
      <c r="FL51" s="690"/>
      <c r="FM51" s="690"/>
      <c r="FN51" s="690"/>
      <c r="FO51" s="690"/>
      <c r="FP51" s="690"/>
      <c r="FQ51" s="339" t="s">
        <v>8</v>
      </c>
      <c r="FR51" s="339"/>
      <c r="FS51" s="339" t="s">
        <v>9</v>
      </c>
      <c r="FT51" s="339"/>
      <c r="FU51" s="339" t="s">
        <v>10</v>
      </c>
      <c r="FV51" s="339"/>
      <c r="FW51" s="339" t="s">
        <v>11</v>
      </c>
      <c r="FX51" s="339"/>
      <c r="FY51" s="339" t="s">
        <v>12</v>
      </c>
      <c r="FZ51" s="339"/>
      <c r="GA51" s="339" t="s">
        <v>211</v>
      </c>
      <c r="GB51" s="339"/>
      <c r="GC51" s="339" t="s">
        <v>13</v>
      </c>
      <c r="GD51" s="339"/>
      <c r="GL51" s="339" t="s">
        <v>8</v>
      </c>
      <c r="GM51" s="339"/>
      <c r="GN51" s="339" t="s">
        <v>9</v>
      </c>
      <c r="GO51" s="339"/>
      <c r="GP51" s="339" t="s">
        <v>10</v>
      </c>
      <c r="GQ51" s="339"/>
      <c r="GR51" s="339" t="s">
        <v>11</v>
      </c>
      <c r="GS51" s="339"/>
      <c r="GT51" s="339" t="s">
        <v>12</v>
      </c>
      <c r="GU51" s="339"/>
      <c r="GV51" s="339" t="s">
        <v>211</v>
      </c>
      <c r="GW51" s="339"/>
      <c r="GX51" s="339" t="s">
        <v>13</v>
      </c>
      <c r="GY51" s="339"/>
      <c r="HE51" s="1239"/>
      <c r="HF51" s="1239"/>
      <c r="HG51" s="1239"/>
      <c r="HH51" s="1239"/>
      <c r="HI51" s="1239"/>
      <c r="HJ51" s="1239"/>
      <c r="HK51" s="1239"/>
      <c r="HL51" s="1239"/>
      <c r="HM51" s="1239"/>
      <c r="HN51" s="1239"/>
      <c r="HO51" s="1239"/>
      <c r="HP51" s="1239"/>
      <c r="HQ51" s="1239"/>
      <c r="HR51" s="1239"/>
      <c r="HS51" s="1239"/>
      <c r="HT51" s="1239"/>
      <c r="HU51" s="1239"/>
      <c r="HV51" s="1239"/>
      <c r="HW51" s="1239"/>
      <c r="HX51" s="1239"/>
      <c r="HY51" s="1239"/>
      <c r="HZ51" s="1239"/>
      <c r="IA51" s="1239"/>
      <c r="IB51" s="1239"/>
      <c r="IC51" s="1239"/>
      <c r="ID51" s="1239"/>
      <c r="IE51" s="1239"/>
      <c r="IF51" s="1239"/>
    </row>
    <row r="52" spans="2:240" ht="45" customHeight="1">
      <c r="B52" s="97"/>
      <c r="C52" s="49" t="s">
        <v>375</v>
      </c>
      <c r="D52" s="49" t="s">
        <v>375</v>
      </c>
      <c r="E52" s="49" t="s">
        <v>375</v>
      </c>
      <c r="F52" s="49" t="s">
        <v>375</v>
      </c>
      <c r="G52" s="49" t="s">
        <v>375</v>
      </c>
      <c r="H52" s="49" t="s">
        <v>375</v>
      </c>
      <c r="I52" s="49" t="s">
        <v>375</v>
      </c>
      <c r="J52" s="49" t="s">
        <v>375</v>
      </c>
      <c r="K52" s="49" t="s">
        <v>375</v>
      </c>
      <c r="L52" s="49" t="s">
        <v>375</v>
      </c>
      <c r="M52" s="49" t="s">
        <v>375</v>
      </c>
      <c r="N52" s="49" t="s">
        <v>375</v>
      </c>
      <c r="O52" s="49" t="s">
        <v>375</v>
      </c>
      <c r="P52" s="49" t="s">
        <v>375</v>
      </c>
      <c r="Q52" s="49" t="s">
        <v>375</v>
      </c>
      <c r="R52" s="49" t="s">
        <v>375</v>
      </c>
      <c r="S52" s="49" t="s">
        <v>375</v>
      </c>
      <c r="T52" s="49" t="s">
        <v>375</v>
      </c>
      <c r="U52" s="49" t="s">
        <v>375</v>
      </c>
      <c r="V52" s="49" t="s">
        <v>375</v>
      </c>
      <c r="W52" s="49" t="s">
        <v>375</v>
      </c>
      <c r="X52" s="49" t="s">
        <v>375</v>
      </c>
      <c r="Y52" s="49" t="s">
        <v>375</v>
      </c>
      <c r="Z52" s="49" t="s">
        <v>375</v>
      </c>
      <c r="AA52" s="49" t="s">
        <v>375</v>
      </c>
      <c r="AB52" s="49" t="s">
        <v>375</v>
      </c>
      <c r="AC52" s="49" t="s">
        <v>375</v>
      </c>
      <c r="AD52" s="49" t="s">
        <v>375</v>
      </c>
      <c r="AE52" s="49" t="s">
        <v>375</v>
      </c>
      <c r="AF52" s="49" t="s">
        <v>375</v>
      </c>
      <c r="AG52" s="49" t="s">
        <v>375</v>
      </c>
      <c r="AH52" s="49" t="s">
        <v>375</v>
      </c>
      <c r="AI52" s="49" t="s">
        <v>375</v>
      </c>
      <c r="AJ52" s="49" t="s">
        <v>249</v>
      </c>
      <c r="AK52" s="49" t="s">
        <v>250</v>
      </c>
      <c r="AL52" s="49" t="s">
        <v>251</v>
      </c>
      <c r="AM52" s="49" t="s">
        <v>252</v>
      </c>
      <c r="AN52" s="49" t="s">
        <v>197</v>
      </c>
      <c r="AO52" s="49" t="s">
        <v>516</v>
      </c>
      <c r="AP52" s="49" t="s">
        <v>517</v>
      </c>
      <c r="AQ52" s="49" t="s">
        <v>518</v>
      </c>
      <c r="AR52" s="49" t="s">
        <v>388</v>
      </c>
      <c r="AS52" s="70" t="s">
        <v>389</v>
      </c>
      <c r="AT52" s="72" t="s">
        <v>519</v>
      </c>
      <c r="AU52" s="51" t="s">
        <v>520</v>
      </c>
      <c r="AV52" s="51" t="s">
        <v>521</v>
      </c>
      <c r="AW52" s="51" t="s">
        <v>509</v>
      </c>
      <c r="AX52" s="51" t="s">
        <v>510</v>
      </c>
      <c r="AY52" s="66" t="s">
        <v>511</v>
      </c>
      <c r="AZ52" s="77" t="s">
        <v>360</v>
      </c>
      <c r="BA52" s="51" t="s">
        <v>361</v>
      </c>
      <c r="BB52" s="51" t="s">
        <v>362</v>
      </c>
      <c r="BC52" s="51" t="s">
        <v>363</v>
      </c>
      <c r="BD52" s="51" t="s">
        <v>243</v>
      </c>
      <c r="BE52" s="66" t="s">
        <v>244</v>
      </c>
      <c r="BF52" s="72" t="s">
        <v>512</v>
      </c>
      <c r="BG52" s="51" t="s">
        <v>513</v>
      </c>
      <c r="BH52" s="51" t="s">
        <v>514</v>
      </c>
      <c r="BI52" s="51" t="s">
        <v>515</v>
      </c>
      <c r="BJ52" s="51" t="s">
        <v>358</v>
      </c>
      <c r="BK52" s="100" t="s">
        <v>359</v>
      </c>
      <c r="BL52" s="97"/>
      <c r="BU52" s="167"/>
      <c r="BV52" s="167"/>
      <c r="BW52" s="167"/>
      <c r="BX52" s="167"/>
      <c r="BY52" s="167"/>
      <c r="BZ52" s="167"/>
      <c r="CA52" s="167"/>
      <c r="CB52" s="167"/>
      <c r="CC52" s="167"/>
      <c r="CD52" s="167"/>
      <c r="CE52" s="167"/>
      <c r="CF52" s="167"/>
      <c r="CG52" s="167"/>
      <c r="CH52" s="167"/>
      <c r="CI52" s="167"/>
      <c r="CJ52" s="167"/>
      <c r="CK52" s="167"/>
      <c r="CL52" s="167"/>
      <c r="CM52" s="167"/>
      <c r="DD52" s="167"/>
      <c r="DE52" s="167"/>
      <c r="DF52" s="167"/>
      <c r="DG52" s="167"/>
      <c r="DH52" s="167"/>
      <c r="DI52" s="167"/>
      <c r="DJ52" s="167"/>
      <c r="DK52" s="167"/>
      <c r="DL52" s="167"/>
      <c r="DM52" s="167"/>
      <c r="DN52" s="167"/>
      <c r="DO52" s="167"/>
      <c r="DP52" s="167"/>
      <c r="DQ52" s="167"/>
      <c r="DY52" s="97"/>
      <c r="DZ52" s="97"/>
      <c r="ED52" s="97"/>
      <c r="EF52" s="1081"/>
      <c r="EG52" s="1081"/>
      <c r="EH52" s="1081"/>
      <c r="EI52" s="1081"/>
      <c r="EJ52" s="97"/>
      <c r="EK52" s="97"/>
      <c r="EL52" s="97"/>
      <c r="EM52" s="97"/>
      <c r="EN52" s="97"/>
      <c r="EO52" s="97"/>
      <c r="FL52" s="690"/>
      <c r="FM52" s="690"/>
      <c r="FN52" s="690"/>
      <c r="FO52" s="690"/>
      <c r="FP52" s="690"/>
      <c r="FQ52" s="690"/>
      <c r="FR52" s="690"/>
      <c r="FS52" s="690"/>
      <c r="FT52" s="690"/>
      <c r="FU52" s="690"/>
      <c r="FV52" s="690"/>
      <c r="FW52" s="690"/>
      <c r="FX52" s="690"/>
      <c r="FY52" s="690"/>
      <c r="FZ52" s="690"/>
      <c r="HE52" s="1240" t="s">
        <v>10254</v>
      </c>
      <c r="HF52" s="1239"/>
      <c r="HG52" s="1239"/>
      <c r="HH52" s="1239"/>
      <c r="HI52" s="1239"/>
      <c r="HJ52" s="1239"/>
      <c r="HK52" s="1239"/>
      <c r="HL52" s="1239"/>
      <c r="HM52" s="1239"/>
      <c r="HN52" s="1239"/>
      <c r="HO52" s="1239"/>
      <c r="HP52" s="1239"/>
      <c r="HQ52" s="1239"/>
      <c r="HR52" s="1239"/>
      <c r="HS52" s="1240" t="s">
        <v>10253</v>
      </c>
      <c r="HT52" s="1239"/>
      <c r="HU52" s="1239"/>
      <c r="HV52" s="1239"/>
      <c r="HW52" s="1239"/>
      <c r="HX52" s="1239"/>
      <c r="HY52" s="1239"/>
      <c r="HZ52" s="1239"/>
      <c r="IA52" s="1239"/>
      <c r="IB52" s="1239"/>
      <c r="IC52" s="1239"/>
      <c r="ID52" s="1239"/>
      <c r="IE52" s="1239"/>
      <c r="IF52" s="1239"/>
    </row>
    <row r="53" spans="2:240" ht="10.5" customHeight="1">
      <c r="B53" s="97"/>
      <c r="C53" s="343"/>
      <c r="D53" s="343"/>
      <c r="E53" s="343"/>
      <c r="F53" s="343"/>
      <c r="G53" s="343"/>
      <c r="H53" s="343"/>
      <c r="I53" s="343"/>
      <c r="J53" s="343"/>
      <c r="K53" s="343"/>
      <c r="L53" s="343"/>
      <c r="M53" s="343"/>
      <c r="N53" s="343"/>
      <c r="O53" s="343"/>
      <c r="P53" s="343"/>
      <c r="Q53" s="343"/>
      <c r="R53" s="343"/>
      <c r="S53" s="343"/>
      <c r="T53" s="343"/>
      <c r="U53" s="343"/>
      <c r="V53" s="343"/>
      <c r="W53" s="343"/>
      <c r="X53" s="343"/>
      <c r="Y53" s="343"/>
      <c r="Z53" s="343"/>
      <c r="AA53" s="343"/>
      <c r="AB53" s="343"/>
      <c r="AC53" s="343"/>
      <c r="AD53" s="343"/>
      <c r="AE53" s="343"/>
      <c r="AF53" s="343"/>
      <c r="AG53" s="343"/>
      <c r="AH53" s="343"/>
      <c r="AI53" s="343"/>
      <c r="AJ53" s="343"/>
      <c r="AK53" s="343"/>
      <c r="AL53" s="343"/>
      <c r="AM53" s="343"/>
      <c r="AN53" s="343"/>
      <c r="AO53" s="343"/>
      <c r="AP53" s="343"/>
      <c r="AQ53" s="343"/>
      <c r="AR53" s="343"/>
      <c r="AS53" s="344"/>
      <c r="AT53" s="345"/>
      <c r="AU53" s="343"/>
      <c r="AV53" s="53"/>
      <c r="AW53" s="53"/>
      <c r="AX53" s="54"/>
      <c r="AY53" s="54"/>
      <c r="AZ53" s="346"/>
      <c r="BA53" s="343"/>
      <c r="BB53" s="53"/>
      <c r="BC53" s="53"/>
      <c r="BD53" s="54"/>
      <c r="BE53" s="54"/>
      <c r="BF53" s="345"/>
      <c r="BG53" s="343"/>
      <c r="BH53" s="53"/>
      <c r="BI53" s="53"/>
      <c r="BJ53" s="54"/>
      <c r="BK53" s="101"/>
      <c r="BL53" s="97"/>
      <c r="BU53" s="167"/>
      <c r="BV53" s="167"/>
      <c r="BW53" s="167"/>
      <c r="BX53" s="167"/>
      <c r="BY53" s="167"/>
      <c r="BZ53" s="167"/>
      <c r="CA53" s="167"/>
      <c r="CB53" s="167"/>
      <c r="CC53" s="167"/>
      <c r="CD53" s="167"/>
      <c r="CE53" s="167"/>
      <c r="CF53" s="167"/>
      <c r="CG53" s="167"/>
      <c r="CH53" s="167"/>
      <c r="CI53" s="167"/>
      <c r="CJ53" s="167"/>
      <c r="CK53" s="167"/>
      <c r="CL53" s="167"/>
      <c r="CM53" s="167"/>
      <c r="DD53" s="167"/>
      <c r="DE53" s="167"/>
      <c r="DF53" s="167"/>
      <c r="DG53" s="167"/>
      <c r="DH53" s="339" t="s">
        <v>631</v>
      </c>
      <c r="DI53" s="339" t="s">
        <v>632</v>
      </c>
      <c r="DJ53" s="339" t="s">
        <v>379</v>
      </c>
      <c r="DK53" s="339" t="s">
        <v>575</v>
      </c>
      <c r="DL53" s="339" t="s">
        <v>380</v>
      </c>
      <c r="DM53" s="339" t="s">
        <v>381</v>
      </c>
      <c r="DN53" s="339" t="s">
        <v>382</v>
      </c>
      <c r="DO53" s="339" t="s">
        <v>383</v>
      </c>
      <c r="DP53" s="339" t="s">
        <v>384</v>
      </c>
      <c r="DQ53" s="339" t="s">
        <v>385</v>
      </c>
      <c r="DR53" s="339" t="s">
        <v>386</v>
      </c>
      <c r="DS53" s="339" t="s">
        <v>387</v>
      </c>
      <c r="DT53" s="339" t="s">
        <v>390</v>
      </c>
      <c r="DU53" s="339" t="s">
        <v>391</v>
      </c>
      <c r="DV53" s="339" t="s">
        <v>392</v>
      </c>
      <c r="DW53" s="339" t="s">
        <v>393</v>
      </c>
      <c r="DX53" s="339" t="s">
        <v>197</v>
      </c>
      <c r="DY53" s="339" t="s">
        <v>262</v>
      </c>
      <c r="DZ53" s="339" t="s">
        <v>263</v>
      </c>
      <c r="EA53" s="339" t="s">
        <v>212</v>
      </c>
      <c r="EB53" s="339" t="s">
        <v>213</v>
      </c>
      <c r="EC53" s="339" t="s">
        <v>215</v>
      </c>
      <c r="ED53" s="339" t="s">
        <v>14</v>
      </c>
      <c r="EE53" s="339" t="s">
        <v>8005</v>
      </c>
      <c r="EF53" s="339" t="s">
        <v>10229</v>
      </c>
      <c r="EG53" s="339"/>
      <c r="EH53" s="339"/>
      <c r="EI53" s="339"/>
      <c r="EJ53" s="342"/>
      <c r="EK53" s="342"/>
      <c r="EL53" s="342"/>
      <c r="EM53" s="342"/>
      <c r="EN53" s="342"/>
      <c r="EO53" s="342"/>
      <c r="EQ53" s="339" t="s">
        <v>379</v>
      </c>
      <c r="ER53" s="339" t="s">
        <v>575</v>
      </c>
      <c r="ES53" s="339" t="s">
        <v>380</v>
      </c>
      <c r="ET53" s="339" t="s">
        <v>381</v>
      </c>
      <c r="EU53" s="339" t="s">
        <v>382</v>
      </c>
      <c r="EV53" s="339" t="s">
        <v>383</v>
      </c>
      <c r="EW53" s="339" t="s">
        <v>384</v>
      </c>
      <c r="EX53" s="339" t="s">
        <v>385</v>
      </c>
      <c r="EY53" s="339" t="s">
        <v>386</v>
      </c>
      <c r="EZ53" s="339" t="s">
        <v>387</v>
      </c>
      <c r="FA53" s="339" t="s">
        <v>390</v>
      </c>
      <c r="FB53" s="339" t="s">
        <v>391</v>
      </c>
      <c r="FC53" s="339" t="s">
        <v>392</v>
      </c>
      <c r="FD53" s="339" t="s">
        <v>393</v>
      </c>
      <c r="FH53" s="339" t="s">
        <v>212</v>
      </c>
      <c r="FI53" s="339" t="s">
        <v>213</v>
      </c>
      <c r="FL53" s="339" t="s">
        <v>9596</v>
      </c>
      <c r="FM53" s="339" t="s">
        <v>9597</v>
      </c>
      <c r="FN53" s="339" t="s">
        <v>9598</v>
      </c>
      <c r="FO53" s="339" t="s">
        <v>9599</v>
      </c>
      <c r="FP53" s="339" t="s">
        <v>9600</v>
      </c>
      <c r="FQ53" s="339" t="s">
        <v>380</v>
      </c>
      <c r="FR53" s="339" t="s">
        <v>381</v>
      </c>
      <c r="FS53" s="339" t="s">
        <v>382</v>
      </c>
      <c r="FT53" s="339" t="s">
        <v>383</v>
      </c>
      <c r="FU53" s="339" t="s">
        <v>384</v>
      </c>
      <c r="FV53" s="339" t="s">
        <v>385</v>
      </c>
      <c r="FW53" s="339" t="s">
        <v>386</v>
      </c>
      <c r="FX53" s="339" t="s">
        <v>387</v>
      </c>
      <c r="FY53" s="339" t="s">
        <v>390</v>
      </c>
      <c r="FZ53" s="339" t="s">
        <v>391</v>
      </c>
      <c r="GA53" s="339" t="s">
        <v>212</v>
      </c>
      <c r="GB53" s="339" t="s">
        <v>213</v>
      </c>
      <c r="GC53" s="339" t="s">
        <v>392</v>
      </c>
      <c r="GD53" s="339" t="s">
        <v>393</v>
      </c>
      <c r="GG53" s="339" t="s">
        <v>9596</v>
      </c>
      <c r="GH53" s="339" t="s">
        <v>9597</v>
      </c>
      <c r="GI53" s="339" t="s">
        <v>9598</v>
      </c>
      <c r="GJ53" s="339" t="s">
        <v>9599</v>
      </c>
      <c r="GK53" s="339" t="s">
        <v>9600</v>
      </c>
      <c r="GL53" s="339" t="s">
        <v>380</v>
      </c>
      <c r="GM53" s="339" t="s">
        <v>381</v>
      </c>
      <c r="GN53" s="339" t="s">
        <v>382</v>
      </c>
      <c r="GO53" s="339" t="s">
        <v>383</v>
      </c>
      <c r="GP53" s="339" t="s">
        <v>384</v>
      </c>
      <c r="GQ53" s="339" t="s">
        <v>385</v>
      </c>
      <c r="GR53" s="339" t="s">
        <v>386</v>
      </c>
      <c r="GS53" s="339" t="s">
        <v>387</v>
      </c>
      <c r="GT53" s="339" t="s">
        <v>390</v>
      </c>
      <c r="GU53" s="339" t="s">
        <v>391</v>
      </c>
      <c r="GV53" s="339" t="s">
        <v>212</v>
      </c>
      <c r="GW53" s="339" t="s">
        <v>213</v>
      </c>
      <c r="GX53" s="339" t="s">
        <v>392</v>
      </c>
      <c r="GY53" s="339" t="s">
        <v>393</v>
      </c>
      <c r="HE53" s="339" t="s">
        <v>380</v>
      </c>
      <c r="HF53" s="339" t="s">
        <v>381</v>
      </c>
      <c r="HG53" s="339" t="s">
        <v>382</v>
      </c>
      <c r="HH53" s="339" t="s">
        <v>383</v>
      </c>
      <c r="HI53" s="339" t="s">
        <v>384</v>
      </c>
      <c r="HJ53" s="339" t="s">
        <v>385</v>
      </c>
      <c r="HK53" s="339" t="s">
        <v>386</v>
      </c>
      <c r="HL53" s="339" t="s">
        <v>387</v>
      </c>
      <c r="HM53" s="339" t="s">
        <v>390</v>
      </c>
      <c r="HN53" s="339" t="s">
        <v>391</v>
      </c>
      <c r="HO53" s="339" t="s">
        <v>212</v>
      </c>
      <c r="HP53" s="339" t="s">
        <v>213</v>
      </c>
      <c r="HQ53" s="339" t="s">
        <v>392</v>
      </c>
      <c r="HR53" s="339" t="s">
        <v>393</v>
      </c>
      <c r="HS53" s="339" t="s">
        <v>380</v>
      </c>
      <c r="HT53" s="339" t="s">
        <v>381</v>
      </c>
      <c r="HU53" s="339" t="s">
        <v>382</v>
      </c>
      <c r="HV53" s="339" t="s">
        <v>383</v>
      </c>
      <c r="HW53" s="339" t="s">
        <v>384</v>
      </c>
      <c r="HX53" s="339" t="s">
        <v>385</v>
      </c>
      <c r="HY53" s="339" t="s">
        <v>386</v>
      </c>
      <c r="HZ53" s="339" t="s">
        <v>387</v>
      </c>
      <c r="IA53" s="339" t="s">
        <v>390</v>
      </c>
      <c r="IB53" s="339" t="s">
        <v>391</v>
      </c>
      <c r="IC53" s="339" t="s">
        <v>212</v>
      </c>
      <c r="ID53" s="339" t="s">
        <v>213</v>
      </c>
      <c r="IE53" s="339" t="s">
        <v>392</v>
      </c>
      <c r="IF53" s="339" t="s">
        <v>393</v>
      </c>
    </row>
    <row r="54" spans="2:240" s="1082" customFormat="1" ht="12.75">
      <c r="C54" s="120"/>
      <c r="D54" s="120"/>
      <c r="E54" s="120"/>
      <c r="F54" s="120"/>
      <c r="G54" s="120"/>
      <c r="H54" s="120"/>
      <c r="I54" s="120"/>
      <c r="J54" s="120"/>
      <c r="K54" s="120"/>
      <c r="L54" s="120"/>
      <c r="M54" s="120"/>
      <c r="N54" s="120"/>
      <c r="O54" s="120"/>
      <c r="P54" s="120"/>
      <c r="Q54" s="120"/>
      <c r="R54" s="120"/>
      <c r="S54" s="120"/>
      <c r="T54" s="120"/>
      <c r="U54" s="120"/>
      <c r="V54" s="120"/>
      <c r="W54" s="120"/>
      <c r="X54" s="120"/>
      <c r="Y54" s="120"/>
      <c r="Z54" s="120"/>
      <c r="AA54" s="120"/>
      <c r="AB54" s="120"/>
      <c r="AC54" s="120"/>
      <c r="AD54" s="120"/>
      <c r="AE54" s="120"/>
      <c r="AF54" s="120"/>
      <c r="AG54" s="120"/>
      <c r="AH54" s="120"/>
      <c r="AI54" s="120"/>
      <c r="AJ54" s="59"/>
      <c r="AK54" s="59"/>
      <c r="AL54" s="59"/>
      <c r="AM54" s="59"/>
      <c r="AN54" s="59"/>
      <c r="AO54" s="59"/>
      <c r="AP54" s="59"/>
      <c r="AQ54" s="59"/>
      <c r="AR54" s="59"/>
      <c r="AS54" s="67"/>
      <c r="AT54" s="74"/>
      <c r="AU54" s="63"/>
      <c r="AV54" s="59"/>
      <c r="AW54" s="59"/>
      <c r="AX54" s="59"/>
      <c r="AY54" s="67"/>
      <c r="AZ54" s="79"/>
      <c r="BA54" s="63"/>
      <c r="BB54" s="59"/>
      <c r="BC54" s="59"/>
      <c r="BD54" s="59"/>
      <c r="BE54" s="67"/>
      <c r="BF54" s="74"/>
      <c r="BG54" s="63"/>
      <c r="BH54" s="59"/>
      <c r="BI54" s="59"/>
      <c r="BJ54" s="59"/>
      <c r="BK54" s="102"/>
      <c r="BV54" s="1065"/>
      <c r="BW54" s="1065"/>
      <c r="BX54" s="1065"/>
      <c r="BY54" s="1065"/>
      <c r="BZ54" s="1065"/>
      <c r="CA54" s="1065"/>
      <c r="DH54" s="347"/>
      <c r="DI54" s="347"/>
      <c r="DJ54" s="347"/>
      <c r="DK54" s="347"/>
      <c r="DL54" s="96"/>
      <c r="DM54" s="96"/>
      <c r="DN54" s="96"/>
      <c r="DO54" s="96"/>
      <c r="DP54" s="96"/>
      <c r="DQ54" s="96"/>
      <c r="DR54" s="96"/>
      <c r="DS54" s="96"/>
      <c r="DT54" s="96"/>
      <c r="DU54" s="96"/>
      <c r="DV54" s="96"/>
      <c r="DW54" s="96"/>
      <c r="DX54" s="113"/>
      <c r="DY54" s="113"/>
      <c r="DZ54" s="113"/>
      <c r="EA54" s="96"/>
      <c r="EB54" s="96"/>
      <c r="EC54" s="113"/>
      <c r="ED54" s="113"/>
      <c r="EE54" s="113"/>
      <c r="EF54" s="113"/>
      <c r="EG54" s="113"/>
      <c r="EH54" s="113"/>
      <c r="EI54" s="113"/>
      <c r="EJ54" s="119"/>
      <c r="EK54" s="119"/>
      <c r="EL54" s="119"/>
      <c r="EM54" s="119"/>
      <c r="EN54" s="119"/>
      <c r="EO54" s="119"/>
      <c r="EQ54" s="347"/>
      <c r="ER54" s="347"/>
      <c r="ES54" s="96"/>
      <c r="ET54" s="96"/>
      <c r="EU54" s="96"/>
      <c r="EV54" s="96"/>
      <c r="EW54" s="96"/>
      <c r="EX54" s="96"/>
      <c r="EY54" s="96"/>
      <c r="EZ54" s="96"/>
      <c r="FA54" s="96"/>
      <c r="FB54" s="96"/>
      <c r="FC54" s="96"/>
      <c r="FD54" s="96"/>
      <c r="FH54" s="96"/>
      <c r="FI54" s="96"/>
      <c r="FL54" s="347"/>
      <c r="FM54" s="347"/>
      <c r="FN54" s="347"/>
      <c r="FO54" s="347"/>
      <c r="FP54" s="347"/>
      <c r="FQ54" s="96"/>
      <c r="FR54" s="96"/>
      <c r="FS54" s="96"/>
      <c r="FT54" s="96"/>
      <c r="FU54" s="96"/>
      <c r="FV54" s="96"/>
      <c r="FW54" s="96"/>
      <c r="FX54" s="96"/>
      <c r="FY54" s="96"/>
      <c r="FZ54" s="96"/>
      <c r="GA54" s="96"/>
      <c r="GB54" s="96"/>
      <c r="GC54" s="96"/>
      <c r="GD54" s="96"/>
      <c r="GE54" s="1065"/>
      <c r="GF54" s="1065"/>
      <c r="GG54" s="347"/>
      <c r="GH54" s="347"/>
      <c r="GI54" s="347"/>
      <c r="GJ54" s="347"/>
      <c r="GK54" s="347"/>
      <c r="GL54" s="96"/>
      <c r="GM54" s="96"/>
      <c r="GN54" s="96"/>
      <c r="GO54" s="96"/>
      <c r="GP54" s="96"/>
      <c r="GQ54" s="96"/>
      <c r="GR54" s="96"/>
      <c r="GS54" s="96"/>
      <c r="GT54" s="96"/>
      <c r="GU54" s="96"/>
      <c r="GV54" s="96"/>
      <c r="GW54" s="96"/>
      <c r="GX54" s="96"/>
      <c r="GY54" s="96"/>
      <c r="HE54" s="113"/>
      <c r="HF54" s="113"/>
      <c r="HG54" s="113"/>
      <c r="HH54" s="113"/>
      <c r="HI54" s="113"/>
      <c r="HJ54" s="113"/>
      <c r="HK54" s="113"/>
      <c r="HL54" s="113"/>
      <c r="HM54" s="113"/>
      <c r="HN54" s="113"/>
      <c r="HO54" s="113"/>
      <c r="HP54" s="113"/>
      <c r="HQ54" s="113"/>
      <c r="HR54" s="113"/>
      <c r="HS54" s="113"/>
      <c r="HT54" s="113"/>
      <c r="HU54" s="113"/>
      <c r="HV54" s="113"/>
      <c r="HW54" s="113"/>
      <c r="HX54" s="113"/>
      <c r="HY54" s="113"/>
      <c r="HZ54" s="113"/>
      <c r="IA54" s="113"/>
      <c r="IB54" s="113"/>
      <c r="IC54" s="113"/>
      <c r="ID54" s="113"/>
      <c r="IE54" s="113"/>
      <c r="IF54" s="113"/>
    </row>
    <row r="55" spans="2:240" s="1082" customFormat="1" ht="12.75">
      <c r="C55" s="120"/>
      <c r="D55" s="120"/>
      <c r="E55" s="120"/>
      <c r="F55" s="120"/>
      <c r="G55" s="120"/>
      <c r="H55" s="120"/>
      <c r="I55" s="120"/>
      <c r="J55" s="120"/>
      <c r="K55" s="120"/>
      <c r="L55" s="120"/>
      <c r="M55" s="120"/>
      <c r="N55" s="120"/>
      <c r="O55" s="120"/>
      <c r="P55" s="120"/>
      <c r="Q55" s="120"/>
      <c r="R55" s="120"/>
      <c r="S55" s="120"/>
      <c r="T55" s="120"/>
      <c r="U55" s="120"/>
      <c r="V55" s="120"/>
      <c r="W55" s="120"/>
      <c r="X55" s="120"/>
      <c r="Y55" s="120"/>
      <c r="Z55" s="120"/>
      <c r="AA55" s="120"/>
      <c r="AB55" s="120"/>
      <c r="AC55" s="120"/>
      <c r="AD55" s="120"/>
      <c r="AE55" s="120"/>
      <c r="AF55" s="120"/>
      <c r="AG55" s="120"/>
      <c r="AH55" s="120"/>
      <c r="AI55" s="120"/>
      <c r="AJ55" s="60"/>
      <c r="AK55" s="60"/>
      <c r="AL55" s="60"/>
      <c r="AM55" s="60"/>
      <c r="AN55" s="59"/>
      <c r="AO55" s="60"/>
      <c r="AP55" s="60"/>
      <c r="AQ55" s="60"/>
      <c r="AR55" s="60"/>
      <c r="AS55" s="68"/>
      <c r="AT55" s="75"/>
      <c r="AU55" s="64"/>
      <c r="AV55" s="60"/>
      <c r="AW55" s="60"/>
      <c r="AX55" s="60"/>
      <c r="AY55" s="68"/>
      <c r="AZ55" s="80"/>
      <c r="BA55" s="64"/>
      <c r="BB55" s="60"/>
      <c r="BC55" s="60"/>
      <c r="BD55" s="60"/>
      <c r="BE55" s="68"/>
      <c r="BF55" s="75"/>
      <c r="BG55" s="64"/>
      <c r="BH55" s="60"/>
      <c r="BI55" s="60"/>
      <c r="BJ55" s="60"/>
      <c r="BK55" s="103"/>
      <c r="BX55" s="1065"/>
      <c r="BY55" s="1065"/>
      <c r="BZ55" s="1065"/>
      <c r="CA55" s="1065"/>
      <c r="DH55" s="347"/>
      <c r="DI55" s="347"/>
      <c r="DJ55" s="347"/>
      <c r="DK55" s="347"/>
      <c r="DL55" s="96"/>
      <c r="DM55" s="96"/>
      <c r="DN55" s="96"/>
      <c r="DO55" s="96"/>
      <c r="DP55" s="96"/>
      <c r="DQ55" s="96"/>
      <c r="DR55" s="96"/>
      <c r="DS55" s="96"/>
      <c r="DT55" s="96"/>
      <c r="DU55" s="96"/>
      <c r="DV55" s="96"/>
      <c r="DW55" s="96"/>
      <c r="DX55" s="113"/>
      <c r="DY55" s="113"/>
      <c r="DZ55" s="113"/>
      <c r="EA55" s="96"/>
      <c r="EB55" s="96"/>
      <c r="EC55" s="113"/>
      <c r="ED55" s="113"/>
      <c r="EE55" s="113"/>
      <c r="EF55" s="113"/>
      <c r="EG55" s="113"/>
      <c r="EH55" s="113"/>
      <c r="EI55" s="113"/>
      <c r="EJ55" s="119"/>
      <c r="EK55" s="119"/>
      <c r="EL55" s="119"/>
      <c r="EM55" s="119"/>
      <c r="EN55" s="119"/>
      <c r="EO55" s="119"/>
      <c r="EQ55" s="347"/>
      <c r="ER55" s="347"/>
      <c r="ES55" s="96"/>
      <c r="ET55" s="96"/>
      <c r="EU55" s="96"/>
      <c r="EV55" s="96"/>
      <c r="EW55" s="96"/>
      <c r="EX55" s="96"/>
      <c r="EY55" s="96"/>
      <c r="EZ55" s="96"/>
      <c r="FA55" s="96"/>
      <c r="FB55" s="96"/>
      <c r="FC55" s="96"/>
      <c r="FD55" s="96"/>
      <c r="FH55" s="96"/>
      <c r="FI55" s="96"/>
      <c r="FL55" s="347"/>
      <c r="FM55" s="347"/>
      <c r="FN55" s="347"/>
      <c r="FO55" s="347"/>
      <c r="FP55" s="347"/>
      <c r="FQ55" s="96"/>
      <c r="FR55" s="96"/>
      <c r="FS55" s="96"/>
      <c r="FT55" s="96"/>
      <c r="FU55" s="96"/>
      <c r="FV55" s="96"/>
      <c r="FW55" s="96"/>
      <c r="FX55" s="96"/>
      <c r="FY55" s="96"/>
      <c r="FZ55" s="96"/>
      <c r="GA55" s="96"/>
      <c r="GB55" s="96"/>
      <c r="GC55" s="96"/>
      <c r="GD55" s="96"/>
      <c r="GE55" s="1065"/>
      <c r="GF55" s="1065"/>
      <c r="GG55" s="347"/>
      <c r="GH55" s="347"/>
      <c r="GI55" s="347"/>
      <c r="GJ55" s="347"/>
      <c r="GK55" s="347"/>
      <c r="GL55" s="96"/>
      <c r="GM55" s="96"/>
      <c r="GN55" s="96"/>
      <c r="GO55" s="96"/>
      <c r="GP55" s="96"/>
      <c r="GQ55" s="96"/>
      <c r="GR55" s="96"/>
      <c r="GS55" s="96"/>
      <c r="GT55" s="96"/>
      <c r="GU55" s="96"/>
      <c r="GV55" s="96"/>
      <c r="GW55" s="96"/>
      <c r="GX55" s="96"/>
      <c r="GY55" s="96"/>
      <c r="HE55" s="113"/>
      <c r="HF55" s="113"/>
      <c r="HG55" s="113"/>
      <c r="HH55" s="113"/>
      <c r="HI55" s="113"/>
      <c r="HJ55" s="113"/>
      <c r="HK55" s="113"/>
      <c r="HL55" s="113"/>
      <c r="HM55" s="113"/>
      <c r="HN55" s="113"/>
      <c r="HO55" s="113"/>
      <c r="HP55" s="113"/>
      <c r="HQ55" s="113"/>
      <c r="HR55" s="113"/>
      <c r="HS55" s="113"/>
      <c r="HT55" s="113"/>
      <c r="HU55" s="113"/>
      <c r="HV55" s="113"/>
      <c r="HW55" s="113"/>
      <c r="HX55" s="113"/>
      <c r="HY55" s="113"/>
      <c r="HZ55" s="113"/>
      <c r="IA55" s="113"/>
      <c r="IB55" s="113"/>
      <c r="IC55" s="113"/>
      <c r="ID55" s="113"/>
      <c r="IE55" s="113"/>
      <c r="IF55" s="113"/>
    </row>
    <row r="56" spans="2:240" ht="10.5" customHeight="1">
      <c r="B56" s="97"/>
      <c r="C56" s="348"/>
      <c r="D56" s="348"/>
      <c r="E56" s="348"/>
      <c r="F56" s="348"/>
      <c r="G56" s="348"/>
      <c r="H56" s="348"/>
      <c r="I56" s="348"/>
      <c r="J56" s="348"/>
      <c r="K56" s="348"/>
      <c r="L56" s="348"/>
      <c r="M56" s="348"/>
      <c r="N56" s="348"/>
      <c r="O56" s="348"/>
      <c r="P56" s="348"/>
      <c r="Q56" s="348"/>
      <c r="R56" s="348"/>
      <c r="S56" s="348"/>
      <c r="T56" s="348"/>
      <c r="U56" s="348"/>
      <c r="V56" s="348"/>
      <c r="W56" s="348"/>
      <c r="X56" s="348"/>
      <c r="Y56" s="348"/>
      <c r="Z56" s="348"/>
      <c r="AA56" s="348"/>
      <c r="AB56" s="348"/>
      <c r="AC56" s="348"/>
      <c r="AD56" s="348"/>
      <c r="AE56" s="348"/>
      <c r="AF56" s="348"/>
      <c r="AG56" s="348"/>
      <c r="AH56" s="348"/>
      <c r="AI56" s="348" t="s">
        <v>253</v>
      </c>
      <c r="AJ56" s="55">
        <f>SUM(AJ54:AJ55)</f>
        <v>0</v>
      </c>
      <c r="AK56" s="56">
        <f>SUM(AK54:AK55)</f>
        <v>0</v>
      </c>
      <c r="AL56" s="56">
        <f>SUM(AL54:AL55)</f>
        <v>0</v>
      </c>
      <c r="AM56" s="56">
        <f>SUM(AM54:AM55)</f>
        <v>0</v>
      </c>
      <c r="AN56" s="58"/>
      <c r="AO56" s="58">
        <f>SUMPRODUCT(AJ54:AJ55,AO54:AO55,DZ54:DZ55)+SUMPRODUCT(AK54:AK55,AO54:AO55,DZ54:DZ55)</f>
        <v>0</v>
      </c>
      <c r="AP56" s="58">
        <f>SUMPRODUCT(AJ54:AJ55,AP54:AP55,DZ54:DZ55)</f>
        <v>0</v>
      </c>
      <c r="AQ56" s="58">
        <f>SUMPRODUCT(AJ54:AJ55,AQ54:AQ55,DZ54:DZ55)+SUMPRODUCT(AK54:AK55,AQ54:AQ55,DZ54:DZ55)</f>
        <v>0</v>
      </c>
      <c r="AR56" s="58">
        <f>SUMPRODUCT(AJ54:AJ55,AR54:AR55,DZ54:DZ55)+SUMPRODUCT(AK54:AK55,AR54:AR55,DZ54:DZ55)</f>
        <v>0</v>
      </c>
      <c r="AS56" s="69">
        <f>SUMPRODUCT(AJ54:AJ55,AS54:AS55,DZ54:DZ55)</f>
        <v>0</v>
      </c>
      <c r="AT56" s="76">
        <f>SUMPRODUCT(AJ54:AJ55,AT54:AT55,DZ54:DZ55)+SUMPRODUCT(AK54:AK55,AT54:AT55,DZ54:DZ55)</f>
        <v>0</v>
      </c>
      <c r="AU56" s="58">
        <f>SUMPRODUCT(AJ54:AJ55,AU54:AU55,DZ54:DZ55)</f>
        <v>0</v>
      </c>
      <c r="AV56" s="57">
        <f>IF(AT56=0,0,(AT56-AX56)/AT56)</f>
        <v>0</v>
      </c>
      <c r="AW56" s="57">
        <f>IF(AU56=0,0,(AU56-AY56)/AU56)</f>
        <v>0</v>
      </c>
      <c r="AX56" s="58">
        <f>SUMPRODUCT(AJ54:AJ55,AX54:AX55,DZ54:DZ55)+SUMPRODUCT(AK54:AK55,AX54:AX55,DZ54:DZ55)</f>
        <v>0</v>
      </c>
      <c r="AY56" s="69">
        <f>SUMPRODUCT(AJ54:AJ55,AY54:AY55,DZ54:DZ55)</f>
        <v>0</v>
      </c>
      <c r="AZ56" s="81">
        <f>SUMPRODUCT(AJ54:AJ55,AZ54:AZ55,DZ54:DZ55)+SUMPRODUCT(AK54:AK55,AZ54:AZ55,DZ54:DZ55)</f>
        <v>0</v>
      </c>
      <c r="BA56" s="58">
        <f>SUMPRODUCT(AJ54:AJ55,BA54:BA55,DZ54:DZ55)</f>
        <v>0</v>
      </c>
      <c r="BB56" s="57">
        <f>IF(AZ56=0,0,(AZ56-BD56)/AZ56)</f>
        <v>0</v>
      </c>
      <c r="BC56" s="57">
        <f>IF(BA56=0,0,(BA56-BE56)/BA56)</f>
        <v>0</v>
      </c>
      <c r="BD56" s="58">
        <f>SUMPRODUCT(AJ54:AJ55,BD54:BD55,DZ54:DZ55)+SUMPRODUCT(AK54:AK55,BD54:BD55,DZ54:DZ55)</f>
        <v>0</v>
      </c>
      <c r="BE56" s="69">
        <f>SUMPRODUCT(AJ54:AJ55,BE54:BE55,DZ54:DZ55)</f>
        <v>0</v>
      </c>
      <c r="BF56" s="76">
        <f>SUMPRODUCT(AJ54:AJ55,BF54:BF55,DZ54:DZ55)+SUMPRODUCT(AK54:AK55,BF54:BF55,DZ54:DZ55)</f>
        <v>0</v>
      </c>
      <c r="BG56" s="58">
        <f>SUMPRODUCT(AJ54:AJ55,BG54:BG55,DZ54:DZ55)</f>
        <v>0</v>
      </c>
      <c r="BH56" s="57">
        <f>IF(BF56=0,0,(BF56-BJ56)/BF56)</f>
        <v>0</v>
      </c>
      <c r="BI56" s="57">
        <f>IF(BG56=0,0,(BG56-BK56)/BG56)</f>
        <v>0</v>
      </c>
      <c r="BJ56" s="58">
        <f>SUMPRODUCT(AJ54:AJ55,BJ54:BJ55,DZ54:DZ55)+SUMPRODUCT(AK54:AK55,BJ54:BJ55,DZ54:DZ55)</f>
        <v>0</v>
      </c>
      <c r="BK56" s="104">
        <f>SUMPRODUCT(AJ54:AJ55,BK54:BK55,DZ54:DZ55)</f>
        <v>0</v>
      </c>
      <c r="BL56" s="97"/>
      <c r="BU56" s="167"/>
      <c r="BV56" s="167"/>
      <c r="BW56" s="167"/>
      <c r="BX56" s="167"/>
      <c r="BY56" s="167"/>
      <c r="BZ56" s="167"/>
      <c r="CA56" s="167"/>
      <c r="CB56" s="167"/>
      <c r="CC56" s="167"/>
      <c r="CD56" s="167"/>
      <c r="CE56" s="167"/>
      <c r="CF56" s="167"/>
      <c r="CG56" s="167"/>
      <c r="CH56" s="167"/>
      <c r="CI56" s="167"/>
      <c r="CJ56" s="167"/>
      <c r="CK56" s="167"/>
      <c r="CL56" s="167"/>
      <c r="CM56" s="167"/>
      <c r="DD56" s="167"/>
      <c r="DE56" s="167"/>
      <c r="DF56" s="167"/>
      <c r="DG56" s="167"/>
      <c r="DH56" s="167"/>
      <c r="DI56" s="167"/>
      <c r="DJ56" s="167"/>
      <c r="DK56" s="167"/>
      <c r="DL56" s="167"/>
      <c r="DM56" s="167"/>
      <c r="DN56" s="167"/>
      <c r="DO56" s="167"/>
      <c r="DP56" s="167"/>
      <c r="DQ56" s="167"/>
      <c r="EI56" s="941"/>
      <c r="FL56" s="690"/>
      <c r="FM56" s="690"/>
      <c r="FN56" s="690"/>
      <c r="FO56" s="690"/>
      <c r="FP56" s="690"/>
      <c r="FQ56" s="690"/>
      <c r="FR56" s="690"/>
      <c r="FS56" s="690"/>
      <c r="FT56" s="690"/>
      <c r="FU56" s="690"/>
      <c r="FV56" s="690"/>
      <c r="FW56" s="690"/>
      <c r="FX56" s="690"/>
      <c r="FY56" s="690"/>
      <c r="FZ56" s="690"/>
      <c r="HE56" s="1239"/>
      <c r="HF56" s="1239"/>
      <c r="HG56" s="1239"/>
      <c r="HH56" s="1239"/>
      <c r="HI56" s="1239"/>
      <c r="HJ56" s="1239"/>
      <c r="HK56" s="1239"/>
      <c r="HL56" s="1239"/>
      <c r="HM56" s="1239"/>
      <c r="HN56" s="1239"/>
      <c r="HO56" s="1239"/>
      <c r="HP56" s="1239"/>
      <c r="HQ56" s="1239"/>
      <c r="HR56" s="1239"/>
      <c r="HS56" s="1239"/>
      <c r="HT56" s="1239"/>
      <c r="HU56" s="1239"/>
      <c r="HV56" s="1239"/>
      <c r="HW56" s="1239"/>
      <c r="HX56" s="1239"/>
      <c r="HY56" s="1239"/>
      <c r="HZ56" s="1239"/>
      <c r="IA56" s="1239"/>
      <c r="IB56" s="1239"/>
      <c r="IC56" s="1239"/>
      <c r="ID56" s="1239"/>
      <c r="IE56" s="1239"/>
      <c r="IF56" s="1239"/>
    </row>
    <row r="57" spans="2:240" ht="10.5" customHeight="1">
      <c r="EI57" s="941"/>
      <c r="FL57" s="849"/>
      <c r="FM57" s="849"/>
      <c r="FN57" s="849"/>
      <c r="FO57" s="849"/>
      <c r="FP57" s="849"/>
      <c r="FQ57" s="849"/>
      <c r="FR57" s="849"/>
      <c r="FS57" s="849"/>
      <c r="FT57" s="849"/>
      <c r="FU57" s="849"/>
      <c r="FV57" s="849"/>
      <c r="FW57" s="690"/>
      <c r="FX57" s="690"/>
      <c r="FY57" s="690"/>
      <c r="FZ57" s="690"/>
      <c r="GG57" s="849"/>
      <c r="GH57" s="849"/>
      <c r="GI57" s="849"/>
      <c r="GJ57" s="849"/>
      <c r="GK57" s="849"/>
      <c r="GL57" s="849"/>
      <c r="GM57" s="849"/>
      <c r="GN57" s="849"/>
      <c r="GO57" s="849"/>
      <c r="GP57" s="849"/>
      <c r="GQ57" s="849"/>
      <c r="HE57" s="1239"/>
      <c r="HF57" s="1239"/>
      <c r="HG57" s="1239"/>
      <c r="HH57" s="1239"/>
      <c r="HI57" s="1239"/>
      <c r="HJ57" s="1239"/>
      <c r="HK57" s="1239"/>
      <c r="HL57" s="1239"/>
      <c r="HM57" s="1239"/>
      <c r="HN57" s="1239"/>
      <c r="HO57" s="1239"/>
      <c r="HP57" s="1239"/>
      <c r="HQ57" s="1239"/>
      <c r="HR57" s="1239"/>
      <c r="HS57" s="1239"/>
      <c r="HT57" s="1239"/>
      <c r="HU57" s="1239"/>
      <c r="HV57" s="1239"/>
      <c r="HW57" s="1239"/>
      <c r="HX57" s="1239"/>
      <c r="HY57" s="1239"/>
      <c r="HZ57" s="1239"/>
      <c r="IA57" s="1239"/>
      <c r="IB57" s="1239"/>
      <c r="IC57" s="1239"/>
      <c r="ID57" s="1239"/>
      <c r="IE57" s="1239"/>
      <c r="IF57" s="1239"/>
    </row>
    <row r="58" spans="2:240" ht="15">
      <c r="B58" s="97"/>
      <c r="C58" s="330" t="s">
        <v>254</v>
      </c>
      <c r="AX58" s="125"/>
      <c r="AY58" s="125"/>
      <c r="BD58" s="125"/>
      <c r="BE58" s="125"/>
      <c r="BJ58" s="125"/>
      <c r="BK58" s="125"/>
      <c r="BU58" s="167"/>
      <c r="BV58" s="167"/>
      <c r="BW58" s="167"/>
      <c r="BX58" s="167"/>
      <c r="BY58" s="167"/>
      <c r="BZ58" s="167"/>
      <c r="CA58" s="167"/>
      <c r="CB58" s="167"/>
      <c r="CC58" s="167"/>
      <c r="CD58" s="167"/>
      <c r="CE58" s="167"/>
      <c r="CF58" s="167"/>
      <c r="CG58" s="167"/>
      <c r="CH58" s="167"/>
      <c r="CI58" s="167"/>
      <c r="CJ58" s="167"/>
      <c r="CK58" s="167"/>
      <c r="CL58" s="167"/>
      <c r="CM58" s="167"/>
      <c r="DD58" s="167"/>
      <c r="DE58" s="167"/>
      <c r="DF58" s="167"/>
      <c r="DG58" s="167"/>
      <c r="DH58" s="167"/>
      <c r="DI58" s="167"/>
      <c r="DJ58" s="167"/>
      <c r="DK58" s="167"/>
      <c r="DL58" s="167"/>
      <c r="DM58" s="167"/>
      <c r="DN58" s="167"/>
      <c r="DO58" s="167"/>
      <c r="DP58" s="167"/>
      <c r="DQ58" s="167"/>
      <c r="EI58" s="941"/>
      <c r="FL58" s="690"/>
      <c r="FM58" s="690"/>
      <c r="FN58" s="690"/>
      <c r="FO58" s="690"/>
      <c r="FP58" s="690"/>
      <c r="FQ58" s="690"/>
      <c r="FR58" s="690"/>
      <c r="FS58" s="690"/>
      <c r="FT58" s="690"/>
      <c r="FU58" s="690"/>
      <c r="FV58" s="690"/>
      <c r="FW58" s="690"/>
      <c r="FX58" s="690"/>
      <c r="FY58" s="690"/>
      <c r="FZ58" s="690"/>
      <c r="HE58" s="1239"/>
      <c r="HF58" s="1239"/>
      <c r="HG58" s="1239"/>
      <c r="HH58" s="1239"/>
      <c r="HI58" s="1239"/>
      <c r="HJ58" s="1239"/>
      <c r="HK58" s="1239"/>
      <c r="HL58" s="1239"/>
      <c r="HM58" s="1239"/>
      <c r="HN58" s="1239"/>
      <c r="HO58" s="1239"/>
      <c r="HP58" s="1239"/>
      <c r="HQ58" s="1239"/>
      <c r="HR58" s="1239"/>
      <c r="HS58" s="1239"/>
      <c r="HT58" s="1239"/>
      <c r="HU58" s="1239"/>
      <c r="HV58" s="1239"/>
      <c r="HW58" s="1239"/>
      <c r="HX58" s="1239"/>
      <c r="HY58" s="1239"/>
      <c r="HZ58" s="1239"/>
      <c r="IA58" s="1239"/>
      <c r="IB58" s="1239"/>
      <c r="IC58" s="1239"/>
      <c r="ID58" s="1239"/>
      <c r="IE58" s="1239"/>
      <c r="IF58" s="1239"/>
    </row>
    <row r="59" spans="2:240" ht="10.5" customHeight="1">
      <c r="B59" s="97"/>
      <c r="AT59" s="331" t="str">
        <f ca="1">IF(AV59="","","Scenario 1")</f>
        <v>Scenario 1</v>
      </c>
      <c r="AU59" s="332"/>
      <c r="AV59" s="333" t="str">
        <f ca="1">IF(OFFSET('Step 1'!$G$21,$A$1,0)=0,"",OFFSET('Step 1'!$G$21,$A$1,0)&amp;" months term")</f>
        <v>1 months term</v>
      </c>
      <c r="AW59" s="332"/>
      <c r="AX59" s="88" t="str">
        <f ca="1">IF(AT59="","","Std Pricing: "&amp;OFFSET(DJ59,0,$AU$1))</f>
        <v>Std Pricing: MTM</v>
      </c>
      <c r="AY59" s="88"/>
      <c r="AZ59" s="334" t="str">
        <f ca="1">IF(BB59="","","Scenario 2")</f>
        <v>Scenario 2</v>
      </c>
      <c r="BA59" s="335"/>
      <c r="BB59" s="336" t="str">
        <f ca="1">IF(OFFSET('Step 1'!$G$21,$A$1,1)=0,"",OFFSET('Step 1'!$G$21,$A$1,1)&amp;" months term")</f>
        <v>2 months term</v>
      </c>
      <c r="BC59" s="337"/>
      <c r="BD59" s="85" t="str">
        <f ca="1">IF(AZ59="","","Std Pricing: "&amp;OFFSET(DJ59,0,$AV$1))</f>
        <v>Std Pricing: MTM</v>
      </c>
      <c r="BE59" s="85"/>
      <c r="BF59" s="331" t="str">
        <f ca="1">IF(BH59="","","Scenario 3")</f>
        <v>Scenario 3</v>
      </c>
      <c r="BG59" s="338"/>
      <c r="BH59" s="333" t="str">
        <f ca="1">IF(OFFSET('Step 1'!$G$21,$A$1,2)=0,"",OFFSET('Step 1'!$G$21,$A$1,2)&amp;" months term")</f>
        <v>3 months term</v>
      </c>
      <c r="BI59" s="332"/>
      <c r="BJ59" s="88" t="str">
        <f ca="1">IF(BF59="","","Std Pricing: "&amp;OFFSET(DJ59,0,$AW$1))</f>
        <v>Std Pricing: MTM</v>
      </c>
      <c r="BK59" s="99"/>
      <c r="BL59" s="97"/>
      <c r="BU59" s="167"/>
      <c r="BV59" s="167"/>
      <c r="BW59" s="167"/>
      <c r="BX59" s="167"/>
      <c r="BY59" s="167"/>
      <c r="BZ59" s="167"/>
      <c r="CA59" s="167"/>
      <c r="CB59" s="167"/>
      <c r="CC59" s="167"/>
      <c r="CD59" s="167"/>
      <c r="CE59" s="167"/>
      <c r="CF59" s="167"/>
      <c r="CG59" s="167"/>
      <c r="CH59" s="167"/>
      <c r="CI59" s="167"/>
      <c r="CJ59" s="167"/>
      <c r="CK59" s="167"/>
      <c r="CL59" s="167"/>
      <c r="CM59" s="167"/>
      <c r="DD59" s="167"/>
      <c r="DE59" s="167"/>
      <c r="DF59" s="167"/>
      <c r="DG59" s="167"/>
      <c r="DH59" s="167"/>
      <c r="DI59" s="167"/>
      <c r="DJ59" s="167"/>
      <c r="DK59" s="167"/>
      <c r="DL59" s="339" t="s">
        <v>8</v>
      </c>
      <c r="DM59" s="339"/>
      <c r="DN59" s="339" t="s">
        <v>9</v>
      </c>
      <c r="DO59" s="339"/>
      <c r="DP59" s="339" t="s">
        <v>10</v>
      </c>
      <c r="DQ59" s="339"/>
      <c r="DR59" s="339" t="s">
        <v>11</v>
      </c>
      <c r="DS59" s="339"/>
      <c r="DT59" s="339" t="s">
        <v>12</v>
      </c>
      <c r="DU59" s="339"/>
      <c r="DV59" s="339" t="s">
        <v>13</v>
      </c>
      <c r="DW59" s="339"/>
      <c r="DX59" s="339" t="s">
        <v>261</v>
      </c>
      <c r="DY59" s="340"/>
      <c r="DZ59" s="341"/>
      <c r="EA59" s="339" t="s">
        <v>211</v>
      </c>
      <c r="EB59" s="339"/>
      <c r="EC59" s="339" t="s">
        <v>214</v>
      </c>
      <c r="ED59" s="340"/>
      <c r="EE59" s="339" t="s">
        <v>10228</v>
      </c>
      <c r="EF59" s="340"/>
      <c r="EG59" s="340"/>
      <c r="EH59" s="340"/>
      <c r="EI59" s="340"/>
      <c r="EJ59" s="342"/>
      <c r="EK59" s="342"/>
      <c r="EL59" s="342"/>
      <c r="EM59" s="342"/>
      <c r="EN59" s="342"/>
      <c r="EO59" s="342"/>
      <c r="ES59" s="339" t="s">
        <v>8</v>
      </c>
      <c r="ET59" s="339"/>
      <c r="EU59" s="339" t="s">
        <v>9</v>
      </c>
      <c r="EV59" s="339"/>
      <c r="EW59" s="339" t="s">
        <v>10</v>
      </c>
      <c r="EX59" s="339"/>
      <c r="EY59" s="339" t="s">
        <v>11</v>
      </c>
      <c r="EZ59" s="339"/>
      <c r="FA59" s="339" t="s">
        <v>12</v>
      </c>
      <c r="FB59" s="339"/>
      <c r="FC59" s="339" t="s">
        <v>13</v>
      </c>
      <c r="FD59" s="339"/>
      <c r="FH59" s="339" t="s">
        <v>211</v>
      </c>
      <c r="FI59" s="339"/>
      <c r="FL59" s="690"/>
      <c r="FM59" s="690"/>
      <c r="FN59" s="690"/>
      <c r="FO59" s="690"/>
      <c r="FP59" s="690"/>
      <c r="FQ59" s="339" t="s">
        <v>8</v>
      </c>
      <c r="FR59" s="339"/>
      <c r="FS59" s="339" t="s">
        <v>9</v>
      </c>
      <c r="FT59" s="339"/>
      <c r="FU59" s="339" t="s">
        <v>10</v>
      </c>
      <c r="FV59" s="339"/>
      <c r="FW59" s="339" t="s">
        <v>11</v>
      </c>
      <c r="FX59" s="339"/>
      <c r="FY59" s="339" t="s">
        <v>12</v>
      </c>
      <c r="FZ59" s="339"/>
      <c r="GA59" s="339" t="s">
        <v>211</v>
      </c>
      <c r="GB59" s="339"/>
      <c r="GC59" s="339" t="s">
        <v>13</v>
      </c>
      <c r="GD59" s="339"/>
      <c r="GL59" s="339" t="s">
        <v>8</v>
      </c>
      <c r="GM59" s="339"/>
      <c r="GN59" s="339" t="s">
        <v>9</v>
      </c>
      <c r="GO59" s="339"/>
      <c r="GP59" s="339" t="s">
        <v>10</v>
      </c>
      <c r="GQ59" s="339"/>
      <c r="GR59" s="339" t="s">
        <v>11</v>
      </c>
      <c r="GS59" s="339"/>
      <c r="GT59" s="339" t="s">
        <v>12</v>
      </c>
      <c r="GU59" s="339"/>
      <c r="GV59" s="339" t="s">
        <v>211</v>
      </c>
      <c r="GW59" s="339"/>
      <c r="GX59" s="339" t="s">
        <v>13</v>
      </c>
      <c r="GY59" s="339"/>
      <c r="HE59" s="1239"/>
      <c r="HF59" s="1239"/>
      <c r="HG59" s="1239"/>
      <c r="HH59" s="1239"/>
      <c r="HI59" s="1239"/>
      <c r="HJ59" s="1239"/>
      <c r="HK59" s="1239"/>
      <c r="HL59" s="1239"/>
      <c r="HM59" s="1239"/>
      <c r="HN59" s="1239"/>
      <c r="HO59" s="1239"/>
      <c r="HP59" s="1239"/>
      <c r="HQ59" s="1239"/>
      <c r="HR59" s="1239"/>
      <c r="HS59" s="1239"/>
      <c r="HT59" s="1239"/>
      <c r="HU59" s="1239"/>
      <c r="HV59" s="1239"/>
      <c r="HW59" s="1239"/>
      <c r="HX59" s="1239"/>
      <c r="HY59" s="1239"/>
      <c r="HZ59" s="1239"/>
      <c r="IA59" s="1239"/>
      <c r="IB59" s="1239"/>
      <c r="IC59" s="1239"/>
      <c r="ID59" s="1239"/>
      <c r="IE59" s="1239"/>
      <c r="IF59" s="1239"/>
    </row>
    <row r="60" spans="2:240" ht="45" customHeight="1">
      <c r="B60" s="97"/>
      <c r="C60" s="49" t="s">
        <v>375</v>
      </c>
      <c r="D60" s="49" t="s">
        <v>375</v>
      </c>
      <c r="E60" s="49" t="s">
        <v>375</v>
      </c>
      <c r="F60" s="49" t="s">
        <v>375</v>
      </c>
      <c r="G60" s="49" t="s">
        <v>375</v>
      </c>
      <c r="H60" s="49" t="s">
        <v>375</v>
      </c>
      <c r="I60" s="49" t="s">
        <v>375</v>
      </c>
      <c r="J60" s="49" t="s">
        <v>375</v>
      </c>
      <c r="K60" s="49" t="s">
        <v>375</v>
      </c>
      <c r="L60" s="49" t="s">
        <v>375</v>
      </c>
      <c r="M60" s="49" t="s">
        <v>375</v>
      </c>
      <c r="N60" s="49" t="s">
        <v>375</v>
      </c>
      <c r="O60" s="49" t="s">
        <v>375</v>
      </c>
      <c r="P60" s="49" t="s">
        <v>375</v>
      </c>
      <c r="Q60" s="49" t="s">
        <v>375</v>
      </c>
      <c r="R60" s="49" t="s">
        <v>375</v>
      </c>
      <c r="S60" s="49" t="s">
        <v>375</v>
      </c>
      <c r="T60" s="49" t="s">
        <v>375</v>
      </c>
      <c r="U60" s="49" t="s">
        <v>375</v>
      </c>
      <c r="V60" s="49" t="s">
        <v>375</v>
      </c>
      <c r="W60" s="49" t="s">
        <v>375</v>
      </c>
      <c r="X60" s="49" t="s">
        <v>375</v>
      </c>
      <c r="Y60" s="49" t="s">
        <v>375</v>
      </c>
      <c r="Z60" s="49" t="s">
        <v>375</v>
      </c>
      <c r="AA60" s="49" t="s">
        <v>375</v>
      </c>
      <c r="AB60" s="49" t="s">
        <v>375</v>
      </c>
      <c r="AC60" s="49" t="s">
        <v>375</v>
      </c>
      <c r="AD60" s="49" t="s">
        <v>375</v>
      </c>
      <c r="AE60" s="49" t="s">
        <v>375</v>
      </c>
      <c r="AF60" s="49" t="s">
        <v>375</v>
      </c>
      <c r="AG60" s="49" t="s">
        <v>375</v>
      </c>
      <c r="AH60" s="49" t="s">
        <v>375</v>
      </c>
      <c r="AI60" s="49" t="s">
        <v>375</v>
      </c>
      <c r="AJ60" s="49" t="s">
        <v>249</v>
      </c>
      <c r="AK60" s="49" t="s">
        <v>250</v>
      </c>
      <c r="AL60" s="49" t="s">
        <v>251</v>
      </c>
      <c r="AM60" s="49" t="s">
        <v>252</v>
      </c>
      <c r="AN60" s="49" t="s">
        <v>197</v>
      </c>
      <c r="AO60" s="49" t="s">
        <v>516</v>
      </c>
      <c r="AP60" s="49" t="s">
        <v>517</v>
      </c>
      <c r="AQ60" s="49" t="s">
        <v>518</v>
      </c>
      <c r="AR60" s="49" t="s">
        <v>388</v>
      </c>
      <c r="AS60" s="70" t="s">
        <v>389</v>
      </c>
      <c r="AT60" s="72" t="s">
        <v>519</v>
      </c>
      <c r="AU60" s="51" t="s">
        <v>520</v>
      </c>
      <c r="AV60" s="51" t="s">
        <v>521</v>
      </c>
      <c r="AW60" s="51" t="s">
        <v>509</v>
      </c>
      <c r="AX60" s="51" t="s">
        <v>510</v>
      </c>
      <c r="AY60" s="66" t="s">
        <v>511</v>
      </c>
      <c r="AZ60" s="77" t="s">
        <v>360</v>
      </c>
      <c r="BA60" s="51" t="s">
        <v>361</v>
      </c>
      <c r="BB60" s="51" t="s">
        <v>362</v>
      </c>
      <c r="BC60" s="51" t="s">
        <v>363</v>
      </c>
      <c r="BD60" s="51" t="s">
        <v>243</v>
      </c>
      <c r="BE60" s="66" t="s">
        <v>244</v>
      </c>
      <c r="BF60" s="72" t="s">
        <v>512</v>
      </c>
      <c r="BG60" s="51" t="s">
        <v>513</v>
      </c>
      <c r="BH60" s="51" t="s">
        <v>514</v>
      </c>
      <c r="BI60" s="51" t="s">
        <v>515</v>
      </c>
      <c r="BJ60" s="51" t="s">
        <v>358</v>
      </c>
      <c r="BK60" s="100" t="s">
        <v>359</v>
      </c>
      <c r="BL60" s="97"/>
      <c r="BU60" s="167"/>
      <c r="BV60" s="167"/>
      <c r="BW60" s="167"/>
      <c r="BX60" s="167"/>
      <c r="BY60" s="167"/>
      <c r="BZ60" s="167"/>
      <c r="CA60" s="167"/>
      <c r="CB60" s="167"/>
      <c r="CC60" s="167"/>
      <c r="CD60" s="167"/>
      <c r="CE60" s="167"/>
      <c r="CF60" s="167"/>
      <c r="CG60" s="167"/>
      <c r="CH60" s="167"/>
      <c r="CI60" s="167"/>
      <c r="CJ60" s="167"/>
      <c r="CK60" s="167"/>
      <c r="CL60" s="167"/>
      <c r="CM60" s="167"/>
      <c r="DD60" s="167"/>
      <c r="DE60" s="167"/>
      <c r="DF60" s="167"/>
      <c r="DG60" s="167"/>
      <c r="DH60" s="167"/>
      <c r="DI60" s="167"/>
      <c r="DJ60" s="167"/>
      <c r="DK60" s="167"/>
      <c r="DL60" s="167"/>
      <c r="DM60" s="167"/>
      <c r="DN60" s="167"/>
      <c r="DO60" s="167"/>
      <c r="DP60" s="167"/>
      <c r="DQ60" s="167"/>
      <c r="DY60" s="97"/>
      <c r="DZ60" s="97"/>
      <c r="ED60" s="97"/>
      <c r="EF60" s="1081"/>
      <c r="EG60" s="1081"/>
      <c r="EH60" s="1081"/>
      <c r="EI60" s="1081"/>
      <c r="EJ60" s="97"/>
      <c r="EK60" s="97"/>
      <c r="EL60" s="97"/>
      <c r="EM60" s="97"/>
      <c r="EN60" s="97"/>
      <c r="EO60" s="97"/>
      <c r="FL60" s="690"/>
      <c r="FM60" s="690"/>
      <c r="FN60" s="690"/>
      <c r="FO60" s="690"/>
      <c r="FP60" s="690"/>
      <c r="FQ60" s="690"/>
      <c r="FR60" s="690"/>
      <c r="FS60" s="690"/>
      <c r="FT60" s="690"/>
      <c r="FU60" s="690"/>
      <c r="FV60" s="690"/>
      <c r="FW60" s="690"/>
      <c r="FX60" s="690"/>
      <c r="FY60" s="690"/>
      <c r="FZ60" s="690"/>
      <c r="HE60" s="1240" t="s">
        <v>10254</v>
      </c>
      <c r="HF60" s="1239"/>
      <c r="HG60" s="1239"/>
      <c r="HH60" s="1239"/>
      <c r="HI60" s="1239"/>
      <c r="HJ60" s="1239"/>
      <c r="HK60" s="1239"/>
      <c r="HL60" s="1239"/>
      <c r="HM60" s="1239"/>
      <c r="HN60" s="1239"/>
      <c r="HO60" s="1239"/>
      <c r="HP60" s="1239"/>
      <c r="HQ60" s="1239"/>
      <c r="HR60" s="1239"/>
      <c r="HS60" s="1240" t="s">
        <v>10253</v>
      </c>
      <c r="HT60" s="1239"/>
      <c r="HU60" s="1239"/>
      <c r="HV60" s="1239"/>
      <c r="HW60" s="1239"/>
      <c r="HX60" s="1239"/>
      <c r="HY60" s="1239"/>
      <c r="HZ60" s="1239"/>
      <c r="IA60" s="1239"/>
      <c r="IB60" s="1239"/>
      <c r="IC60" s="1239"/>
      <c r="ID60" s="1239"/>
      <c r="IE60" s="1239"/>
      <c r="IF60" s="1239"/>
    </row>
    <row r="61" spans="2:240" ht="10.5" customHeight="1">
      <c r="B61" s="97"/>
      <c r="C61" s="343"/>
      <c r="D61" s="343"/>
      <c r="E61" s="343"/>
      <c r="F61" s="343"/>
      <c r="G61" s="343"/>
      <c r="H61" s="343"/>
      <c r="I61" s="343"/>
      <c r="J61" s="343"/>
      <c r="K61" s="343"/>
      <c r="L61" s="343"/>
      <c r="M61" s="343"/>
      <c r="N61" s="343"/>
      <c r="O61" s="343"/>
      <c r="P61" s="343"/>
      <c r="Q61" s="343"/>
      <c r="R61" s="343"/>
      <c r="S61" s="343"/>
      <c r="T61" s="343"/>
      <c r="U61" s="343"/>
      <c r="V61" s="343"/>
      <c r="W61" s="343"/>
      <c r="X61" s="343"/>
      <c r="Y61" s="343"/>
      <c r="Z61" s="343"/>
      <c r="AA61" s="343"/>
      <c r="AB61" s="343"/>
      <c r="AC61" s="343"/>
      <c r="AD61" s="343"/>
      <c r="AE61" s="343"/>
      <c r="AF61" s="343"/>
      <c r="AG61" s="343"/>
      <c r="AH61" s="343"/>
      <c r="AI61" s="343"/>
      <c r="AJ61" s="343"/>
      <c r="AK61" s="343"/>
      <c r="AL61" s="343"/>
      <c r="AM61" s="343"/>
      <c r="AN61" s="343"/>
      <c r="AO61" s="343"/>
      <c r="AP61" s="343"/>
      <c r="AQ61" s="343"/>
      <c r="AR61" s="343"/>
      <c r="AS61" s="344"/>
      <c r="AT61" s="345"/>
      <c r="AU61" s="343"/>
      <c r="AV61" s="53"/>
      <c r="AW61" s="53"/>
      <c r="AX61" s="54"/>
      <c r="AY61" s="54"/>
      <c r="AZ61" s="346"/>
      <c r="BA61" s="343"/>
      <c r="BB61" s="53"/>
      <c r="BC61" s="53"/>
      <c r="BD61" s="54"/>
      <c r="BE61" s="54"/>
      <c r="BF61" s="345"/>
      <c r="BG61" s="343"/>
      <c r="BH61" s="53"/>
      <c r="BI61" s="53"/>
      <c r="BJ61" s="54"/>
      <c r="BK61" s="101"/>
      <c r="BL61" s="97"/>
      <c r="BU61" s="167"/>
      <c r="BV61" s="167"/>
      <c r="BW61" s="167"/>
      <c r="BX61" s="167"/>
      <c r="BY61" s="167"/>
      <c r="BZ61" s="167"/>
      <c r="CA61" s="167"/>
      <c r="CB61" s="167"/>
      <c r="CC61" s="167"/>
      <c r="CD61" s="167"/>
      <c r="CE61" s="167"/>
      <c r="CF61" s="167"/>
      <c r="CG61" s="167"/>
      <c r="CH61" s="167"/>
      <c r="CI61" s="167"/>
      <c r="CJ61" s="167"/>
      <c r="CK61" s="167"/>
      <c r="CL61" s="167"/>
      <c r="CM61" s="167"/>
      <c r="DD61" s="167"/>
      <c r="DE61" s="167"/>
      <c r="DF61" s="167"/>
      <c r="DG61" s="167"/>
      <c r="DH61" s="339" t="s">
        <v>631</v>
      </c>
      <c r="DI61" s="339" t="s">
        <v>632</v>
      </c>
      <c r="DJ61" s="339" t="s">
        <v>379</v>
      </c>
      <c r="DK61" s="339" t="s">
        <v>575</v>
      </c>
      <c r="DL61" s="339" t="s">
        <v>380</v>
      </c>
      <c r="DM61" s="339" t="s">
        <v>381</v>
      </c>
      <c r="DN61" s="339" t="s">
        <v>382</v>
      </c>
      <c r="DO61" s="339" t="s">
        <v>383</v>
      </c>
      <c r="DP61" s="339" t="s">
        <v>384</v>
      </c>
      <c r="DQ61" s="339" t="s">
        <v>385</v>
      </c>
      <c r="DR61" s="339" t="s">
        <v>386</v>
      </c>
      <c r="DS61" s="339" t="s">
        <v>387</v>
      </c>
      <c r="DT61" s="339" t="s">
        <v>390</v>
      </c>
      <c r="DU61" s="339" t="s">
        <v>391</v>
      </c>
      <c r="DV61" s="339" t="s">
        <v>392</v>
      </c>
      <c r="DW61" s="339" t="s">
        <v>393</v>
      </c>
      <c r="DX61" s="339" t="s">
        <v>197</v>
      </c>
      <c r="DY61" s="339" t="s">
        <v>262</v>
      </c>
      <c r="DZ61" s="339" t="s">
        <v>263</v>
      </c>
      <c r="EA61" s="339" t="s">
        <v>212</v>
      </c>
      <c r="EB61" s="339" t="s">
        <v>213</v>
      </c>
      <c r="EC61" s="339" t="s">
        <v>215</v>
      </c>
      <c r="ED61" s="339" t="s">
        <v>14</v>
      </c>
      <c r="EE61" s="339" t="s">
        <v>8005</v>
      </c>
      <c r="EF61" s="339" t="s">
        <v>10229</v>
      </c>
      <c r="EG61" s="339"/>
      <c r="EH61" s="339"/>
      <c r="EI61" s="339"/>
      <c r="EJ61" s="342"/>
      <c r="EK61" s="342"/>
      <c r="EL61" s="342"/>
      <c r="EM61" s="342"/>
      <c r="EN61" s="342"/>
      <c r="EO61" s="342"/>
      <c r="EQ61" s="339" t="s">
        <v>379</v>
      </c>
      <c r="ER61" s="339" t="s">
        <v>575</v>
      </c>
      <c r="ES61" s="339" t="s">
        <v>380</v>
      </c>
      <c r="ET61" s="339" t="s">
        <v>381</v>
      </c>
      <c r="EU61" s="339" t="s">
        <v>382</v>
      </c>
      <c r="EV61" s="339" t="s">
        <v>383</v>
      </c>
      <c r="EW61" s="339" t="s">
        <v>384</v>
      </c>
      <c r="EX61" s="339" t="s">
        <v>385</v>
      </c>
      <c r="EY61" s="339" t="s">
        <v>386</v>
      </c>
      <c r="EZ61" s="339" t="s">
        <v>387</v>
      </c>
      <c r="FA61" s="339" t="s">
        <v>390</v>
      </c>
      <c r="FB61" s="339" t="s">
        <v>391</v>
      </c>
      <c r="FC61" s="339" t="s">
        <v>392</v>
      </c>
      <c r="FD61" s="339" t="s">
        <v>393</v>
      </c>
      <c r="FH61" s="339" t="s">
        <v>212</v>
      </c>
      <c r="FI61" s="339" t="s">
        <v>213</v>
      </c>
      <c r="FL61" s="339" t="s">
        <v>9596</v>
      </c>
      <c r="FM61" s="339" t="s">
        <v>9597</v>
      </c>
      <c r="FN61" s="339" t="s">
        <v>9598</v>
      </c>
      <c r="FO61" s="339" t="s">
        <v>9599</v>
      </c>
      <c r="FP61" s="339" t="s">
        <v>9600</v>
      </c>
      <c r="FQ61" s="339" t="s">
        <v>380</v>
      </c>
      <c r="FR61" s="339" t="s">
        <v>381</v>
      </c>
      <c r="FS61" s="339" t="s">
        <v>382</v>
      </c>
      <c r="FT61" s="339" t="s">
        <v>383</v>
      </c>
      <c r="FU61" s="339" t="s">
        <v>384</v>
      </c>
      <c r="FV61" s="339" t="s">
        <v>385</v>
      </c>
      <c r="FW61" s="339" t="s">
        <v>386</v>
      </c>
      <c r="FX61" s="339" t="s">
        <v>387</v>
      </c>
      <c r="FY61" s="339" t="s">
        <v>390</v>
      </c>
      <c r="FZ61" s="339" t="s">
        <v>391</v>
      </c>
      <c r="GA61" s="339" t="s">
        <v>212</v>
      </c>
      <c r="GB61" s="339" t="s">
        <v>213</v>
      </c>
      <c r="GC61" s="339" t="s">
        <v>392</v>
      </c>
      <c r="GD61" s="339" t="s">
        <v>393</v>
      </c>
      <c r="GG61" s="339" t="s">
        <v>9596</v>
      </c>
      <c r="GH61" s="339" t="s">
        <v>9597</v>
      </c>
      <c r="GI61" s="339" t="s">
        <v>9598</v>
      </c>
      <c r="GJ61" s="339" t="s">
        <v>9599</v>
      </c>
      <c r="GK61" s="339" t="s">
        <v>9600</v>
      </c>
      <c r="GL61" s="339" t="s">
        <v>380</v>
      </c>
      <c r="GM61" s="339" t="s">
        <v>381</v>
      </c>
      <c r="GN61" s="339" t="s">
        <v>382</v>
      </c>
      <c r="GO61" s="339" t="s">
        <v>383</v>
      </c>
      <c r="GP61" s="339" t="s">
        <v>384</v>
      </c>
      <c r="GQ61" s="339" t="s">
        <v>385</v>
      </c>
      <c r="GR61" s="339" t="s">
        <v>386</v>
      </c>
      <c r="GS61" s="339" t="s">
        <v>387</v>
      </c>
      <c r="GT61" s="339" t="s">
        <v>390</v>
      </c>
      <c r="GU61" s="339" t="s">
        <v>391</v>
      </c>
      <c r="GV61" s="339" t="s">
        <v>212</v>
      </c>
      <c r="GW61" s="339" t="s">
        <v>213</v>
      </c>
      <c r="GX61" s="339" t="s">
        <v>392</v>
      </c>
      <c r="GY61" s="339" t="s">
        <v>393</v>
      </c>
      <c r="HE61" s="339" t="s">
        <v>380</v>
      </c>
      <c r="HF61" s="339" t="s">
        <v>381</v>
      </c>
      <c r="HG61" s="339" t="s">
        <v>382</v>
      </c>
      <c r="HH61" s="339" t="s">
        <v>383</v>
      </c>
      <c r="HI61" s="339" t="s">
        <v>384</v>
      </c>
      <c r="HJ61" s="339" t="s">
        <v>385</v>
      </c>
      <c r="HK61" s="339" t="s">
        <v>386</v>
      </c>
      <c r="HL61" s="339" t="s">
        <v>387</v>
      </c>
      <c r="HM61" s="339" t="s">
        <v>390</v>
      </c>
      <c r="HN61" s="339" t="s">
        <v>391</v>
      </c>
      <c r="HO61" s="339" t="s">
        <v>212</v>
      </c>
      <c r="HP61" s="339" t="s">
        <v>213</v>
      </c>
      <c r="HQ61" s="339" t="s">
        <v>392</v>
      </c>
      <c r="HR61" s="339" t="s">
        <v>393</v>
      </c>
      <c r="HS61" s="339" t="s">
        <v>380</v>
      </c>
      <c r="HT61" s="339" t="s">
        <v>381</v>
      </c>
      <c r="HU61" s="339" t="s">
        <v>382</v>
      </c>
      <c r="HV61" s="339" t="s">
        <v>383</v>
      </c>
      <c r="HW61" s="339" t="s">
        <v>384</v>
      </c>
      <c r="HX61" s="339" t="s">
        <v>385</v>
      </c>
      <c r="HY61" s="339" t="s">
        <v>386</v>
      </c>
      <c r="HZ61" s="339" t="s">
        <v>387</v>
      </c>
      <c r="IA61" s="339" t="s">
        <v>390</v>
      </c>
      <c r="IB61" s="339" t="s">
        <v>391</v>
      </c>
      <c r="IC61" s="339" t="s">
        <v>212</v>
      </c>
      <c r="ID61" s="339" t="s">
        <v>213</v>
      </c>
      <c r="IE61" s="339" t="s">
        <v>392</v>
      </c>
      <c r="IF61" s="339" t="s">
        <v>393</v>
      </c>
    </row>
    <row r="62" spans="2:240" s="1082" customFormat="1" ht="12.75">
      <c r="C62" s="120"/>
      <c r="D62" s="120"/>
      <c r="E62" s="120"/>
      <c r="F62" s="120"/>
      <c r="G62" s="120"/>
      <c r="H62" s="120"/>
      <c r="I62" s="120"/>
      <c r="J62" s="120"/>
      <c r="K62" s="120"/>
      <c r="L62" s="120"/>
      <c r="M62" s="120"/>
      <c r="N62" s="120"/>
      <c r="O62" s="120"/>
      <c r="P62" s="120"/>
      <c r="Q62" s="120"/>
      <c r="R62" s="120"/>
      <c r="S62" s="120"/>
      <c r="T62" s="120"/>
      <c r="U62" s="120"/>
      <c r="V62" s="120"/>
      <c r="W62" s="120"/>
      <c r="X62" s="120"/>
      <c r="Y62" s="120"/>
      <c r="Z62" s="120"/>
      <c r="AA62" s="120"/>
      <c r="AB62" s="120"/>
      <c r="AC62" s="120"/>
      <c r="AD62" s="120"/>
      <c r="AE62" s="120"/>
      <c r="AF62" s="120"/>
      <c r="AG62" s="120"/>
      <c r="AH62" s="120"/>
      <c r="AI62" s="120"/>
      <c r="AJ62" s="59"/>
      <c r="AK62" s="59"/>
      <c r="AL62" s="59"/>
      <c r="AM62" s="59"/>
      <c r="AN62" s="59"/>
      <c r="AO62" s="59"/>
      <c r="AP62" s="59"/>
      <c r="AQ62" s="59"/>
      <c r="AR62" s="59"/>
      <c r="AS62" s="67"/>
      <c r="AT62" s="74"/>
      <c r="AU62" s="63"/>
      <c r="AV62" s="59"/>
      <c r="AW62" s="59"/>
      <c r="AX62" s="59"/>
      <c r="AY62" s="67"/>
      <c r="AZ62" s="79"/>
      <c r="BA62" s="63"/>
      <c r="BB62" s="59"/>
      <c r="BC62" s="59"/>
      <c r="BD62" s="59"/>
      <c r="BE62" s="67"/>
      <c r="BF62" s="74"/>
      <c r="BG62" s="63"/>
      <c r="BH62" s="59"/>
      <c r="BI62" s="59"/>
      <c r="BJ62" s="59"/>
      <c r="BK62" s="102"/>
      <c r="BV62" s="1065"/>
      <c r="BW62" s="1065"/>
      <c r="BX62" s="1065"/>
      <c r="BY62" s="1065"/>
      <c r="BZ62" s="1065"/>
      <c r="CA62" s="1065"/>
      <c r="DH62" s="347"/>
      <c r="DI62" s="347"/>
      <c r="DJ62" s="347"/>
      <c r="DK62" s="347"/>
      <c r="DL62" s="96"/>
      <c r="DM62" s="96"/>
      <c r="DN62" s="96"/>
      <c r="DO62" s="96"/>
      <c r="DP62" s="96"/>
      <c r="DQ62" s="96"/>
      <c r="DR62" s="96"/>
      <c r="DS62" s="96"/>
      <c r="DT62" s="96"/>
      <c r="DU62" s="96"/>
      <c r="DV62" s="96"/>
      <c r="DW62" s="96"/>
      <c r="DX62" s="113"/>
      <c r="DY62" s="113"/>
      <c r="DZ62" s="113"/>
      <c r="EA62" s="96"/>
      <c r="EB62" s="96"/>
      <c r="EC62" s="113"/>
      <c r="ED62" s="113"/>
      <c r="EE62" s="113"/>
      <c r="EF62" s="113"/>
      <c r="EG62" s="113"/>
      <c r="EH62" s="113"/>
      <c r="EI62" s="113"/>
      <c r="EJ62" s="119"/>
      <c r="EK62" s="119"/>
      <c r="EL62" s="119"/>
      <c r="EM62" s="119"/>
      <c r="EN62" s="119"/>
      <c r="EO62" s="119"/>
      <c r="EQ62" s="347"/>
      <c r="ER62" s="347"/>
      <c r="ES62" s="96"/>
      <c r="ET62" s="96"/>
      <c r="EU62" s="96"/>
      <c r="EV62" s="96"/>
      <c r="EW62" s="96"/>
      <c r="EX62" s="96"/>
      <c r="EY62" s="96"/>
      <c r="EZ62" s="96"/>
      <c r="FA62" s="96"/>
      <c r="FB62" s="96"/>
      <c r="FC62" s="96"/>
      <c r="FD62" s="96"/>
      <c r="FH62" s="96"/>
      <c r="FI62" s="96"/>
      <c r="FL62" s="347"/>
      <c r="FM62" s="347"/>
      <c r="FN62" s="347"/>
      <c r="FO62" s="347"/>
      <c r="FP62" s="347"/>
      <c r="FQ62" s="96"/>
      <c r="FR62" s="96"/>
      <c r="FS62" s="96"/>
      <c r="FT62" s="96"/>
      <c r="FU62" s="96"/>
      <c r="FV62" s="96"/>
      <c r="FW62" s="96"/>
      <c r="FX62" s="96"/>
      <c r="FY62" s="96"/>
      <c r="FZ62" s="96"/>
      <c r="GA62" s="96"/>
      <c r="GB62" s="96"/>
      <c r="GC62" s="96"/>
      <c r="GD62" s="96"/>
      <c r="GE62" s="1065"/>
      <c r="GF62" s="1065"/>
      <c r="GG62" s="347"/>
      <c r="GH62" s="347"/>
      <c r="GI62" s="347"/>
      <c r="GJ62" s="347"/>
      <c r="GK62" s="347"/>
      <c r="GL62" s="96"/>
      <c r="GM62" s="96"/>
      <c r="GN62" s="96"/>
      <c r="GO62" s="96"/>
      <c r="GP62" s="96"/>
      <c r="GQ62" s="96"/>
      <c r="GR62" s="96"/>
      <c r="GS62" s="96"/>
      <c r="GT62" s="96"/>
      <c r="GU62" s="96"/>
      <c r="GV62" s="96"/>
      <c r="GW62" s="96"/>
      <c r="GX62" s="96"/>
      <c r="GY62" s="96"/>
      <c r="HE62" s="113"/>
      <c r="HF62" s="113"/>
      <c r="HG62" s="113"/>
      <c r="HH62" s="113"/>
      <c r="HI62" s="113"/>
      <c r="HJ62" s="113"/>
      <c r="HK62" s="113"/>
      <c r="HL62" s="113"/>
      <c r="HM62" s="113"/>
      <c r="HN62" s="113"/>
      <c r="HO62" s="113"/>
      <c r="HP62" s="113"/>
      <c r="HQ62" s="113"/>
      <c r="HR62" s="113"/>
      <c r="HS62" s="113"/>
      <c r="HT62" s="113"/>
      <c r="HU62" s="113"/>
      <c r="HV62" s="113"/>
      <c r="HW62" s="113"/>
      <c r="HX62" s="113"/>
      <c r="HY62" s="113"/>
      <c r="HZ62" s="113"/>
      <c r="IA62" s="113"/>
      <c r="IB62" s="113"/>
      <c r="IC62" s="113"/>
      <c r="ID62" s="113"/>
      <c r="IE62" s="113"/>
      <c r="IF62" s="113"/>
    </row>
    <row r="63" spans="2:240" s="1082" customFormat="1" ht="12.75">
      <c r="C63" s="120"/>
      <c r="D63" s="120"/>
      <c r="E63" s="120"/>
      <c r="F63" s="120"/>
      <c r="G63" s="120"/>
      <c r="H63" s="120"/>
      <c r="I63" s="120"/>
      <c r="J63" s="120"/>
      <c r="K63" s="120"/>
      <c r="L63" s="120"/>
      <c r="M63" s="120"/>
      <c r="N63" s="120"/>
      <c r="O63" s="120"/>
      <c r="P63" s="120"/>
      <c r="Q63" s="120"/>
      <c r="R63" s="120"/>
      <c r="S63" s="120"/>
      <c r="T63" s="120"/>
      <c r="U63" s="120"/>
      <c r="V63" s="120"/>
      <c r="W63" s="120"/>
      <c r="X63" s="120"/>
      <c r="Y63" s="120"/>
      <c r="Z63" s="120"/>
      <c r="AA63" s="120"/>
      <c r="AB63" s="120"/>
      <c r="AC63" s="120"/>
      <c r="AD63" s="120"/>
      <c r="AE63" s="120"/>
      <c r="AF63" s="120"/>
      <c r="AG63" s="120"/>
      <c r="AH63" s="120"/>
      <c r="AI63" s="120"/>
      <c r="AJ63" s="60"/>
      <c r="AK63" s="60"/>
      <c r="AL63" s="60"/>
      <c r="AM63" s="60"/>
      <c r="AN63" s="59"/>
      <c r="AO63" s="60"/>
      <c r="AP63" s="60"/>
      <c r="AQ63" s="60"/>
      <c r="AR63" s="60"/>
      <c r="AS63" s="68"/>
      <c r="AT63" s="75"/>
      <c r="AU63" s="64"/>
      <c r="AV63" s="60"/>
      <c r="AW63" s="60"/>
      <c r="AX63" s="60"/>
      <c r="AY63" s="68"/>
      <c r="AZ63" s="80"/>
      <c r="BA63" s="64"/>
      <c r="BB63" s="60"/>
      <c r="BC63" s="60"/>
      <c r="BD63" s="60"/>
      <c r="BE63" s="68"/>
      <c r="BF63" s="75"/>
      <c r="BG63" s="64"/>
      <c r="BH63" s="60"/>
      <c r="BI63" s="60"/>
      <c r="BJ63" s="60"/>
      <c r="BK63" s="103"/>
      <c r="BX63" s="1065"/>
      <c r="BY63" s="1065"/>
      <c r="BZ63" s="1065"/>
      <c r="CA63" s="1065"/>
      <c r="DH63" s="347"/>
      <c r="DI63" s="347"/>
      <c r="DJ63" s="347"/>
      <c r="DK63" s="347"/>
      <c r="DL63" s="96"/>
      <c r="DM63" s="96"/>
      <c r="DN63" s="96"/>
      <c r="DO63" s="96"/>
      <c r="DP63" s="96"/>
      <c r="DQ63" s="96"/>
      <c r="DR63" s="96"/>
      <c r="DS63" s="96"/>
      <c r="DT63" s="96"/>
      <c r="DU63" s="96"/>
      <c r="DV63" s="96"/>
      <c r="DW63" s="96"/>
      <c r="DX63" s="113"/>
      <c r="DY63" s="113"/>
      <c r="DZ63" s="113"/>
      <c r="EA63" s="96"/>
      <c r="EB63" s="96"/>
      <c r="EC63" s="113"/>
      <c r="ED63" s="113"/>
      <c r="EE63" s="113"/>
      <c r="EF63" s="113"/>
      <c r="EG63" s="113"/>
      <c r="EH63" s="113"/>
      <c r="EI63" s="113"/>
      <c r="EJ63" s="119"/>
      <c r="EK63" s="119"/>
      <c r="EL63" s="119"/>
      <c r="EM63" s="119"/>
      <c r="EN63" s="119"/>
      <c r="EO63" s="119"/>
      <c r="EQ63" s="347"/>
      <c r="ER63" s="347"/>
      <c r="ES63" s="96"/>
      <c r="ET63" s="96"/>
      <c r="EU63" s="96"/>
      <c r="EV63" s="96"/>
      <c r="EW63" s="96"/>
      <c r="EX63" s="96"/>
      <c r="EY63" s="96"/>
      <c r="EZ63" s="96"/>
      <c r="FA63" s="96"/>
      <c r="FB63" s="96"/>
      <c r="FC63" s="96"/>
      <c r="FD63" s="96"/>
      <c r="FH63" s="96"/>
      <c r="FI63" s="96"/>
      <c r="FL63" s="347"/>
      <c r="FM63" s="347"/>
      <c r="FN63" s="347"/>
      <c r="FO63" s="347"/>
      <c r="FP63" s="347"/>
      <c r="FQ63" s="96"/>
      <c r="FR63" s="96"/>
      <c r="FS63" s="96"/>
      <c r="FT63" s="96"/>
      <c r="FU63" s="96"/>
      <c r="FV63" s="96"/>
      <c r="FW63" s="96"/>
      <c r="FX63" s="96"/>
      <c r="FY63" s="96"/>
      <c r="FZ63" s="96"/>
      <c r="GA63" s="96"/>
      <c r="GB63" s="96"/>
      <c r="GC63" s="96"/>
      <c r="GD63" s="96"/>
      <c r="GE63" s="1065"/>
      <c r="GF63" s="1065"/>
      <c r="GG63" s="347"/>
      <c r="GH63" s="347"/>
      <c r="GI63" s="347"/>
      <c r="GJ63" s="347"/>
      <c r="GK63" s="347"/>
      <c r="GL63" s="96"/>
      <c r="GM63" s="96"/>
      <c r="GN63" s="96"/>
      <c r="GO63" s="96"/>
      <c r="GP63" s="96"/>
      <c r="GQ63" s="96"/>
      <c r="GR63" s="96"/>
      <c r="GS63" s="96"/>
      <c r="GT63" s="96"/>
      <c r="GU63" s="96"/>
      <c r="GV63" s="96"/>
      <c r="GW63" s="96"/>
      <c r="GX63" s="96"/>
      <c r="GY63" s="96"/>
      <c r="HE63" s="113"/>
      <c r="HF63" s="113"/>
      <c r="HG63" s="113"/>
      <c r="HH63" s="113"/>
      <c r="HI63" s="113"/>
      <c r="HJ63" s="113"/>
      <c r="HK63" s="113"/>
      <c r="HL63" s="113"/>
      <c r="HM63" s="113"/>
      <c r="HN63" s="113"/>
      <c r="HO63" s="113"/>
      <c r="HP63" s="113"/>
      <c r="HQ63" s="113"/>
      <c r="HR63" s="113"/>
      <c r="HS63" s="113"/>
      <c r="HT63" s="113"/>
      <c r="HU63" s="113"/>
      <c r="HV63" s="113"/>
      <c r="HW63" s="113"/>
      <c r="HX63" s="113"/>
      <c r="HY63" s="113"/>
      <c r="HZ63" s="113"/>
      <c r="IA63" s="113"/>
      <c r="IB63" s="113"/>
      <c r="IC63" s="113"/>
      <c r="ID63" s="113"/>
      <c r="IE63" s="113"/>
      <c r="IF63" s="113"/>
    </row>
    <row r="64" spans="2:240" ht="10.5" customHeight="1">
      <c r="B64" s="97"/>
      <c r="C64" s="348"/>
      <c r="D64" s="348"/>
      <c r="E64" s="348"/>
      <c r="F64" s="348"/>
      <c r="G64" s="348"/>
      <c r="H64" s="348"/>
      <c r="I64" s="348"/>
      <c r="J64" s="348"/>
      <c r="K64" s="348"/>
      <c r="L64" s="348"/>
      <c r="M64" s="348"/>
      <c r="N64" s="348"/>
      <c r="O64" s="348"/>
      <c r="P64" s="348"/>
      <c r="Q64" s="348"/>
      <c r="R64" s="348"/>
      <c r="S64" s="348"/>
      <c r="T64" s="348"/>
      <c r="U64" s="348"/>
      <c r="V64" s="348"/>
      <c r="W64" s="348"/>
      <c r="X64" s="348"/>
      <c r="Y64" s="348"/>
      <c r="Z64" s="348"/>
      <c r="AA64" s="348"/>
      <c r="AB64" s="348"/>
      <c r="AC64" s="348"/>
      <c r="AD64" s="348"/>
      <c r="AE64" s="348"/>
      <c r="AF64" s="348"/>
      <c r="AG64" s="348"/>
      <c r="AH64" s="348"/>
      <c r="AI64" s="348" t="s">
        <v>253</v>
      </c>
      <c r="AJ64" s="55">
        <f>SUM(AJ62:AJ63)</f>
        <v>0</v>
      </c>
      <c r="AK64" s="56">
        <f>SUM(AK62:AK63)</f>
        <v>0</v>
      </c>
      <c r="AL64" s="56">
        <f>SUM(AL62:AL63)</f>
        <v>0</v>
      </c>
      <c r="AM64" s="56">
        <f>SUM(AM62:AM63)</f>
        <v>0</v>
      </c>
      <c r="AN64" s="58"/>
      <c r="AO64" s="58">
        <f>SUMPRODUCT(AJ62:AJ63,AO62:AO63,DZ62:DZ63)+SUMPRODUCT(AK62:AK63,AO62:AO63,DZ62:DZ63)</f>
        <v>0</v>
      </c>
      <c r="AP64" s="58">
        <f>SUMPRODUCT(AJ62:AJ63,AP62:AP63,DZ62:DZ63)</f>
        <v>0</v>
      </c>
      <c r="AQ64" s="58">
        <f>SUMPRODUCT(AJ62:AJ63,AQ62:AQ63,DZ62:DZ63)+SUMPRODUCT(AK62:AK63,AQ62:AQ63,DZ62:DZ63)</f>
        <v>0</v>
      </c>
      <c r="AR64" s="58">
        <f>SUMPRODUCT(AJ62:AJ63,AR62:AR63,DZ62:DZ63)+SUMPRODUCT(AK62:AK63,AR62:AR63,DZ62:DZ63)</f>
        <v>0</v>
      </c>
      <c r="AS64" s="69">
        <f>SUMPRODUCT(AJ62:AJ63,AS62:AS63,DZ62:DZ63)</f>
        <v>0</v>
      </c>
      <c r="AT64" s="76">
        <f>SUMPRODUCT(AJ62:AJ63,AT62:AT63,DZ62:DZ63)+SUMPRODUCT(AK62:AK63,AT62:AT63,DZ62:DZ63)</f>
        <v>0</v>
      </c>
      <c r="AU64" s="58">
        <f>SUMPRODUCT(AJ62:AJ63,AU62:AU63,DZ62:DZ63)</f>
        <v>0</v>
      </c>
      <c r="AV64" s="57">
        <f>IF(AT64=0,0,(AT64-AX64)/AT64)</f>
        <v>0</v>
      </c>
      <c r="AW64" s="57">
        <f>IF(AU64=0,0,(AU64-AY64)/AU64)</f>
        <v>0</v>
      </c>
      <c r="AX64" s="58">
        <f>SUMPRODUCT(AJ62:AJ63,AX62:AX63,DZ62:DZ63)+SUMPRODUCT(AK62:AK63,AX62:AX63,DZ62:DZ63)</f>
        <v>0</v>
      </c>
      <c r="AY64" s="69">
        <f>SUMPRODUCT(AJ62:AJ63,AY62:AY63,DZ62:DZ63)</f>
        <v>0</v>
      </c>
      <c r="AZ64" s="81">
        <f>SUMPRODUCT(AJ62:AJ63,AZ62:AZ63,DZ62:DZ63)+SUMPRODUCT(AK62:AK63,AZ62:AZ63,DZ62:DZ63)</f>
        <v>0</v>
      </c>
      <c r="BA64" s="58">
        <f>SUMPRODUCT(AJ62:AJ63,BA62:BA63,DZ62:DZ63)</f>
        <v>0</v>
      </c>
      <c r="BB64" s="57">
        <f>IF(AZ64=0,0,(AZ64-BD64)/AZ64)</f>
        <v>0</v>
      </c>
      <c r="BC64" s="57">
        <f>IF(BA64=0,0,(BA64-BE64)/BA64)</f>
        <v>0</v>
      </c>
      <c r="BD64" s="58">
        <f>SUMPRODUCT(AJ62:AJ63,BD62:BD63,DZ62:DZ63)+SUMPRODUCT(AK62:AK63,BD62:BD63,DZ62:DZ63)</f>
        <v>0</v>
      </c>
      <c r="BE64" s="69">
        <f>SUMPRODUCT(AJ62:AJ63,BE62:BE63,DZ62:DZ63)</f>
        <v>0</v>
      </c>
      <c r="BF64" s="76">
        <f>SUMPRODUCT(AJ62:AJ63,BF62:BF63,DZ62:DZ63)+SUMPRODUCT(AK62:AK63,BF62:BF63,DZ62:DZ63)</f>
        <v>0</v>
      </c>
      <c r="BG64" s="58">
        <f>SUMPRODUCT(AJ62:AJ63,BG62:BG63,DZ62:DZ63)</f>
        <v>0</v>
      </c>
      <c r="BH64" s="57">
        <f>IF(BF64=0,0,(BF64-BJ64)/BF64)</f>
        <v>0</v>
      </c>
      <c r="BI64" s="57">
        <f>IF(BG64=0,0,(BG64-BK64)/BG64)</f>
        <v>0</v>
      </c>
      <c r="BJ64" s="58">
        <f>SUMPRODUCT(AJ62:AJ63,BJ62:BJ63,DZ62:DZ63)+SUMPRODUCT(AK62:AK63,BJ62:BJ63,DZ62:DZ63)</f>
        <v>0</v>
      </c>
      <c r="BK64" s="104">
        <f>SUMPRODUCT(AJ62:AJ63,BK62:BK63,DZ62:DZ63)</f>
        <v>0</v>
      </c>
      <c r="BL64" s="97"/>
      <c r="BU64" s="167"/>
      <c r="BV64" s="167"/>
      <c r="BW64" s="167"/>
      <c r="BX64" s="167"/>
      <c r="BY64" s="167"/>
      <c r="BZ64" s="167"/>
      <c r="CA64" s="167"/>
      <c r="CB64" s="167"/>
      <c r="CC64" s="167"/>
      <c r="CD64" s="167"/>
      <c r="CE64" s="167"/>
      <c r="CF64" s="167"/>
      <c r="CG64" s="167"/>
      <c r="CH64" s="167"/>
      <c r="CI64" s="167"/>
      <c r="CJ64" s="167"/>
      <c r="CK64" s="167"/>
      <c r="CL64" s="167"/>
      <c r="CM64" s="167"/>
      <c r="DD64" s="167"/>
      <c r="DE64" s="167"/>
      <c r="DF64" s="167"/>
      <c r="DG64" s="167"/>
      <c r="DH64" s="167"/>
      <c r="DI64" s="167"/>
      <c r="DJ64" s="167"/>
      <c r="DK64" s="167"/>
      <c r="DL64" s="167"/>
      <c r="DM64" s="167"/>
      <c r="DN64" s="167"/>
      <c r="DO64" s="167"/>
      <c r="DP64" s="167"/>
      <c r="DQ64" s="167"/>
      <c r="EI64" s="941"/>
      <c r="FL64" s="690"/>
      <c r="FM64" s="690"/>
      <c r="FN64" s="690"/>
      <c r="FO64" s="690"/>
      <c r="FP64" s="690"/>
      <c r="FQ64" s="690"/>
      <c r="FR64" s="690"/>
      <c r="FS64" s="690"/>
      <c r="FT64" s="690"/>
      <c r="FU64" s="690"/>
      <c r="FV64" s="690"/>
      <c r="FW64" s="690"/>
      <c r="FX64" s="690"/>
      <c r="FY64" s="690"/>
      <c r="FZ64" s="690"/>
      <c r="HE64" s="1239"/>
      <c r="HF64" s="1239"/>
      <c r="HG64" s="1239"/>
      <c r="HH64" s="1239"/>
      <c r="HI64" s="1239"/>
      <c r="HJ64" s="1239"/>
      <c r="HK64" s="1239"/>
      <c r="HL64" s="1239"/>
      <c r="HM64" s="1239"/>
      <c r="HN64" s="1239"/>
      <c r="HO64" s="1239"/>
      <c r="HP64" s="1239"/>
      <c r="HQ64" s="1239"/>
      <c r="HR64" s="1239"/>
      <c r="HS64" s="1239"/>
      <c r="HT64" s="1239"/>
      <c r="HU64" s="1239"/>
      <c r="HV64" s="1239"/>
      <c r="HW64" s="1239"/>
      <c r="HX64" s="1239"/>
      <c r="HY64" s="1239"/>
      <c r="HZ64" s="1239"/>
      <c r="IA64" s="1239"/>
      <c r="IB64" s="1239"/>
      <c r="IC64" s="1239"/>
      <c r="ID64" s="1239"/>
      <c r="IE64" s="1239"/>
      <c r="IF64" s="1239"/>
    </row>
    <row r="65" spans="2:240" ht="10.5" customHeight="1">
      <c r="EI65" s="941"/>
      <c r="FL65" s="849"/>
      <c r="FM65" s="849"/>
      <c r="FN65" s="849"/>
      <c r="FO65" s="849"/>
      <c r="FP65" s="849"/>
      <c r="FQ65" s="849"/>
      <c r="FR65" s="849"/>
      <c r="FS65" s="849"/>
      <c r="FT65" s="849"/>
      <c r="FU65" s="849"/>
      <c r="FV65" s="849"/>
      <c r="FW65" s="690"/>
      <c r="FX65" s="690"/>
      <c r="FY65" s="690"/>
      <c r="FZ65" s="690"/>
      <c r="GG65" s="849"/>
      <c r="GH65" s="849"/>
      <c r="GI65" s="849"/>
      <c r="GJ65" s="849"/>
      <c r="GK65" s="849"/>
      <c r="GL65" s="849"/>
      <c r="GM65" s="849"/>
      <c r="GN65" s="849"/>
      <c r="GO65" s="849"/>
      <c r="GP65" s="849"/>
      <c r="GQ65" s="849"/>
      <c r="HE65" s="1239"/>
      <c r="HF65" s="1239"/>
      <c r="HG65" s="1239"/>
      <c r="HH65" s="1239"/>
      <c r="HI65" s="1239"/>
      <c r="HJ65" s="1239"/>
      <c r="HK65" s="1239"/>
      <c r="HL65" s="1239"/>
      <c r="HM65" s="1239"/>
      <c r="HN65" s="1239"/>
      <c r="HO65" s="1239"/>
      <c r="HP65" s="1239"/>
      <c r="HQ65" s="1239"/>
      <c r="HR65" s="1239"/>
      <c r="HS65" s="1239"/>
      <c r="HT65" s="1239"/>
      <c r="HU65" s="1239"/>
      <c r="HV65" s="1239"/>
      <c r="HW65" s="1239"/>
      <c r="HX65" s="1239"/>
      <c r="HY65" s="1239"/>
      <c r="HZ65" s="1239"/>
      <c r="IA65" s="1239"/>
      <c r="IB65" s="1239"/>
      <c r="IC65" s="1239"/>
      <c r="ID65" s="1239"/>
      <c r="IE65" s="1239"/>
      <c r="IF65" s="1239"/>
    </row>
    <row r="66" spans="2:240" ht="15">
      <c r="B66" s="97"/>
      <c r="C66" s="330" t="s">
        <v>254</v>
      </c>
      <c r="AX66" s="125"/>
      <c r="AY66" s="125"/>
      <c r="BD66" s="125"/>
      <c r="BE66" s="125"/>
      <c r="BJ66" s="125"/>
      <c r="BK66" s="125"/>
      <c r="BU66" s="167"/>
      <c r="BV66" s="167"/>
      <c r="BW66" s="167"/>
      <c r="BX66" s="167"/>
      <c r="BY66" s="167"/>
      <c r="BZ66" s="167"/>
      <c r="CA66" s="167"/>
      <c r="CB66" s="167"/>
      <c r="CC66" s="167"/>
      <c r="CD66" s="167"/>
      <c r="CE66" s="167"/>
      <c r="CF66" s="167"/>
      <c r="CG66" s="167"/>
      <c r="CH66" s="167"/>
      <c r="CI66" s="167"/>
      <c r="CJ66" s="167"/>
      <c r="CK66" s="167"/>
      <c r="CL66" s="167"/>
      <c r="CM66" s="167"/>
      <c r="DD66" s="167"/>
      <c r="DE66" s="167"/>
      <c r="DF66" s="167"/>
      <c r="DG66" s="167"/>
      <c r="DH66" s="167"/>
      <c r="DI66" s="167"/>
      <c r="DJ66" s="167"/>
      <c r="DK66" s="167"/>
      <c r="DL66" s="167"/>
      <c r="DM66" s="167"/>
      <c r="DN66" s="167"/>
      <c r="DO66" s="167"/>
      <c r="DP66" s="167"/>
      <c r="DQ66" s="167"/>
      <c r="EI66" s="941"/>
      <c r="FL66" s="690"/>
      <c r="FM66" s="690"/>
      <c r="FN66" s="690"/>
      <c r="FO66" s="690"/>
      <c r="FP66" s="690"/>
      <c r="FQ66" s="690"/>
      <c r="FR66" s="690"/>
      <c r="FS66" s="690"/>
      <c r="FT66" s="690"/>
      <c r="FU66" s="690"/>
      <c r="FV66" s="690"/>
      <c r="FW66" s="690"/>
      <c r="FX66" s="690"/>
      <c r="FY66" s="690"/>
      <c r="FZ66" s="690"/>
      <c r="HE66" s="1239"/>
      <c r="HF66" s="1239"/>
      <c r="HG66" s="1239"/>
      <c r="HH66" s="1239"/>
      <c r="HI66" s="1239"/>
      <c r="HJ66" s="1239"/>
      <c r="HK66" s="1239"/>
      <c r="HL66" s="1239"/>
      <c r="HM66" s="1239"/>
      <c r="HN66" s="1239"/>
      <c r="HO66" s="1239"/>
      <c r="HP66" s="1239"/>
      <c r="HQ66" s="1239"/>
      <c r="HR66" s="1239"/>
      <c r="HS66" s="1241"/>
      <c r="HT66" s="1239"/>
      <c r="HU66" s="1239"/>
      <c r="HV66" s="1239"/>
      <c r="HW66" s="1239"/>
      <c r="HX66" s="1239"/>
      <c r="HY66" s="1239"/>
      <c r="HZ66" s="1239"/>
      <c r="IA66" s="1239"/>
      <c r="IB66" s="1239"/>
      <c r="IC66" s="1239"/>
      <c r="ID66" s="1239"/>
      <c r="IE66" s="1239"/>
      <c r="IF66" s="1239"/>
    </row>
    <row r="67" spans="2:240" ht="10.5" customHeight="1">
      <c r="B67" s="97"/>
      <c r="AT67" s="331" t="str">
        <f ca="1">IF(AV67="","","Scenario 1")</f>
        <v>Scenario 1</v>
      </c>
      <c r="AU67" s="332"/>
      <c r="AV67" s="333" t="str">
        <f ca="1">IF(OFFSET('Step 1'!$G$21,$A$1,0)=0,"",OFFSET('Step 1'!$G$21,$A$1,0)&amp;" months term")</f>
        <v>1 months term</v>
      </c>
      <c r="AW67" s="332"/>
      <c r="AX67" s="88" t="str">
        <f ca="1">IF(AT67="","","Std Pricing: "&amp;OFFSET(DJ67,0,$AU$1))</f>
        <v>Std Pricing: MTM</v>
      </c>
      <c r="AY67" s="88"/>
      <c r="AZ67" s="334" t="str">
        <f ca="1">IF(BB67="","","Scenario 2")</f>
        <v>Scenario 2</v>
      </c>
      <c r="BA67" s="335"/>
      <c r="BB67" s="336" t="str">
        <f ca="1">IF(OFFSET('Step 1'!$G$21,$A$1,1)=0,"",OFFSET('Step 1'!$G$21,$A$1,1)&amp;" months term")</f>
        <v>2 months term</v>
      </c>
      <c r="BC67" s="337"/>
      <c r="BD67" s="85" t="str">
        <f ca="1">IF(AZ67="","","Std Pricing: "&amp;OFFSET(DJ67,0,$AV$1))</f>
        <v>Std Pricing: MTM</v>
      </c>
      <c r="BE67" s="85"/>
      <c r="BF67" s="331" t="str">
        <f ca="1">IF(BH67="","","Scenario 3")</f>
        <v>Scenario 3</v>
      </c>
      <c r="BG67" s="338"/>
      <c r="BH67" s="333" t="str">
        <f ca="1">IF(OFFSET('Step 1'!$G$21,$A$1,2)=0,"",OFFSET('Step 1'!$G$21,$A$1,2)&amp;" months term")</f>
        <v>3 months term</v>
      </c>
      <c r="BI67" s="332"/>
      <c r="BJ67" s="88" t="str">
        <f ca="1">IF(BF67="","","Std Pricing: "&amp;OFFSET(DJ67,0,$AW$1))</f>
        <v>Std Pricing: MTM</v>
      </c>
      <c r="BK67" s="99"/>
      <c r="BL67" s="97"/>
      <c r="BU67" s="167"/>
      <c r="BV67" s="167"/>
      <c r="BW67" s="167"/>
      <c r="BX67" s="167"/>
      <c r="BY67" s="167"/>
      <c r="BZ67" s="167"/>
      <c r="CA67" s="167"/>
      <c r="CB67" s="167"/>
      <c r="CC67" s="167"/>
      <c r="CD67" s="167"/>
      <c r="CE67" s="167"/>
      <c r="CF67" s="167"/>
      <c r="CG67" s="167"/>
      <c r="CH67" s="167"/>
      <c r="CI67" s="167"/>
      <c r="CJ67" s="167"/>
      <c r="CK67" s="167"/>
      <c r="CL67" s="167"/>
      <c r="CM67" s="167"/>
      <c r="DD67" s="167"/>
      <c r="DE67" s="167"/>
      <c r="DF67" s="167"/>
      <c r="DG67" s="167"/>
      <c r="DH67" s="167"/>
      <c r="DI67" s="167"/>
      <c r="DJ67" s="167"/>
      <c r="DK67" s="167"/>
      <c r="DL67" s="339" t="s">
        <v>8</v>
      </c>
      <c r="DM67" s="339"/>
      <c r="DN67" s="339" t="s">
        <v>9</v>
      </c>
      <c r="DO67" s="339"/>
      <c r="DP67" s="339" t="s">
        <v>10</v>
      </c>
      <c r="DQ67" s="339"/>
      <c r="DR67" s="339" t="s">
        <v>11</v>
      </c>
      <c r="DS67" s="339"/>
      <c r="DT67" s="339" t="s">
        <v>12</v>
      </c>
      <c r="DU67" s="339"/>
      <c r="DV67" s="339" t="s">
        <v>13</v>
      </c>
      <c r="DW67" s="339"/>
      <c r="DX67" s="339" t="s">
        <v>261</v>
      </c>
      <c r="DY67" s="340"/>
      <c r="DZ67" s="341"/>
      <c r="EA67" s="339" t="s">
        <v>211</v>
      </c>
      <c r="EB67" s="339"/>
      <c r="EC67" s="339" t="s">
        <v>214</v>
      </c>
      <c r="ED67" s="340"/>
      <c r="EE67" s="339" t="s">
        <v>10228</v>
      </c>
      <c r="EF67" s="340"/>
      <c r="EG67" s="340"/>
      <c r="EH67" s="340"/>
      <c r="EI67" s="340"/>
      <c r="EJ67" s="342"/>
      <c r="EK67" s="342"/>
      <c r="EL67" s="342"/>
      <c r="EM67" s="342"/>
      <c r="EN67" s="342"/>
      <c r="EO67" s="342"/>
      <c r="ES67" s="339" t="s">
        <v>8</v>
      </c>
      <c r="ET67" s="339"/>
      <c r="EU67" s="339" t="s">
        <v>9</v>
      </c>
      <c r="EV67" s="339"/>
      <c r="EW67" s="339" t="s">
        <v>10</v>
      </c>
      <c r="EX67" s="339"/>
      <c r="EY67" s="339" t="s">
        <v>11</v>
      </c>
      <c r="EZ67" s="339"/>
      <c r="FA67" s="339" t="s">
        <v>12</v>
      </c>
      <c r="FB67" s="339"/>
      <c r="FC67" s="339" t="s">
        <v>13</v>
      </c>
      <c r="FD67" s="339"/>
      <c r="FH67" s="339" t="s">
        <v>211</v>
      </c>
      <c r="FI67" s="339"/>
      <c r="FL67" s="690"/>
      <c r="FM67" s="690"/>
      <c r="FN67" s="690"/>
      <c r="FO67" s="690"/>
      <c r="FP67" s="690"/>
      <c r="FQ67" s="339" t="s">
        <v>8</v>
      </c>
      <c r="FR67" s="339"/>
      <c r="FS67" s="339" t="s">
        <v>9</v>
      </c>
      <c r="FT67" s="339"/>
      <c r="FU67" s="339" t="s">
        <v>10</v>
      </c>
      <c r="FV67" s="339"/>
      <c r="FW67" s="339" t="s">
        <v>11</v>
      </c>
      <c r="FX67" s="339"/>
      <c r="FY67" s="339" t="s">
        <v>12</v>
      </c>
      <c r="FZ67" s="339"/>
      <c r="GA67" s="339" t="s">
        <v>211</v>
      </c>
      <c r="GB67" s="339"/>
      <c r="GC67" s="339" t="s">
        <v>13</v>
      </c>
      <c r="GD67" s="339"/>
      <c r="GL67" s="339" t="s">
        <v>8</v>
      </c>
      <c r="GM67" s="339"/>
      <c r="GN67" s="339" t="s">
        <v>9</v>
      </c>
      <c r="GO67" s="339"/>
      <c r="GP67" s="339" t="s">
        <v>10</v>
      </c>
      <c r="GQ67" s="339"/>
      <c r="GR67" s="339" t="s">
        <v>11</v>
      </c>
      <c r="GS67" s="339"/>
      <c r="GT67" s="339" t="s">
        <v>12</v>
      </c>
      <c r="GU67" s="339"/>
      <c r="GV67" s="339" t="s">
        <v>211</v>
      </c>
      <c r="GW67" s="339"/>
      <c r="GX67" s="339" t="s">
        <v>13</v>
      </c>
      <c r="GY67" s="339"/>
      <c r="HE67" s="1239"/>
      <c r="HF67" s="1239"/>
      <c r="HG67" s="1239"/>
      <c r="HH67" s="1239"/>
      <c r="HI67" s="1239"/>
      <c r="HJ67" s="1239"/>
      <c r="HK67" s="1239"/>
      <c r="HL67" s="1239"/>
      <c r="HM67" s="1239"/>
      <c r="HN67" s="1239"/>
      <c r="HO67" s="1239"/>
      <c r="HP67" s="1239"/>
      <c r="HQ67" s="1239"/>
      <c r="HR67" s="1239"/>
      <c r="HS67" s="1239"/>
      <c r="HT67" s="1239"/>
      <c r="HU67" s="1239"/>
      <c r="HV67" s="1239"/>
      <c r="HW67" s="1239"/>
      <c r="HX67" s="1239"/>
      <c r="HY67" s="1239"/>
      <c r="HZ67" s="1239"/>
      <c r="IA67" s="1239"/>
      <c r="IB67" s="1239"/>
      <c r="IC67" s="1239"/>
      <c r="ID67" s="1239"/>
      <c r="IE67" s="1239"/>
      <c r="IF67" s="1239"/>
    </row>
    <row r="68" spans="2:240" ht="45" customHeight="1">
      <c r="B68" s="97"/>
      <c r="C68" s="49" t="s">
        <v>375</v>
      </c>
      <c r="D68" s="49" t="s">
        <v>375</v>
      </c>
      <c r="E68" s="49" t="s">
        <v>375</v>
      </c>
      <c r="F68" s="49" t="s">
        <v>375</v>
      </c>
      <c r="G68" s="49" t="s">
        <v>375</v>
      </c>
      <c r="H68" s="49" t="s">
        <v>375</v>
      </c>
      <c r="I68" s="49" t="s">
        <v>375</v>
      </c>
      <c r="J68" s="49" t="s">
        <v>375</v>
      </c>
      <c r="K68" s="49" t="s">
        <v>375</v>
      </c>
      <c r="L68" s="49" t="s">
        <v>375</v>
      </c>
      <c r="M68" s="49" t="s">
        <v>375</v>
      </c>
      <c r="N68" s="49" t="s">
        <v>375</v>
      </c>
      <c r="O68" s="49" t="s">
        <v>375</v>
      </c>
      <c r="P68" s="49" t="s">
        <v>375</v>
      </c>
      <c r="Q68" s="49" t="s">
        <v>375</v>
      </c>
      <c r="R68" s="49" t="s">
        <v>375</v>
      </c>
      <c r="S68" s="49" t="s">
        <v>375</v>
      </c>
      <c r="T68" s="49" t="s">
        <v>375</v>
      </c>
      <c r="U68" s="49" t="s">
        <v>375</v>
      </c>
      <c r="V68" s="49" t="s">
        <v>375</v>
      </c>
      <c r="W68" s="49" t="s">
        <v>375</v>
      </c>
      <c r="X68" s="49" t="s">
        <v>375</v>
      </c>
      <c r="Y68" s="49" t="s">
        <v>375</v>
      </c>
      <c r="Z68" s="49" t="s">
        <v>375</v>
      </c>
      <c r="AA68" s="49" t="s">
        <v>375</v>
      </c>
      <c r="AB68" s="49" t="s">
        <v>375</v>
      </c>
      <c r="AC68" s="49" t="s">
        <v>375</v>
      </c>
      <c r="AD68" s="49" t="s">
        <v>375</v>
      </c>
      <c r="AE68" s="49" t="s">
        <v>375</v>
      </c>
      <c r="AF68" s="49" t="s">
        <v>375</v>
      </c>
      <c r="AG68" s="49" t="s">
        <v>375</v>
      </c>
      <c r="AH68" s="49" t="s">
        <v>375</v>
      </c>
      <c r="AI68" s="49" t="s">
        <v>375</v>
      </c>
      <c r="AJ68" s="49" t="s">
        <v>249</v>
      </c>
      <c r="AK68" s="49" t="s">
        <v>250</v>
      </c>
      <c r="AL68" s="49" t="s">
        <v>251</v>
      </c>
      <c r="AM68" s="49" t="s">
        <v>252</v>
      </c>
      <c r="AN68" s="49" t="s">
        <v>197</v>
      </c>
      <c r="AO68" s="49" t="s">
        <v>516</v>
      </c>
      <c r="AP68" s="49" t="s">
        <v>517</v>
      </c>
      <c r="AQ68" s="49" t="s">
        <v>518</v>
      </c>
      <c r="AR68" s="49" t="s">
        <v>388</v>
      </c>
      <c r="AS68" s="70" t="s">
        <v>389</v>
      </c>
      <c r="AT68" s="72" t="s">
        <v>519</v>
      </c>
      <c r="AU68" s="51" t="s">
        <v>520</v>
      </c>
      <c r="AV68" s="51" t="s">
        <v>521</v>
      </c>
      <c r="AW68" s="51" t="s">
        <v>509</v>
      </c>
      <c r="AX68" s="51" t="s">
        <v>510</v>
      </c>
      <c r="AY68" s="66" t="s">
        <v>511</v>
      </c>
      <c r="AZ68" s="77" t="s">
        <v>360</v>
      </c>
      <c r="BA68" s="51" t="s">
        <v>361</v>
      </c>
      <c r="BB68" s="51" t="s">
        <v>362</v>
      </c>
      <c r="BC68" s="51" t="s">
        <v>363</v>
      </c>
      <c r="BD68" s="51" t="s">
        <v>243</v>
      </c>
      <c r="BE68" s="66" t="s">
        <v>244</v>
      </c>
      <c r="BF68" s="72" t="s">
        <v>512</v>
      </c>
      <c r="BG68" s="51" t="s">
        <v>513</v>
      </c>
      <c r="BH68" s="51" t="s">
        <v>514</v>
      </c>
      <c r="BI68" s="51" t="s">
        <v>515</v>
      </c>
      <c r="BJ68" s="51" t="s">
        <v>358</v>
      </c>
      <c r="BK68" s="100" t="s">
        <v>359</v>
      </c>
      <c r="BL68" s="97"/>
      <c r="BU68" s="167"/>
      <c r="BV68" s="167"/>
      <c r="BW68" s="167"/>
      <c r="BX68" s="167"/>
      <c r="BY68" s="167"/>
      <c r="BZ68" s="167"/>
      <c r="CA68" s="167"/>
      <c r="CB68" s="167"/>
      <c r="CC68" s="167"/>
      <c r="CD68" s="167"/>
      <c r="CE68" s="167"/>
      <c r="CF68" s="167"/>
      <c r="CG68" s="167"/>
      <c r="CH68" s="167"/>
      <c r="CI68" s="167"/>
      <c r="CJ68" s="167"/>
      <c r="CK68" s="167"/>
      <c r="CL68" s="167"/>
      <c r="CM68" s="167"/>
      <c r="DD68" s="167"/>
      <c r="DE68" s="167"/>
      <c r="DF68" s="167"/>
      <c r="DG68" s="167"/>
      <c r="DH68" s="167"/>
      <c r="DI68" s="167"/>
      <c r="DJ68" s="167"/>
      <c r="DK68" s="167"/>
      <c r="DL68" s="167"/>
      <c r="DM68" s="167"/>
      <c r="DN68" s="167"/>
      <c r="DO68" s="167"/>
      <c r="DP68" s="167"/>
      <c r="DQ68" s="167"/>
      <c r="DY68" s="97"/>
      <c r="DZ68" s="97"/>
      <c r="ED68" s="97"/>
      <c r="EF68" s="1081"/>
      <c r="EG68" s="1081"/>
      <c r="EH68" s="1081"/>
      <c r="EI68" s="1081"/>
      <c r="EJ68" s="97"/>
      <c r="EK68" s="97"/>
      <c r="EL68" s="97"/>
      <c r="EM68" s="97"/>
      <c r="EN68" s="97"/>
      <c r="EO68" s="97"/>
      <c r="FL68" s="690"/>
      <c r="FM68" s="690"/>
      <c r="FN68" s="690"/>
      <c r="FO68" s="690"/>
      <c r="FP68" s="690"/>
      <c r="FQ68" s="690"/>
      <c r="FR68" s="690"/>
      <c r="FS68" s="690"/>
      <c r="FT68" s="690"/>
      <c r="FU68" s="690"/>
      <c r="FV68" s="690"/>
      <c r="FW68" s="690"/>
      <c r="FX68" s="690"/>
      <c r="FY68" s="690"/>
      <c r="FZ68" s="690"/>
      <c r="HE68" s="1240" t="s">
        <v>10254</v>
      </c>
      <c r="HF68" s="1239"/>
      <c r="HG68" s="1239"/>
      <c r="HH68" s="1239"/>
      <c r="HI68" s="1239"/>
      <c r="HJ68" s="1239"/>
      <c r="HK68" s="1239"/>
      <c r="HL68" s="1239"/>
      <c r="HM68" s="1239"/>
      <c r="HN68" s="1239"/>
      <c r="HO68" s="1239"/>
      <c r="HP68" s="1239"/>
      <c r="HQ68" s="1239"/>
      <c r="HR68" s="1239"/>
      <c r="HS68" s="1240" t="s">
        <v>10253</v>
      </c>
      <c r="HT68" s="1239"/>
      <c r="HU68" s="1239"/>
      <c r="HV68" s="1239"/>
      <c r="HW68" s="1239"/>
      <c r="HX68" s="1239"/>
      <c r="HY68" s="1239"/>
      <c r="HZ68" s="1239"/>
      <c r="IA68" s="1239"/>
      <c r="IB68" s="1239"/>
      <c r="IC68" s="1239"/>
      <c r="ID68" s="1239"/>
      <c r="IE68" s="1239"/>
      <c r="IF68" s="1239"/>
    </row>
    <row r="69" spans="2:240" ht="10.5" customHeight="1">
      <c r="B69" s="97"/>
      <c r="C69" s="343"/>
      <c r="D69" s="343"/>
      <c r="E69" s="343"/>
      <c r="F69" s="343"/>
      <c r="G69" s="343"/>
      <c r="H69" s="343"/>
      <c r="I69" s="343"/>
      <c r="J69" s="343"/>
      <c r="K69" s="343"/>
      <c r="L69" s="343"/>
      <c r="M69" s="343"/>
      <c r="N69" s="343"/>
      <c r="O69" s="343"/>
      <c r="P69" s="343"/>
      <c r="Q69" s="343"/>
      <c r="R69" s="343"/>
      <c r="S69" s="343"/>
      <c r="T69" s="343"/>
      <c r="U69" s="343"/>
      <c r="V69" s="343"/>
      <c r="W69" s="343"/>
      <c r="X69" s="343"/>
      <c r="Y69" s="343"/>
      <c r="Z69" s="343"/>
      <c r="AA69" s="343"/>
      <c r="AB69" s="343"/>
      <c r="AC69" s="343"/>
      <c r="AD69" s="343"/>
      <c r="AE69" s="343"/>
      <c r="AF69" s="343"/>
      <c r="AG69" s="343"/>
      <c r="AH69" s="343"/>
      <c r="AI69" s="343"/>
      <c r="AJ69" s="343"/>
      <c r="AK69" s="343"/>
      <c r="AL69" s="343"/>
      <c r="AM69" s="343"/>
      <c r="AN69" s="343"/>
      <c r="AO69" s="343"/>
      <c r="AP69" s="343"/>
      <c r="AQ69" s="343"/>
      <c r="AR69" s="343"/>
      <c r="AS69" s="344"/>
      <c r="AT69" s="345"/>
      <c r="AU69" s="343"/>
      <c r="AV69" s="53"/>
      <c r="AW69" s="53"/>
      <c r="AX69" s="54"/>
      <c r="AY69" s="54"/>
      <c r="AZ69" s="346"/>
      <c r="BA69" s="343"/>
      <c r="BB69" s="53"/>
      <c r="BC69" s="53"/>
      <c r="BD69" s="54"/>
      <c r="BE69" s="54"/>
      <c r="BF69" s="345"/>
      <c r="BG69" s="343"/>
      <c r="BH69" s="53"/>
      <c r="BI69" s="53"/>
      <c r="BJ69" s="54"/>
      <c r="BK69" s="101"/>
      <c r="BL69" s="97"/>
      <c r="BU69" s="167"/>
      <c r="BV69" s="167"/>
      <c r="BW69" s="167"/>
      <c r="BX69" s="167"/>
      <c r="BY69" s="167"/>
      <c r="BZ69" s="167"/>
      <c r="CA69" s="167"/>
      <c r="CB69" s="167"/>
      <c r="CC69" s="167"/>
      <c r="CD69" s="167"/>
      <c r="CE69" s="167"/>
      <c r="CF69" s="167"/>
      <c r="CG69" s="167"/>
      <c r="CH69" s="167"/>
      <c r="CI69" s="167"/>
      <c r="CJ69" s="167"/>
      <c r="CK69" s="167"/>
      <c r="CL69" s="167"/>
      <c r="CM69" s="167"/>
      <c r="DD69" s="167"/>
      <c r="DE69" s="167"/>
      <c r="DF69" s="167"/>
      <c r="DG69" s="167"/>
      <c r="DH69" s="339" t="s">
        <v>631</v>
      </c>
      <c r="DI69" s="339" t="s">
        <v>632</v>
      </c>
      <c r="DJ69" s="339" t="s">
        <v>379</v>
      </c>
      <c r="DK69" s="339" t="s">
        <v>575</v>
      </c>
      <c r="DL69" s="339" t="s">
        <v>380</v>
      </c>
      <c r="DM69" s="339" t="s">
        <v>381</v>
      </c>
      <c r="DN69" s="339" t="s">
        <v>382</v>
      </c>
      <c r="DO69" s="339" t="s">
        <v>383</v>
      </c>
      <c r="DP69" s="339" t="s">
        <v>384</v>
      </c>
      <c r="DQ69" s="339" t="s">
        <v>385</v>
      </c>
      <c r="DR69" s="339" t="s">
        <v>386</v>
      </c>
      <c r="DS69" s="339" t="s">
        <v>387</v>
      </c>
      <c r="DT69" s="339" t="s">
        <v>390</v>
      </c>
      <c r="DU69" s="339" t="s">
        <v>391</v>
      </c>
      <c r="DV69" s="339" t="s">
        <v>392</v>
      </c>
      <c r="DW69" s="339" t="s">
        <v>393</v>
      </c>
      <c r="DX69" s="339" t="s">
        <v>197</v>
      </c>
      <c r="DY69" s="339" t="s">
        <v>262</v>
      </c>
      <c r="DZ69" s="339" t="s">
        <v>263</v>
      </c>
      <c r="EA69" s="339" t="s">
        <v>212</v>
      </c>
      <c r="EB69" s="339" t="s">
        <v>213</v>
      </c>
      <c r="EC69" s="339" t="s">
        <v>215</v>
      </c>
      <c r="ED69" s="339" t="s">
        <v>14</v>
      </c>
      <c r="EE69" s="339" t="s">
        <v>8005</v>
      </c>
      <c r="EF69" s="339" t="s">
        <v>10229</v>
      </c>
      <c r="EG69" s="339"/>
      <c r="EH69" s="339"/>
      <c r="EI69" s="339"/>
      <c r="EJ69" s="342"/>
      <c r="EK69" s="342"/>
      <c r="EL69" s="342"/>
      <c r="EM69" s="342"/>
      <c r="EN69" s="342"/>
      <c r="EO69" s="342"/>
      <c r="EQ69" s="339" t="s">
        <v>379</v>
      </c>
      <c r="ER69" s="339" t="s">
        <v>575</v>
      </c>
      <c r="ES69" s="339" t="s">
        <v>380</v>
      </c>
      <c r="ET69" s="339" t="s">
        <v>381</v>
      </c>
      <c r="EU69" s="339" t="s">
        <v>382</v>
      </c>
      <c r="EV69" s="339" t="s">
        <v>383</v>
      </c>
      <c r="EW69" s="339" t="s">
        <v>384</v>
      </c>
      <c r="EX69" s="339" t="s">
        <v>385</v>
      </c>
      <c r="EY69" s="339" t="s">
        <v>386</v>
      </c>
      <c r="EZ69" s="339" t="s">
        <v>387</v>
      </c>
      <c r="FA69" s="339" t="s">
        <v>390</v>
      </c>
      <c r="FB69" s="339" t="s">
        <v>391</v>
      </c>
      <c r="FC69" s="339" t="s">
        <v>392</v>
      </c>
      <c r="FD69" s="339" t="s">
        <v>393</v>
      </c>
      <c r="FH69" s="339" t="s">
        <v>212</v>
      </c>
      <c r="FI69" s="339" t="s">
        <v>213</v>
      </c>
      <c r="FL69" s="339" t="s">
        <v>9596</v>
      </c>
      <c r="FM69" s="339" t="s">
        <v>9597</v>
      </c>
      <c r="FN69" s="339" t="s">
        <v>9598</v>
      </c>
      <c r="FO69" s="339" t="s">
        <v>9599</v>
      </c>
      <c r="FP69" s="339" t="s">
        <v>9600</v>
      </c>
      <c r="FQ69" s="339" t="s">
        <v>380</v>
      </c>
      <c r="FR69" s="339" t="s">
        <v>381</v>
      </c>
      <c r="FS69" s="339" t="s">
        <v>382</v>
      </c>
      <c r="FT69" s="339" t="s">
        <v>383</v>
      </c>
      <c r="FU69" s="339" t="s">
        <v>384</v>
      </c>
      <c r="FV69" s="339" t="s">
        <v>385</v>
      </c>
      <c r="FW69" s="339" t="s">
        <v>386</v>
      </c>
      <c r="FX69" s="339" t="s">
        <v>387</v>
      </c>
      <c r="FY69" s="339" t="s">
        <v>390</v>
      </c>
      <c r="FZ69" s="339" t="s">
        <v>391</v>
      </c>
      <c r="GA69" s="339" t="s">
        <v>212</v>
      </c>
      <c r="GB69" s="339" t="s">
        <v>213</v>
      </c>
      <c r="GC69" s="339" t="s">
        <v>392</v>
      </c>
      <c r="GD69" s="339" t="s">
        <v>393</v>
      </c>
      <c r="GG69" s="339" t="s">
        <v>9596</v>
      </c>
      <c r="GH69" s="339" t="s">
        <v>9597</v>
      </c>
      <c r="GI69" s="339" t="s">
        <v>9598</v>
      </c>
      <c r="GJ69" s="339" t="s">
        <v>9599</v>
      </c>
      <c r="GK69" s="339" t="s">
        <v>9600</v>
      </c>
      <c r="GL69" s="339" t="s">
        <v>380</v>
      </c>
      <c r="GM69" s="339" t="s">
        <v>381</v>
      </c>
      <c r="GN69" s="339" t="s">
        <v>382</v>
      </c>
      <c r="GO69" s="339" t="s">
        <v>383</v>
      </c>
      <c r="GP69" s="339" t="s">
        <v>384</v>
      </c>
      <c r="GQ69" s="339" t="s">
        <v>385</v>
      </c>
      <c r="GR69" s="339" t="s">
        <v>386</v>
      </c>
      <c r="GS69" s="339" t="s">
        <v>387</v>
      </c>
      <c r="GT69" s="339" t="s">
        <v>390</v>
      </c>
      <c r="GU69" s="339" t="s">
        <v>391</v>
      </c>
      <c r="GV69" s="339" t="s">
        <v>212</v>
      </c>
      <c r="GW69" s="339" t="s">
        <v>213</v>
      </c>
      <c r="GX69" s="339" t="s">
        <v>392</v>
      </c>
      <c r="GY69" s="339" t="s">
        <v>393</v>
      </c>
      <c r="HE69" s="339" t="s">
        <v>380</v>
      </c>
      <c r="HF69" s="339" t="s">
        <v>381</v>
      </c>
      <c r="HG69" s="339" t="s">
        <v>382</v>
      </c>
      <c r="HH69" s="339" t="s">
        <v>383</v>
      </c>
      <c r="HI69" s="339" t="s">
        <v>384</v>
      </c>
      <c r="HJ69" s="339" t="s">
        <v>385</v>
      </c>
      <c r="HK69" s="339" t="s">
        <v>386</v>
      </c>
      <c r="HL69" s="339" t="s">
        <v>387</v>
      </c>
      <c r="HM69" s="339" t="s">
        <v>390</v>
      </c>
      <c r="HN69" s="339" t="s">
        <v>391</v>
      </c>
      <c r="HO69" s="339" t="s">
        <v>212</v>
      </c>
      <c r="HP69" s="339" t="s">
        <v>213</v>
      </c>
      <c r="HQ69" s="339" t="s">
        <v>392</v>
      </c>
      <c r="HR69" s="339" t="s">
        <v>393</v>
      </c>
      <c r="HS69" s="339" t="s">
        <v>380</v>
      </c>
      <c r="HT69" s="339" t="s">
        <v>381</v>
      </c>
      <c r="HU69" s="339" t="s">
        <v>382</v>
      </c>
      <c r="HV69" s="339" t="s">
        <v>383</v>
      </c>
      <c r="HW69" s="339" t="s">
        <v>384</v>
      </c>
      <c r="HX69" s="339" t="s">
        <v>385</v>
      </c>
      <c r="HY69" s="339" t="s">
        <v>386</v>
      </c>
      <c r="HZ69" s="339" t="s">
        <v>387</v>
      </c>
      <c r="IA69" s="339" t="s">
        <v>390</v>
      </c>
      <c r="IB69" s="339" t="s">
        <v>391</v>
      </c>
      <c r="IC69" s="339" t="s">
        <v>212</v>
      </c>
      <c r="ID69" s="339" t="s">
        <v>213</v>
      </c>
      <c r="IE69" s="339" t="s">
        <v>392</v>
      </c>
      <c r="IF69" s="339" t="s">
        <v>393</v>
      </c>
    </row>
    <row r="70" spans="2:240" s="1082" customFormat="1" ht="12.75">
      <c r="C70" s="120"/>
      <c r="D70" s="120"/>
      <c r="E70" s="120"/>
      <c r="F70" s="120"/>
      <c r="G70" s="120"/>
      <c r="H70" s="120"/>
      <c r="I70" s="120"/>
      <c r="J70" s="120"/>
      <c r="K70" s="120"/>
      <c r="L70" s="120"/>
      <c r="M70" s="120"/>
      <c r="N70" s="120"/>
      <c r="O70" s="120"/>
      <c r="P70" s="120"/>
      <c r="Q70" s="120"/>
      <c r="R70" s="120"/>
      <c r="S70" s="120"/>
      <c r="T70" s="120"/>
      <c r="U70" s="120"/>
      <c r="V70" s="120"/>
      <c r="W70" s="120"/>
      <c r="X70" s="120"/>
      <c r="Y70" s="120"/>
      <c r="Z70" s="120"/>
      <c r="AA70" s="120"/>
      <c r="AB70" s="120"/>
      <c r="AC70" s="120"/>
      <c r="AD70" s="120"/>
      <c r="AE70" s="120"/>
      <c r="AF70" s="120"/>
      <c r="AG70" s="120"/>
      <c r="AH70" s="120"/>
      <c r="AI70" s="120"/>
      <c r="AJ70" s="59"/>
      <c r="AK70" s="59"/>
      <c r="AL70" s="59"/>
      <c r="AM70" s="59"/>
      <c r="AN70" s="59"/>
      <c r="AO70" s="59"/>
      <c r="AP70" s="59"/>
      <c r="AQ70" s="59"/>
      <c r="AR70" s="59"/>
      <c r="AS70" s="67"/>
      <c r="AT70" s="74"/>
      <c r="AU70" s="63"/>
      <c r="AV70" s="59"/>
      <c r="AW70" s="59"/>
      <c r="AX70" s="59"/>
      <c r="AY70" s="67"/>
      <c r="AZ70" s="79"/>
      <c r="BA70" s="63"/>
      <c r="BB70" s="59"/>
      <c r="BC70" s="59"/>
      <c r="BD70" s="59"/>
      <c r="BE70" s="67"/>
      <c r="BF70" s="74"/>
      <c r="BG70" s="63"/>
      <c r="BH70" s="59"/>
      <c r="BI70" s="59"/>
      <c r="BJ70" s="59"/>
      <c r="BK70" s="102"/>
      <c r="BV70" s="1065"/>
      <c r="BW70" s="1065"/>
      <c r="BX70" s="1065"/>
      <c r="BY70" s="1065"/>
      <c r="BZ70" s="1065"/>
      <c r="CA70" s="1065"/>
      <c r="DH70" s="347"/>
      <c r="DI70" s="347"/>
      <c r="DJ70" s="347"/>
      <c r="DK70" s="347"/>
      <c r="DL70" s="96"/>
      <c r="DM70" s="96"/>
      <c r="DN70" s="96"/>
      <c r="DO70" s="96"/>
      <c r="DP70" s="96"/>
      <c r="DQ70" s="96"/>
      <c r="DR70" s="96"/>
      <c r="DS70" s="96"/>
      <c r="DT70" s="96"/>
      <c r="DU70" s="96"/>
      <c r="DV70" s="96"/>
      <c r="DW70" s="96"/>
      <c r="DX70" s="113"/>
      <c r="DY70" s="113"/>
      <c r="DZ70" s="113"/>
      <c r="EA70" s="96"/>
      <c r="EB70" s="96"/>
      <c r="EC70" s="113"/>
      <c r="ED70" s="113"/>
      <c r="EE70" s="113"/>
      <c r="EF70" s="113"/>
      <c r="EG70" s="113"/>
      <c r="EH70" s="113"/>
      <c r="EI70" s="113"/>
      <c r="EJ70" s="119"/>
      <c r="EK70" s="119"/>
      <c r="EL70" s="119"/>
      <c r="EM70" s="119"/>
      <c r="EN70" s="119"/>
      <c r="EO70" s="119"/>
      <c r="EQ70" s="347"/>
      <c r="ER70" s="347"/>
      <c r="ES70" s="96"/>
      <c r="ET70" s="96"/>
      <c r="EU70" s="96"/>
      <c r="EV70" s="96"/>
      <c r="EW70" s="96"/>
      <c r="EX70" s="96"/>
      <c r="EY70" s="96"/>
      <c r="EZ70" s="96"/>
      <c r="FA70" s="96"/>
      <c r="FB70" s="96"/>
      <c r="FC70" s="96"/>
      <c r="FD70" s="96"/>
      <c r="FH70" s="96"/>
      <c r="FI70" s="96"/>
      <c r="FL70" s="347"/>
      <c r="FM70" s="347"/>
      <c r="FN70" s="347"/>
      <c r="FO70" s="347"/>
      <c r="FP70" s="347"/>
      <c r="FQ70" s="96"/>
      <c r="FR70" s="96"/>
      <c r="FS70" s="96"/>
      <c r="FT70" s="96"/>
      <c r="FU70" s="96"/>
      <c r="FV70" s="96"/>
      <c r="FW70" s="96"/>
      <c r="FX70" s="96"/>
      <c r="FY70" s="96"/>
      <c r="FZ70" s="96"/>
      <c r="GA70" s="96"/>
      <c r="GB70" s="96"/>
      <c r="GC70" s="96"/>
      <c r="GD70" s="96"/>
      <c r="GE70" s="1065"/>
      <c r="GF70" s="1065"/>
      <c r="GG70" s="347"/>
      <c r="GH70" s="347"/>
      <c r="GI70" s="347"/>
      <c r="GJ70" s="347"/>
      <c r="GK70" s="347"/>
      <c r="GL70" s="96"/>
      <c r="GM70" s="96"/>
      <c r="GN70" s="96"/>
      <c r="GO70" s="96"/>
      <c r="GP70" s="96"/>
      <c r="GQ70" s="96"/>
      <c r="GR70" s="96"/>
      <c r="GS70" s="96"/>
      <c r="GT70" s="96"/>
      <c r="GU70" s="96"/>
      <c r="GV70" s="96"/>
      <c r="GW70" s="96"/>
      <c r="GX70" s="96"/>
      <c r="GY70" s="96"/>
      <c r="HE70" s="113"/>
      <c r="HF70" s="113"/>
      <c r="HG70" s="113"/>
      <c r="HH70" s="113"/>
      <c r="HI70" s="113"/>
      <c r="HJ70" s="113"/>
      <c r="HK70" s="113"/>
      <c r="HL70" s="113"/>
      <c r="HM70" s="113"/>
      <c r="HN70" s="113"/>
      <c r="HO70" s="113"/>
      <c r="HP70" s="113"/>
      <c r="HQ70" s="113"/>
      <c r="HR70" s="113"/>
      <c r="HS70" s="113"/>
      <c r="HT70" s="113"/>
      <c r="HU70" s="113"/>
      <c r="HV70" s="113"/>
      <c r="HW70" s="113"/>
      <c r="HX70" s="113"/>
      <c r="HY70" s="113"/>
      <c r="HZ70" s="113"/>
      <c r="IA70" s="113"/>
      <c r="IB70" s="113"/>
      <c r="IC70" s="113"/>
      <c r="ID70" s="113"/>
      <c r="IE70" s="113"/>
      <c r="IF70" s="113"/>
    </row>
    <row r="71" spans="2:240" s="1082" customFormat="1" ht="12.75">
      <c r="C71" s="120"/>
      <c r="D71" s="120"/>
      <c r="E71" s="120"/>
      <c r="F71" s="120"/>
      <c r="G71" s="120"/>
      <c r="H71" s="120"/>
      <c r="I71" s="120"/>
      <c r="J71" s="120"/>
      <c r="K71" s="120"/>
      <c r="L71" s="120"/>
      <c r="M71" s="120"/>
      <c r="N71" s="120"/>
      <c r="O71" s="120"/>
      <c r="P71" s="120"/>
      <c r="Q71" s="120"/>
      <c r="R71" s="120"/>
      <c r="S71" s="120"/>
      <c r="T71" s="120"/>
      <c r="U71" s="120"/>
      <c r="V71" s="120"/>
      <c r="W71" s="120"/>
      <c r="X71" s="120"/>
      <c r="Y71" s="120"/>
      <c r="Z71" s="120"/>
      <c r="AA71" s="120"/>
      <c r="AB71" s="120"/>
      <c r="AC71" s="120"/>
      <c r="AD71" s="120"/>
      <c r="AE71" s="120"/>
      <c r="AF71" s="120"/>
      <c r="AG71" s="120"/>
      <c r="AH71" s="120"/>
      <c r="AI71" s="120"/>
      <c r="AJ71" s="60"/>
      <c r="AK71" s="60"/>
      <c r="AL71" s="60"/>
      <c r="AM71" s="60"/>
      <c r="AN71" s="59"/>
      <c r="AO71" s="60"/>
      <c r="AP71" s="60"/>
      <c r="AQ71" s="60"/>
      <c r="AR71" s="60"/>
      <c r="AS71" s="68"/>
      <c r="AT71" s="75"/>
      <c r="AU71" s="64"/>
      <c r="AV71" s="60"/>
      <c r="AW71" s="60"/>
      <c r="AX71" s="60"/>
      <c r="AY71" s="68"/>
      <c r="AZ71" s="80"/>
      <c r="BA71" s="64"/>
      <c r="BB71" s="60"/>
      <c r="BC71" s="60"/>
      <c r="BD71" s="60"/>
      <c r="BE71" s="68"/>
      <c r="BF71" s="75"/>
      <c r="BG71" s="64"/>
      <c r="BH71" s="60"/>
      <c r="BI71" s="60"/>
      <c r="BJ71" s="60"/>
      <c r="BK71" s="103"/>
      <c r="BX71" s="1065"/>
      <c r="BY71" s="1065"/>
      <c r="BZ71" s="1065"/>
      <c r="CA71" s="1065"/>
      <c r="DH71" s="347"/>
      <c r="DI71" s="347"/>
      <c r="DJ71" s="347"/>
      <c r="DK71" s="347"/>
      <c r="DL71" s="96"/>
      <c r="DM71" s="96"/>
      <c r="DN71" s="96"/>
      <c r="DO71" s="96"/>
      <c r="DP71" s="96"/>
      <c r="DQ71" s="96"/>
      <c r="DR71" s="96"/>
      <c r="DS71" s="96"/>
      <c r="DT71" s="96"/>
      <c r="DU71" s="96"/>
      <c r="DV71" s="96"/>
      <c r="DW71" s="96"/>
      <c r="DX71" s="113"/>
      <c r="DY71" s="113"/>
      <c r="DZ71" s="113"/>
      <c r="EA71" s="96"/>
      <c r="EB71" s="96"/>
      <c r="EC71" s="113"/>
      <c r="ED71" s="113"/>
      <c r="EE71" s="113"/>
      <c r="EF71" s="113"/>
      <c r="EG71" s="113"/>
      <c r="EH71" s="113"/>
      <c r="EI71" s="113"/>
      <c r="EJ71" s="119"/>
      <c r="EK71" s="119"/>
      <c r="EL71" s="119"/>
      <c r="EM71" s="119"/>
      <c r="EN71" s="119"/>
      <c r="EO71" s="119"/>
      <c r="EQ71" s="347"/>
      <c r="ER71" s="347"/>
      <c r="ES71" s="96"/>
      <c r="ET71" s="96"/>
      <c r="EU71" s="96"/>
      <c r="EV71" s="96"/>
      <c r="EW71" s="96"/>
      <c r="EX71" s="96"/>
      <c r="EY71" s="96"/>
      <c r="EZ71" s="96"/>
      <c r="FA71" s="96"/>
      <c r="FB71" s="96"/>
      <c r="FC71" s="96"/>
      <c r="FD71" s="96"/>
      <c r="FH71" s="96"/>
      <c r="FI71" s="96"/>
      <c r="FL71" s="347"/>
      <c r="FM71" s="347"/>
      <c r="FN71" s="347"/>
      <c r="FO71" s="347"/>
      <c r="FP71" s="347"/>
      <c r="FQ71" s="96"/>
      <c r="FR71" s="96"/>
      <c r="FS71" s="96"/>
      <c r="FT71" s="96"/>
      <c r="FU71" s="96"/>
      <c r="FV71" s="96"/>
      <c r="FW71" s="96"/>
      <c r="FX71" s="96"/>
      <c r="FY71" s="96"/>
      <c r="FZ71" s="96"/>
      <c r="GA71" s="96"/>
      <c r="GB71" s="96"/>
      <c r="GC71" s="96"/>
      <c r="GD71" s="96"/>
      <c r="GE71" s="1065"/>
      <c r="GF71" s="1065"/>
      <c r="GG71" s="347"/>
      <c r="GH71" s="347"/>
      <c r="GI71" s="347"/>
      <c r="GJ71" s="347"/>
      <c r="GK71" s="347"/>
      <c r="GL71" s="96"/>
      <c r="GM71" s="96"/>
      <c r="GN71" s="96"/>
      <c r="GO71" s="96"/>
      <c r="GP71" s="96"/>
      <c r="GQ71" s="96"/>
      <c r="GR71" s="96"/>
      <c r="GS71" s="96"/>
      <c r="GT71" s="96"/>
      <c r="GU71" s="96"/>
      <c r="GV71" s="96"/>
      <c r="GW71" s="96"/>
      <c r="GX71" s="96"/>
      <c r="GY71" s="96"/>
      <c r="HE71" s="113"/>
      <c r="HF71" s="113"/>
      <c r="HG71" s="113"/>
      <c r="HH71" s="113"/>
      <c r="HI71" s="113"/>
      <c r="HJ71" s="113"/>
      <c r="HK71" s="113"/>
      <c r="HL71" s="113"/>
      <c r="HM71" s="113"/>
      <c r="HN71" s="113"/>
      <c r="HO71" s="113"/>
      <c r="HP71" s="113"/>
      <c r="HQ71" s="113"/>
      <c r="HR71" s="113"/>
      <c r="HS71" s="113"/>
      <c r="HT71" s="113"/>
      <c r="HU71" s="113"/>
      <c r="HV71" s="113"/>
      <c r="HW71" s="113"/>
      <c r="HX71" s="113"/>
      <c r="HY71" s="113"/>
      <c r="HZ71" s="113"/>
      <c r="IA71" s="113"/>
      <c r="IB71" s="113"/>
      <c r="IC71" s="113"/>
      <c r="ID71" s="113"/>
      <c r="IE71" s="113"/>
      <c r="IF71" s="113"/>
    </row>
    <row r="72" spans="2:240" ht="10.5" customHeight="1">
      <c r="B72" s="97"/>
      <c r="C72" s="348"/>
      <c r="D72" s="348"/>
      <c r="E72" s="348"/>
      <c r="F72" s="348"/>
      <c r="G72" s="348"/>
      <c r="H72" s="348"/>
      <c r="I72" s="348"/>
      <c r="J72" s="348"/>
      <c r="K72" s="348"/>
      <c r="L72" s="348"/>
      <c r="M72" s="348"/>
      <c r="N72" s="348"/>
      <c r="O72" s="348"/>
      <c r="P72" s="348"/>
      <c r="Q72" s="348"/>
      <c r="R72" s="348"/>
      <c r="S72" s="348"/>
      <c r="T72" s="348"/>
      <c r="U72" s="348"/>
      <c r="V72" s="348"/>
      <c r="W72" s="348"/>
      <c r="X72" s="348"/>
      <c r="Y72" s="348"/>
      <c r="Z72" s="348"/>
      <c r="AA72" s="348"/>
      <c r="AB72" s="348"/>
      <c r="AC72" s="348"/>
      <c r="AD72" s="348"/>
      <c r="AE72" s="348"/>
      <c r="AF72" s="348"/>
      <c r="AG72" s="348"/>
      <c r="AH72" s="348"/>
      <c r="AI72" s="348" t="s">
        <v>253</v>
      </c>
      <c r="AJ72" s="55">
        <f>SUM(AJ70:AJ71)</f>
        <v>0</v>
      </c>
      <c r="AK72" s="56">
        <f>SUM(AK70:AK71)</f>
        <v>0</v>
      </c>
      <c r="AL72" s="56">
        <f>SUM(AL70:AL71)</f>
        <v>0</v>
      </c>
      <c r="AM72" s="56">
        <f>SUM(AM70:AM71)</f>
        <v>0</v>
      </c>
      <c r="AN72" s="58"/>
      <c r="AO72" s="58">
        <f>SUMPRODUCT(AJ70:AJ71,AO70:AO71,DZ70:DZ71)+SUMPRODUCT(AK70:AK71,AO70:AO71,DZ70:DZ71)</f>
        <v>0</v>
      </c>
      <c r="AP72" s="58">
        <f>SUMPRODUCT(AJ70:AJ71,AP70:AP71,DZ70:DZ71)</f>
        <v>0</v>
      </c>
      <c r="AQ72" s="58">
        <f>SUMPRODUCT(AJ70:AJ71,AQ70:AQ71,DZ70:DZ71)+SUMPRODUCT(AK70:AK71,AQ70:AQ71,DZ70:DZ71)</f>
        <v>0</v>
      </c>
      <c r="AR72" s="58">
        <f>SUMPRODUCT(AJ70:AJ71,AR70:AR71,DZ70:DZ71)+SUMPRODUCT(AK70:AK71,AR70:AR71,DZ70:DZ71)</f>
        <v>0</v>
      </c>
      <c r="AS72" s="69">
        <f>SUMPRODUCT(AJ70:AJ71,AS70:AS71,DZ70:DZ71)</f>
        <v>0</v>
      </c>
      <c r="AT72" s="76">
        <f>SUMPRODUCT(AJ70:AJ71,AT70:AT71,DZ70:DZ71)+SUMPRODUCT(AK70:AK71,AT70:AT71,DZ70:DZ71)</f>
        <v>0</v>
      </c>
      <c r="AU72" s="58">
        <f>SUMPRODUCT(AJ70:AJ71,AU70:AU71,DZ70:DZ71)</f>
        <v>0</v>
      </c>
      <c r="AV72" s="57">
        <f>IF(AT72=0,0,(AT72-AX72)/AT72)</f>
        <v>0</v>
      </c>
      <c r="AW72" s="57">
        <f>IF(AU72=0,0,(AU72-AY72)/AU72)</f>
        <v>0</v>
      </c>
      <c r="AX72" s="58">
        <f>SUMPRODUCT(AJ70:AJ71,AX70:AX71,DZ70:DZ71)+SUMPRODUCT(AK70:AK71,AX70:AX71,DZ70:DZ71)</f>
        <v>0</v>
      </c>
      <c r="AY72" s="69">
        <f>SUMPRODUCT(AJ70:AJ71,AY70:AY71,DZ70:DZ71)</f>
        <v>0</v>
      </c>
      <c r="AZ72" s="81">
        <f>SUMPRODUCT(AJ70:AJ71,AZ70:AZ71,DZ70:DZ71)+SUMPRODUCT(AK70:AK71,AZ70:AZ71,DZ70:DZ71)</f>
        <v>0</v>
      </c>
      <c r="BA72" s="58">
        <f>SUMPRODUCT(AJ70:AJ71,BA70:BA71,DZ70:DZ71)</f>
        <v>0</v>
      </c>
      <c r="BB72" s="57">
        <f>IF(AZ72=0,0,(AZ72-BD72)/AZ72)</f>
        <v>0</v>
      </c>
      <c r="BC72" s="57">
        <f>IF(BA72=0,0,(BA72-BE72)/BA72)</f>
        <v>0</v>
      </c>
      <c r="BD72" s="58">
        <f>SUMPRODUCT(AJ70:AJ71,BD70:BD71,DZ70:DZ71)+SUMPRODUCT(AK70:AK71,BD70:BD71,DZ70:DZ71)</f>
        <v>0</v>
      </c>
      <c r="BE72" s="69">
        <f>SUMPRODUCT(AJ70:AJ71,BE70:BE71,DZ70:DZ71)</f>
        <v>0</v>
      </c>
      <c r="BF72" s="76">
        <f>SUMPRODUCT(AJ70:AJ71,BF70:BF71,DZ70:DZ71)+SUMPRODUCT(AK70:AK71,BF70:BF71,DZ70:DZ71)</f>
        <v>0</v>
      </c>
      <c r="BG72" s="58">
        <f>SUMPRODUCT(AJ70:AJ71,BG70:BG71,DZ70:DZ71)</f>
        <v>0</v>
      </c>
      <c r="BH72" s="57">
        <f>IF(BF72=0,0,(BF72-BJ72)/BF72)</f>
        <v>0</v>
      </c>
      <c r="BI72" s="57">
        <f>IF(BG72=0,0,(BG72-BK72)/BG72)</f>
        <v>0</v>
      </c>
      <c r="BJ72" s="58">
        <f>SUMPRODUCT(AJ70:AJ71,BJ70:BJ71,DZ70:DZ71)+SUMPRODUCT(AK70:AK71,BJ70:BJ71,DZ70:DZ71)</f>
        <v>0</v>
      </c>
      <c r="BK72" s="104">
        <f>SUMPRODUCT(AJ70:AJ71,BK70:BK71,DZ70:DZ71)</f>
        <v>0</v>
      </c>
      <c r="BL72" s="97"/>
      <c r="BU72" s="167"/>
      <c r="BV72" s="167"/>
      <c r="BW72" s="167"/>
      <c r="BX72" s="167"/>
      <c r="BY72" s="167"/>
      <c r="BZ72" s="167"/>
      <c r="CA72" s="167"/>
      <c r="CB72" s="167"/>
      <c r="CC72" s="167"/>
      <c r="CD72" s="167"/>
      <c r="CE72" s="167"/>
      <c r="CF72" s="167"/>
      <c r="CG72" s="167"/>
      <c r="CH72" s="167"/>
      <c r="CI72" s="167"/>
      <c r="CJ72" s="167"/>
      <c r="CK72" s="167"/>
      <c r="CL72" s="167"/>
      <c r="CM72" s="167"/>
      <c r="DD72" s="167"/>
      <c r="DE72" s="167"/>
      <c r="DF72" s="167"/>
      <c r="DG72" s="167"/>
      <c r="DH72" s="167"/>
      <c r="DI72" s="167"/>
      <c r="DJ72" s="167"/>
      <c r="DK72" s="167"/>
      <c r="DL72" s="167"/>
      <c r="DM72" s="167"/>
      <c r="DN72" s="167"/>
      <c r="DO72" s="167"/>
      <c r="DP72" s="167"/>
      <c r="DQ72" s="167"/>
      <c r="EI72" s="941"/>
      <c r="FL72" s="690"/>
      <c r="FM72" s="690"/>
      <c r="FN72" s="690"/>
      <c r="FO72" s="690"/>
      <c r="FP72" s="690"/>
      <c r="FQ72" s="690"/>
      <c r="FR72" s="690"/>
      <c r="FS72" s="690"/>
      <c r="FT72" s="690"/>
      <c r="FU72" s="690"/>
      <c r="FV72" s="690"/>
      <c r="FW72" s="690"/>
      <c r="FX72" s="690"/>
      <c r="FY72" s="690"/>
      <c r="FZ72" s="690"/>
      <c r="HE72" s="1239"/>
      <c r="HF72" s="1239"/>
      <c r="HG72" s="1239"/>
      <c r="HH72" s="1239"/>
      <c r="HI72" s="1239"/>
      <c r="HJ72" s="1239"/>
      <c r="HK72" s="1239"/>
      <c r="HL72" s="1239"/>
      <c r="HM72" s="1239"/>
      <c r="HN72" s="1239"/>
      <c r="HO72" s="1239"/>
      <c r="HP72" s="1239"/>
      <c r="HQ72" s="1239"/>
      <c r="HR72" s="1239"/>
      <c r="HS72" s="1239"/>
      <c r="HT72" s="1239"/>
      <c r="HU72" s="1239"/>
      <c r="HV72" s="1239"/>
      <c r="HW72" s="1239"/>
      <c r="HX72" s="1239"/>
      <c r="HY72" s="1239"/>
      <c r="HZ72" s="1239"/>
      <c r="IA72" s="1239"/>
      <c r="IB72" s="1239"/>
      <c r="IC72" s="1239"/>
      <c r="ID72" s="1239"/>
      <c r="IE72" s="1239"/>
      <c r="IF72" s="1239"/>
    </row>
    <row r="73" spans="2:240" ht="10.5" customHeight="1">
      <c r="EI73" s="941"/>
      <c r="FL73" s="849"/>
      <c r="FM73" s="849"/>
      <c r="FN73" s="849"/>
      <c r="FO73" s="849"/>
      <c r="FP73" s="849"/>
      <c r="FQ73" s="849"/>
      <c r="FR73" s="849"/>
      <c r="FS73" s="849"/>
      <c r="FT73" s="849"/>
      <c r="FU73" s="849"/>
      <c r="FV73" s="849"/>
      <c r="FW73" s="690"/>
      <c r="FX73" s="690"/>
      <c r="FY73" s="690"/>
      <c r="FZ73" s="690"/>
      <c r="GG73" s="849"/>
      <c r="GH73" s="849"/>
      <c r="GI73" s="849"/>
      <c r="GJ73" s="849"/>
      <c r="GK73" s="849"/>
      <c r="GL73" s="849"/>
      <c r="GM73" s="849"/>
      <c r="GN73" s="849"/>
      <c r="GO73" s="849"/>
      <c r="GP73" s="849"/>
      <c r="GQ73" s="849"/>
      <c r="HE73" s="1239"/>
      <c r="HF73" s="1239"/>
      <c r="HG73" s="1239"/>
      <c r="HH73" s="1239"/>
      <c r="HI73" s="1239"/>
      <c r="HJ73" s="1239"/>
      <c r="HK73" s="1239"/>
      <c r="HL73" s="1239"/>
      <c r="HM73" s="1239"/>
      <c r="HN73" s="1239"/>
      <c r="HO73" s="1239"/>
      <c r="HP73" s="1239"/>
      <c r="HQ73" s="1239"/>
      <c r="HR73" s="1239"/>
      <c r="HS73" s="1239"/>
      <c r="HT73" s="1239"/>
      <c r="HU73" s="1239"/>
      <c r="HV73" s="1239"/>
      <c r="HW73" s="1239"/>
      <c r="HX73" s="1239"/>
      <c r="HY73" s="1239"/>
      <c r="HZ73" s="1239"/>
      <c r="IA73" s="1239"/>
      <c r="IB73" s="1239"/>
      <c r="IC73" s="1239"/>
      <c r="ID73" s="1239"/>
      <c r="IE73" s="1239"/>
      <c r="IF73" s="1239"/>
    </row>
    <row r="74" spans="2:240" ht="15">
      <c r="B74" s="97"/>
      <c r="C74" s="330" t="s">
        <v>254</v>
      </c>
      <c r="AX74" s="125"/>
      <c r="AY74" s="125"/>
      <c r="BD74" s="125"/>
      <c r="BE74" s="125"/>
      <c r="BJ74" s="125"/>
      <c r="BK74" s="125"/>
      <c r="BU74" s="167"/>
      <c r="BV74" s="167"/>
      <c r="BW74" s="167"/>
      <c r="BX74" s="167"/>
      <c r="BY74" s="167"/>
      <c r="BZ74" s="167"/>
      <c r="CA74" s="167"/>
      <c r="CB74" s="167"/>
      <c r="CC74" s="167"/>
      <c r="CD74" s="167"/>
      <c r="CE74" s="167"/>
      <c r="CF74" s="167"/>
      <c r="CG74" s="167"/>
      <c r="CH74" s="167"/>
      <c r="CI74" s="167"/>
      <c r="CJ74" s="167"/>
      <c r="CK74" s="167"/>
      <c r="CL74" s="167"/>
      <c r="CM74" s="167"/>
      <c r="DD74" s="167"/>
      <c r="DE74" s="167"/>
      <c r="DF74" s="167"/>
      <c r="DG74" s="167"/>
      <c r="DH74" s="167"/>
      <c r="DI74" s="167"/>
      <c r="DJ74" s="167"/>
      <c r="DK74" s="167"/>
      <c r="DL74" s="167"/>
      <c r="DM74" s="167"/>
      <c r="DN74" s="167"/>
      <c r="DO74" s="167"/>
      <c r="DP74" s="167"/>
      <c r="DQ74" s="167"/>
      <c r="EI74" s="941"/>
      <c r="FL74" s="690"/>
      <c r="FM74" s="690"/>
      <c r="FN74" s="690"/>
      <c r="FO74" s="690"/>
      <c r="FP74" s="690"/>
      <c r="FQ74" s="690"/>
      <c r="FR74" s="690"/>
      <c r="FS74" s="690"/>
      <c r="FT74" s="690"/>
      <c r="FU74" s="690"/>
      <c r="FV74" s="690"/>
      <c r="FW74" s="690"/>
      <c r="FX74" s="690"/>
      <c r="FY74" s="690"/>
      <c r="FZ74" s="690"/>
      <c r="HE74" s="1239"/>
      <c r="HF74" s="1239"/>
      <c r="HG74" s="1239"/>
      <c r="HH74" s="1239"/>
      <c r="HI74" s="1239"/>
      <c r="HJ74" s="1239"/>
      <c r="HK74" s="1239"/>
      <c r="HL74" s="1239"/>
      <c r="HM74" s="1239"/>
      <c r="HN74" s="1239"/>
      <c r="HO74" s="1239"/>
      <c r="HP74" s="1239"/>
      <c r="HQ74" s="1239"/>
      <c r="HR74" s="1239"/>
      <c r="HS74" s="1239"/>
      <c r="HT74" s="1239"/>
      <c r="HU74" s="1239"/>
      <c r="HV74" s="1239"/>
      <c r="HW74" s="1239"/>
      <c r="HX74" s="1239"/>
      <c r="HY74" s="1239"/>
      <c r="HZ74" s="1239"/>
      <c r="IA74" s="1239"/>
      <c r="IB74" s="1239"/>
      <c r="IC74" s="1239"/>
      <c r="ID74" s="1239"/>
      <c r="IE74" s="1239"/>
      <c r="IF74" s="1239"/>
    </row>
    <row r="75" spans="2:240" ht="10.5" customHeight="1">
      <c r="B75" s="97"/>
      <c r="AT75" s="331" t="str">
        <f ca="1">IF(AV75="","","Scenario 1")</f>
        <v>Scenario 1</v>
      </c>
      <c r="AU75" s="332"/>
      <c r="AV75" s="333" t="str">
        <f ca="1">IF(OFFSET('Step 1'!$G$21,$A$1,0)=0,"",OFFSET('Step 1'!$G$21,$A$1,0)&amp;" months term")</f>
        <v>1 months term</v>
      </c>
      <c r="AW75" s="332"/>
      <c r="AX75" s="88" t="str">
        <f ca="1">IF(AT75="","","Std Pricing: "&amp;OFFSET(DJ75,0,$AU$1))</f>
        <v>Std Pricing: MTM</v>
      </c>
      <c r="AY75" s="88"/>
      <c r="AZ75" s="334" t="str">
        <f ca="1">IF(BB75="","","Scenario 2")</f>
        <v>Scenario 2</v>
      </c>
      <c r="BA75" s="335"/>
      <c r="BB75" s="336" t="str">
        <f ca="1">IF(OFFSET('Step 1'!$G$21,$A$1,1)=0,"",OFFSET('Step 1'!$G$21,$A$1,1)&amp;" months term")</f>
        <v>2 months term</v>
      </c>
      <c r="BC75" s="337"/>
      <c r="BD75" s="85" t="str">
        <f ca="1">IF(AZ75="","","Std Pricing: "&amp;OFFSET(DJ75,0,$AV$1))</f>
        <v>Std Pricing: MTM</v>
      </c>
      <c r="BE75" s="85"/>
      <c r="BF75" s="331" t="str">
        <f ca="1">IF(BH75="","","Scenario 3")</f>
        <v>Scenario 3</v>
      </c>
      <c r="BG75" s="338"/>
      <c r="BH75" s="333" t="str">
        <f ca="1">IF(OFFSET('Step 1'!$G$21,$A$1,2)=0,"",OFFSET('Step 1'!$G$21,$A$1,2)&amp;" months term")</f>
        <v>3 months term</v>
      </c>
      <c r="BI75" s="332"/>
      <c r="BJ75" s="88" t="str">
        <f ca="1">IF(BF75="","","Std Pricing: "&amp;OFFSET(DJ75,0,$AW$1))</f>
        <v>Std Pricing: MTM</v>
      </c>
      <c r="BK75" s="99"/>
      <c r="BL75" s="97"/>
      <c r="BU75" s="167"/>
      <c r="BV75" s="167"/>
      <c r="BW75" s="167"/>
      <c r="BX75" s="167"/>
      <c r="BY75" s="167"/>
      <c r="BZ75" s="167"/>
      <c r="CA75" s="167"/>
      <c r="CB75" s="167"/>
      <c r="CC75" s="167"/>
      <c r="CD75" s="167"/>
      <c r="CE75" s="167"/>
      <c r="CF75" s="167"/>
      <c r="CG75" s="167"/>
      <c r="CH75" s="167"/>
      <c r="CI75" s="167"/>
      <c r="CJ75" s="167"/>
      <c r="CK75" s="167"/>
      <c r="CL75" s="167"/>
      <c r="CM75" s="167"/>
      <c r="DD75" s="167"/>
      <c r="DE75" s="167"/>
      <c r="DF75" s="167"/>
      <c r="DG75" s="167"/>
      <c r="DH75" s="167"/>
      <c r="DI75" s="167"/>
      <c r="DJ75" s="167"/>
      <c r="DK75" s="167"/>
      <c r="DL75" s="339" t="s">
        <v>8</v>
      </c>
      <c r="DM75" s="339"/>
      <c r="DN75" s="339" t="s">
        <v>9</v>
      </c>
      <c r="DO75" s="339"/>
      <c r="DP75" s="339" t="s">
        <v>10</v>
      </c>
      <c r="DQ75" s="339"/>
      <c r="DR75" s="339" t="s">
        <v>11</v>
      </c>
      <c r="DS75" s="339"/>
      <c r="DT75" s="339" t="s">
        <v>12</v>
      </c>
      <c r="DU75" s="339"/>
      <c r="DV75" s="339" t="s">
        <v>13</v>
      </c>
      <c r="DW75" s="339"/>
      <c r="DX75" s="339" t="s">
        <v>261</v>
      </c>
      <c r="DY75" s="340"/>
      <c r="DZ75" s="341"/>
      <c r="EA75" s="339" t="s">
        <v>211</v>
      </c>
      <c r="EB75" s="339"/>
      <c r="EC75" s="339" t="s">
        <v>214</v>
      </c>
      <c r="ED75" s="340"/>
      <c r="EE75" s="339" t="s">
        <v>10228</v>
      </c>
      <c r="EF75" s="340"/>
      <c r="EG75" s="340"/>
      <c r="EH75" s="340"/>
      <c r="EI75" s="340"/>
      <c r="EJ75" s="342"/>
      <c r="EK75" s="342"/>
      <c r="EL75" s="342"/>
      <c r="EM75" s="342"/>
      <c r="EN75" s="342"/>
      <c r="EO75" s="342"/>
      <c r="ES75" s="339" t="s">
        <v>8</v>
      </c>
      <c r="ET75" s="339"/>
      <c r="EU75" s="339" t="s">
        <v>9</v>
      </c>
      <c r="EV75" s="339"/>
      <c r="EW75" s="339" t="s">
        <v>10</v>
      </c>
      <c r="EX75" s="339"/>
      <c r="EY75" s="339" t="s">
        <v>11</v>
      </c>
      <c r="EZ75" s="339"/>
      <c r="FA75" s="339" t="s">
        <v>12</v>
      </c>
      <c r="FB75" s="339"/>
      <c r="FC75" s="339" t="s">
        <v>13</v>
      </c>
      <c r="FD75" s="339"/>
      <c r="FH75" s="339" t="s">
        <v>211</v>
      </c>
      <c r="FI75" s="339"/>
      <c r="FL75" s="690"/>
      <c r="FM75" s="690"/>
      <c r="FN75" s="690"/>
      <c r="FO75" s="690"/>
      <c r="FP75" s="690"/>
      <c r="FQ75" s="339" t="s">
        <v>8</v>
      </c>
      <c r="FR75" s="339"/>
      <c r="FS75" s="339" t="s">
        <v>9</v>
      </c>
      <c r="FT75" s="339"/>
      <c r="FU75" s="339" t="s">
        <v>10</v>
      </c>
      <c r="FV75" s="339"/>
      <c r="FW75" s="339" t="s">
        <v>11</v>
      </c>
      <c r="FX75" s="339"/>
      <c r="FY75" s="339" t="s">
        <v>12</v>
      </c>
      <c r="FZ75" s="339"/>
      <c r="GA75" s="339" t="s">
        <v>211</v>
      </c>
      <c r="GB75" s="339"/>
      <c r="GC75" s="339" t="s">
        <v>13</v>
      </c>
      <c r="GD75" s="339"/>
      <c r="GL75" s="339" t="s">
        <v>8</v>
      </c>
      <c r="GM75" s="339"/>
      <c r="GN75" s="339" t="s">
        <v>9</v>
      </c>
      <c r="GO75" s="339"/>
      <c r="GP75" s="339" t="s">
        <v>10</v>
      </c>
      <c r="GQ75" s="339"/>
      <c r="GR75" s="339" t="s">
        <v>11</v>
      </c>
      <c r="GS75" s="339"/>
      <c r="GT75" s="339" t="s">
        <v>12</v>
      </c>
      <c r="GU75" s="339"/>
      <c r="GV75" s="339" t="s">
        <v>211</v>
      </c>
      <c r="GW75" s="339"/>
      <c r="GX75" s="339" t="s">
        <v>13</v>
      </c>
      <c r="GY75" s="339"/>
      <c r="HE75" s="1239"/>
      <c r="HF75" s="1239"/>
      <c r="HG75" s="1239"/>
      <c r="HH75" s="1239"/>
      <c r="HI75" s="1239"/>
      <c r="HJ75" s="1239"/>
      <c r="HK75" s="1239"/>
      <c r="HL75" s="1239"/>
      <c r="HM75" s="1239"/>
      <c r="HN75" s="1239"/>
      <c r="HO75" s="1239"/>
      <c r="HP75" s="1239"/>
      <c r="HQ75" s="1239"/>
      <c r="HR75" s="1239"/>
      <c r="HS75" s="1239"/>
      <c r="HT75" s="1239"/>
      <c r="HU75" s="1239"/>
      <c r="HV75" s="1239"/>
      <c r="HW75" s="1239"/>
      <c r="HX75" s="1239"/>
      <c r="HY75" s="1239"/>
      <c r="HZ75" s="1239"/>
      <c r="IA75" s="1239"/>
      <c r="IB75" s="1239"/>
      <c r="IC75" s="1239"/>
      <c r="ID75" s="1239"/>
      <c r="IE75" s="1239"/>
      <c r="IF75" s="1239"/>
    </row>
    <row r="76" spans="2:240" ht="45" customHeight="1">
      <c r="B76" s="97"/>
      <c r="C76" s="49" t="s">
        <v>375</v>
      </c>
      <c r="D76" s="49" t="s">
        <v>375</v>
      </c>
      <c r="E76" s="49" t="s">
        <v>375</v>
      </c>
      <c r="F76" s="49" t="s">
        <v>375</v>
      </c>
      <c r="G76" s="49" t="s">
        <v>375</v>
      </c>
      <c r="H76" s="49" t="s">
        <v>375</v>
      </c>
      <c r="I76" s="49" t="s">
        <v>375</v>
      </c>
      <c r="J76" s="49" t="s">
        <v>375</v>
      </c>
      <c r="K76" s="49" t="s">
        <v>375</v>
      </c>
      <c r="L76" s="49" t="s">
        <v>375</v>
      </c>
      <c r="M76" s="49" t="s">
        <v>375</v>
      </c>
      <c r="N76" s="49" t="s">
        <v>375</v>
      </c>
      <c r="O76" s="49" t="s">
        <v>375</v>
      </c>
      <c r="P76" s="49" t="s">
        <v>375</v>
      </c>
      <c r="Q76" s="49" t="s">
        <v>375</v>
      </c>
      <c r="R76" s="49" t="s">
        <v>375</v>
      </c>
      <c r="S76" s="49" t="s">
        <v>375</v>
      </c>
      <c r="T76" s="49" t="s">
        <v>375</v>
      </c>
      <c r="U76" s="49" t="s">
        <v>375</v>
      </c>
      <c r="V76" s="49" t="s">
        <v>375</v>
      </c>
      <c r="W76" s="49" t="s">
        <v>375</v>
      </c>
      <c r="X76" s="49" t="s">
        <v>375</v>
      </c>
      <c r="Y76" s="49" t="s">
        <v>375</v>
      </c>
      <c r="Z76" s="49" t="s">
        <v>375</v>
      </c>
      <c r="AA76" s="49" t="s">
        <v>375</v>
      </c>
      <c r="AB76" s="49" t="s">
        <v>375</v>
      </c>
      <c r="AC76" s="49" t="s">
        <v>375</v>
      </c>
      <c r="AD76" s="49" t="s">
        <v>375</v>
      </c>
      <c r="AE76" s="49" t="s">
        <v>375</v>
      </c>
      <c r="AF76" s="49" t="s">
        <v>375</v>
      </c>
      <c r="AG76" s="49" t="s">
        <v>375</v>
      </c>
      <c r="AH76" s="49" t="s">
        <v>375</v>
      </c>
      <c r="AI76" s="49" t="s">
        <v>375</v>
      </c>
      <c r="AJ76" s="49" t="s">
        <v>249</v>
      </c>
      <c r="AK76" s="49" t="s">
        <v>250</v>
      </c>
      <c r="AL76" s="49" t="s">
        <v>251</v>
      </c>
      <c r="AM76" s="49" t="s">
        <v>252</v>
      </c>
      <c r="AN76" s="49" t="s">
        <v>197</v>
      </c>
      <c r="AO76" s="49" t="s">
        <v>516</v>
      </c>
      <c r="AP76" s="49" t="s">
        <v>517</v>
      </c>
      <c r="AQ76" s="49" t="s">
        <v>518</v>
      </c>
      <c r="AR76" s="49" t="s">
        <v>388</v>
      </c>
      <c r="AS76" s="70" t="s">
        <v>389</v>
      </c>
      <c r="AT76" s="72" t="s">
        <v>519</v>
      </c>
      <c r="AU76" s="51" t="s">
        <v>520</v>
      </c>
      <c r="AV76" s="51" t="s">
        <v>521</v>
      </c>
      <c r="AW76" s="51" t="s">
        <v>509</v>
      </c>
      <c r="AX76" s="51" t="s">
        <v>510</v>
      </c>
      <c r="AY76" s="66" t="s">
        <v>511</v>
      </c>
      <c r="AZ76" s="77" t="s">
        <v>360</v>
      </c>
      <c r="BA76" s="51" t="s">
        <v>361</v>
      </c>
      <c r="BB76" s="51" t="s">
        <v>362</v>
      </c>
      <c r="BC76" s="51" t="s">
        <v>363</v>
      </c>
      <c r="BD76" s="51" t="s">
        <v>243</v>
      </c>
      <c r="BE76" s="66" t="s">
        <v>244</v>
      </c>
      <c r="BF76" s="72" t="s">
        <v>512</v>
      </c>
      <c r="BG76" s="51" t="s">
        <v>513</v>
      </c>
      <c r="BH76" s="51" t="s">
        <v>514</v>
      </c>
      <c r="BI76" s="51" t="s">
        <v>515</v>
      </c>
      <c r="BJ76" s="51" t="s">
        <v>358</v>
      </c>
      <c r="BK76" s="100" t="s">
        <v>359</v>
      </c>
      <c r="BL76" s="97"/>
      <c r="BU76" s="167"/>
      <c r="BV76" s="167"/>
      <c r="BW76" s="167"/>
      <c r="BX76" s="167"/>
      <c r="BY76" s="167"/>
      <c r="BZ76" s="167"/>
      <c r="CA76" s="167"/>
      <c r="CB76" s="167"/>
      <c r="CC76" s="167"/>
      <c r="CD76" s="167"/>
      <c r="CE76" s="167"/>
      <c r="CF76" s="167"/>
      <c r="CG76" s="167"/>
      <c r="CH76" s="167"/>
      <c r="CI76" s="167"/>
      <c r="CJ76" s="167"/>
      <c r="CK76" s="167"/>
      <c r="CL76" s="167"/>
      <c r="CM76" s="167"/>
      <c r="DD76" s="167"/>
      <c r="DE76" s="167"/>
      <c r="DF76" s="167"/>
      <c r="DG76" s="167"/>
      <c r="DH76" s="167"/>
      <c r="DI76" s="167"/>
      <c r="DJ76" s="167"/>
      <c r="DK76" s="167"/>
      <c r="DL76" s="167"/>
      <c r="DM76" s="167"/>
      <c r="DN76" s="167"/>
      <c r="DO76" s="167"/>
      <c r="DP76" s="167"/>
      <c r="DQ76" s="167"/>
      <c r="DY76" s="97"/>
      <c r="DZ76" s="97"/>
      <c r="ED76" s="97"/>
      <c r="EF76" s="1081"/>
      <c r="EG76" s="1081"/>
      <c r="EH76" s="1081"/>
      <c r="EI76" s="1081"/>
      <c r="EJ76" s="97"/>
      <c r="EK76" s="97"/>
      <c r="EL76" s="97"/>
      <c r="EM76" s="97"/>
      <c r="EN76" s="97"/>
      <c r="EO76" s="97"/>
      <c r="FL76" s="690"/>
      <c r="FM76" s="690"/>
      <c r="FN76" s="690"/>
      <c r="FO76" s="690"/>
      <c r="FP76" s="690"/>
      <c r="FQ76" s="690"/>
      <c r="FR76" s="690"/>
      <c r="FS76" s="690"/>
      <c r="FT76" s="690"/>
      <c r="FU76" s="690"/>
      <c r="FV76" s="690"/>
      <c r="FW76" s="690"/>
      <c r="FX76" s="690"/>
      <c r="FY76" s="690"/>
      <c r="FZ76" s="690"/>
      <c r="HE76" s="1240" t="s">
        <v>10254</v>
      </c>
      <c r="HF76" s="1239"/>
      <c r="HG76" s="1239"/>
      <c r="HH76" s="1239"/>
      <c r="HI76" s="1239"/>
      <c r="HJ76" s="1239"/>
      <c r="HK76" s="1239"/>
      <c r="HL76" s="1239"/>
      <c r="HM76" s="1239"/>
      <c r="HN76" s="1239"/>
      <c r="HO76" s="1239"/>
      <c r="HP76" s="1239"/>
      <c r="HQ76" s="1239"/>
      <c r="HR76" s="1239"/>
      <c r="HS76" s="1240" t="s">
        <v>10253</v>
      </c>
      <c r="HT76" s="1239"/>
      <c r="HU76" s="1239"/>
      <c r="HV76" s="1239"/>
      <c r="HW76" s="1239"/>
      <c r="HX76" s="1239"/>
      <c r="HY76" s="1239"/>
      <c r="HZ76" s="1239"/>
      <c r="IA76" s="1239"/>
      <c r="IB76" s="1239"/>
      <c r="IC76" s="1239"/>
      <c r="ID76" s="1239"/>
      <c r="IE76" s="1239"/>
      <c r="IF76" s="1239"/>
    </row>
    <row r="77" spans="2:240" ht="10.5" customHeight="1">
      <c r="B77" s="97"/>
      <c r="C77" s="343"/>
      <c r="D77" s="343"/>
      <c r="E77" s="343"/>
      <c r="F77" s="343"/>
      <c r="G77" s="343"/>
      <c r="H77" s="343"/>
      <c r="I77" s="343"/>
      <c r="J77" s="343"/>
      <c r="K77" s="343"/>
      <c r="L77" s="343"/>
      <c r="M77" s="343"/>
      <c r="N77" s="343"/>
      <c r="O77" s="343"/>
      <c r="P77" s="343"/>
      <c r="Q77" s="343"/>
      <c r="R77" s="343"/>
      <c r="S77" s="343"/>
      <c r="T77" s="343"/>
      <c r="U77" s="343"/>
      <c r="V77" s="343"/>
      <c r="W77" s="343"/>
      <c r="X77" s="343"/>
      <c r="Y77" s="343"/>
      <c r="Z77" s="343"/>
      <c r="AA77" s="343"/>
      <c r="AB77" s="343"/>
      <c r="AC77" s="343"/>
      <c r="AD77" s="343"/>
      <c r="AE77" s="343"/>
      <c r="AF77" s="343"/>
      <c r="AG77" s="343"/>
      <c r="AH77" s="343"/>
      <c r="AI77" s="343"/>
      <c r="AJ77" s="343"/>
      <c r="AK77" s="343"/>
      <c r="AL77" s="343"/>
      <c r="AM77" s="343"/>
      <c r="AN77" s="343"/>
      <c r="AO77" s="343"/>
      <c r="AP77" s="343"/>
      <c r="AQ77" s="343"/>
      <c r="AR77" s="343"/>
      <c r="AS77" s="344"/>
      <c r="AT77" s="345"/>
      <c r="AU77" s="343"/>
      <c r="AV77" s="53"/>
      <c r="AW77" s="53"/>
      <c r="AX77" s="54"/>
      <c r="AY77" s="54"/>
      <c r="AZ77" s="346"/>
      <c r="BA77" s="343"/>
      <c r="BB77" s="53"/>
      <c r="BC77" s="53"/>
      <c r="BD77" s="54"/>
      <c r="BE77" s="54"/>
      <c r="BF77" s="345"/>
      <c r="BG77" s="343"/>
      <c r="BH77" s="53"/>
      <c r="BI77" s="53"/>
      <c r="BJ77" s="54"/>
      <c r="BK77" s="101"/>
      <c r="BL77" s="97"/>
      <c r="BU77" s="167"/>
      <c r="BV77" s="167"/>
      <c r="BW77" s="167"/>
      <c r="BX77" s="167"/>
      <c r="BY77" s="167"/>
      <c r="BZ77" s="167"/>
      <c r="CA77" s="167"/>
      <c r="CB77" s="167"/>
      <c r="CC77" s="167"/>
      <c r="CD77" s="167"/>
      <c r="CE77" s="167"/>
      <c r="CF77" s="167"/>
      <c r="CG77" s="167"/>
      <c r="CH77" s="167"/>
      <c r="CI77" s="167"/>
      <c r="CJ77" s="167"/>
      <c r="CK77" s="167"/>
      <c r="CL77" s="167"/>
      <c r="CM77" s="167"/>
      <c r="DD77" s="167"/>
      <c r="DE77" s="167"/>
      <c r="DF77" s="167"/>
      <c r="DG77" s="167"/>
      <c r="DH77" s="339" t="s">
        <v>631</v>
      </c>
      <c r="DI77" s="339" t="s">
        <v>632</v>
      </c>
      <c r="DJ77" s="339" t="s">
        <v>379</v>
      </c>
      <c r="DK77" s="339" t="s">
        <v>575</v>
      </c>
      <c r="DL77" s="339" t="s">
        <v>380</v>
      </c>
      <c r="DM77" s="339" t="s">
        <v>381</v>
      </c>
      <c r="DN77" s="339" t="s">
        <v>382</v>
      </c>
      <c r="DO77" s="339" t="s">
        <v>383</v>
      </c>
      <c r="DP77" s="339" t="s">
        <v>384</v>
      </c>
      <c r="DQ77" s="339" t="s">
        <v>385</v>
      </c>
      <c r="DR77" s="339" t="s">
        <v>386</v>
      </c>
      <c r="DS77" s="339" t="s">
        <v>387</v>
      </c>
      <c r="DT77" s="339" t="s">
        <v>390</v>
      </c>
      <c r="DU77" s="339" t="s">
        <v>391</v>
      </c>
      <c r="DV77" s="339" t="s">
        <v>392</v>
      </c>
      <c r="DW77" s="339" t="s">
        <v>393</v>
      </c>
      <c r="DX77" s="339" t="s">
        <v>197</v>
      </c>
      <c r="DY77" s="339" t="s">
        <v>262</v>
      </c>
      <c r="DZ77" s="339" t="s">
        <v>263</v>
      </c>
      <c r="EA77" s="339" t="s">
        <v>212</v>
      </c>
      <c r="EB77" s="339" t="s">
        <v>213</v>
      </c>
      <c r="EC77" s="339" t="s">
        <v>215</v>
      </c>
      <c r="ED77" s="339" t="s">
        <v>14</v>
      </c>
      <c r="EE77" s="339" t="s">
        <v>8005</v>
      </c>
      <c r="EF77" s="339" t="s">
        <v>10229</v>
      </c>
      <c r="EG77" s="339"/>
      <c r="EH77" s="339"/>
      <c r="EI77" s="339"/>
      <c r="EJ77" s="342"/>
      <c r="EK77" s="342"/>
      <c r="EL77" s="342"/>
      <c r="EM77" s="342"/>
      <c r="EN77" s="342"/>
      <c r="EO77" s="342"/>
      <c r="EQ77" s="339" t="s">
        <v>379</v>
      </c>
      <c r="ER77" s="339" t="s">
        <v>575</v>
      </c>
      <c r="ES77" s="339" t="s">
        <v>380</v>
      </c>
      <c r="ET77" s="339" t="s">
        <v>381</v>
      </c>
      <c r="EU77" s="339" t="s">
        <v>382</v>
      </c>
      <c r="EV77" s="339" t="s">
        <v>383</v>
      </c>
      <c r="EW77" s="339" t="s">
        <v>384</v>
      </c>
      <c r="EX77" s="339" t="s">
        <v>385</v>
      </c>
      <c r="EY77" s="339" t="s">
        <v>386</v>
      </c>
      <c r="EZ77" s="339" t="s">
        <v>387</v>
      </c>
      <c r="FA77" s="339" t="s">
        <v>390</v>
      </c>
      <c r="FB77" s="339" t="s">
        <v>391</v>
      </c>
      <c r="FC77" s="339" t="s">
        <v>392</v>
      </c>
      <c r="FD77" s="339" t="s">
        <v>393</v>
      </c>
      <c r="FH77" s="339" t="s">
        <v>212</v>
      </c>
      <c r="FI77" s="339" t="s">
        <v>213</v>
      </c>
      <c r="FL77" s="339" t="s">
        <v>9596</v>
      </c>
      <c r="FM77" s="339" t="s">
        <v>9597</v>
      </c>
      <c r="FN77" s="339" t="s">
        <v>9598</v>
      </c>
      <c r="FO77" s="339" t="s">
        <v>9599</v>
      </c>
      <c r="FP77" s="339" t="s">
        <v>9600</v>
      </c>
      <c r="FQ77" s="339" t="s">
        <v>380</v>
      </c>
      <c r="FR77" s="339" t="s">
        <v>381</v>
      </c>
      <c r="FS77" s="339" t="s">
        <v>382</v>
      </c>
      <c r="FT77" s="339" t="s">
        <v>383</v>
      </c>
      <c r="FU77" s="339" t="s">
        <v>384</v>
      </c>
      <c r="FV77" s="339" t="s">
        <v>385</v>
      </c>
      <c r="FW77" s="339" t="s">
        <v>386</v>
      </c>
      <c r="FX77" s="339" t="s">
        <v>387</v>
      </c>
      <c r="FY77" s="339" t="s">
        <v>390</v>
      </c>
      <c r="FZ77" s="339" t="s">
        <v>391</v>
      </c>
      <c r="GA77" s="339" t="s">
        <v>212</v>
      </c>
      <c r="GB77" s="339" t="s">
        <v>213</v>
      </c>
      <c r="GC77" s="339" t="s">
        <v>392</v>
      </c>
      <c r="GD77" s="339" t="s">
        <v>393</v>
      </c>
      <c r="GG77" s="339" t="s">
        <v>9596</v>
      </c>
      <c r="GH77" s="339" t="s">
        <v>9597</v>
      </c>
      <c r="GI77" s="339" t="s">
        <v>9598</v>
      </c>
      <c r="GJ77" s="339" t="s">
        <v>9599</v>
      </c>
      <c r="GK77" s="339" t="s">
        <v>9600</v>
      </c>
      <c r="GL77" s="339" t="s">
        <v>380</v>
      </c>
      <c r="GM77" s="339" t="s">
        <v>381</v>
      </c>
      <c r="GN77" s="339" t="s">
        <v>382</v>
      </c>
      <c r="GO77" s="339" t="s">
        <v>383</v>
      </c>
      <c r="GP77" s="339" t="s">
        <v>384</v>
      </c>
      <c r="GQ77" s="339" t="s">
        <v>385</v>
      </c>
      <c r="GR77" s="339" t="s">
        <v>386</v>
      </c>
      <c r="GS77" s="339" t="s">
        <v>387</v>
      </c>
      <c r="GT77" s="339" t="s">
        <v>390</v>
      </c>
      <c r="GU77" s="339" t="s">
        <v>391</v>
      </c>
      <c r="GV77" s="339" t="s">
        <v>212</v>
      </c>
      <c r="GW77" s="339" t="s">
        <v>213</v>
      </c>
      <c r="GX77" s="339" t="s">
        <v>392</v>
      </c>
      <c r="GY77" s="339" t="s">
        <v>393</v>
      </c>
      <c r="HE77" s="339" t="s">
        <v>380</v>
      </c>
      <c r="HF77" s="339" t="s">
        <v>381</v>
      </c>
      <c r="HG77" s="339" t="s">
        <v>382</v>
      </c>
      <c r="HH77" s="339" t="s">
        <v>383</v>
      </c>
      <c r="HI77" s="339" t="s">
        <v>384</v>
      </c>
      <c r="HJ77" s="339" t="s">
        <v>385</v>
      </c>
      <c r="HK77" s="339" t="s">
        <v>386</v>
      </c>
      <c r="HL77" s="339" t="s">
        <v>387</v>
      </c>
      <c r="HM77" s="339" t="s">
        <v>390</v>
      </c>
      <c r="HN77" s="339" t="s">
        <v>391</v>
      </c>
      <c r="HO77" s="339" t="s">
        <v>212</v>
      </c>
      <c r="HP77" s="339" t="s">
        <v>213</v>
      </c>
      <c r="HQ77" s="339" t="s">
        <v>392</v>
      </c>
      <c r="HR77" s="339" t="s">
        <v>393</v>
      </c>
      <c r="HS77" s="339" t="s">
        <v>380</v>
      </c>
      <c r="HT77" s="339" t="s">
        <v>381</v>
      </c>
      <c r="HU77" s="339" t="s">
        <v>382</v>
      </c>
      <c r="HV77" s="339" t="s">
        <v>383</v>
      </c>
      <c r="HW77" s="339" t="s">
        <v>384</v>
      </c>
      <c r="HX77" s="339" t="s">
        <v>385</v>
      </c>
      <c r="HY77" s="339" t="s">
        <v>386</v>
      </c>
      <c r="HZ77" s="339" t="s">
        <v>387</v>
      </c>
      <c r="IA77" s="339" t="s">
        <v>390</v>
      </c>
      <c r="IB77" s="339" t="s">
        <v>391</v>
      </c>
      <c r="IC77" s="339" t="s">
        <v>212</v>
      </c>
      <c r="ID77" s="339" t="s">
        <v>213</v>
      </c>
      <c r="IE77" s="339" t="s">
        <v>392</v>
      </c>
      <c r="IF77" s="339" t="s">
        <v>393</v>
      </c>
    </row>
    <row r="78" spans="2:240" s="1082" customFormat="1" ht="12.75">
      <c r="C78" s="120"/>
      <c r="D78" s="120"/>
      <c r="E78" s="120"/>
      <c r="F78" s="120"/>
      <c r="G78" s="120"/>
      <c r="H78" s="120"/>
      <c r="I78" s="120"/>
      <c r="J78" s="120"/>
      <c r="K78" s="120"/>
      <c r="L78" s="120"/>
      <c r="M78" s="120"/>
      <c r="N78" s="120"/>
      <c r="O78" s="120"/>
      <c r="P78" s="120"/>
      <c r="Q78" s="120"/>
      <c r="R78" s="120"/>
      <c r="S78" s="120"/>
      <c r="T78" s="120"/>
      <c r="U78" s="120"/>
      <c r="V78" s="120"/>
      <c r="W78" s="120"/>
      <c r="X78" s="120"/>
      <c r="Y78" s="120"/>
      <c r="Z78" s="120"/>
      <c r="AA78" s="120"/>
      <c r="AB78" s="120"/>
      <c r="AC78" s="120"/>
      <c r="AD78" s="120"/>
      <c r="AE78" s="120"/>
      <c r="AF78" s="120"/>
      <c r="AG78" s="120"/>
      <c r="AH78" s="120"/>
      <c r="AI78" s="120"/>
      <c r="AJ78" s="59"/>
      <c r="AK78" s="59"/>
      <c r="AL78" s="59"/>
      <c r="AM78" s="59"/>
      <c r="AN78" s="59"/>
      <c r="AO78" s="59"/>
      <c r="AP78" s="59"/>
      <c r="AQ78" s="59"/>
      <c r="AR78" s="59"/>
      <c r="AS78" s="67"/>
      <c r="AT78" s="74"/>
      <c r="AU78" s="63"/>
      <c r="AV78" s="59"/>
      <c r="AW78" s="59"/>
      <c r="AX78" s="59"/>
      <c r="AY78" s="67"/>
      <c r="AZ78" s="79"/>
      <c r="BA78" s="63"/>
      <c r="BB78" s="59"/>
      <c r="BC78" s="59"/>
      <c r="BD78" s="59"/>
      <c r="BE78" s="67"/>
      <c r="BF78" s="74"/>
      <c r="BG78" s="63"/>
      <c r="BH78" s="59"/>
      <c r="BI78" s="59"/>
      <c r="BJ78" s="59"/>
      <c r="BK78" s="102"/>
      <c r="BV78" s="1065"/>
      <c r="BW78" s="1065"/>
      <c r="BX78" s="1065"/>
      <c r="BY78" s="1065"/>
      <c r="BZ78" s="1065"/>
      <c r="CA78" s="1065"/>
      <c r="DH78" s="347"/>
      <c r="DI78" s="347"/>
      <c r="DJ78" s="347"/>
      <c r="DK78" s="347"/>
      <c r="DL78" s="96"/>
      <c r="DM78" s="96"/>
      <c r="DN78" s="96"/>
      <c r="DO78" s="96"/>
      <c r="DP78" s="96"/>
      <c r="DQ78" s="96"/>
      <c r="DR78" s="96"/>
      <c r="DS78" s="96"/>
      <c r="DT78" s="96"/>
      <c r="DU78" s="96"/>
      <c r="DV78" s="96"/>
      <c r="DW78" s="96"/>
      <c r="DX78" s="113"/>
      <c r="DY78" s="113"/>
      <c r="DZ78" s="113"/>
      <c r="EA78" s="96"/>
      <c r="EB78" s="96"/>
      <c r="EC78" s="113"/>
      <c r="ED78" s="113"/>
      <c r="EE78" s="113"/>
      <c r="EF78" s="113"/>
      <c r="EG78" s="113"/>
      <c r="EH78" s="113"/>
      <c r="EI78" s="113"/>
      <c r="EJ78" s="119"/>
      <c r="EK78" s="119"/>
      <c r="EL78" s="119"/>
      <c r="EM78" s="119"/>
      <c r="EN78" s="119"/>
      <c r="EO78" s="119"/>
      <c r="EQ78" s="347"/>
      <c r="ER78" s="347"/>
      <c r="ES78" s="96"/>
      <c r="ET78" s="96"/>
      <c r="EU78" s="96"/>
      <c r="EV78" s="96"/>
      <c r="EW78" s="96"/>
      <c r="EX78" s="96"/>
      <c r="EY78" s="96"/>
      <c r="EZ78" s="96"/>
      <c r="FA78" s="96"/>
      <c r="FB78" s="96"/>
      <c r="FC78" s="96"/>
      <c r="FD78" s="96"/>
      <c r="FH78" s="96"/>
      <c r="FI78" s="96"/>
      <c r="FL78" s="347"/>
      <c r="FM78" s="347"/>
      <c r="FN78" s="347"/>
      <c r="FO78" s="347"/>
      <c r="FP78" s="347"/>
      <c r="FQ78" s="96"/>
      <c r="FR78" s="96"/>
      <c r="FS78" s="96"/>
      <c r="FT78" s="96"/>
      <c r="FU78" s="96"/>
      <c r="FV78" s="96"/>
      <c r="FW78" s="96"/>
      <c r="FX78" s="96"/>
      <c r="FY78" s="96"/>
      <c r="FZ78" s="96"/>
      <c r="GA78" s="96"/>
      <c r="GB78" s="96"/>
      <c r="GC78" s="96"/>
      <c r="GD78" s="96"/>
      <c r="GE78" s="1065"/>
      <c r="GF78" s="1065"/>
      <c r="GG78" s="347"/>
      <c r="GH78" s="347"/>
      <c r="GI78" s="347"/>
      <c r="GJ78" s="347"/>
      <c r="GK78" s="347"/>
      <c r="GL78" s="96"/>
      <c r="GM78" s="96"/>
      <c r="GN78" s="96"/>
      <c r="GO78" s="96"/>
      <c r="GP78" s="96"/>
      <c r="GQ78" s="96"/>
      <c r="GR78" s="96"/>
      <c r="GS78" s="96"/>
      <c r="GT78" s="96"/>
      <c r="GU78" s="96"/>
      <c r="GV78" s="96"/>
      <c r="GW78" s="96"/>
      <c r="GX78" s="96"/>
      <c r="GY78" s="96"/>
      <c r="HE78" s="113"/>
      <c r="HF78" s="113"/>
      <c r="HG78" s="113"/>
      <c r="HH78" s="113"/>
      <c r="HI78" s="113"/>
      <c r="HJ78" s="113"/>
      <c r="HK78" s="113"/>
      <c r="HL78" s="113"/>
      <c r="HM78" s="113"/>
      <c r="HN78" s="113"/>
      <c r="HO78" s="113"/>
      <c r="HP78" s="113"/>
      <c r="HQ78" s="113"/>
      <c r="HR78" s="113"/>
      <c r="HS78" s="113"/>
      <c r="HT78" s="113"/>
      <c r="HU78" s="113"/>
      <c r="HV78" s="113"/>
      <c r="HW78" s="113"/>
      <c r="HX78" s="113"/>
      <c r="HY78" s="113"/>
      <c r="HZ78" s="113"/>
      <c r="IA78" s="113"/>
      <c r="IB78" s="113"/>
      <c r="IC78" s="113"/>
      <c r="ID78" s="113"/>
      <c r="IE78" s="113"/>
      <c r="IF78" s="113"/>
    </row>
    <row r="79" spans="2:240" s="1082" customFormat="1" ht="12.75">
      <c r="C79" s="120"/>
      <c r="D79" s="120"/>
      <c r="E79" s="120"/>
      <c r="F79" s="120"/>
      <c r="G79" s="120"/>
      <c r="H79" s="120"/>
      <c r="I79" s="120"/>
      <c r="J79" s="120"/>
      <c r="K79" s="120"/>
      <c r="L79" s="120"/>
      <c r="M79" s="120"/>
      <c r="N79" s="120"/>
      <c r="O79" s="120"/>
      <c r="P79" s="120"/>
      <c r="Q79" s="120"/>
      <c r="R79" s="120"/>
      <c r="S79" s="120"/>
      <c r="T79" s="120"/>
      <c r="U79" s="120"/>
      <c r="V79" s="120"/>
      <c r="W79" s="120"/>
      <c r="X79" s="120"/>
      <c r="Y79" s="120"/>
      <c r="Z79" s="120"/>
      <c r="AA79" s="120"/>
      <c r="AB79" s="120"/>
      <c r="AC79" s="120"/>
      <c r="AD79" s="120"/>
      <c r="AE79" s="120"/>
      <c r="AF79" s="120"/>
      <c r="AG79" s="120"/>
      <c r="AH79" s="120"/>
      <c r="AI79" s="120"/>
      <c r="AJ79" s="60"/>
      <c r="AK79" s="60"/>
      <c r="AL79" s="60"/>
      <c r="AM79" s="60"/>
      <c r="AN79" s="59"/>
      <c r="AO79" s="60"/>
      <c r="AP79" s="60"/>
      <c r="AQ79" s="60"/>
      <c r="AR79" s="60"/>
      <c r="AS79" s="68"/>
      <c r="AT79" s="75"/>
      <c r="AU79" s="64"/>
      <c r="AV79" s="60"/>
      <c r="AW79" s="60"/>
      <c r="AX79" s="60"/>
      <c r="AY79" s="68"/>
      <c r="AZ79" s="80"/>
      <c r="BA79" s="64"/>
      <c r="BB79" s="60"/>
      <c r="BC79" s="60"/>
      <c r="BD79" s="60"/>
      <c r="BE79" s="68"/>
      <c r="BF79" s="75"/>
      <c r="BG79" s="64"/>
      <c r="BH79" s="60"/>
      <c r="BI79" s="60"/>
      <c r="BJ79" s="60"/>
      <c r="BK79" s="103"/>
      <c r="BX79" s="1065"/>
      <c r="BY79" s="1065"/>
      <c r="BZ79" s="1065"/>
      <c r="CA79" s="1065"/>
      <c r="DH79" s="347"/>
      <c r="DI79" s="347"/>
      <c r="DJ79" s="347"/>
      <c r="DK79" s="347"/>
      <c r="DL79" s="96"/>
      <c r="DM79" s="96"/>
      <c r="DN79" s="96"/>
      <c r="DO79" s="96"/>
      <c r="DP79" s="96"/>
      <c r="DQ79" s="96"/>
      <c r="DR79" s="96"/>
      <c r="DS79" s="96"/>
      <c r="DT79" s="96"/>
      <c r="DU79" s="96"/>
      <c r="DV79" s="96"/>
      <c r="DW79" s="96"/>
      <c r="DX79" s="113"/>
      <c r="DY79" s="113"/>
      <c r="DZ79" s="113"/>
      <c r="EA79" s="96"/>
      <c r="EB79" s="96"/>
      <c r="EC79" s="113"/>
      <c r="ED79" s="113"/>
      <c r="EE79" s="113"/>
      <c r="EF79" s="113"/>
      <c r="EG79" s="113"/>
      <c r="EH79" s="113"/>
      <c r="EI79" s="113"/>
      <c r="EJ79" s="119"/>
      <c r="EK79" s="119"/>
      <c r="EL79" s="119"/>
      <c r="EM79" s="119"/>
      <c r="EN79" s="119"/>
      <c r="EO79" s="119"/>
      <c r="EQ79" s="347"/>
      <c r="ER79" s="347"/>
      <c r="ES79" s="96"/>
      <c r="ET79" s="96"/>
      <c r="EU79" s="96"/>
      <c r="EV79" s="96"/>
      <c r="EW79" s="96"/>
      <c r="EX79" s="96"/>
      <c r="EY79" s="96"/>
      <c r="EZ79" s="96"/>
      <c r="FA79" s="96"/>
      <c r="FB79" s="96"/>
      <c r="FC79" s="96"/>
      <c r="FD79" s="96"/>
      <c r="FH79" s="96"/>
      <c r="FI79" s="96"/>
      <c r="FL79" s="347"/>
      <c r="FM79" s="347"/>
      <c r="FN79" s="347"/>
      <c r="FO79" s="347"/>
      <c r="FP79" s="347"/>
      <c r="FQ79" s="96"/>
      <c r="FR79" s="96"/>
      <c r="FS79" s="96"/>
      <c r="FT79" s="96"/>
      <c r="FU79" s="96"/>
      <c r="FV79" s="96"/>
      <c r="FW79" s="96"/>
      <c r="FX79" s="96"/>
      <c r="FY79" s="96"/>
      <c r="FZ79" s="96"/>
      <c r="GA79" s="96"/>
      <c r="GB79" s="96"/>
      <c r="GC79" s="96"/>
      <c r="GD79" s="96"/>
      <c r="GE79" s="1065"/>
      <c r="GF79" s="1065"/>
      <c r="GG79" s="347"/>
      <c r="GH79" s="347"/>
      <c r="GI79" s="347"/>
      <c r="GJ79" s="347"/>
      <c r="GK79" s="347"/>
      <c r="GL79" s="96"/>
      <c r="GM79" s="96"/>
      <c r="GN79" s="96"/>
      <c r="GO79" s="96"/>
      <c r="GP79" s="96"/>
      <c r="GQ79" s="96"/>
      <c r="GR79" s="96"/>
      <c r="GS79" s="96"/>
      <c r="GT79" s="96"/>
      <c r="GU79" s="96"/>
      <c r="GV79" s="96"/>
      <c r="GW79" s="96"/>
      <c r="GX79" s="96"/>
      <c r="GY79" s="96"/>
      <c r="HE79" s="113"/>
      <c r="HF79" s="113"/>
      <c r="HG79" s="113"/>
      <c r="HH79" s="113"/>
      <c r="HI79" s="113"/>
      <c r="HJ79" s="113"/>
      <c r="HK79" s="113"/>
      <c r="HL79" s="113"/>
      <c r="HM79" s="113"/>
      <c r="HN79" s="113"/>
      <c r="HO79" s="113"/>
      <c r="HP79" s="113"/>
      <c r="HQ79" s="113"/>
      <c r="HR79" s="113"/>
      <c r="HS79" s="113"/>
      <c r="HT79" s="113"/>
      <c r="HU79" s="113"/>
      <c r="HV79" s="113"/>
      <c r="HW79" s="113"/>
      <c r="HX79" s="113"/>
      <c r="HY79" s="113"/>
      <c r="HZ79" s="113"/>
      <c r="IA79" s="113"/>
      <c r="IB79" s="113"/>
      <c r="IC79" s="113"/>
      <c r="ID79" s="113"/>
      <c r="IE79" s="113"/>
      <c r="IF79" s="113"/>
    </row>
    <row r="80" spans="2:240" ht="10.5" customHeight="1">
      <c r="B80" s="97"/>
      <c r="C80" s="348"/>
      <c r="D80" s="348"/>
      <c r="E80" s="348"/>
      <c r="F80" s="348"/>
      <c r="G80" s="348"/>
      <c r="H80" s="348"/>
      <c r="I80" s="348"/>
      <c r="J80" s="348"/>
      <c r="K80" s="348"/>
      <c r="L80" s="348"/>
      <c r="M80" s="348"/>
      <c r="N80" s="348"/>
      <c r="O80" s="348"/>
      <c r="P80" s="348"/>
      <c r="Q80" s="348"/>
      <c r="R80" s="348"/>
      <c r="S80" s="348"/>
      <c r="T80" s="348"/>
      <c r="U80" s="348"/>
      <c r="V80" s="348"/>
      <c r="W80" s="348"/>
      <c r="X80" s="348"/>
      <c r="Y80" s="348"/>
      <c r="Z80" s="348"/>
      <c r="AA80" s="348"/>
      <c r="AB80" s="348"/>
      <c r="AC80" s="348"/>
      <c r="AD80" s="348"/>
      <c r="AE80" s="348"/>
      <c r="AF80" s="348"/>
      <c r="AG80" s="348"/>
      <c r="AH80" s="348"/>
      <c r="AI80" s="348" t="s">
        <v>253</v>
      </c>
      <c r="AJ80" s="55">
        <f>SUM(AJ78:AJ79)</f>
        <v>0</v>
      </c>
      <c r="AK80" s="56">
        <f>SUM(AK78:AK79)</f>
        <v>0</v>
      </c>
      <c r="AL80" s="56">
        <f>SUM(AL78:AL79)</f>
        <v>0</v>
      </c>
      <c r="AM80" s="56">
        <f>SUM(AM78:AM79)</f>
        <v>0</v>
      </c>
      <c r="AN80" s="58"/>
      <c r="AO80" s="58">
        <f>SUMPRODUCT(AJ78:AJ79,AO78:AO79,DZ78:DZ79)+SUMPRODUCT(AK78:AK79,AO78:AO79,DZ78:DZ79)</f>
        <v>0</v>
      </c>
      <c r="AP80" s="58">
        <f>SUMPRODUCT(AJ78:AJ79,AP78:AP79,DZ78:DZ79)</f>
        <v>0</v>
      </c>
      <c r="AQ80" s="58">
        <f>SUMPRODUCT(AJ78:AJ79,AQ78:AQ79,DZ78:DZ79)+SUMPRODUCT(AK78:AK79,AQ78:AQ79,DZ78:DZ79)</f>
        <v>0</v>
      </c>
      <c r="AR80" s="58">
        <f>SUMPRODUCT(AJ78:AJ79,AR78:AR79,DZ78:DZ79)+SUMPRODUCT(AK78:AK79,AR78:AR79,DZ78:DZ79)</f>
        <v>0</v>
      </c>
      <c r="AS80" s="69">
        <f>SUMPRODUCT(AJ78:AJ79,AS78:AS79,DZ78:DZ79)</f>
        <v>0</v>
      </c>
      <c r="AT80" s="76">
        <f>SUMPRODUCT(AJ78:AJ79,AT78:AT79,DZ78:DZ79)+SUMPRODUCT(AK78:AK79,AT78:AT79,DZ78:DZ79)</f>
        <v>0</v>
      </c>
      <c r="AU80" s="58">
        <f>SUMPRODUCT(AJ78:AJ79,AU78:AU79,DZ78:DZ79)</f>
        <v>0</v>
      </c>
      <c r="AV80" s="57">
        <f>IF(AT80=0,0,(AT80-AX80)/AT80)</f>
        <v>0</v>
      </c>
      <c r="AW80" s="57">
        <f>IF(AU80=0,0,(AU80-AY80)/AU80)</f>
        <v>0</v>
      </c>
      <c r="AX80" s="58">
        <f>SUMPRODUCT(AJ78:AJ79,AX78:AX79,DZ78:DZ79)+SUMPRODUCT(AK78:AK79,AX78:AX79,DZ78:DZ79)</f>
        <v>0</v>
      </c>
      <c r="AY80" s="69">
        <f>SUMPRODUCT(AJ78:AJ79,AY78:AY79,DZ78:DZ79)</f>
        <v>0</v>
      </c>
      <c r="AZ80" s="81">
        <f>SUMPRODUCT(AJ78:AJ79,AZ78:AZ79,DZ78:DZ79)+SUMPRODUCT(AK78:AK79,AZ78:AZ79,DZ78:DZ79)</f>
        <v>0</v>
      </c>
      <c r="BA80" s="58">
        <f>SUMPRODUCT(AJ78:AJ79,BA78:BA79,DZ78:DZ79)</f>
        <v>0</v>
      </c>
      <c r="BB80" s="57">
        <f>IF(AZ80=0,0,(AZ80-BD80)/AZ80)</f>
        <v>0</v>
      </c>
      <c r="BC80" s="57">
        <f>IF(BA80=0,0,(BA80-BE80)/BA80)</f>
        <v>0</v>
      </c>
      <c r="BD80" s="58">
        <f>SUMPRODUCT(AJ78:AJ79,BD78:BD79,DZ78:DZ79)+SUMPRODUCT(AK78:AK79,BD78:BD79,DZ78:DZ79)</f>
        <v>0</v>
      </c>
      <c r="BE80" s="69">
        <f>SUMPRODUCT(AJ78:AJ79,BE78:BE79,DZ78:DZ79)</f>
        <v>0</v>
      </c>
      <c r="BF80" s="76">
        <f>SUMPRODUCT(AJ78:AJ79,BF78:BF79,DZ78:DZ79)+SUMPRODUCT(AK78:AK79,BF78:BF79,DZ78:DZ79)</f>
        <v>0</v>
      </c>
      <c r="BG80" s="58">
        <f>SUMPRODUCT(AJ78:AJ79,BG78:BG79,DZ78:DZ79)</f>
        <v>0</v>
      </c>
      <c r="BH80" s="57">
        <f>IF(BF80=0,0,(BF80-BJ80)/BF80)</f>
        <v>0</v>
      </c>
      <c r="BI80" s="57">
        <f>IF(BG80=0,0,(BG80-BK80)/BG80)</f>
        <v>0</v>
      </c>
      <c r="BJ80" s="58">
        <f>SUMPRODUCT(AJ78:AJ79,BJ78:BJ79,DZ78:DZ79)+SUMPRODUCT(AK78:AK79,BJ78:BJ79,DZ78:DZ79)</f>
        <v>0</v>
      </c>
      <c r="BK80" s="104">
        <f>SUMPRODUCT(AJ78:AJ79,BK78:BK79,DZ78:DZ79)</f>
        <v>0</v>
      </c>
      <c r="BL80" s="97"/>
      <c r="BU80" s="167"/>
      <c r="BV80" s="167"/>
      <c r="BW80" s="167"/>
      <c r="BX80" s="167"/>
      <c r="BY80" s="167"/>
      <c r="BZ80" s="167"/>
      <c r="CA80" s="167"/>
      <c r="CB80" s="167"/>
      <c r="CC80" s="167"/>
      <c r="CD80" s="167"/>
      <c r="CE80" s="167"/>
      <c r="CF80" s="167"/>
      <c r="CG80" s="167"/>
      <c r="CH80" s="167"/>
      <c r="CI80" s="167"/>
      <c r="CJ80" s="167"/>
      <c r="CK80" s="167"/>
      <c r="CL80" s="167"/>
      <c r="CM80" s="167"/>
      <c r="DD80" s="167"/>
      <c r="DE80" s="167"/>
      <c r="DF80" s="167"/>
      <c r="DG80" s="167"/>
      <c r="DH80" s="167"/>
      <c r="DI80" s="167"/>
      <c r="DJ80" s="167"/>
      <c r="DK80" s="167"/>
      <c r="DL80" s="167"/>
      <c r="DM80" s="167"/>
      <c r="DN80" s="167"/>
      <c r="DO80" s="167"/>
      <c r="DP80" s="167"/>
      <c r="DQ80" s="167"/>
      <c r="EI80" s="941"/>
      <c r="FL80" s="690"/>
      <c r="FM80" s="690"/>
      <c r="FN80" s="690"/>
      <c r="FO80" s="690"/>
      <c r="FP80" s="690"/>
      <c r="FQ80" s="690"/>
      <c r="FR80" s="690"/>
      <c r="FS80" s="690"/>
      <c r="FT80" s="690"/>
      <c r="FU80" s="690"/>
      <c r="FV80" s="690"/>
      <c r="FW80" s="690"/>
      <c r="FX80" s="690"/>
      <c r="FY80" s="690"/>
      <c r="FZ80" s="690"/>
      <c r="HE80" s="1239"/>
      <c r="HF80" s="1239"/>
      <c r="HG80" s="1239"/>
      <c r="HH80" s="1239"/>
      <c r="HI80" s="1239"/>
      <c r="HJ80" s="1239"/>
      <c r="HK80" s="1239"/>
      <c r="HL80" s="1239"/>
      <c r="HM80" s="1239"/>
      <c r="HN80" s="1239"/>
      <c r="HO80" s="1239"/>
      <c r="HP80" s="1239"/>
      <c r="HQ80" s="1239"/>
      <c r="HR80" s="1239"/>
      <c r="HS80" s="1239"/>
      <c r="HT80" s="1239"/>
      <c r="HU80" s="1239"/>
      <c r="HV80" s="1239"/>
      <c r="HW80" s="1239"/>
      <c r="HX80" s="1239"/>
      <c r="HY80" s="1239"/>
      <c r="HZ80" s="1239"/>
      <c r="IA80" s="1239"/>
      <c r="IB80" s="1239"/>
      <c r="IC80" s="1239"/>
      <c r="ID80" s="1239"/>
      <c r="IE80" s="1239"/>
      <c r="IF80" s="1239"/>
    </row>
    <row r="81" spans="2:240" ht="10.5" customHeight="1">
      <c r="EI81" s="941"/>
      <c r="FL81" s="849"/>
      <c r="FM81" s="849"/>
      <c r="FN81" s="849"/>
      <c r="FO81" s="849"/>
      <c r="FP81" s="849"/>
      <c r="FQ81" s="849"/>
      <c r="FR81" s="849"/>
      <c r="FS81" s="849"/>
      <c r="FT81" s="849"/>
      <c r="FU81" s="849"/>
      <c r="FV81" s="849"/>
      <c r="FW81" s="690"/>
      <c r="FX81" s="690"/>
      <c r="FY81" s="690"/>
      <c r="FZ81" s="690"/>
      <c r="GG81" s="849"/>
      <c r="GH81" s="849"/>
      <c r="GI81" s="849"/>
      <c r="GJ81" s="849"/>
      <c r="GK81" s="849"/>
      <c r="GL81" s="849"/>
      <c r="GM81" s="849"/>
      <c r="GN81" s="849"/>
      <c r="GO81" s="849"/>
      <c r="GP81" s="849"/>
      <c r="GQ81" s="849"/>
      <c r="HE81" s="1239"/>
      <c r="HF81" s="1239"/>
      <c r="HG81" s="1239"/>
      <c r="HH81" s="1239"/>
      <c r="HI81" s="1239"/>
      <c r="HJ81" s="1239"/>
      <c r="HK81" s="1239"/>
      <c r="HL81" s="1239"/>
      <c r="HM81" s="1239"/>
      <c r="HN81" s="1239"/>
      <c r="HO81" s="1239"/>
      <c r="HP81" s="1239"/>
      <c r="HQ81" s="1239"/>
      <c r="HR81" s="1239"/>
      <c r="HS81" s="1239"/>
      <c r="HT81" s="1239"/>
      <c r="HU81" s="1239"/>
      <c r="HV81" s="1239"/>
      <c r="HW81" s="1239"/>
      <c r="HX81" s="1239"/>
      <c r="HY81" s="1239"/>
      <c r="HZ81" s="1239"/>
      <c r="IA81" s="1239"/>
      <c r="IB81" s="1239"/>
      <c r="IC81" s="1239"/>
      <c r="ID81" s="1239"/>
      <c r="IE81" s="1239"/>
      <c r="IF81" s="1239"/>
    </row>
    <row r="82" spans="2:240" ht="15">
      <c r="B82" s="97"/>
      <c r="C82" s="330" t="s">
        <v>254</v>
      </c>
      <c r="AX82" s="125"/>
      <c r="AY82" s="125"/>
      <c r="BD82" s="125"/>
      <c r="BE82" s="125"/>
      <c r="BJ82" s="125"/>
      <c r="BK82" s="125"/>
      <c r="BU82" s="167"/>
      <c r="BV82" s="167"/>
      <c r="BW82" s="167"/>
      <c r="BX82" s="167"/>
      <c r="BY82" s="167"/>
      <c r="BZ82" s="167"/>
      <c r="CA82" s="167"/>
      <c r="CB82" s="167"/>
      <c r="CC82" s="167"/>
      <c r="CD82" s="167"/>
      <c r="CE82" s="167"/>
      <c r="CF82" s="167"/>
      <c r="CG82" s="167"/>
      <c r="CH82" s="167"/>
      <c r="CI82" s="167"/>
      <c r="CJ82" s="167"/>
      <c r="CK82" s="167"/>
      <c r="CL82" s="167"/>
      <c r="CM82" s="167"/>
      <c r="DD82" s="167"/>
      <c r="DE82" s="167"/>
      <c r="DF82" s="167"/>
      <c r="DG82" s="167"/>
      <c r="DH82" s="167"/>
      <c r="DI82" s="167"/>
      <c r="DJ82" s="167"/>
      <c r="DK82" s="167"/>
      <c r="DL82" s="167"/>
      <c r="DM82" s="167"/>
      <c r="DN82" s="167"/>
      <c r="DO82" s="167"/>
      <c r="DP82" s="167"/>
      <c r="DQ82" s="167"/>
      <c r="EI82" s="941"/>
      <c r="FL82" s="690"/>
      <c r="FM82" s="690"/>
      <c r="FN82" s="690"/>
      <c r="FO82" s="690"/>
      <c r="FP82" s="690"/>
      <c r="FQ82" s="690"/>
      <c r="FR82" s="690"/>
      <c r="FS82" s="690"/>
      <c r="FT82" s="690"/>
      <c r="FU82" s="690"/>
      <c r="FV82" s="690"/>
      <c r="FW82" s="690"/>
      <c r="FX82" s="690"/>
      <c r="FY82" s="690"/>
      <c r="FZ82" s="690"/>
      <c r="HE82" s="1239"/>
      <c r="HF82" s="1239"/>
      <c r="HG82" s="1239"/>
      <c r="HH82" s="1239"/>
      <c r="HI82" s="1239"/>
      <c r="HJ82" s="1239"/>
      <c r="HK82" s="1239"/>
      <c r="HL82" s="1239"/>
      <c r="HM82" s="1239"/>
      <c r="HN82" s="1239"/>
      <c r="HO82" s="1239"/>
      <c r="HP82" s="1239"/>
      <c r="HQ82" s="1239"/>
      <c r="HR82" s="1239"/>
      <c r="HS82" s="1241"/>
      <c r="HT82" s="1239"/>
      <c r="HU82" s="1239"/>
      <c r="HV82" s="1239"/>
      <c r="HW82" s="1239"/>
      <c r="HX82" s="1239"/>
      <c r="HY82" s="1239"/>
      <c r="HZ82" s="1239"/>
      <c r="IA82" s="1239"/>
      <c r="IB82" s="1239"/>
      <c r="IC82" s="1239"/>
      <c r="ID82" s="1239"/>
      <c r="IE82" s="1239"/>
      <c r="IF82" s="1239"/>
    </row>
    <row r="83" spans="2:240" ht="10.5" customHeight="1">
      <c r="B83" s="97"/>
      <c r="AT83" s="331" t="str">
        <f ca="1">IF(AV83="","","Scenario 1")</f>
        <v>Scenario 1</v>
      </c>
      <c r="AU83" s="332"/>
      <c r="AV83" s="333" t="str">
        <f ca="1">IF(OFFSET('Step 1'!$G$21,$A$1,0)=0,"",OFFSET('Step 1'!$G$21,$A$1,0)&amp;" months term")</f>
        <v>1 months term</v>
      </c>
      <c r="AW83" s="332"/>
      <c r="AX83" s="88" t="str">
        <f ca="1">IF(AT83="","","Std Pricing: "&amp;OFFSET(DJ83,0,$AU$1))</f>
        <v>Std Pricing: MTM</v>
      </c>
      <c r="AY83" s="88"/>
      <c r="AZ83" s="334" t="str">
        <f ca="1">IF(BB83="","","Scenario 2")</f>
        <v>Scenario 2</v>
      </c>
      <c r="BA83" s="335"/>
      <c r="BB83" s="336" t="str">
        <f ca="1">IF(OFFSET('Step 1'!$G$21,$A$1,1)=0,"",OFFSET('Step 1'!$G$21,$A$1,1)&amp;" months term")</f>
        <v>2 months term</v>
      </c>
      <c r="BC83" s="337"/>
      <c r="BD83" s="85" t="str">
        <f ca="1">IF(AZ83="","","Std Pricing: "&amp;OFFSET(DJ83,0,$AV$1))</f>
        <v>Std Pricing: MTM</v>
      </c>
      <c r="BE83" s="85"/>
      <c r="BF83" s="331" t="str">
        <f ca="1">IF(BH83="","","Scenario 3")</f>
        <v>Scenario 3</v>
      </c>
      <c r="BG83" s="338"/>
      <c r="BH83" s="333" t="str">
        <f ca="1">IF(OFFSET('Step 1'!$G$21,$A$1,2)=0,"",OFFSET('Step 1'!$G$21,$A$1,2)&amp;" months term")</f>
        <v>3 months term</v>
      </c>
      <c r="BI83" s="332"/>
      <c r="BJ83" s="88" t="str">
        <f ca="1">IF(BF83="","","Std Pricing: "&amp;OFFSET(DJ83,0,$AW$1))</f>
        <v>Std Pricing: MTM</v>
      </c>
      <c r="BK83" s="99"/>
      <c r="BL83" s="97"/>
      <c r="BU83" s="167"/>
      <c r="BV83" s="167"/>
      <c r="BW83" s="167"/>
      <c r="BX83" s="167"/>
      <c r="BY83" s="167"/>
      <c r="BZ83" s="167"/>
      <c r="CA83" s="167"/>
      <c r="CB83" s="167"/>
      <c r="CC83" s="167"/>
      <c r="CD83" s="167"/>
      <c r="CE83" s="167"/>
      <c r="CF83" s="167"/>
      <c r="CG83" s="167"/>
      <c r="CH83" s="167"/>
      <c r="CI83" s="167"/>
      <c r="CJ83" s="167"/>
      <c r="CK83" s="167"/>
      <c r="CL83" s="167"/>
      <c r="CM83" s="167"/>
      <c r="DD83" s="167"/>
      <c r="DE83" s="167"/>
      <c r="DF83" s="167"/>
      <c r="DG83" s="167"/>
      <c r="DH83" s="167"/>
      <c r="DI83" s="167"/>
      <c r="DJ83" s="167"/>
      <c r="DK83" s="167"/>
      <c r="DL83" s="339" t="s">
        <v>8</v>
      </c>
      <c r="DM83" s="339"/>
      <c r="DN83" s="339" t="s">
        <v>9</v>
      </c>
      <c r="DO83" s="339"/>
      <c r="DP83" s="339" t="s">
        <v>10</v>
      </c>
      <c r="DQ83" s="339"/>
      <c r="DR83" s="339" t="s">
        <v>11</v>
      </c>
      <c r="DS83" s="339"/>
      <c r="DT83" s="339" t="s">
        <v>12</v>
      </c>
      <c r="DU83" s="339"/>
      <c r="DV83" s="339" t="s">
        <v>13</v>
      </c>
      <c r="DW83" s="339"/>
      <c r="DX83" s="339" t="s">
        <v>261</v>
      </c>
      <c r="DY83" s="340"/>
      <c r="DZ83" s="341"/>
      <c r="EA83" s="339" t="s">
        <v>211</v>
      </c>
      <c r="EB83" s="339"/>
      <c r="EC83" s="339" t="s">
        <v>214</v>
      </c>
      <c r="ED83" s="340"/>
      <c r="EE83" s="339" t="s">
        <v>10228</v>
      </c>
      <c r="EF83" s="340"/>
      <c r="EG83" s="340"/>
      <c r="EH83" s="340"/>
      <c r="EI83" s="340"/>
      <c r="EJ83" s="342"/>
      <c r="EK83" s="342"/>
      <c r="EL83" s="342"/>
      <c r="EM83" s="342"/>
      <c r="EN83" s="342"/>
      <c r="EO83" s="342"/>
      <c r="ES83" s="339" t="s">
        <v>8</v>
      </c>
      <c r="ET83" s="339"/>
      <c r="EU83" s="339" t="s">
        <v>9</v>
      </c>
      <c r="EV83" s="339"/>
      <c r="EW83" s="339" t="s">
        <v>10</v>
      </c>
      <c r="EX83" s="339"/>
      <c r="EY83" s="339" t="s">
        <v>11</v>
      </c>
      <c r="EZ83" s="339"/>
      <c r="FA83" s="339" t="s">
        <v>12</v>
      </c>
      <c r="FB83" s="339"/>
      <c r="FC83" s="339" t="s">
        <v>13</v>
      </c>
      <c r="FD83" s="339"/>
      <c r="FH83" s="339" t="s">
        <v>211</v>
      </c>
      <c r="FI83" s="339"/>
      <c r="FL83" s="690"/>
      <c r="FM83" s="690"/>
      <c r="FN83" s="690"/>
      <c r="FO83" s="690"/>
      <c r="FP83" s="690"/>
      <c r="FQ83" s="339" t="s">
        <v>8</v>
      </c>
      <c r="FR83" s="339"/>
      <c r="FS83" s="339" t="s">
        <v>9</v>
      </c>
      <c r="FT83" s="339"/>
      <c r="FU83" s="339" t="s">
        <v>10</v>
      </c>
      <c r="FV83" s="339"/>
      <c r="FW83" s="339" t="s">
        <v>11</v>
      </c>
      <c r="FX83" s="339"/>
      <c r="FY83" s="339" t="s">
        <v>12</v>
      </c>
      <c r="FZ83" s="339"/>
      <c r="GA83" s="339" t="s">
        <v>211</v>
      </c>
      <c r="GB83" s="339"/>
      <c r="GC83" s="339" t="s">
        <v>13</v>
      </c>
      <c r="GD83" s="339"/>
      <c r="GL83" s="339" t="s">
        <v>8</v>
      </c>
      <c r="GM83" s="339"/>
      <c r="GN83" s="339" t="s">
        <v>9</v>
      </c>
      <c r="GO83" s="339"/>
      <c r="GP83" s="339" t="s">
        <v>10</v>
      </c>
      <c r="GQ83" s="339"/>
      <c r="GR83" s="339" t="s">
        <v>11</v>
      </c>
      <c r="GS83" s="339"/>
      <c r="GT83" s="339" t="s">
        <v>12</v>
      </c>
      <c r="GU83" s="339"/>
      <c r="GV83" s="339" t="s">
        <v>211</v>
      </c>
      <c r="GW83" s="339"/>
      <c r="GX83" s="339" t="s">
        <v>13</v>
      </c>
      <c r="GY83" s="339"/>
      <c r="HE83" s="1239"/>
      <c r="HF83" s="1239"/>
      <c r="HG83" s="1239"/>
      <c r="HH83" s="1239"/>
      <c r="HI83" s="1239"/>
      <c r="HJ83" s="1239"/>
      <c r="HK83" s="1239"/>
      <c r="HL83" s="1239"/>
      <c r="HM83" s="1239"/>
      <c r="HN83" s="1239"/>
      <c r="HO83" s="1239"/>
      <c r="HP83" s="1239"/>
      <c r="HQ83" s="1239"/>
      <c r="HR83" s="1239"/>
      <c r="HS83" s="1239"/>
      <c r="HT83" s="1239"/>
      <c r="HU83" s="1239"/>
      <c r="HV83" s="1239"/>
      <c r="HW83" s="1239"/>
      <c r="HX83" s="1239"/>
      <c r="HY83" s="1239"/>
      <c r="HZ83" s="1239"/>
      <c r="IA83" s="1239"/>
      <c r="IB83" s="1239"/>
      <c r="IC83" s="1239"/>
      <c r="ID83" s="1239"/>
      <c r="IE83" s="1239"/>
      <c r="IF83" s="1239"/>
    </row>
    <row r="84" spans="2:240" ht="45" customHeight="1">
      <c r="B84" s="97"/>
      <c r="C84" s="49" t="s">
        <v>375</v>
      </c>
      <c r="D84" s="49" t="s">
        <v>375</v>
      </c>
      <c r="E84" s="49" t="s">
        <v>375</v>
      </c>
      <c r="F84" s="49" t="s">
        <v>375</v>
      </c>
      <c r="G84" s="49" t="s">
        <v>375</v>
      </c>
      <c r="H84" s="49" t="s">
        <v>375</v>
      </c>
      <c r="I84" s="49" t="s">
        <v>375</v>
      </c>
      <c r="J84" s="49" t="s">
        <v>375</v>
      </c>
      <c r="K84" s="49" t="s">
        <v>375</v>
      </c>
      <c r="L84" s="49" t="s">
        <v>375</v>
      </c>
      <c r="M84" s="49" t="s">
        <v>375</v>
      </c>
      <c r="N84" s="49" t="s">
        <v>375</v>
      </c>
      <c r="O84" s="49" t="s">
        <v>375</v>
      </c>
      <c r="P84" s="49" t="s">
        <v>375</v>
      </c>
      <c r="Q84" s="49" t="s">
        <v>375</v>
      </c>
      <c r="R84" s="49" t="s">
        <v>375</v>
      </c>
      <c r="S84" s="49" t="s">
        <v>375</v>
      </c>
      <c r="T84" s="49" t="s">
        <v>375</v>
      </c>
      <c r="U84" s="49" t="s">
        <v>375</v>
      </c>
      <c r="V84" s="49" t="s">
        <v>375</v>
      </c>
      <c r="W84" s="49" t="s">
        <v>375</v>
      </c>
      <c r="X84" s="49" t="s">
        <v>375</v>
      </c>
      <c r="Y84" s="49" t="s">
        <v>375</v>
      </c>
      <c r="Z84" s="49" t="s">
        <v>375</v>
      </c>
      <c r="AA84" s="49" t="s">
        <v>375</v>
      </c>
      <c r="AB84" s="49" t="s">
        <v>375</v>
      </c>
      <c r="AC84" s="49" t="s">
        <v>375</v>
      </c>
      <c r="AD84" s="49" t="s">
        <v>375</v>
      </c>
      <c r="AE84" s="49" t="s">
        <v>375</v>
      </c>
      <c r="AF84" s="49" t="s">
        <v>375</v>
      </c>
      <c r="AG84" s="49" t="s">
        <v>375</v>
      </c>
      <c r="AH84" s="49" t="s">
        <v>375</v>
      </c>
      <c r="AI84" s="49" t="s">
        <v>375</v>
      </c>
      <c r="AJ84" s="49" t="s">
        <v>249</v>
      </c>
      <c r="AK84" s="49" t="s">
        <v>250</v>
      </c>
      <c r="AL84" s="49" t="s">
        <v>251</v>
      </c>
      <c r="AM84" s="49" t="s">
        <v>252</v>
      </c>
      <c r="AN84" s="49" t="s">
        <v>197</v>
      </c>
      <c r="AO84" s="49" t="s">
        <v>516</v>
      </c>
      <c r="AP84" s="49" t="s">
        <v>517</v>
      </c>
      <c r="AQ84" s="49" t="s">
        <v>518</v>
      </c>
      <c r="AR84" s="49" t="s">
        <v>388</v>
      </c>
      <c r="AS84" s="70" t="s">
        <v>389</v>
      </c>
      <c r="AT84" s="72" t="s">
        <v>519</v>
      </c>
      <c r="AU84" s="51" t="s">
        <v>520</v>
      </c>
      <c r="AV84" s="51" t="s">
        <v>521</v>
      </c>
      <c r="AW84" s="51" t="s">
        <v>509</v>
      </c>
      <c r="AX84" s="51" t="s">
        <v>510</v>
      </c>
      <c r="AY84" s="66" t="s">
        <v>511</v>
      </c>
      <c r="AZ84" s="77" t="s">
        <v>360</v>
      </c>
      <c r="BA84" s="51" t="s">
        <v>361</v>
      </c>
      <c r="BB84" s="51" t="s">
        <v>362</v>
      </c>
      <c r="BC84" s="51" t="s">
        <v>363</v>
      </c>
      <c r="BD84" s="51" t="s">
        <v>243</v>
      </c>
      <c r="BE84" s="66" t="s">
        <v>244</v>
      </c>
      <c r="BF84" s="72" t="s">
        <v>512</v>
      </c>
      <c r="BG84" s="51" t="s">
        <v>513</v>
      </c>
      <c r="BH84" s="51" t="s">
        <v>514</v>
      </c>
      <c r="BI84" s="51" t="s">
        <v>515</v>
      </c>
      <c r="BJ84" s="51" t="s">
        <v>358</v>
      </c>
      <c r="BK84" s="100" t="s">
        <v>359</v>
      </c>
      <c r="BL84" s="97"/>
      <c r="BU84" s="167"/>
      <c r="BV84" s="167"/>
      <c r="BW84" s="167"/>
      <c r="BX84" s="167"/>
      <c r="BY84" s="167"/>
      <c r="BZ84" s="167"/>
      <c r="CA84" s="167"/>
      <c r="CB84" s="167"/>
      <c r="CC84" s="167"/>
      <c r="CD84" s="167"/>
      <c r="CE84" s="167"/>
      <c r="CF84" s="167"/>
      <c r="CG84" s="167"/>
      <c r="CH84" s="167"/>
      <c r="CI84" s="167"/>
      <c r="CJ84" s="167"/>
      <c r="CK84" s="167"/>
      <c r="CL84" s="167"/>
      <c r="CM84" s="167"/>
      <c r="DD84" s="167"/>
      <c r="DE84" s="167"/>
      <c r="DF84" s="167"/>
      <c r="DG84" s="167"/>
      <c r="DH84" s="167"/>
      <c r="DI84" s="167"/>
      <c r="DJ84" s="167"/>
      <c r="DK84" s="167"/>
      <c r="DL84" s="167"/>
      <c r="DM84" s="167"/>
      <c r="DN84" s="167"/>
      <c r="DO84" s="167"/>
      <c r="DP84" s="167"/>
      <c r="DQ84" s="167"/>
      <c r="DY84" s="97"/>
      <c r="DZ84" s="97"/>
      <c r="ED84" s="97"/>
      <c r="EF84" s="1081"/>
      <c r="EG84" s="1081"/>
      <c r="EH84" s="1081"/>
      <c r="EI84" s="1081"/>
      <c r="EJ84" s="97"/>
      <c r="EK84" s="97"/>
      <c r="EL84" s="97"/>
      <c r="EM84" s="97"/>
      <c r="EN84" s="97"/>
      <c r="EO84" s="97"/>
      <c r="FL84" s="690"/>
      <c r="FM84" s="690"/>
      <c r="FN84" s="690"/>
      <c r="FO84" s="690"/>
      <c r="FP84" s="690"/>
      <c r="FQ84" s="690"/>
      <c r="FR84" s="690"/>
      <c r="FS84" s="690"/>
      <c r="FT84" s="690"/>
      <c r="FU84" s="690"/>
      <c r="FV84" s="690"/>
      <c r="FW84" s="690"/>
      <c r="FX84" s="690"/>
      <c r="FY84" s="690"/>
      <c r="FZ84" s="690"/>
      <c r="HE84" s="1240" t="s">
        <v>10254</v>
      </c>
      <c r="HF84" s="1239"/>
      <c r="HG84" s="1239"/>
      <c r="HH84" s="1239"/>
      <c r="HI84" s="1239"/>
      <c r="HJ84" s="1239"/>
      <c r="HK84" s="1239"/>
      <c r="HL84" s="1239"/>
      <c r="HM84" s="1239"/>
      <c r="HN84" s="1239"/>
      <c r="HO84" s="1239"/>
      <c r="HP84" s="1239"/>
      <c r="HQ84" s="1239"/>
      <c r="HR84" s="1239"/>
      <c r="HS84" s="1240" t="s">
        <v>10253</v>
      </c>
      <c r="HT84" s="1239"/>
      <c r="HU84" s="1239"/>
      <c r="HV84" s="1239"/>
      <c r="HW84" s="1239"/>
      <c r="HX84" s="1239"/>
      <c r="HY84" s="1239"/>
      <c r="HZ84" s="1239"/>
      <c r="IA84" s="1239"/>
      <c r="IB84" s="1239"/>
      <c r="IC84" s="1239"/>
      <c r="ID84" s="1239"/>
      <c r="IE84" s="1239"/>
      <c r="IF84" s="1239"/>
    </row>
    <row r="85" spans="2:240" ht="10.5" customHeight="1">
      <c r="B85" s="97"/>
      <c r="C85" s="343"/>
      <c r="D85" s="343"/>
      <c r="E85" s="343"/>
      <c r="F85" s="343"/>
      <c r="G85" s="343"/>
      <c r="H85" s="343"/>
      <c r="I85" s="343"/>
      <c r="J85" s="343"/>
      <c r="K85" s="343"/>
      <c r="L85" s="343"/>
      <c r="M85" s="343"/>
      <c r="N85" s="343"/>
      <c r="O85" s="343"/>
      <c r="P85" s="343"/>
      <c r="Q85" s="343"/>
      <c r="R85" s="343"/>
      <c r="S85" s="343"/>
      <c r="T85" s="343"/>
      <c r="U85" s="343"/>
      <c r="V85" s="343"/>
      <c r="W85" s="343"/>
      <c r="X85" s="343"/>
      <c r="Y85" s="343"/>
      <c r="Z85" s="343"/>
      <c r="AA85" s="343"/>
      <c r="AB85" s="343"/>
      <c r="AC85" s="343"/>
      <c r="AD85" s="343"/>
      <c r="AE85" s="343"/>
      <c r="AF85" s="343"/>
      <c r="AG85" s="343"/>
      <c r="AH85" s="343"/>
      <c r="AI85" s="343"/>
      <c r="AJ85" s="343"/>
      <c r="AK85" s="343"/>
      <c r="AL85" s="343"/>
      <c r="AM85" s="343"/>
      <c r="AN85" s="343"/>
      <c r="AO85" s="343"/>
      <c r="AP85" s="343"/>
      <c r="AQ85" s="343"/>
      <c r="AR85" s="343"/>
      <c r="AS85" s="344"/>
      <c r="AT85" s="345"/>
      <c r="AU85" s="343"/>
      <c r="AV85" s="53"/>
      <c r="AW85" s="53"/>
      <c r="AX85" s="54"/>
      <c r="AY85" s="54"/>
      <c r="AZ85" s="346"/>
      <c r="BA85" s="343"/>
      <c r="BB85" s="53"/>
      <c r="BC85" s="53"/>
      <c r="BD85" s="54"/>
      <c r="BE85" s="54"/>
      <c r="BF85" s="345"/>
      <c r="BG85" s="343"/>
      <c r="BH85" s="53"/>
      <c r="BI85" s="53"/>
      <c r="BJ85" s="54"/>
      <c r="BK85" s="101"/>
      <c r="BL85" s="97"/>
      <c r="BU85" s="167"/>
      <c r="BV85" s="167"/>
      <c r="BW85" s="167"/>
      <c r="BX85" s="167"/>
      <c r="BY85" s="167"/>
      <c r="BZ85" s="167"/>
      <c r="CA85" s="167"/>
      <c r="CB85" s="167"/>
      <c r="CC85" s="167"/>
      <c r="CD85" s="167"/>
      <c r="CE85" s="167"/>
      <c r="CF85" s="167"/>
      <c r="CG85" s="167"/>
      <c r="CH85" s="167"/>
      <c r="CI85" s="167"/>
      <c r="CJ85" s="167"/>
      <c r="CK85" s="167"/>
      <c r="CL85" s="167"/>
      <c r="CM85" s="167"/>
      <c r="DD85" s="167"/>
      <c r="DE85" s="167"/>
      <c r="DF85" s="167"/>
      <c r="DG85" s="167"/>
      <c r="DH85" s="339" t="s">
        <v>631</v>
      </c>
      <c r="DI85" s="339" t="s">
        <v>632</v>
      </c>
      <c r="DJ85" s="339" t="s">
        <v>379</v>
      </c>
      <c r="DK85" s="339" t="s">
        <v>575</v>
      </c>
      <c r="DL85" s="339" t="s">
        <v>380</v>
      </c>
      <c r="DM85" s="339" t="s">
        <v>381</v>
      </c>
      <c r="DN85" s="339" t="s">
        <v>382</v>
      </c>
      <c r="DO85" s="339" t="s">
        <v>383</v>
      </c>
      <c r="DP85" s="339" t="s">
        <v>384</v>
      </c>
      <c r="DQ85" s="339" t="s">
        <v>385</v>
      </c>
      <c r="DR85" s="339" t="s">
        <v>386</v>
      </c>
      <c r="DS85" s="339" t="s">
        <v>387</v>
      </c>
      <c r="DT85" s="339" t="s">
        <v>390</v>
      </c>
      <c r="DU85" s="339" t="s">
        <v>391</v>
      </c>
      <c r="DV85" s="339" t="s">
        <v>392</v>
      </c>
      <c r="DW85" s="339" t="s">
        <v>393</v>
      </c>
      <c r="DX85" s="339" t="s">
        <v>197</v>
      </c>
      <c r="DY85" s="339" t="s">
        <v>262</v>
      </c>
      <c r="DZ85" s="339" t="s">
        <v>263</v>
      </c>
      <c r="EA85" s="339" t="s">
        <v>212</v>
      </c>
      <c r="EB85" s="339" t="s">
        <v>213</v>
      </c>
      <c r="EC85" s="339" t="s">
        <v>215</v>
      </c>
      <c r="ED85" s="339" t="s">
        <v>14</v>
      </c>
      <c r="EE85" s="339" t="s">
        <v>8005</v>
      </c>
      <c r="EF85" s="339" t="s">
        <v>10229</v>
      </c>
      <c r="EG85" s="339"/>
      <c r="EH85" s="339"/>
      <c r="EI85" s="339"/>
      <c r="EJ85" s="342"/>
      <c r="EK85" s="342"/>
      <c r="EL85" s="342"/>
      <c r="EM85" s="342"/>
      <c r="EN85" s="342"/>
      <c r="EO85" s="342"/>
      <c r="EQ85" s="339" t="s">
        <v>379</v>
      </c>
      <c r="ER85" s="339" t="s">
        <v>575</v>
      </c>
      <c r="ES85" s="339" t="s">
        <v>380</v>
      </c>
      <c r="ET85" s="339" t="s">
        <v>381</v>
      </c>
      <c r="EU85" s="339" t="s">
        <v>382</v>
      </c>
      <c r="EV85" s="339" t="s">
        <v>383</v>
      </c>
      <c r="EW85" s="339" t="s">
        <v>384</v>
      </c>
      <c r="EX85" s="339" t="s">
        <v>385</v>
      </c>
      <c r="EY85" s="339" t="s">
        <v>386</v>
      </c>
      <c r="EZ85" s="339" t="s">
        <v>387</v>
      </c>
      <c r="FA85" s="339" t="s">
        <v>390</v>
      </c>
      <c r="FB85" s="339" t="s">
        <v>391</v>
      </c>
      <c r="FC85" s="339" t="s">
        <v>392</v>
      </c>
      <c r="FD85" s="339" t="s">
        <v>393</v>
      </c>
      <c r="FH85" s="339" t="s">
        <v>212</v>
      </c>
      <c r="FI85" s="339" t="s">
        <v>213</v>
      </c>
      <c r="FL85" s="339" t="s">
        <v>9596</v>
      </c>
      <c r="FM85" s="339" t="s">
        <v>9597</v>
      </c>
      <c r="FN85" s="339" t="s">
        <v>9598</v>
      </c>
      <c r="FO85" s="339" t="s">
        <v>9599</v>
      </c>
      <c r="FP85" s="339" t="s">
        <v>9600</v>
      </c>
      <c r="FQ85" s="339" t="s">
        <v>380</v>
      </c>
      <c r="FR85" s="339" t="s">
        <v>381</v>
      </c>
      <c r="FS85" s="339" t="s">
        <v>382</v>
      </c>
      <c r="FT85" s="339" t="s">
        <v>383</v>
      </c>
      <c r="FU85" s="339" t="s">
        <v>384</v>
      </c>
      <c r="FV85" s="339" t="s">
        <v>385</v>
      </c>
      <c r="FW85" s="339" t="s">
        <v>386</v>
      </c>
      <c r="FX85" s="339" t="s">
        <v>387</v>
      </c>
      <c r="FY85" s="339" t="s">
        <v>390</v>
      </c>
      <c r="FZ85" s="339" t="s">
        <v>391</v>
      </c>
      <c r="GA85" s="339" t="s">
        <v>212</v>
      </c>
      <c r="GB85" s="339" t="s">
        <v>213</v>
      </c>
      <c r="GC85" s="339" t="s">
        <v>392</v>
      </c>
      <c r="GD85" s="339" t="s">
        <v>393</v>
      </c>
      <c r="GG85" s="339" t="s">
        <v>9596</v>
      </c>
      <c r="GH85" s="339" t="s">
        <v>9597</v>
      </c>
      <c r="GI85" s="339" t="s">
        <v>9598</v>
      </c>
      <c r="GJ85" s="339" t="s">
        <v>9599</v>
      </c>
      <c r="GK85" s="339" t="s">
        <v>9600</v>
      </c>
      <c r="GL85" s="339" t="s">
        <v>380</v>
      </c>
      <c r="GM85" s="339" t="s">
        <v>381</v>
      </c>
      <c r="GN85" s="339" t="s">
        <v>382</v>
      </c>
      <c r="GO85" s="339" t="s">
        <v>383</v>
      </c>
      <c r="GP85" s="339" t="s">
        <v>384</v>
      </c>
      <c r="GQ85" s="339" t="s">
        <v>385</v>
      </c>
      <c r="GR85" s="339" t="s">
        <v>386</v>
      </c>
      <c r="GS85" s="339" t="s">
        <v>387</v>
      </c>
      <c r="GT85" s="339" t="s">
        <v>390</v>
      </c>
      <c r="GU85" s="339" t="s">
        <v>391</v>
      </c>
      <c r="GV85" s="339" t="s">
        <v>212</v>
      </c>
      <c r="GW85" s="339" t="s">
        <v>213</v>
      </c>
      <c r="GX85" s="339" t="s">
        <v>392</v>
      </c>
      <c r="GY85" s="339" t="s">
        <v>393</v>
      </c>
      <c r="HE85" s="339" t="s">
        <v>380</v>
      </c>
      <c r="HF85" s="339" t="s">
        <v>381</v>
      </c>
      <c r="HG85" s="339" t="s">
        <v>382</v>
      </c>
      <c r="HH85" s="339" t="s">
        <v>383</v>
      </c>
      <c r="HI85" s="339" t="s">
        <v>384</v>
      </c>
      <c r="HJ85" s="339" t="s">
        <v>385</v>
      </c>
      <c r="HK85" s="339" t="s">
        <v>386</v>
      </c>
      <c r="HL85" s="339" t="s">
        <v>387</v>
      </c>
      <c r="HM85" s="339" t="s">
        <v>390</v>
      </c>
      <c r="HN85" s="339" t="s">
        <v>391</v>
      </c>
      <c r="HO85" s="339" t="s">
        <v>212</v>
      </c>
      <c r="HP85" s="339" t="s">
        <v>213</v>
      </c>
      <c r="HQ85" s="339" t="s">
        <v>392</v>
      </c>
      <c r="HR85" s="339" t="s">
        <v>393</v>
      </c>
      <c r="HS85" s="339" t="s">
        <v>380</v>
      </c>
      <c r="HT85" s="339" t="s">
        <v>381</v>
      </c>
      <c r="HU85" s="339" t="s">
        <v>382</v>
      </c>
      <c r="HV85" s="339" t="s">
        <v>383</v>
      </c>
      <c r="HW85" s="339" t="s">
        <v>384</v>
      </c>
      <c r="HX85" s="339" t="s">
        <v>385</v>
      </c>
      <c r="HY85" s="339" t="s">
        <v>386</v>
      </c>
      <c r="HZ85" s="339" t="s">
        <v>387</v>
      </c>
      <c r="IA85" s="339" t="s">
        <v>390</v>
      </c>
      <c r="IB85" s="339" t="s">
        <v>391</v>
      </c>
      <c r="IC85" s="339" t="s">
        <v>212</v>
      </c>
      <c r="ID85" s="339" t="s">
        <v>213</v>
      </c>
      <c r="IE85" s="339" t="s">
        <v>392</v>
      </c>
      <c r="IF85" s="339" t="s">
        <v>393</v>
      </c>
    </row>
    <row r="86" spans="2:240" s="1082" customFormat="1" ht="12.75">
      <c r="C86" s="120"/>
      <c r="D86" s="120"/>
      <c r="E86" s="120"/>
      <c r="F86" s="120"/>
      <c r="G86" s="120"/>
      <c r="H86" s="120"/>
      <c r="I86" s="120"/>
      <c r="J86" s="120"/>
      <c r="K86" s="120"/>
      <c r="L86" s="120"/>
      <c r="M86" s="120"/>
      <c r="N86" s="120"/>
      <c r="O86" s="120"/>
      <c r="P86" s="120"/>
      <c r="Q86" s="120"/>
      <c r="R86" s="120"/>
      <c r="S86" s="120"/>
      <c r="T86" s="120"/>
      <c r="U86" s="120"/>
      <c r="V86" s="120"/>
      <c r="W86" s="120"/>
      <c r="X86" s="120"/>
      <c r="Y86" s="120"/>
      <c r="Z86" s="120"/>
      <c r="AA86" s="120"/>
      <c r="AB86" s="120"/>
      <c r="AC86" s="120"/>
      <c r="AD86" s="120"/>
      <c r="AE86" s="120"/>
      <c r="AF86" s="120"/>
      <c r="AG86" s="120"/>
      <c r="AH86" s="120"/>
      <c r="AI86" s="120"/>
      <c r="AJ86" s="59"/>
      <c r="AK86" s="59"/>
      <c r="AL86" s="59"/>
      <c r="AM86" s="59"/>
      <c r="AN86" s="59"/>
      <c r="AO86" s="59"/>
      <c r="AP86" s="59"/>
      <c r="AQ86" s="59"/>
      <c r="AR86" s="59"/>
      <c r="AS86" s="67"/>
      <c r="AT86" s="74"/>
      <c r="AU86" s="63"/>
      <c r="AV86" s="59"/>
      <c r="AW86" s="59"/>
      <c r="AX86" s="59"/>
      <c r="AY86" s="67"/>
      <c r="AZ86" s="79"/>
      <c r="BA86" s="63"/>
      <c r="BB86" s="59"/>
      <c r="BC86" s="59"/>
      <c r="BD86" s="59"/>
      <c r="BE86" s="67"/>
      <c r="BF86" s="74"/>
      <c r="BG86" s="63"/>
      <c r="BH86" s="59"/>
      <c r="BI86" s="59"/>
      <c r="BJ86" s="59"/>
      <c r="BK86" s="102"/>
      <c r="BV86" s="1065"/>
      <c r="BW86" s="1065"/>
      <c r="BX86" s="1065"/>
      <c r="BY86" s="1065"/>
      <c r="BZ86" s="1065"/>
      <c r="CA86" s="1065"/>
      <c r="DH86" s="347"/>
      <c r="DI86" s="347"/>
      <c r="DJ86" s="347"/>
      <c r="DK86" s="347"/>
      <c r="DL86" s="96"/>
      <c r="DM86" s="96"/>
      <c r="DN86" s="96"/>
      <c r="DO86" s="96"/>
      <c r="DP86" s="96"/>
      <c r="DQ86" s="96"/>
      <c r="DR86" s="96"/>
      <c r="DS86" s="96"/>
      <c r="DT86" s="96"/>
      <c r="DU86" s="96"/>
      <c r="DV86" s="96"/>
      <c r="DW86" s="96"/>
      <c r="DX86" s="113"/>
      <c r="DY86" s="113"/>
      <c r="DZ86" s="113"/>
      <c r="EA86" s="96"/>
      <c r="EB86" s="96"/>
      <c r="EC86" s="113"/>
      <c r="ED86" s="113"/>
      <c r="EE86" s="113"/>
      <c r="EF86" s="113"/>
      <c r="EG86" s="113"/>
      <c r="EH86" s="113"/>
      <c r="EI86" s="113"/>
      <c r="EJ86" s="119"/>
      <c r="EK86" s="119"/>
      <c r="EL86" s="119"/>
      <c r="EM86" s="119"/>
      <c r="EN86" s="119"/>
      <c r="EO86" s="119"/>
      <c r="EQ86" s="347"/>
      <c r="ER86" s="347"/>
      <c r="ES86" s="96"/>
      <c r="ET86" s="96"/>
      <c r="EU86" s="96"/>
      <c r="EV86" s="96"/>
      <c r="EW86" s="96"/>
      <c r="EX86" s="96"/>
      <c r="EY86" s="96"/>
      <c r="EZ86" s="96"/>
      <c r="FA86" s="96"/>
      <c r="FB86" s="96"/>
      <c r="FC86" s="96"/>
      <c r="FD86" s="96"/>
      <c r="FH86" s="96"/>
      <c r="FI86" s="96"/>
      <c r="FL86" s="347"/>
      <c r="FM86" s="347"/>
      <c r="FN86" s="347"/>
      <c r="FO86" s="347"/>
      <c r="FP86" s="347"/>
      <c r="FQ86" s="96"/>
      <c r="FR86" s="96"/>
      <c r="FS86" s="96"/>
      <c r="FT86" s="96"/>
      <c r="FU86" s="96"/>
      <c r="FV86" s="96"/>
      <c r="FW86" s="96"/>
      <c r="FX86" s="96"/>
      <c r="FY86" s="96"/>
      <c r="FZ86" s="96"/>
      <c r="GA86" s="96"/>
      <c r="GB86" s="96"/>
      <c r="GC86" s="96"/>
      <c r="GD86" s="96"/>
      <c r="GE86" s="1065"/>
      <c r="GF86" s="1065"/>
      <c r="GG86" s="347"/>
      <c r="GH86" s="347"/>
      <c r="GI86" s="347"/>
      <c r="GJ86" s="347"/>
      <c r="GK86" s="347"/>
      <c r="GL86" s="96"/>
      <c r="GM86" s="96"/>
      <c r="GN86" s="96"/>
      <c r="GO86" s="96"/>
      <c r="GP86" s="96"/>
      <c r="GQ86" s="96"/>
      <c r="GR86" s="96"/>
      <c r="GS86" s="96"/>
      <c r="GT86" s="96"/>
      <c r="GU86" s="96"/>
      <c r="GV86" s="96"/>
      <c r="GW86" s="96"/>
      <c r="GX86" s="96"/>
      <c r="GY86" s="96"/>
      <c r="HE86" s="113"/>
      <c r="HF86" s="113"/>
      <c r="HG86" s="113"/>
      <c r="HH86" s="113"/>
      <c r="HI86" s="113"/>
      <c r="HJ86" s="113"/>
      <c r="HK86" s="113"/>
      <c r="HL86" s="113"/>
      <c r="HM86" s="113"/>
      <c r="HN86" s="113"/>
      <c r="HO86" s="113"/>
      <c r="HP86" s="113"/>
      <c r="HQ86" s="113"/>
      <c r="HR86" s="113"/>
      <c r="HS86" s="113"/>
      <c r="HT86" s="113"/>
      <c r="HU86" s="113"/>
      <c r="HV86" s="113"/>
      <c r="HW86" s="113"/>
      <c r="HX86" s="113"/>
      <c r="HY86" s="113"/>
      <c r="HZ86" s="113"/>
      <c r="IA86" s="113"/>
      <c r="IB86" s="113"/>
      <c r="IC86" s="113"/>
      <c r="ID86" s="113"/>
      <c r="IE86" s="113"/>
      <c r="IF86" s="113"/>
    </row>
    <row r="87" spans="2:240" s="1082" customFormat="1" ht="12.75">
      <c r="C87" s="120"/>
      <c r="D87" s="120"/>
      <c r="E87" s="120"/>
      <c r="F87" s="120"/>
      <c r="G87" s="120"/>
      <c r="H87" s="120"/>
      <c r="I87" s="120"/>
      <c r="J87" s="120"/>
      <c r="K87" s="120"/>
      <c r="L87" s="120"/>
      <c r="M87" s="120"/>
      <c r="N87" s="120"/>
      <c r="O87" s="120"/>
      <c r="P87" s="120"/>
      <c r="Q87" s="120"/>
      <c r="R87" s="120"/>
      <c r="S87" s="120"/>
      <c r="T87" s="120"/>
      <c r="U87" s="120"/>
      <c r="V87" s="120"/>
      <c r="W87" s="120"/>
      <c r="X87" s="120"/>
      <c r="Y87" s="120"/>
      <c r="Z87" s="120"/>
      <c r="AA87" s="120"/>
      <c r="AB87" s="120"/>
      <c r="AC87" s="120"/>
      <c r="AD87" s="120"/>
      <c r="AE87" s="120"/>
      <c r="AF87" s="120"/>
      <c r="AG87" s="120"/>
      <c r="AH87" s="120"/>
      <c r="AI87" s="120"/>
      <c r="AJ87" s="60"/>
      <c r="AK87" s="60"/>
      <c r="AL87" s="60"/>
      <c r="AM87" s="60"/>
      <c r="AN87" s="59"/>
      <c r="AO87" s="60"/>
      <c r="AP87" s="60"/>
      <c r="AQ87" s="60"/>
      <c r="AR87" s="60"/>
      <c r="AS87" s="68"/>
      <c r="AT87" s="75"/>
      <c r="AU87" s="64"/>
      <c r="AV87" s="60"/>
      <c r="AW87" s="60"/>
      <c r="AX87" s="60"/>
      <c r="AY87" s="68"/>
      <c r="AZ87" s="80"/>
      <c r="BA87" s="64"/>
      <c r="BB87" s="60"/>
      <c r="BC87" s="60"/>
      <c r="BD87" s="60"/>
      <c r="BE87" s="68"/>
      <c r="BF87" s="75"/>
      <c r="BG87" s="64"/>
      <c r="BH87" s="60"/>
      <c r="BI87" s="60"/>
      <c r="BJ87" s="60"/>
      <c r="BK87" s="103"/>
      <c r="BX87" s="1065"/>
      <c r="BY87" s="1065"/>
      <c r="BZ87" s="1065"/>
      <c r="CA87" s="1065"/>
      <c r="DH87" s="347"/>
      <c r="DI87" s="347"/>
      <c r="DJ87" s="347"/>
      <c r="DK87" s="347"/>
      <c r="DL87" s="96"/>
      <c r="DM87" s="96"/>
      <c r="DN87" s="96"/>
      <c r="DO87" s="96"/>
      <c r="DP87" s="96"/>
      <c r="DQ87" s="96"/>
      <c r="DR87" s="96"/>
      <c r="DS87" s="96"/>
      <c r="DT87" s="96"/>
      <c r="DU87" s="96"/>
      <c r="DV87" s="96"/>
      <c r="DW87" s="96"/>
      <c r="DX87" s="113"/>
      <c r="DY87" s="113"/>
      <c r="DZ87" s="113"/>
      <c r="EA87" s="96"/>
      <c r="EB87" s="96"/>
      <c r="EC87" s="113"/>
      <c r="ED87" s="113"/>
      <c r="EE87" s="113"/>
      <c r="EF87" s="113"/>
      <c r="EG87" s="113"/>
      <c r="EH87" s="113"/>
      <c r="EI87" s="113"/>
      <c r="EJ87" s="119"/>
      <c r="EK87" s="119"/>
      <c r="EL87" s="119"/>
      <c r="EM87" s="119"/>
      <c r="EN87" s="119"/>
      <c r="EO87" s="119"/>
      <c r="EQ87" s="347"/>
      <c r="ER87" s="347"/>
      <c r="ES87" s="96"/>
      <c r="ET87" s="96"/>
      <c r="EU87" s="96"/>
      <c r="EV87" s="96"/>
      <c r="EW87" s="96"/>
      <c r="EX87" s="96"/>
      <c r="EY87" s="96"/>
      <c r="EZ87" s="96"/>
      <c r="FA87" s="96"/>
      <c r="FB87" s="96"/>
      <c r="FC87" s="96"/>
      <c r="FD87" s="96"/>
      <c r="FH87" s="96"/>
      <c r="FI87" s="96"/>
      <c r="FL87" s="347"/>
      <c r="FM87" s="347"/>
      <c r="FN87" s="347"/>
      <c r="FO87" s="347"/>
      <c r="FP87" s="347"/>
      <c r="FQ87" s="96"/>
      <c r="FR87" s="96"/>
      <c r="FS87" s="96"/>
      <c r="FT87" s="96"/>
      <c r="FU87" s="96"/>
      <c r="FV87" s="96"/>
      <c r="FW87" s="96"/>
      <c r="FX87" s="96"/>
      <c r="FY87" s="96"/>
      <c r="FZ87" s="96"/>
      <c r="GA87" s="96"/>
      <c r="GB87" s="96"/>
      <c r="GC87" s="96"/>
      <c r="GD87" s="96"/>
      <c r="GE87" s="1065"/>
      <c r="GF87" s="1065"/>
      <c r="GG87" s="347"/>
      <c r="GH87" s="347"/>
      <c r="GI87" s="347"/>
      <c r="GJ87" s="347"/>
      <c r="GK87" s="347"/>
      <c r="GL87" s="96"/>
      <c r="GM87" s="96"/>
      <c r="GN87" s="96"/>
      <c r="GO87" s="96"/>
      <c r="GP87" s="96"/>
      <c r="GQ87" s="96"/>
      <c r="GR87" s="96"/>
      <c r="GS87" s="96"/>
      <c r="GT87" s="96"/>
      <c r="GU87" s="96"/>
      <c r="GV87" s="96"/>
      <c r="GW87" s="96"/>
      <c r="GX87" s="96"/>
      <c r="GY87" s="96"/>
      <c r="HE87" s="113"/>
      <c r="HF87" s="113"/>
      <c r="HG87" s="113"/>
      <c r="HH87" s="113"/>
      <c r="HI87" s="113"/>
      <c r="HJ87" s="113"/>
      <c r="HK87" s="113"/>
      <c r="HL87" s="113"/>
      <c r="HM87" s="113"/>
      <c r="HN87" s="113"/>
      <c r="HO87" s="113"/>
      <c r="HP87" s="113"/>
      <c r="HQ87" s="113"/>
      <c r="HR87" s="113"/>
      <c r="HS87" s="113"/>
      <c r="HT87" s="113"/>
      <c r="HU87" s="113"/>
      <c r="HV87" s="113"/>
      <c r="HW87" s="113"/>
      <c r="HX87" s="113"/>
      <c r="HY87" s="113"/>
      <c r="HZ87" s="113"/>
      <c r="IA87" s="113"/>
      <c r="IB87" s="113"/>
      <c r="IC87" s="113"/>
      <c r="ID87" s="113"/>
      <c r="IE87" s="113"/>
      <c r="IF87" s="113"/>
    </row>
    <row r="88" spans="2:240" s="690" customFormat="1" ht="10.5" customHeight="1">
      <c r="B88" s="934"/>
      <c r="C88" s="348"/>
      <c r="D88" s="348"/>
      <c r="E88" s="348"/>
      <c r="F88" s="348"/>
      <c r="G88" s="348"/>
      <c r="H88" s="348"/>
      <c r="I88" s="348"/>
      <c r="J88" s="348"/>
      <c r="K88" s="348"/>
      <c r="L88" s="348"/>
      <c r="M88" s="348"/>
      <c r="N88" s="348"/>
      <c r="O88" s="348"/>
      <c r="P88" s="348"/>
      <c r="Q88" s="348"/>
      <c r="R88" s="348"/>
      <c r="S88" s="348"/>
      <c r="T88" s="348"/>
      <c r="U88" s="348"/>
      <c r="V88" s="348"/>
      <c r="W88" s="348"/>
      <c r="X88" s="348"/>
      <c r="Y88" s="348"/>
      <c r="Z88" s="348"/>
      <c r="AA88" s="348"/>
      <c r="AB88" s="348"/>
      <c r="AC88" s="348"/>
      <c r="AD88" s="348"/>
      <c r="AE88" s="348"/>
      <c r="AF88" s="348"/>
      <c r="AG88" s="348"/>
      <c r="AH88" s="348"/>
      <c r="AI88" s="348" t="s">
        <v>253</v>
      </c>
      <c r="AJ88" s="55">
        <f>SUM(AJ86:AJ87)</f>
        <v>0</v>
      </c>
      <c r="AK88" s="56">
        <f>SUM(AK86:AK87)</f>
        <v>0</v>
      </c>
      <c r="AL88" s="56">
        <f>SUM(AL86:AL87)</f>
        <v>0</v>
      </c>
      <c r="AM88" s="56">
        <f>SUM(AM86:AM87)</f>
        <v>0</v>
      </c>
      <c r="AN88" s="58"/>
      <c r="AO88" s="58">
        <f>SUMPRODUCT(AJ86:AJ87,AO86:AO87,DZ86:DZ87)+SUMPRODUCT(AK86:AK87,AO86:AO87,DZ86:DZ87)</f>
        <v>0</v>
      </c>
      <c r="AP88" s="58">
        <f>SUMPRODUCT(AJ86:AJ87,AP86:AP87,DZ86:DZ87)</f>
        <v>0</v>
      </c>
      <c r="AQ88" s="58">
        <f>SUMPRODUCT(AJ86:AJ87,AQ86:AQ87,DZ86:DZ87)+SUMPRODUCT(AK86:AK87,AQ86:AQ87,DZ86:DZ87)</f>
        <v>0</v>
      </c>
      <c r="AR88" s="58">
        <f>SUMPRODUCT(AJ86:AJ87,AR86:AR87,DZ86:DZ87)+SUMPRODUCT(AK86:AK87,AR86:AR87,DZ86:DZ87)</f>
        <v>0</v>
      </c>
      <c r="AS88" s="69">
        <f>SUMPRODUCT(AJ86:AJ87,AS86:AS87,DZ86:DZ87)</f>
        <v>0</v>
      </c>
      <c r="AT88" s="76">
        <f>SUMPRODUCT(AJ86:AJ87,AT86:AT87,DZ86:DZ87)+SUMPRODUCT(AK86:AK87,AT86:AT87,DZ86:DZ87)</f>
        <v>0</v>
      </c>
      <c r="AU88" s="58">
        <f>SUMPRODUCT(AJ86:AJ87,AU86:AU87,DZ86:DZ87)</f>
        <v>0</v>
      </c>
      <c r="AV88" s="57">
        <f>IF(AT88=0,0,(AT88-AX88)/AT88)</f>
        <v>0</v>
      </c>
      <c r="AW88" s="57">
        <f>IF(AU88=0,0,(AU88-AY88)/AU88)</f>
        <v>0</v>
      </c>
      <c r="AX88" s="58">
        <f>SUMPRODUCT(AJ86:AJ87,AX86:AX87,DZ86:DZ87)+SUMPRODUCT(AK86:AK87,AX86:AX87,DZ86:DZ87)</f>
        <v>0</v>
      </c>
      <c r="AY88" s="69">
        <f>SUMPRODUCT(AJ86:AJ87,AY86:AY87,DZ86:DZ87)</f>
        <v>0</v>
      </c>
      <c r="AZ88" s="81">
        <f>SUMPRODUCT(AJ86:AJ87,AZ86:AZ87,DZ86:DZ87)+SUMPRODUCT(AK86:AK87,AZ86:AZ87,DZ86:DZ87)</f>
        <v>0</v>
      </c>
      <c r="BA88" s="58">
        <f>SUMPRODUCT(AJ86:AJ87,BA86:BA87,DZ86:DZ87)</f>
        <v>0</v>
      </c>
      <c r="BB88" s="57">
        <f>IF(AZ88=0,0,(AZ88-BD88)/AZ88)</f>
        <v>0</v>
      </c>
      <c r="BC88" s="57">
        <f>IF(BA88=0,0,(BA88-BE88)/BA88)</f>
        <v>0</v>
      </c>
      <c r="BD88" s="58">
        <f>SUMPRODUCT(AJ86:AJ87,BD86:BD87,DZ86:DZ87)+SUMPRODUCT(AK86:AK87,BD86:BD87,DZ86:DZ87)</f>
        <v>0</v>
      </c>
      <c r="BE88" s="69">
        <f>SUMPRODUCT(AJ86:AJ87,BE86:BE87,DZ86:DZ87)</f>
        <v>0</v>
      </c>
      <c r="BF88" s="76">
        <f>SUMPRODUCT(AJ86:AJ87,BF86:BF87,DZ86:DZ87)+SUMPRODUCT(AK86:AK87,BF86:BF87,DZ86:DZ87)</f>
        <v>0</v>
      </c>
      <c r="BG88" s="58">
        <f>SUMPRODUCT(AJ86:AJ87,BG86:BG87,DZ86:DZ87)</f>
        <v>0</v>
      </c>
      <c r="BH88" s="57">
        <f>IF(BF88=0,0,(BF88-BJ88)/BF88)</f>
        <v>0</v>
      </c>
      <c r="BI88" s="57">
        <f>IF(BG88=0,0,(BG88-BK88)/BG88)</f>
        <v>0</v>
      </c>
      <c r="BJ88" s="58">
        <f>SUMPRODUCT(AJ86:AJ87,BJ86:BJ87,DZ86:DZ87)+SUMPRODUCT(AK86:AK87,BJ86:BJ87,DZ86:DZ87)</f>
        <v>0</v>
      </c>
      <c r="BK88" s="104">
        <f>SUMPRODUCT(AJ86:AJ87,BK86:BK87,DZ86:DZ87)</f>
        <v>0</v>
      </c>
      <c r="BL88" s="934"/>
      <c r="EE88" s="941"/>
      <c r="EF88" s="941"/>
      <c r="EG88" s="941"/>
      <c r="EH88" s="941"/>
      <c r="EI88" s="941"/>
      <c r="HE88" s="1239"/>
      <c r="HF88" s="1239"/>
      <c r="HG88" s="1239"/>
      <c r="HH88" s="1239"/>
      <c r="HI88" s="1239"/>
      <c r="HJ88" s="1239"/>
      <c r="HK88" s="1239"/>
      <c r="HL88" s="1239"/>
      <c r="HM88" s="1239"/>
      <c r="HN88" s="1239"/>
      <c r="HO88" s="1239"/>
      <c r="HP88" s="1239"/>
      <c r="HQ88" s="1239"/>
      <c r="HR88" s="1239"/>
      <c r="HS88" s="1239"/>
      <c r="HT88" s="1239"/>
      <c r="HU88" s="1239"/>
      <c r="HV88" s="1239"/>
      <c r="HW88" s="1239"/>
      <c r="HX88" s="1239"/>
      <c r="HY88" s="1239"/>
      <c r="HZ88" s="1239"/>
      <c r="IA88" s="1239"/>
      <c r="IB88" s="1239"/>
      <c r="IC88" s="1239"/>
      <c r="ID88" s="1239"/>
      <c r="IE88" s="1239"/>
      <c r="IF88" s="1239"/>
    </row>
    <row r="89" spans="2:240" ht="10.5" customHeight="1">
      <c r="EI89" s="941"/>
      <c r="FL89" s="849"/>
      <c r="FM89" s="849"/>
      <c r="FN89" s="849"/>
      <c r="FO89" s="849"/>
      <c r="FP89" s="849"/>
      <c r="FQ89" s="849"/>
      <c r="FR89" s="849"/>
      <c r="FS89" s="849"/>
      <c r="FT89" s="849"/>
      <c r="FU89" s="849"/>
      <c r="FV89" s="849"/>
      <c r="FW89" s="690"/>
      <c r="FX89" s="690"/>
      <c r="FY89" s="690"/>
      <c r="FZ89" s="690"/>
      <c r="GG89" s="849"/>
      <c r="GH89" s="849"/>
      <c r="GI89" s="849"/>
      <c r="GJ89" s="849"/>
      <c r="GK89" s="849"/>
      <c r="GL89" s="849"/>
      <c r="GM89" s="849"/>
      <c r="GN89" s="849"/>
      <c r="GO89" s="849"/>
      <c r="GP89" s="849"/>
      <c r="GQ89" s="849"/>
      <c r="HE89" s="1239"/>
      <c r="HF89" s="1239"/>
      <c r="HG89" s="1239"/>
      <c r="HH89" s="1239"/>
      <c r="HI89" s="1239"/>
      <c r="HJ89" s="1239"/>
      <c r="HK89" s="1239"/>
      <c r="HL89" s="1239"/>
      <c r="HM89" s="1239"/>
      <c r="HN89" s="1239"/>
      <c r="HO89" s="1239"/>
      <c r="HP89" s="1239"/>
      <c r="HQ89" s="1239"/>
      <c r="HR89" s="1239"/>
      <c r="HS89" s="1239"/>
      <c r="HT89" s="1239"/>
      <c r="HU89" s="1239"/>
      <c r="HV89" s="1239"/>
      <c r="HW89" s="1239"/>
      <c r="HX89" s="1239"/>
      <c r="HY89" s="1239"/>
      <c r="HZ89" s="1239"/>
      <c r="IA89" s="1239"/>
      <c r="IB89" s="1239"/>
      <c r="IC89" s="1239"/>
      <c r="ID89" s="1239"/>
      <c r="IE89" s="1239"/>
      <c r="IF89" s="1239"/>
    </row>
    <row r="90" spans="2:240" ht="10.5" customHeight="1">
      <c r="FL90" s="849"/>
      <c r="FM90" s="849"/>
      <c r="FN90" s="849"/>
      <c r="FO90" s="849"/>
      <c r="FP90" s="849"/>
      <c r="FQ90" s="849"/>
      <c r="FR90" s="849"/>
      <c r="FS90" s="849"/>
      <c r="FT90" s="849"/>
      <c r="FU90" s="849"/>
      <c r="FV90" s="849"/>
      <c r="FW90" s="690"/>
      <c r="FX90" s="690"/>
      <c r="FY90" s="690"/>
      <c r="FZ90" s="690"/>
      <c r="GG90" s="849"/>
      <c r="GH90" s="849"/>
      <c r="GI90" s="849"/>
      <c r="GJ90" s="849"/>
      <c r="GK90" s="849"/>
      <c r="GL90" s="849"/>
      <c r="GM90" s="849"/>
      <c r="GN90" s="849"/>
      <c r="GO90" s="849"/>
      <c r="GP90" s="849"/>
      <c r="GQ90" s="849"/>
    </row>
    <row r="91" spans="2:240" ht="10.5" customHeight="1">
      <c r="FL91" s="849"/>
      <c r="FM91" s="849"/>
      <c r="FN91" s="849"/>
      <c r="FO91" s="849"/>
      <c r="FP91" s="849"/>
      <c r="FQ91" s="849"/>
      <c r="FR91" s="849"/>
      <c r="FS91" s="849"/>
      <c r="FT91" s="849"/>
      <c r="FU91" s="849"/>
      <c r="FV91" s="849"/>
      <c r="FW91" s="690"/>
      <c r="FX91" s="690"/>
      <c r="FY91" s="690"/>
      <c r="FZ91" s="690"/>
      <c r="GG91" s="849"/>
      <c r="GH91" s="849"/>
      <c r="GI91" s="849"/>
      <c r="GJ91" s="849"/>
      <c r="GK91" s="849"/>
      <c r="GL91" s="849"/>
      <c r="GM91" s="849"/>
      <c r="GN91" s="849"/>
      <c r="GO91" s="849"/>
      <c r="GP91" s="849"/>
      <c r="GQ91" s="849"/>
    </row>
    <row r="92" spans="2:240" ht="10.5" customHeight="1">
      <c r="FL92" s="849"/>
      <c r="FM92" s="849"/>
      <c r="FN92" s="849"/>
      <c r="FO92" s="849"/>
      <c r="FP92" s="849"/>
      <c r="FQ92" s="849"/>
      <c r="FR92" s="849"/>
      <c r="FS92" s="849"/>
      <c r="FT92" s="849"/>
      <c r="FU92" s="849"/>
      <c r="FV92" s="849"/>
      <c r="FW92" s="690"/>
      <c r="FX92" s="690"/>
      <c r="FY92" s="690"/>
      <c r="FZ92" s="690"/>
      <c r="GG92" s="849"/>
      <c r="GH92" s="849"/>
      <c r="GI92" s="849"/>
      <c r="GJ92" s="849"/>
      <c r="GK92" s="849"/>
      <c r="GL92" s="849"/>
      <c r="GM92" s="849"/>
      <c r="GN92" s="849"/>
      <c r="GO92" s="849"/>
      <c r="GP92" s="849"/>
      <c r="GQ92" s="849"/>
    </row>
    <row r="93" spans="2:240" ht="10.5" customHeight="1">
      <c r="FL93" s="849"/>
      <c r="FM93" s="849"/>
      <c r="FN93" s="849"/>
      <c r="FO93" s="849"/>
      <c r="FP93" s="849"/>
      <c r="FQ93" s="849"/>
      <c r="FR93" s="849"/>
      <c r="FS93" s="849"/>
      <c r="FT93" s="849"/>
      <c r="FU93" s="849"/>
      <c r="FV93" s="849"/>
      <c r="FW93" s="690"/>
      <c r="FX93" s="690"/>
      <c r="FY93" s="690"/>
      <c r="FZ93" s="690"/>
      <c r="GG93" s="849"/>
      <c r="GH93" s="849"/>
      <c r="GI93" s="849"/>
      <c r="GJ93" s="849"/>
      <c r="GK93" s="849"/>
      <c r="GL93" s="849"/>
      <c r="GM93" s="849"/>
      <c r="GN93" s="849"/>
      <c r="GO93" s="849"/>
      <c r="GP93" s="849"/>
      <c r="GQ93" s="849"/>
    </row>
    <row r="94" spans="2:240" ht="10.5" customHeight="1">
      <c r="FL94" s="849"/>
      <c r="FM94" s="849"/>
      <c r="FN94" s="849"/>
      <c r="FO94" s="849"/>
      <c r="FP94" s="849"/>
      <c r="FQ94" s="849"/>
      <c r="FR94" s="849"/>
      <c r="FS94" s="849"/>
      <c r="FT94" s="849"/>
      <c r="FU94" s="849"/>
      <c r="FV94" s="849"/>
      <c r="FW94" s="690"/>
      <c r="FX94" s="690"/>
      <c r="FY94" s="690"/>
      <c r="FZ94" s="690"/>
      <c r="GG94" s="849"/>
      <c r="GH94" s="849"/>
      <c r="GI94" s="849"/>
      <c r="GJ94" s="849"/>
      <c r="GK94" s="849"/>
      <c r="GL94" s="849"/>
      <c r="GM94" s="849"/>
      <c r="GN94" s="849"/>
      <c r="GO94" s="849"/>
      <c r="GP94" s="849"/>
      <c r="GQ94" s="849"/>
    </row>
    <row r="95" spans="2:240" ht="10.5" customHeight="1">
      <c r="FL95" s="849"/>
      <c r="FM95" s="849"/>
      <c r="FN95" s="849"/>
      <c r="FO95" s="849"/>
      <c r="FP95" s="849"/>
      <c r="FQ95" s="849"/>
      <c r="FR95" s="849"/>
      <c r="FS95" s="849"/>
      <c r="FT95" s="849"/>
      <c r="FU95" s="849"/>
      <c r="FV95" s="849"/>
      <c r="FW95" s="690"/>
      <c r="FX95" s="690"/>
      <c r="FY95" s="690"/>
      <c r="FZ95" s="690"/>
      <c r="GG95" s="849"/>
      <c r="GH95" s="849"/>
      <c r="GI95" s="849"/>
      <c r="GJ95" s="849"/>
      <c r="GK95" s="849"/>
      <c r="GL95" s="849"/>
      <c r="GM95" s="849"/>
      <c r="GN95" s="849"/>
      <c r="GO95" s="849"/>
      <c r="GP95" s="849"/>
      <c r="GQ95" s="849"/>
    </row>
    <row r="96" spans="2:240" ht="10.5" customHeight="1">
      <c r="FL96" s="849"/>
      <c r="FM96" s="849"/>
      <c r="FN96" s="849"/>
      <c r="FO96" s="849"/>
      <c r="FP96" s="849"/>
      <c r="FQ96" s="849"/>
      <c r="FR96" s="849"/>
      <c r="FS96" s="849"/>
      <c r="FT96" s="849"/>
      <c r="FU96" s="849"/>
      <c r="FV96" s="849"/>
      <c r="FW96" s="690"/>
      <c r="FX96" s="690"/>
      <c r="FY96" s="690"/>
      <c r="FZ96" s="690"/>
      <c r="GG96" s="849"/>
      <c r="GH96" s="849"/>
      <c r="GI96" s="849"/>
      <c r="GJ96" s="849"/>
      <c r="GK96" s="849"/>
      <c r="GL96" s="849"/>
      <c r="GM96" s="849"/>
      <c r="GN96" s="849"/>
      <c r="GO96" s="849"/>
      <c r="GP96" s="849"/>
      <c r="GQ96" s="849"/>
    </row>
    <row r="97" spans="168:199" ht="10.5" customHeight="1">
      <c r="FL97" s="849"/>
      <c r="FM97" s="849"/>
      <c r="FN97" s="849"/>
      <c r="FO97" s="849"/>
      <c r="FP97" s="849"/>
      <c r="FQ97" s="849"/>
      <c r="FR97" s="849"/>
      <c r="FS97" s="849"/>
      <c r="FT97" s="849"/>
      <c r="FU97" s="849"/>
      <c r="FV97" s="849"/>
      <c r="FW97" s="690"/>
      <c r="FX97" s="690"/>
      <c r="FY97" s="690"/>
      <c r="FZ97" s="690"/>
      <c r="GG97" s="849"/>
      <c r="GH97" s="849"/>
      <c r="GI97" s="849"/>
      <c r="GJ97" s="849"/>
      <c r="GK97" s="849"/>
      <c r="GL97" s="849"/>
      <c r="GM97" s="849"/>
      <c r="GN97" s="849"/>
      <c r="GO97" s="849"/>
      <c r="GP97" s="849"/>
      <c r="GQ97" s="849"/>
    </row>
    <row r="98" spans="168:199" ht="10.5" customHeight="1">
      <c r="FL98" s="849"/>
      <c r="FM98" s="849"/>
      <c r="FN98" s="849"/>
      <c r="FO98" s="849"/>
      <c r="FP98" s="849"/>
      <c r="FQ98" s="849"/>
      <c r="FR98" s="849"/>
      <c r="FS98" s="849"/>
      <c r="FT98" s="849"/>
      <c r="FU98" s="849"/>
      <c r="FV98" s="849"/>
      <c r="FW98" s="690"/>
      <c r="FX98" s="690"/>
      <c r="FY98" s="690"/>
      <c r="FZ98" s="690"/>
      <c r="GG98" s="849"/>
      <c r="GH98" s="849"/>
      <c r="GI98" s="849"/>
      <c r="GJ98" s="849"/>
      <c r="GK98" s="849"/>
      <c r="GL98" s="849"/>
      <c r="GM98" s="849"/>
      <c r="GN98" s="849"/>
      <c r="GO98" s="849"/>
      <c r="GP98" s="849"/>
      <c r="GQ98" s="849"/>
    </row>
    <row r="99" spans="168:199" ht="10.5" customHeight="1">
      <c r="FL99" s="849"/>
      <c r="FM99" s="849"/>
      <c r="FN99" s="849"/>
      <c r="FO99" s="849"/>
      <c r="FP99" s="849"/>
      <c r="FQ99" s="849"/>
      <c r="FR99" s="849"/>
      <c r="FS99" s="849"/>
      <c r="FT99" s="849"/>
      <c r="FU99" s="849"/>
      <c r="FV99" s="849"/>
      <c r="FW99" s="690"/>
      <c r="FX99" s="690"/>
      <c r="FY99" s="690"/>
      <c r="FZ99" s="690"/>
      <c r="GG99" s="849"/>
      <c r="GH99" s="849"/>
      <c r="GI99" s="849"/>
      <c r="GJ99" s="849"/>
      <c r="GK99" s="849"/>
      <c r="GL99" s="849"/>
      <c r="GM99" s="849"/>
      <c r="GN99" s="849"/>
      <c r="GO99" s="849"/>
      <c r="GP99" s="849"/>
      <c r="GQ99" s="849"/>
    </row>
    <row r="100" spans="168:199" ht="10.5" customHeight="1">
      <c r="FL100" s="849"/>
      <c r="FM100" s="849"/>
      <c r="FN100" s="849"/>
      <c r="FO100" s="849"/>
      <c r="FP100" s="849"/>
      <c r="FQ100" s="849"/>
      <c r="FR100" s="849"/>
      <c r="FS100" s="849"/>
      <c r="FT100" s="849"/>
      <c r="FU100" s="849"/>
      <c r="FV100" s="849"/>
      <c r="FW100" s="690"/>
      <c r="FX100" s="690"/>
      <c r="FY100" s="690"/>
      <c r="FZ100" s="690"/>
      <c r="GG100" s="849"/>
      <c r="GH100" s="849"/>
      <c r="GI100" s="849"/>
      <c r="GJ100" s="849"/>
      <c r="GK100" s="849"/>
      <c r="GL100" s="849"/>
      <c r="GM100" s="849"/>
      <c r="GN100" s="849"/>
      <c r="GO100" s="849"/>
      <c r="GP100" s="849"/>
      <c r="GQ100" s="849"/>
    </row>
    <row r="101" spans="168:199" ht="10.5" customHeight="1">
      <c r="FL101" s="849"/>
      <c r="FM101" s="849"/>
      <c r="FN101" s="849"/>
      <c r="FO101" s="849"/>
      <c r="FP101" s="849"/>
      <c r="FQ101" s="849"/>
      <c r="FR101" s="849"/>
      <c r="FS101" s="849"/>
      <c r="FT101" s="849"/>
      <c r="FU101" s="849"/>
      <c r="FV101" s="849"/>
      <c r="FW101" s="690"/>
      <c r="FX101" s="690"/>
      <c r="FY101" s="690"/>
      <c r="FZ101" s="690"/>
      <c r="GG101" s="849"/>
      <c r="GH101" s="849"/>
      <c r="GI101" s="849"/>
      <c r="GJ101" s="849"/>
      <c r="GK101" s="849"/>
      <c r="GL101" s="849"/>
      <c r="GM101" s="849"/>
      <c r="GN101" s="849"/>
      <c r="GO101" s="849"/>
      <c r="GP101" s="849"/>
      <c r="GQ101" s="849"/>
    </row>
    <row r="102" spans="168:199" ht="10.5" customHeight="1">
      <c r="FL102" s="849"/>
      <c r="FM102" s="849"/>
      <c r="FN102" s="849"/>
      <c r="FO102" s="849"/>
      <c r="FP102" s="849"/>
      <c r="FQ102" s="849"/>
      <c r="FR102" s="849"/>
      <c r="FS102" s="849"/>
      <c r="FT102" s="849"/>
      <c r="FU102" s="849"/>
      <c r="FV102" s="849"/>
      <c r="FW102" s="690"/>
      <c r="FX102" s="690"/>
      <c r="FY102" s="690"/>
      <c r="FZ102" s="690"/>
      <c r="GG102" s="849"/>
      <c r="GH102" s="849"/>
      <c r="GI102" s="849"/>
      <c r="GJ102" s="849"/>
      <c r="GK102" s="849"/>
      <c r="GL102" s="849"/>
      <c r="GM102" s="849"/>
      <c r="GN102" s="849"/>
      <c r="GO102" s="849"/>
      <c r="GP102" s="849"/>
      <c r="GQ102" s="849"/>
    </row>
    <row r="103" spans="168:199" ht="10.5" customHeight="1">
      <c r="FL103" s="849"/>
      <c r="FM103" s="849"/>
      <c r="FN103" s="849"/>
      <c r="FO103" s="849"/>
      <c r="FP103" s="849"/>
      <c r="FQ103" s="849"/>
      <c r="FR103" s="849"/>
      <c r="FS103" s="849"/>
      <c r="FT103" s="849"/>
      <c r="FU103" s="849"/>
      <c r="FV103" s="849"/>
      <c r="FW103" s="690"/>
      <c r="FX103" s="690"/>
      <c r="FY103" s="690"/>
      <c r="FZ103" s="690"/>
      <c r="GG103" s="849"/>
      <c r="GH103" s="849"/>
      <c r="GI103" s="849"/>
      <c r="GJ103" s="849"/>
      <c r="GK103" s="849"/>
      <c r="GL103" s="849"/>
      <c r="GM103" s="849"/>
      <c r="GN103" s="849"/>
      <c r="GO103" s="849"/>
      <c r="GP103" s="849"/>
      <c r="GQ103" s="849"/>
    </row>
    <row r="104" spans="168:199" ht="10.5" customHeight="1">
      <c r="FL104" s="849"/>
      <c r="FM104" s="849"/>
      <c r="FN104" s="849"/>
      <c r="FO104" s="849"/>
      <c r="FP104" s="849"/>
      <c r="FQ104" s="849"/>
      <c r="FR104" s="849"/>
      <c r="FS104" s="849"/>
      <c r="FT104" s="849"/>
      <c r="FU104" s="849"/>
      <c r="FV104" s="849"/>
      <c r="FW104" s="690"/>
      <c r="FX104" s="690"/>
      <c r="FY104" s="690"/>
      <c r="FZ104" s="690"/>
      <c r="GG104" s="849"/>
      <c r="GH104" s="849"/>
      <c r="GI104" s="849"/>
      <c r="GJ104" s="849"/>
      <c r="GK104" s="849"/>
      <c r="GL104" s="849"/>
      <c r="GM104" s="849"/>
      <c r="GN104" s="849"/>
      <c r="GO104" s="849"/>
      <c r="GP104" s="849"/>
      <c r="GQ104" s="849"/>
    </row>
    <row r="105" spans="168:199" ht="10.5" customHeight="1">
      <c r="FL105" s="849"/>
      <c r="FM105" s="849"/>
      <c r="FN105" s="849"/>
      <c r="FO105" s="849"/>
      <c r="FP105" s="849"/>
      <c r="FQ105" s="849"/>
      <c r="FR105" s="849"/>
      <c r="FS105" s="849"/>
      <c r="FT105" s="849"/>
      <c r="FU105" s="849"/>
      <c r="FV105" s="849"/>
      <c r="FW105" s="690"/>
      <c r="FX105" s="690"/>
      <c r="FY105" s="690"/>
      <c r="FZ105" s="690"/>
      <c r="GG105" s="849"/>
      <c r="GH105" s="849"/>
      <c r="GI105" s="849"/>
      <c r="GJ105" s="849"/>
      <c r="GK105" s="849"/>
      <c r="GL105" s="849"/>
      <c r="GM105" s="849"/>
      <c r="GN105" s="849"/>
      <c r="GO105" s="849"/>
      <c r="GP105" s="849"/>
      <c r="GQ105" s="849"/>
    </row>
    <row r="106" spans="168:199" ht="10.5" customHeight="1">
      <c r="FL106" s="849"/>
      <c r="FM106" s="849"/>
      <c r="FN106" s="849"/>
      <c r="FO106" s="849"/>
      <c r="FP106" s="849"/>
      <c r="FQ106" s="849"/>
      <c r="FR106" s="849"/>
      <c r="FS106" s="849"/>
      <c r="FT106" s="849"/>
      <c r="FU106" s="849"/>
      <c r="FV106" s="849"/>
      <c r="FW106" s="690"/>
      <c r="FX106" s="690"/>
      <c r="FY106" s="690"/>
      <c r="FZ106" s="690"/>
      <c r="GG106" s="849"/>
      <c r="GH106" s="849"/>
      <c r="GI106" s="849"/>
      <c r="GJ106" s="849"/>
      <c r="GK106" s="849"/>
      <c r="GL106" s="849"/>
      <c r="GM106" s="849"/>
      <c r="GN106" s="849"/>
      <c r="GO106" s="849"/>
      <c r="GP106" s="849"/>
      <c r="GQ106" s="849"/>
    </row>
    <row r="107" spans="168:199" ht="10.5" customHeight="1">
      <c r="FL107" s="849"/>
      <c r="FM107" s="849"/>
      <c r="FN107" s="849"/>
      <c r="FO107" s="849"/>
      <c r="FP107" s="849"/>
      <c r="FQ107" s="849"/>
      <c r="FR107" s="849"/>
      <c r="FS107" s="849"/>
      <c r="FT107" s="849"/>
      <c r="FU107" s="849"/>
      <c r="FV107" s="849"/>
      <c r="FW107" s="690"/>
      <c r="FX107" s="690"/>
      <c r="FY107" s="690"/>
      <c r="FZ107" s="690"/>
      <c r="GG107" s="849"/>
      <c r="GH107" s="849"/>
      <c r="GI107" s="849"/>
      <c r="GJ107" s="849"/>
      <c r="GK107" s="849"/>
      <c r="GL107" s="849"/>
      <c r="GM107" s="849"/>
      <c r="GN107" s="849"/>
      <c r="GO107" s="849"/>
      <c r="GP107" s="849"/>
      <c r="GQ107" s="849"/>
    </row>
    <row r="108" spans="168:199" ht="10.5" customHeight="1">
      <c r="FL108" s="849"/>
      <c r="FM108" s="849"/>
      <c r="FN108" s="849"/>
      <c r="FO108" s="849"/>
      <c r="FP108" s="849"/>
      <c r="FQ108" s="849"/>
      <c r="FR108" s="849"/>
      <c r="FS108" s="849"/>
      <c r="FT108" s="849"/>
      <c r="FU108" s="849"/>
      <c r="FV108" s="849"/>
      <c r="FW108" s="690"/>
      <c r="FX108" s="690"/>
      <c r="FY108" s="690"/>
      <c r="FZ108" s="690"/>
      <c r="GG108" s="849"/>
      <c r="GH108" s="849"/>
      <c r="GI108" s="849"/>
      <c r="GJ108" s="849"/>
      <c r="GK108" s="849"/>
      <c r="GL108" s="849"/>
      <c r="GM108" s="849"/>
      <c r="GN108" s="849"/>
      <c r="GO108" s="849"/>
      <c r="GP108" s="849"/>
      <c r="GQ108" s="849"/>
    </row>
    <row r="109" spans="168:199" ht="10.5" customHeight="1">
      <c r="FL109" s="849"/>
      <c r="FM109" s="849"/>
      <c r="FN109" s="849"/>
      <c r="FO109" s="849"/>
      <c r="FP109" s="849"/>
      <c r="FQ109" s="849"/>
      <c r="FR109" s="849"/>
      <c r="FS109" s="849"/>
      <c r="FT109" s="849"/>
      <c r="FU109" s="849"/>
      <c r="FV109" s="849"/>
      <c r="FW109" s="690"/>
      <c r="FX109" s="690"/>
      <c r="FY109" s="690"/>
      <c r="FZ109" s="690"/>
      <c r="GG109" s="849"/>
      <c r="GH109" s="849"/>
      <c r="GI109" s="849"/>
      <c r="GJ109" s="849"/>
      <c r="GK109" s="849"/>
      <c r="GL109" s="849"/>
      <c r="GM109" s="849"/>
      <c r="GN109" s="849"/>
      <c r="GO109" s="849"/>
      <c r="GP109" s="849"/>
      <c r="GQ109" s="849"/>
    </row>
    <row r="110" spans="168:199" ht="10.5" customHeight="1">
      <c r="FL110" s="849"/>
      <c r="FM110" s="849"/>
      <c r="FN110" s="849"/>
      <c r="FO110" s="849"/>
      <c r="FP110" s="849"/>
      <c r="FQ110" s="849"/>
      <c r="FR110" s="849"/>
      <c r="FS110" s="849"/>
      <c r="FT110" s="849"/>
      <c r="FU110" s="849"/>
      <c r="FV110" s="849"/>
      <c r="FW110" s="690"/>
      <c r="FX110" s="690"/>
      <c r="FY110" s="690"/>
      <c r="FZ110" s="690"/>
      <c r="GG110" s="849"/>
      <c r="GH110" s="849"/>
      <c r="GI110" s="849"/>
      <c r="GJ110" s="849"/>
      <c r="GK110" s="849"/>
      <c r="GL110" s="849"/>
      <c r="GM110" s="849"/>
      <c r="GN110" s="849"/>
      <c r="GO110" s="849"/>
      <c r="GP110" s="849"/>
      <c r="GQ110" s="849"/>
    </row>
    <row r="111" spans="168:199" ht="10.5" customHeight="1">
      <c r="FL111" s="849"/>
      <c r="FM111" s="849"/>
      <c r="FN111" s="849"/>
      <c r="FO111" s="849"/>
      <c r="FP111" s="849"/>
      <c r="FQ111" s="849"/>
      <c r="FR111" s="849"/>
      <c r="FS111" s="849"/>
      <c r="FT111" s="849"/>
      <c r="FU111" s="849"/>
      <c r="FV111" s="849"/>
      <c r="FW111" s="690"/>
      <c r="FX111" s="690"/>
      <c r="FY111" s="690"/>
      <c r="FZ111" s="690"/>
      <c r="GG111" s="849"/>
      <c r="GH111" s="849"/>
      <c r="GI111" s="849"/>
      <c r="GJ111" s="849"/>
      <c r="GK111" s="849"/>
      <c r="GL111" s="849"/>
      <c r="GM111" s="849"/>
      <c r="GN111" s="849"/>
      <c r="GO111" s="849"/>
      <c r="GP111" s="849"/>
      <c r="GQ111" s="849"/>
    </row>
    <row r="112" spans="168:199" ht="10.5" customHeight="1">
      <c r="FL112" s="849"/>
      <c r="FM112" s="849"/>
      <c r="FN112" s="849"/>
      <c r="FO112" s="849"/>
      <c r="FP112" s="849"/>
      <c r="FQ112" s="849"/>
      <c r="FR112" s="849"/>
      <c r="FS112" s="849"/>
      <c r="FT112" s="849"/>
      <c r="FU112" s="849"/>
      <c r="FV112" s="849"/>
      <c r="FW112" s="690"/>
      <c r="FX112" s="690"/>
      <c r="FY112" s="690"/>
      <c r="FZ112" s="690"/>
      <c r="GG112" s="849"/>
      <c r="GH112" s="849"/>
      <c r="GI112" s="849"/>
      <c r="GJ112" s="849"/>
      <c r="GK112" s="849"/>
      <c r="GL112" s="849"/>
      <c r="GM112" s="849"/>
      <c r="GN112" s="849"/>
      <c r="GO112" s="849"/>
      <c r="GP112" s="849"/>
      <c r="GQ112" s="849"/>
    </row>
    <row r="113" spans="168:199" ht="10.5" customHeight="1">
      <c r="FL113" s="849"/>
      <c r="FM113" s="849"/>
      <c r="FN113" s="849"/>
      <c r="FO113" s="849"/>
      <c r="FP113" s="849"/>
      <c r="FQ113" s="849"/>
      <c r="FR113" s="849"/>
      <c r="FS113" s="849"/>
      <c r="FT113" s="849"/>
      <c r="FU113" s="849"/>
      <c r="FV113" s="849"/>
      <c r="FW113" s="690"/>
      <c r="FX113" s="690"/>
      <c r="FY113" s="690"/>
      <c r="FZ113" s="690"/>
      <c r="GG113" s="849"/>
      <c r="GH113" s="849"/>
      <c r="GI113" s="849"/>
      <c r="GJ113" s="849"/>
      <c r="GK113" s="849"/>
      <c r="GL113" s="849"/>
      <c r="GM113" s="849"/>
      <c r="GN113" s="849"/>
      <c r="GO113" s="849"/>
      <c r="GP113" s="849"/>
      <c r="GQ113" s="849"/>
    </row>
    <row r="114" spans="168:199" ht="10.5" customHeight="1">
      <c r="FL114" s="849"/>
      <c r="FM114" s="849"/>
      <c r="FN114" s="849"/>
      <c r="FO114" s="849"/>
      <c r="FP114" s="849"/>
      <c r="FQ114" s="849"/>
      <c r="FR114" s="849"/>
      <c r="FS114" s="849"/>
      <c r="FT114" s="849"/>
      <c r="FU114" s="849"/>
      <c r="FV114" s="849"/>
      <c r="FW114" s="690"/>
      <c r="FX114" s="690"/>
      <c r="FY114" s="690"/>
      <c r="FZ114" s="690"/>
      <c r="GG114" s="849"/>
      <c r="GH114" s="849"/>
      <c r="GI114" s="849"/>
      <c r="GJ114" s="849"/>
      <c r="GK114" s="849"/>
      <c r="GL114" s="849"/>
      <c r="GM114" s="849"/>
      <c r="GN114" s="849"/>
      <c r="GO114" s="849"/>
      <c r="GP114" s="849"/>
      <c r="GQ114" s="849"/>
    </row>
    <row r="115" spans="168:199" ht="10.5" customHeight="1">
      <c r="FL115" s="849"/>
      <c r="FM115" s="849"/>
      <c r="FN115" s="849"/>
      <c r="FO115" s="849"/>
      <c r="FP115" s="849"/>
      <c r="FQ115" s="849"/>
      <c r="FR115" s="849"/>
      <c r="FS115" s="849"/>
      <c r="FT115" s="849"/>
      <c r="FU115" s="849"/>
      <c r="FV115" s="849"/>
      <c r="FW115" s="690"/>
      <c r="FX115" s="690"/>
      <c r="FY115" s="690"/>
      <c r="FZ115" s="690"/>
      <c r="GG115" s="849"/>
      <c r="GH115" s="849"/>
      <c r="GI115" s="849"/>
      <c r="GJ115" s="849"/>
      <c r="GK115" s="849"/>
      <c r="GL115" s="849"/>
      <c r="GM115" s="849"/>
      <c r="GN115" s="849"/>
      <c r="GO115" s="849"/>
      <c r="GP115" s="849"/>
      <c r="GQ115" s="849"/>
    </row>
    <row r="116" spans="168:199" ht="10.5" customHeight="1">
      <c r="FL116" s="849"/>
      <c r="FM116" s="849"/>
      <c r="FN116" s="849"/>
      <c r="FO116" s="849"/>
      <c r="FP116" s="849"/>
      <c r="FQ116" s="849"/>
      <c r="FR116" s="849"/>
      <c r="FS116" s="849"/>
      <c r="FT116" s="849"/>
      <c r="FU116" s="849"/>
      <c r="FV116" s="849"/>
      <c r="FW116" s="690"/>
      <c r="FX116" s="690"/>
      <c r="FY116" s="690"/>
      <c r="FZ116" s="690"/>
      <c r="GG116" s="849"/>
      <c r="GH116" s="849"/>
      <c r="GI116" s="849"/>
      <c r="GJ116" s="849"/>
      <c r="GK116" s="849"/>
      <c r="GL116" s="849"/>
      <c r="GM116" s="849"/>
      <c r="GN116" s="849"/>
      <c r="GO116" s="849"/>
      <c r="GP116" s="849"/>
      <c r="GQ116" s="849"/>
    </row>
    <row r="117" spans="168:199" ht="10.5" customHeight="1">
      <c r="FL117" s="849"/>
      <c r="FM117" s="849"/>
      <c r="FN117" s="849"/>
      <c r="FO117" s="849"/>
      <c r="FP117" s="849"/>
      <c r="FQ117" s="849"/>
      <c r="FR117" s="849"/>
      <c r="FS117" s="849"/>
      <c r="FT117" s="849"/>
      <c r="FU117" s="849"/>
      <c r="FV117" s="849"/>
      <c r="FW117" s="690"/>
      <c r="FX117" s="690"/>
      <c r="FY117" s="690"/>
      <c r="FZ117" s="690"/>
      <c r="GG117" s="849"/>
      <c r="GH117" s="849"/>
      <c r="GI117" s="849"/>
      <c r="GJ117" s="849"/>
      <c r="GK117" s="849"/>
      <c r="GL117" s="849"/>
      <c r="GM117" s="849"/>
      <c r="GN117" s="849"/>
      <c r="GO117" s="849"/>
      <c r="GP117" s="849"/>
      <c r="GQ117" s="849"/>
    </row>
    <row r="118" spans="168:199" ht="10.5" customHeight="1">
      <c r="FL118" s="849"/>
      <c r="FM118" s="849"/>
      <c r="FN118" s="849"/>
      <c r="FO118" s="849"/>
      <c r="FP118" s="849"/>
      <c r="FQ118" s="849"/>
      <c r="FR118" s="849"/>
      <c r="FS118" s="849"/>
      <c r="FT118" s="849"/>
      <c r="FU118" s="849"/>
      <c r="FV118" s="849"/>
      <c r="FW118" s="690"/>
      <c r="FX118" s="690"/>
      <c r="FY118" s="690"/>
      <c r="FZ118" s="690"/>
      <c r="GG118" s="849"/>
      <c r="GH118" s="849"/>
      <c r="GI118" s="849"/>
      <c r="GJ118" s="849"/>
      <c r="GK118" s="849"/>
      <c r="GL118" s="849"/>
      <c r="GM118" s="849"/>
      <c r="GN118" s="849"/>
      <c r="GO118" s="849"/>
      <c r="GP118" s="849"/>
      <c r="GQ118" s="849"/>
    </row>
    <row r="119" spans="168:199" ht="10.5" customHeight="1">
      <c r="FL119" s="849"/>
      <c r="FM119" s="849"/>
      <c r="FN119" s="849"/>
      <c r="FO119" s="849"/>
      <c r="FP119" s="849"/>
      <c r="FQ119" s="849"/>
      <c r="FR119" s="849"/>
      <c r="FS119" s="849"/>
      <c r="FT119" s="849"/>
      <c r="FU119" s="849"/>
      <c r="FV119" s="849"/>
      <c r="FW119" s="690"/>
      <c r="FX119" s="690"/>
      <c r="FY119" s="690"/>
      <c r="FZ119" s="690"/>
      <c r="GG119" s="849"/>
      <c r="GH119" s="849"/>
      <c r="GI119" s="849"/>
      <c r="GJ119" s="849"/>
      <c r="GK119" s="849"/>
      <c r="GL119" s="849"/>
      <c r="GM119" s="849"/>
      <c r="GN119" s="849"/>
      <c r="GO119" s="849"/>
      <c r="GP119" s="849"/>
      <c r="GQ119" s="849"/>
    </row>
    <row r="120" spans="168:199" ht="10.5" customHeight="1">
      <c r="FL120" s="849"/>
      <c r="FM120" s="849"/>
      <c r="FN120" s="849"/>
      <c r="FO120" s="849"/>
      <c r="FP120" s="849"/>
      <c r="FQ120" s="849"/>
      <c r="FR120" s="849"/>
      <c r="FS120" s="849"/>
      <c r="FT120" s="849"/>
      <c r="FU120" s="849"/>
      <c r="FV120" s="849"/>
      <c r="FW120" s="690"/>
      <c r="FX120" s="690"/>
      <c r="FY120" s="690"/>
      <c r="FZ120" s="690"/>
      <c r="GG120" s="849"/>
      <c r="GH120" s="849"/>
      <c r="GI120" s="849"/>
      <c r="GJ120" s="849"/>
      <c r="GK120" s="849"/>
      <c r="GL120" s="849"/>
      <c r="GM120" s="849"/>
      <c r="GN120" s="849"/>
      <c r="GO120" s="849"/>
      <c r="GP120" s="849"/>
      <c r="GQ120" s="849"/>
    </row>
    <row r="121" spans="168:199" ht="10.5" customHeight="1">
      <c r="FL121" s="849"/>
      <c r="FM121" s="849"/>
      <c r="FN121" s="849"/>
      <c r="FO121" s="849"/>
      <c r="FP121" s="849"/>
      <c r="FQ121" s="849"/>
      <c r="FR121" s="849"/>
      <c r="FS121" s="849"/>
      <c r="FT121" s="849"/>
      <c r="FU121" s="849"/>
      <c r="FV121" s="849"/>
      <c r="FW121" s="690"/>
      <c r="FX121" s="690"/>
      <c r="FY121" s="690"/>
      <c r="FZ121" s="690"/>
      <c r="GG121" s="849"/>
      <c r="GH121" s="849"/>
      <c r="GI121" s="849"/>
      <c r="GJ121" s="849"/>
      <c r="GK121" s="849"/>
      <c r="GL121" s="849"/>
      <c r="GM121" s="849"/>
      <c r="GN121" s="849"/>
      <c r="GO121" s="849"/>
      <c r="GP121" s="849"/>
      <c r="GQ121" s="849"/>
    </row>
    <row r="122" spans="168:199" ht="10.5" customHeight="1">
      <c r="FL122" s="849"/>
      <c r="FM122" s="849"/>
      <c r="FN122" s="849"/>
      <c r="FO122" s="849"/>
      <c r="FP122" s="849"/>
      <c r="FQ122" s="849"/>
      <c r="FR122" s="849"/>
      <c r="FS122" s="849"/>
      <c r="FT122" s="849"/>
      <c r="FU122" s="849"/>
      <c r="FV122" s="849"/>
      <c r="FW122" s="690"/>
      <c r="FX122" s="690"/>
      <c r="FY122" s="690"/>
      <c r="FZ122" s="690"/>
      <c r="GG122" s="849"/>
      <c r="GH122" s="849"/>
      <c r="GI122" s="849"/>
      <c r="GJ122" s="849"/>
      <c r="GK122" s="849"/>
      <c r="GL122" s="849"/>
      <c r="GM122" s="849"/>
      <c r="GN122" s="849"/>
      <c r="GO122" s="849"/>
      <c r="GP122" s="849"/>
      <c r="GQ122" s="849"/>
    </row>
    <row r="123" spans="168:199" ht="10.5" customHeight="1">
      <c r="FL123" s="849"/>
      <c r="FM123" s="849"/>
      <c r="FN123" s="849"/>
      <c r="FO123" s="849"/>
      <c r="FP123" s="849"/>
      <c r="FQ123" s="849"/>
      <c r="FR123" s="849"/>
      <c r="FS123" s="849"/>
      <c r="FT123" s="849"/>
      <c r="FU123" s="849"/>
      <c r="FV123" s="849"/>
      <c r="FW123" s="690"/>
      <c r="FX123" s="690"/>
      <c r="FY123" s="690"/>
      <c r="FZ123" s="690"/>
      <c r="GG123" s="849"/>
      <c r="GH123" s="849"/>
      <c r="GI123" s="849"/>
      <c r="GJ123" s="849"/>
      <c r="GK123" s="849"/>
      <c r="GL123" s="849"/>
      <c r="GM123" s="849"/>
      <c r="GN123" s="849"/>
      <c r="GO123" s="849"/>
      <c r="GP123" s="849"/>
      <c r="GQ123" s="849"/>
    </row>
    <row r="124" spans="168:199" ht="10.5" customHeight="1">
      <c r="FL124" s="849"/>
      <c r="FM124" s="849"/>
      <c r="FN124" s="849"/>
      <c r="FO124" s="849"/>
      <c r="FP124" s="849"/>
      <c r="FQ124" s="849"/>
      <c r="FR124" s="849"/>
      <c r="FS124" s="849"/>
      <c r="FT124" s="849"/>
      <c r="FU124" s="849"/>
      <c r="FV124" s="849"/>
      <c r="FW124" s="690"/>
      <c r="FX124" s="690"/>
      <c r="FY124" s="690"/>
      <c r="FZ124" s="690"/>
      <c r="GG124" s="849"/>
      <c r="GH124" s="849"/>
      <c r="GI124" s="849"/>
      <c r="GJ124" s="849"/>
      <c r="GK124" s="849"/>
      <c r="GL124" s="849"/>
      <c r="GM124" s="849"/>
      <c r="GN124" s="849"/>
      <c r="GO124" s="849"/>
      <c r="GP124" s="849"/>
      <c r="GQ124" s="849"/>
    </row>
    <row r="125" spans="168:199" ht="10.5" customHeight="1">
      <c r="FL125" s="849"/>
      <c r="FM125" s="849"/>
      <c r="FN125" s="849"/>
      <c r="FO125" s="849"/>
      <c r="FP125" s="849"/>
      <c r="FQ125" s="849"/>
      <c r="FR125" s="849"/>
      <c r="FS125" s="849"/>
      <c r="FT125" s="849"/>
      <c r="FU125" s="849"/>
      <c r="FV125" s="849"/>
      <c r="FW125" s="690"/>
      <c r="FX125" s="690"/>
      <c r="FY125" s="690"/>
      <c r="FZ125" s="690"/>
      <c r="GG125" s="849"/>
      <c r="GH125" s="849"/>
      <c r="GI125" s="849"/>
      <c r="GJ125" s="849"/>
      <c r="GK125" s="849"/>
      <c r="GL125" s="849"/>
      <c r="GM125" s="849"/>
      <c r="GN125" s="849"/>
      <c r="GO125" s="849"/>
      <c r="GP125" s="849"/>
      <c r="GQ125" s="849"/>
    </row>
    <row r="126" spans="168:199" ht="10.5" customHeight="1">
      <c r="FL126" s="849"/>
      <c r="FM126" s="849"/>
      <c r="FN126" s="849"/>
      <c r="FO126" s="849"/>
      <c r="FP126" s="849"/>
      <c r="FQ126" s="849"/>
      <c r="FR126" s="849"/>
      <c r="FS126" s="849"/>
      <c r="FT126" s="849"/>
      <c r="FU126" s="849"/>
      <c r="FV126" s="849"/>
      <c r="FW126" s="690"/>
      <c r="FX126" s="690"/>
      <c r="FY126" s="690"/>
      <c r="FZ126" s="690"/>
      <c r="GG126" s="849"/>
      <c r="GH126" s="849"/>
      <c r="GI126" s="849"/>
      <c r="GJ126" s="849"/>
      <c r="GK126" s="849"/>
      <c r="GL126" s="849"/>
      <c r="GM126" s="849"/>
      <c r="GN126" s="849"/>
      <c r="GO126" s="849"/>
      <c r="GP126" s="849"/>
      <c r="GQ126" s="849"/>
    </row>
    <row r="127" spans="168:199" ht="10.5" customHeight="1">
      <c r="FL127" s="849"/>
      <c r="FM127" s="849"/>
      <c r="FN127" s="849"/>
      <c r="FO127" s="849"/>
      <c r="FP127" s="849"/>
      <c r="FQ127" s="849"/>
      <c r="FR127" s="849"/>
      <c r="FS127" s="849"/>
      <c r="FT127" s="849"/>
      <c r="FU127" s="849"/>
      <c r="FV127" s="849"/>
      <c r="FW127" s="690"/>
      <c r="FX127" s="690"/>
      <c r="FY127" s="690"/>
      <c r="FZ127" s="690"/>
      <c r="GG127" s="849"/>
      <c r="GH127" s="849"/>
      <c r="GI127" s="849"/>
      <c r="GJ127" s="849"/>
      <c r="GK127" s="849"/>
      <c r="GL127" s="849"/>
      <c r="GM127" s="849"/>
      <c r="GN127" s="849"/>
      <c r="GO127" s="849"/>
      <c r="GP127" s="849"/>
      <c r="GQ127" s="849"/>
    </row>
    <row r="128" spans="168:199" ht="10.5" customHeight="1">
      <c r="FL128" s="849"/>
      <c r="FM128" s="849"/>
      <c r="FN128" s="849"/>
      <c r="FO128" s="849"/>
      <c r="FP128" s="849"/>
      <c r="FQ128" s="849"/>
      <c r="FR128" s="849"/>
      <c r="FS128" s="849"/>
      <c r="FT128" s="849"/>
      <c r="FU128" s="849"/>
      <c r="FV128" s="849"/>
      <c r="FW128" s="690"/>
      <c r="FX128" s="690"/>
      <c r="FY128" s="690"/>
      <c r="FZ128" s="690"/>
      <c r="GG128" s="849"/>
      <c r="GH128" s="849"/>
      <c r="GI128" s="849"/>
      <c r="GJ128" s="849"/>
      <c r="GK128" s="849"/>
      <c r="GL128" s="849"/>
      <c r="GM128" s="849"/>
      <c r="GN128" s="849"/>
      <c r="GO128" s="849"/>
      <c r="GP128" s="849"/>
      <c r="GQ128" s="849"/>
    </row>
    <row r="129" spans="168:199" ht="10.5" customHeight="1">
      <c r="FL129" s="849"/>
      <c r="FM129" s="849"/>
      <c r="FN129" s="849"/>
      <c r="FO129" s="849"/>
      <c r="FP129" s="849"/>
      <c r="FQ129" s="849"/>
      <c r="FR129" s="849"/>
      <c r="FS129" s="849"/>
      <c r="FT129" s="849"/>
      <c r="FU129" s="849"/>
      <c r="FV129" s="849"/>
      <c r="FW129" s="690"/>
      <c r="FX129" s="690"/>
      <c r="FY129" s="690"/>
      <c r="FZ129" s="690"/>
      <c r="GG129" s="849"/>
      <c r="GH129" s="849"/>
      <c r="GI129" s="849"/>
      <c r="GJ129" s="849"/>
      <c r="GK129" s="849"/>
      <c r="GL129" s="849"/>
      <c r="GM129" s="849"/>
      <c r="GN129" s="849"/>
      <c r="GO129" s="849"/>
      <c r="GP129" s="849"/>
      <c r="GQ129" s="849"/>
    </row>
    <row r="130" spans="168:199" ht="10.5" customHeight="1">
      <c r="FL130" s="849"/>
      <c r="FM130" s="849"/>
      <c r="FN130" s="849"/>
      <c r="FO130" s="849"/>
      <c r="FP130" s="849"/>
      <c r="FQ130" s="849"/>
      <c r="FR130" s="849"/>
      <c r="FS130" s="849"/>
      <c r="FT130" s="849"/>
      <c r="FU130" s="849"/>
      <c r="FV130" s="849"/>
      <c r="FW130" s="690"/>
      <c r="FX130" s="690"/>
      <c r="FY130" s="690"/>
      <c r="FZ130" s="690"/>
      <c r="GG130" s="849"/>
      <c r="GH130" s="849"/>
      <c r="GI130" s="849"/>
      <c r="GJ130" s="849"/>
      <c r="GK130" s="849"/>
      <c r="GL130" s="849"/>
      <c r="GM130" s="849"/>
      <c r="GN130" s="849"/>
      <c r="GO130" s="849"/>
      <c r="GP130" s="849"/>
      <c r="GQ130" s="849"/>
    </row>
    <row r="131" spans="168:199" ht="10.5" customHeight="1">
      <c r="FL131" s="849"/>
      <c r="FM131" s="849"/>
      <c r="FN131" s="849"/>
      <c r="FO131" s="849"/>
      <c r="FP131" s="849"/>
      <c r="FQ131" s="849"/>
      <c r="FR131" s="849"/>
      <c r="FS131" s="849"/>
      <c r="FT131" s="849"/>
      <c r="FU131" s="849"/>
      <c r="FV131" s="849"/>
      <c r="FW131" s="690"/>
      <c r="FX131" s="690"/>
      <c r="FY131" s="690"/>
      <c r="FZ131" s="690"/>
      <c r="GG131" s="849"/>
      <c r="GH131" s="849"/>
      <c r="GI131" s="849"/>
      <c r="GJ131" s="849"/>
      <c r="GK131" s="849"/>
      <c r="GL131" s="849"/>
      <c r="GM131" s="849"/>
      <c r="GN131" s="849"/>
      <c r="GO131" s="849"/>
      <c r="GP131" s="849"/>
      <c r="GQ131" s="849"/>
    </row>
    <row r="132" spans="168:199" ht="10.5" customHeight="1">
      <c r="FL132" s="849"/>
      <c r="FM132" s="849"/>
      <c r="FN132" s="849"/>
      <c r="FO132" s="849"/>
      <c r="FP132" s="849"/>
      <c r="FQ132" s="849"/>
      <c r="FR132" s="849"/>
      <c r="FS132" s="849"/>
      <c r="FT132" s="849"/>
      <c r="FU132" s="849"/>
      <c r="FV132" s="849"/>
      <c r="FW132" s="690"/>
      <c r="FX132" s="690"/>
      <c r="FY132" s="690"/>
      <c r="FZ132" s="690"/>
      <c r="GG132" s="849"/>
      <c r="GH132" s="849"/>
      <c r="GI132" s="849"/>
      <c r="GJ132" s="849"/>
      <c r="GK132" s="849"/>
      <c r="GL132" s="849"/>
      <c r="GM132" s="849"/>
      <c r="GN132" s="849"/>
      <c r="GO132" s="849"/>
      <c r="GP132" s="849"/>
      <c r="GQ132" s="849"/>
    </row>
    <row r="133" spans="168:199" ht="10.5" customHeight="1">
      <c r="FL133" s="849"/>
      <c r="FM133" s="849"/>
      <c r="FN133" s="849"/>
      <c r="FO133" s="849"/>
      <c r="FP133" s="849"/>
      <c r="FQ133" s="849"/>
      <c r="FR133" s="849"/>
      <c r="FS133" s="849"/>
      <c r="FT133" s="849"/>
      <c r="FU133" s="849"/>
      <c r="FV133" s="849"/>
      <c r="FW133" s="690"/>
      <c r="FX133" s="690"/>
      <c r="FY133" s="690"/>
      <c r="FZ133" s="690"/>
      <c r="GG133" s="849"/>
      <c r="GH133" s="849"/>
      <c r="GI133" s="849"/>
      <c r="GJ133" s="849"/>
      <c r="GK133" s="849"/>
      <c r="GL133" s="849"/>
      <c r="GM133" s="849"/>
      <c r="GN133" s="849"/>
      <c r="GO133" s="849"/>
      <c r="GP133" s="849"/>
      <c r="GQ133" s="849"/>
    </row>
    <row r="134" spans="168:199" ht="10.5" customHeight="1">
      <c r="FL134" s="849"/>
      <c r="FM134" s="849"/>
      <c r="FN134" s="849"/>
      <c r="FO134" s="849"/>
      <c r="FP134" s="849"/>
      <c r="FQ134" s="849"/>
      <c r="FR134" s="849"/>
      <c r="FS134" s="849"/>
      <c r="FT134" s="849"/>
      <c r="FU134" s="849"/>
      <c r="FV134" s="849"/>
      <c r="FW134" s="690"/>
      <c r="FX134" s="690"/>
      <c r="FY134" s="690"/>
      <c r="FZ134" s="690"/>
      <c r="GG134" s="849"/>
      <c r="GH134" s="849"/>
      <c r="GI134" s="849"/>
      <c r="GJ134" s="849"/>
      <c r="GK134" s="849"/>
      <c r="GL134" s="849"/>
      <c r="GM134" s="849"/>
      <c r="GN134" s="849"/>
      <c r="GO134" s="849"/>
      <c r="GP134" s="849"/>
      <c r="GQ134" s="849"/>
    </row>
    <row r="135" spans="168:199" ht="10.5" customHeight="1">
      <c r="FL135" s="849"/>
      <c r="FM135" s="849"/>
      <c r="FN135" s="849"/>
      <c r="FO135" s="849"/>
      <c r="FP135" s="849"/>
      <c r="FQ135" s="849"/>
      <c r="FR135" s="849"/>
      <c r="FS135" s="849"/>
      <c r="FT135" s="849"/>
      <c r="FU135" s="849"/>
      <c r="FV135" s="849"/>
      <c r="FW135" s="690"/>
      <c r="FX135" s="690"/>
      <c r="FY135" s="690"/>
      <c r="FZ135" s="690"/>
      <c r="GG135" s="849"/>
      <c r="GH135" s="849"/>
      <c r="GI135" s="849"/>
      <c r="GJ135" s="849"/>
      <c r="GK135" s="849"/>
      <c r="GL135" s="849"/>
      <c r="GM135" s="849"/>
      <c r="GN135" s="849"/>
      <c r="GO135" s="849"/>
      <c r="GP135" s="849"/>
      <c r="GQ135" s="849"/>
    </row>
    <row r="136" spans="168:199" ht="10.5" customHeight="1">
      <c r="FL136" s="849"/>
      <c r="FM136" s="849"/>
      <c r="FN136" s="849"/>
      <c r="FO136" s="849"/>
      <c r="FP136" s="849"/>
      <c r="FQ136" s="849"/>
      <c r="FR136" s="849"/>
      <c r="FS136" s="849"/>
      <c r="FT136" s="849"/>
      <c r="FU136" s="849"/>
      <c r="FV136" s="849"/>
      <c r="FW136" s="690"/>
      <c r="FX136" s="690"/>
      <c r="FY136" s="690"/>
      <c r="FZ136" s="690"/>
      <c r="GG136" s="849"/>
      <c r="GH136" s="849"/>
      <c r="GI136" s="849"/>
      <c r="GJ136" s="849"/>
      <c r="GK136" s="849"/>
      <c r="GL136" s="849"/>
      <c r="GM136" s="849"/>
      <c r="GN136" s="849"/>
      <c r="GO136" s="849"/>
      <c r="GP136" s="849"/>
      <c r="GQ136" s="849"/>
    </row>
    <row r="137" spans="168:199" ht="10.5" customHeight="1">
      <c r="FL137" s="849"/>
      <c r="FM137" s="849"/>
      <c r="FN137" s="849"/>
      <c r="FO137" s="849"/>
      <c r="FP137" s="849"/>
      <c r="FQ137" s="849"/>
      <c r="FR137" s="849"/>
      <c r="FS137" s="849"/>
      <c r="FT137" s="849"/>
      <c r="FU137" s="849"/>
      <c r="FV137" s="849"/>
      <c r="FW137" s="690"/>
      <c r="FX137" s="690"/>
      <c r="FY137" s="690"/>
      <c r="FZ137" s="690"/>
      <c r="GG137" s="849"/>
      <c r="GH137" s="849"/>
      <c r="GI137" s="849"/>
      <c r="GJ137" s="849"/>
      <c r="GK137" s="849"/>
      <c r="GL137" s="849"/>
      <c r="GM137" s="849"/>
      <c r="GN137" s="849"/>
      <c r="GO137" s="849"/>
      <c r="GP137" s="849"/>
      <c r="GQ137" s="849"/>
    </row>
    <row r="138" spans="168:199" ht="10.5" customHeight="1">
      <c r="FL138" s="849"/>
      <c r="FM138" s="849"/>
      <c r="FN138" s="849"/>
      <c r="FO138" s="849"/>
      <c r="FP138" s="849"/>
      <c r="FQ138" s="849"/>
      <c r="FR138" s="849"/>
      <c r="FS138" s="849"/>
      <c r="FT138" s="849"/>
      <c r="FU138" s="849"/>
      <c r="FV138" s="849"/>
      <c r="FW138" s="690"/>
      <c r="FX138" s="690"/>
      <c r="FY138" s="690"/>
      <c r="FZ138" s="690"/>
      <c r="GG138" s="849"/>
      <c r="GH138" s="849"/>
      <c r="GI138" s="849"/>
      <c r="GJ138" s="849"/>
      <c r="GK138" s="849"/>
      <c r="GL138" s="849"/>
      <c r="GM138" s="849"/>
      <c r="GN138" s="849"/>
      <c r="GO138" s="849"/>
      <c r="GP138" s="849"/>
      <c r="GQ138" s="849"/>
    </row>
    <row r="139" spans="168:199" ht="10.5" customHeight="1">
      <c r="FL139" s="849"/>
      <c r="FM139" s="849"/>
      <c r="FN139" s="849"/>
      <c r="FO139" s="849"/>
      <c r="FP139" s="849"/>
      <c r="FQ139" s="849"/>
      <c r="FR139" s="849"/>
      <c r="FS139" s="849"/>
      <c r="FT139" s="849"/>
      <c r="FU139" s="849"/>
      <c r="FV139" s="849"/>
      <c r="FW139" s="690"/>
      <c r="FX139" s="690"/>
      <c r="FY139" s="690"/>
      <c r="FZ139" s="690"/>
      <c r="GG139" s="849"/>
      <c r="GH139" s="849"/>
      <c r="GI139" s="849"/>
      <c r="GJ139" s="849"/>
      <c r="GK139" s="849"/>
      <c r="GL139" s="849"/>
      <c r="GM139" s="849"/>
      <c r="GN139" s="849"/>
      <c r="GO139" s="849"/>
      <c r="GP139" s="849"/>
      <c r="GQ139" s="849"/>
    </row>
    <row r="140" spans="168:199" ht="10.5" customHeight="1">
      <c r="FL140" s="849"/>
      <c r="FM140" s="849"/>
      <c r="FN140" s="849"/>
      <c r="FO140" s="849"/>
      <c r="FP140" s="849"/>
      <c r="FQ140" s="849"/>
      <c r="FR140" s="849"/>
      <c r="FS140" s="849"/>
      <c r="FT140" s="849"/>
      <c r="FU140" s="849"/>
      <c r="FV140" s="849"/>
      <c r="FW140" s="690"/>
      <c r="FX140" s="690"/>
      <c r="FY140" s="690"/>
      <c r="FZ140" s="690"/>
      <c r="GG140" s="849"/>
      <c r="GH140" s="849"/>
      <c r="GI140" s="849"/>
      <c r="GJ140" s="849"/>
      <c r="GK140" s="849"/>
      <c r="GL140" s="849"/>
      <c r="GM140" s="849"/>
      <c r="GN140" s="849"/>
      <c r="GO140" s="849"/>
      <c r="GP140" s="849"/>
      <c r="GQ140" s="849"/>
    </row>
    <row r="141" spans="168:199" ht="10.5" customHeight="1">
      <c r="FL141" s="849"/>
      <c r="FM141" s="849"/>
      <c r="FN141" s="849"/>
      <c r="FO141" s="849"/>
      <c r="FP141" s="849"/>
      <c r="FQ141" s="849"/>
      <c r="FR141" s="849"/>
      <c r="FS141" s="849"/>
      <c r="FT141" s="849"/>
      <c r="FU141" s="849"/>
      <c r="FV141" s="849"/>
      <c r="FW141" s="690"/>
      <c r="FX141" s="690"/>
      <c r="FY141" s="690"/>
      <c r="FZ141" s="690"/>
      <c r="GG141" s="849"/>
      <c r="GH141" s="849"/>
      <c r="GI141" s="849"/>
      <c r="GJ141" s="849"/>
      <c r="GK141" s="849"/>
      <c r="GL141" s="849"/>
      <c r="GM141" s="849"/>
      <c r="GN141" s="849"/>
      <c r="GO141" s="849"/>
      <c r="GP141" s="849"/>
      <c r="GQ141" s="849"/>
    </row>
    <row r="142" spans="168:199" ht="10.5" customHeight="1">
      <c r="FL142" s="849"/>
      <c r="FM142" s="849"/>
      <c r="FN142" s="849"/>
      <c r="FO142" s="849"/>
      <c r="FP142" s="849"/>
      <c r="FQ142" s="849"/>
      <c r="FR142" s="849"/>
      <c r="FS142" s="849"/>
      <c r="FT142" s="849"/>
      <c r="FU142" s="849"/>
      <c r="FV142" s="849"/>
      <c r="FW142" s="690"/>
      <c r="FX142" s="690"/>
      <c r="FY142" s="690"/>
      <c r="FZ142" s="690"/>
      <c r="GG142" s="849"/>
      <c r="GH142" s="849"/>
      <c r="GI142" s="849"/>
      <c r="GJ142" s="849"/>
      <c r="GK142" s="849"/>
      <c r="GL142" s="849"/>
      <c r="GM142" s="849"/>
      <c r="GN142" s="849"/>
      <c r="GO142" s="849"/>
      <c r="GP142" s="849"/>
      <c r="GQ142" s="849"/>
    </row>
    <row r="143" spans="168:199" ht="10.5" customHeight="1">
      <c r="FL143" s="849"/>
      <c r="FM143" s="849"/>
      <c r="FN143" s="849"/>
      <c r="FO143" s="849"/>
      <c r="FP143" s="849"/>
      <c r="FQ143" s="849"/>
      <c r="FR143" s="849"/>
      <c r="FS143" s="849"/>
      <c r="FT143" s="849"/>
      <c r="FU143" s="849"/>
      <c r="FV143" s="849"/>
      <c r="FW143" s="690"/>
      <c r="FX143" s="690"/>
      <c r="FY143" s="690"/>
      <c r="FZ143" s="690"/>
      <c r="GG143" s="849"/>
      <c r="GH143" s="849"/>
      <c r="GI143" s="849"/>
      <c r="GJ143" s="849"/>
      <c r="GK143" s="849"/>
      <c r="GL143" s="849"/>
      <c r="GM143" s="849"/>
      <c r="GN143" s="849"/>
      <c r="GO143" s="849"/>
      <c r="GP143" s="849"/>
      <c r="GQ143" s="849"/>
    </row>
    <row r="144" spans="168:199" ht="10.5" customHeight="1">
      <c r="FL144" s="849"/>
      <c r="FM144" s="849"/>
      <c r="FN144" s="849"/>
      <c r="FO144" s="849"/>
      <c r="FP144" s="849"/>
      <c r="FQ144" s="849"/>
      <c r="FR144" s="849"/>
      <c r="FS144" s="849"/>
      <c r="FT144" s="849"/>
      <c r="FU144" s="849"/>
      <c r="FV144" s="849"/>
      <c r="FW144" s="690"/>
      <c r="FX144" s="690"/>
      <c r="FY144" s="690"/>
      <c r="FZ144" s="690"/>
      <c r="GG144" s="849"/>
      <c r="GH144" s="849"/>
      <c r="GI144" s="849"/>
      <c r="GJ144" s="849"/>
      <c r="GK144" s="849"/>
      <c r="GL144" s="849"/>
      <c r="GM144" s="849"/>
      <c r="GN144" s="849"/>
      <c r="GO144" s="849"/>
      <c r="GP144" s="849"/>
      <c r="GQ144" s="849"/>
    </row>
    <row r="145" spans="168:199" ht="10.5" customHeight="1">
      <c r="FL145" s="849"/>
      <c r="FM145" s="849"/>
      <c r="FN145" s="849"/>
      <c r="FO145" s="849"/>
      <c r="FP145" s="849"/>
      <c r="FQ145" s="849"/>
      <c r="FR145" s="849"/>
      <c r="FS145" s="849"/>
      <c r="FT145" s="849"/>
      <c r="FU145" s="849"/>
      <c r="FV145" s="849"/>
      <c r="FW145" s="690"/>
      <c r="FX145" s="690"/>
      <c r="FY145" s="690"/>
      <c r="FZ145" s="690"/>
      <c r="GG145" s="849"/>
      <c r="GH145" s="849"/>
      <c r="GI145" s="849"/>
      <c r="GJ145" s="849"/>
      <c r="GK145" s="849"/>
      <c r="GL145" s="849"/>
      <c r="GM145" s="849"/>
      <c r="GN145" s="849"/>
      <c r="GO145" s="849"/>
      <c r="GP145" s="849"/>
      <c r="GQ145" s="849"/>
    </row>
    <row r="146" spans="168:199" ht="10.5" customHeight="1">
      <c r="FL146" s="849"/>
      <c r="FM146" s="849"/>
      <c r="FN146" s="849"/>
      <c r="FO146" s="849"/>
      <c r="FP146" s="849"/>
      <c r="FQ146" s="849"/>
      <c r="FR146" s="849"/>
      <c r="FS146" s="849"/>
      <c r="FT146" s="849"/>
      <c r="FU146" s="849"/>
      <c r="FV146" s="849"/>
      <c r="FW146" s="690"/>
      <c r="FX146" s="690"/>
      <c r="FY146" s="690"/>
      <c r="FZ146" s="690"/>
      <c r="GG146" s="849"/>
      <c r="GH146" s="849"/>
      <c r="GI146" s="849"/>
      <c r="GJ146" s="849"/>
      <c r="GK146" s="849"/>
      <c r="GL146" s="849"/>
      <c r="GM146" s="849"/>
      <c r="GN146" s="849"/>
      <c r="GO146" s="849"/>
      <c r="GP146" s="849"/>
      <c r="GQ146" s="849"/>
    </row>
    <row r="147" spans="168:199" ht="10.5" customHeight="1">
      <c r="FL147" s="849"/>
      <c r="FM147" s="849"/>
      <c r="FN147" s="849"/>
      <c r="FO147" s="849"/>
      <c r="FP147" s="849"/>
      <c r="FQ147" s="849"/>
      <c r="FR147" s="849"/>
      <c r="FS147" s="849"/>
      <c r="FT147" s="849"/>
      <c r="FU147" s="849"/>
      <c r="FV147" s="849"/>
      <c r="FW147" s="690"/>
      <c r="FX147" s="690"/>
      <c r="FY147" s="690"/>
      <c r="FZ147" s="690"/>
      <c r="GG147" s="849"/>
      <c r="GH147" s="849"/>
      <c r="GI147" s="849"/>
      <c r="GJ147" s="849"/>
      <c r="GK147" s="849"/>
      <c r="GL147" s="849"/>
      <c r="GM147" s="849"/>
      <c r="GN147" s="849"/>
      <c r="GO147" s="849"/>
      <c r="GP147" s="849"/>
      <c r="GQ147" s="849"/>
    </row>
    <row r="148" spans="168:199" ht="10.5" customHeight="1">
      <c r="FL148" s="849"/>
      <c r="FM148" s="849"/>
      <c r="FN148" s="849"/>
      <c r="FO148" s="849"/>
      <c r="FP148" s="849"/>
      <c r="FQ148" s="849"/>
      <c r="FR148" s="849"/>
      <c r="FS148" s="849"/>
      <c r="FT148" s="849"/>
      <c r="FU148" s="849"/>
      <c r="FV148" s="849"/>
      <c r="FW148" s="690"/>
      <c r="FX148" s="690"/>
      <c r="FY148" s="690"/>
      <c r="FZ148" s="690"/>
      <c r="GG148" s="849"/>
      <c r="GH148" s="849"/>
      <c r="GI148" s="849"/>
      <c r="GJ148" s="849"/>
      <c r="GK148" s="849"/>
      <c r="GL148" s="849"/>
      <c r="GM148" s="849"/>
      <c r="GN148" s="849"/>
      <c r="GO148" s="849"/>
      <c r="GP148" s="849"/>
      <c r="GQ148" s="849"/>
    </row>
    <row r="149" spans="168:199" ht="10.5" customHeight="1">
      <c r="FL149" s="849"/>
      <c r="FM149" s="849"/>
      <c r="FN149" s="849"/>
      <c r="FO149" s="849"/>
      <c r="FP149" s="849"/>
      <c r="FQ149" s="849"/>
      <c r="FR149" s="849"/>
      <c r="FS149" s="849"/>
      <c r="FT149" s="849"/>
      <c r="FU149" s="849"/>
      <c r="FV149" s="849"/>
      <c r="FW149" s="690"/>
      <c r="FX149" s="690"/>
      <c r="FY149" s="690"/>
      <c r="FZ149" s="690"/>
      <c r="GG149" s="849"/>
      <c r="GH149" s="849"/>
      <c r="GI149" s="849"/>
      <c r="GJ149" s="849"/>
      <c r="GK149" s="849"/>
      <c r="GL149" s="849"/>
      <c r="GM149" s="849"/>
      <c r="GN149" s="849"/>
      <c r="GO149" s="849"/>
      <c r="GP149" s="849"/>
      <c r="GQ149" s="849"/>
    </row>
    <row r="150" spans="168:199" ht="10.5" customHeight="1">
      <c r="FM150" s="849"/>
      <c r="FN150" s="849"/>
      <c r="FO150" s="849"/>
      <c r="FP150" s="849"/>
      <c r="FQ150" s="849"/>
      <c r="FR150" s="849"/>
      <c r="FS150" s="849"/>
      <c r="FT150" s="849"/>
      <c r="FU150" s="849"/>
      <c r="FV150" s="849"/>
      <c r="FW150" s="690"/>
      <c r="FX150" s="690"/>
      <c r="FY150" s="690"/>
      <c r="FZ150" s="690"/>
      <c r="GH150" s="849"/>
      <c r="GI150" s="849"/>
      <c r="GJ150" s="849"/>
      <c r="GK150" s="849"/>
      <c r="GL150" s="849"/>
      <c r="GM150" s="849"/>
      <c r="GN150" s="849"/>
      <c r="GO150" s="849"/>
      <c r="GP150" s="849"/>
      <c r="GQ150" s="849"/>
    </row>
    <row r="151" spans="168:199" ht="10.5" customHeight="1">
      <c r="FM151" s="849"/>
      <c r="FN151" s="849"/>
      <c r="FO151" s="849"/>
      <c r="FP151" s="849"/>
      <c r="FQ151" s="849"/>
      <c r="FR151" s="849"/>
      <c r="FS151" s="849"/>
      <c r="FT151" s="849"/>
      <c r="FU151" s="849"/>
      <c r="FV151" s="849"/>
      <c r="FW151" s="690"/>
      <c r="FX151" s="690"/>
      <c r="FY151" s="690"/>
      <c r="FZ151" s="690"/>
      <c r="GH151" s="849"/>
      <c r="GI151" s="849"/>
      <c r="GJ151" s="849"/>
      <c r="GK151" s="849"/>
      <c r="GL151" s="849"/>
      <c r="GM151" s="849"/>
      <c r="GN151" s="849"/>
      <c r="GO151" s="849"/>
      <c r="GP151" s="849"/>
      <c r="GQ151" s="849"/>
    </row>
    <row r="152" spans="168:199" ht="10.5" customHeight="1">
      <c r="FM152" s="849"/>
      <c r="FN152" s="849"/>
      <c r="FO152" s="849"/>
      <c r="FP152" s="849"/>
      <c r="FQ152" s="849"/>
      <c r="FR152" s="849"/>
      <c r="FS152" s="849"/>
      <c r="FT152" s="849"/>
      <c r="FU152" s="849"/>
      <c r="FV152" s="849"/>
      <c r="FW152" s="690"/>
      <c r="FX152" s="690"/>
      <c r="FY152" s="690"/>
      <c r="FZ152" s="690"/>
      <c r="GH152" s="849"/>
      <c r="GI152" s="849"/>
      <c r="GJ152" s="849"/>
      <c r="GK152" s="849"/>
      <c r="GL152" s="849"/>
      <c r="GM152" s="849"/>
      <c r="GN152" s="849"/>
      <c r="GO152" s="849"/>
      <c r="GP152" s="849"/>
      <c r="GQ152" s="849"/>
    </row>
    <row r="153" spans="168:199" ht="10.5" customHeight="1">
      <c r="FM153" s="849"/>
      <c r="FN153" s="849"/>
      <c r="FO153" s="849"/>
      <c r="FP153" s="849"/>
      <c r="FQ153" s="849"/>
      <c r="FR153" s="849"/>
      <c r="FS153" s="849"/>
      <c r="FT153" s="849"/>
      <c r="FU153" s="849"/>
      <c r="FV153" s="849"/>
      <c r="FW153" s="690"/>
      <c r="FX153" s="690"/>
      <c r="FY153" s="690"/>
      <c r="FZ153" s="690"/>
      <c r="GH153" s="849"/>
      <c r="GI153" s="849"/>
      <c r="GJ153" s="849"/>
      <c r="GK153" s="849"/>
      <c r="GL153" s="849"/>
      <c r="GM153" s="849"/>
      <c r="GN153" s="849"/>
      <c r="GO153" s="849"/>
      <c r="GP153" s="849"/>
      <c r="GQ153" s="849"/>
    </row>
    <row r="154" spans="168:199" ht="10.5" customHeight="1">
      <c r="FM154" s="849"/>
      <c r="FN154" s="849"/>
      <c r="FO154" s="849"/>
      <c r="FP154" s="849"/>
      <c r="FQ154" s="849"/>
      <c r="FR154" s="849"/>
      <c r="FS154" s="849"/>
      <c r="FT154" s="849"/>
      <c r="FU154" s="849"/>
      <c r="FV154" s="849"/>
      <c r="FW154" s="690"/>
      <c r="FX154" s="690"/>
      <c r="FY154" s="690"/>
      <c r="FZ154" s="690"/>
      <c r="GH154" s="849"/>
      <c r="GI154" s="849"/>
      <c r="GJ154" s="849"/>
      <c r="GK154" s="849"/>
      <c r="GL154" s="849"/>
      <c r="GM154" s="849"/>
      <c r="GN154" s="849"/>
      <c r="GO154" s="849"/>
      <c r="GP154" s="849"/>
      <c r="GQ154" s="849"/>
    </row>
    <row r="155" spans="168:199" ht="10.5" customHeight="1">
      <c r="FM155" s="849"/>
      <c r="FN155" s="849"/>
      <c r="FO155" s="849"/>
      <c r="FP155" s="849"/>
      <c r="FQ155" s="849"/>
      <c r="FR155" s="849"/>
      <c r="FS155" s="849"/>
      <c r="FT155" s="849"/>
      <c r="FU155" s="849"/>
      <c r="FV155" s="849"/>
      <c r="FW155" s="690"/>
      <c r="FX155" s="690"/>
      <c r="FY155" s="690"/>
      <c r="FZ155" s="690"/>
      <c r="GH155" s="849"/>
      <c r="GI155" s="849"/>
      <c r="GJ155" s="849"/>
      <c r="GK155" s="849"/>
      <c r="GL155" s="849"/>
      <c r="GM155" s="849"/>
      <c r="GN155" s="849"/>
      <c r="GO155" s="849"/>
      <c r="GP155" s="849"/>
      <c r="GQ155" s="849"/>
    </row>
    <row r="156" spans="168:199" ht="10.5" customHeight="1">
      <c r="FM156" s="849"/>
      <c r="FN156" s="849"/>
      <c r="FO156" s="849"/>
      <c r="FP156" s="849"/>
      <c r="FQ156" s="849"/>
      <c r="FR156" s="849"/>
      <c r="FS156" s="849"/>
      <c r="FT156" s="849"/>
      <c r="FU156" s="849"/>
      <c r="FV156" s="849"/>
      <c r="FW156" s="690"/>
      <c r="FX156" s="690"/>
      <c r="FY156" s="690"/>
      <c r="FZ156" s="690"/>
      <c r="GH156" s="849"/>
      <c r="GI156" s="849"/>
      <c r="GJ156" s="849"/>
      <c r="GK156" s="849"/>
      <c r="GL156" s="849"/>
      <c r="GM156" s="849"/>
      <c r="GN156" s="849"/>
      <c r="GO156" s="849"/>
      <c r="GP156" s="849"/>
      <c r="GQ156" s="849"/>
    </row>
    <row r="157" spans="168:199" ht="10.5" customHeight="1">
      <c r="FM157" s="849"/>
      <c r="FN157" s="849"/>
      <c r="FO157" s="849"/>
      <c r="FP157" s="849"/>
      <c r="FQ157" s="849"/>
      <c r="FR157" s="849"/>
      <c r="FS157" s="849"/>
      <c r="FT157" s="849"/>
      <c r="FU157" s="849"/>
      <c r="FV157" s="849"/>
      <c r="FW157" s="690"/>
      <c r="FX157" s="690"/>
      <c r="FY157" s="690"/>
      <c r="FZ157" s="690"/>
      <c r="GH157" s="849"/>
      <c r="GI157" s="849"/>
      <c r="GJ157" s="849"/>
      <c r="GK157" s="849"/>
      <c r="GL157" s="849"/>
      <c r="GM157" s="849"/>
      <c r="GN157" s="849"/>
      <c r="GO157" s="849"/>
      <c r="GP157" s="849"/>
      <c r="GQ157" s="849"/>
    </row>
    <row r="158" spans="168:199" ht="10.5" customHeight="1">
      <c r="FM158" s="849"/>
      <c r="FN158" s="849"/>
      <c r="FO158" s="849"/>
      <c r="FP158" s="849"/>
      <c r="FQ158" s="849"/>
      <c r="FR158" s="849"/>
      <c r="FS158" s="849"/>
      <c r="FT158" s="849"/>
      <c r="FU158" s="849"/>
      <c r="FV158" s="849"/>
      <c r="FW158" s="690"/>
      <c r="FX158" s="690"/>
      <c r="FY158" s="690"/>
      <c r="FZ158" s="690"/>
      <c r="GH158" s="849"/>
      <c r="GI158" s="849"/>
      <c r="GJ158" s="849"/>
      <c r="GK158" s="849"/>
      <c r="GL158" s="849"/>
      <c r="GM158" s="849"/>
      <c r="GN158" s="849"/>
      <c r="GO158" s="849"/>
      <c r="GP158" s="849"/>
      <c r="GQ158" s="849"/>
    </row>
    <row r="159" spans="168:199" ht="10.5" customHeight="1">
      <c r="FM159" s="849"/>
      <c r="FN159" s="849"/>
      <c r="FO159" s="849"/>
      <c r="FP159" s="849"/>
      <c r="FQ159" s="849"/>
      <c r="FR159" s="849"/>
      <c r="FS159" s="849"/>
      <c r="FT159" s="849"/>
      <c r="FU159" s="849"/>
      <c r="FV159" s="849"/>
      <c r="FW159" s="690"/>
      <c r="FX159" s="690"/>
      <c r="FY159" s="690"/>
      <c r="FZ159" s="690"/>
      <c r="GH159" s="849"/>
      <c r="GI159" s="849"/>
      <c r="GJ159" s="849"/>
      <c r="GK159" s="849"/>
      <c r="GL159" s="849"/>
      <c r="GM159" s="849"/>
      <c r="GN159" s="849"/>
      <c r="GO159" s="849"/>
      <c r="GP159" s="849"/>
      <c r="GQ159" s="849"/>
    </row>
    <row r="160" spans="168:199" ht="10.5" customHeight="1">
      <c r="FM160" s="849"/>
      <c r="FN160" s="849"/>
      <c r="FO160" s="849"/>
      <c r="FP160" s="849"/>
      <c r="FQ160" s="849"/>
      <c r="FR160" s="849"/>
      <c r="FS160" s="849"/>
      <c r="FT160" s="849"/>
      <c r="FU160" s="849"/>
      <c r="FV160" s="849"/>
      <c r="FW160" s="690"/>
      <c r="FX160" s="690"/>
      <c r="FY160" s="690"/>
      <c r="FZ160" s="690"/>
      <c r="GH160" s="849"/>
      <c r="GI160" s="849"/>
      <c r="GJ160" s="849"/>
      <c r="GK160" s="849"/>
      <c r="GL160" s="849"/>
      <c r="GM160" s="849"/>
      <c r="GN160" s="849"/>
      <c r="GO160" s="849"/>
      <c r="GP160" s="849"/>
      <c r="GQ160" s="849"/>
    </row>
    <row r="161" spans="169:199" ht="10.5" customHeight="1">
      <c r="FM161" s="849"/>
      <c r="FN161" s="849"/>
      <c r="FO161" s="849"/>
      <c r="FP161" s="849"/>
      <c r="FQ161" s="849"/>
      <c r="FR161" s="849"/>
      <c r="FS161" s="849"/>
      <c r="FT161" s="849"/>
      <c r="FU161" s="849"/>
      <c r="FV161" s="849"/>
      <c r="FW161" s="690"/>
      <c r="FX161" s="690"/>
      <c r="FY161" s="690"/>
      <c r="FZ161" s="690"/>
      <c r="GH161" s="849"/>
      <c r="GI161" s="849"/>
      <c r="GJ161" s="849"/>
      <c r="GK161" s="849"/>
      <c r="GL161" s="849"/>
      <c r="GM161" s="849"/>
      <c r="GN161" s="849"/>
      <c r="GO161" s="849"/>
      <c r="GP161" s="849"/>
      <c r="GQ161" s="849"/>
    </row>
    <row r="162" spans="169:199" ht="10.5" customHeight="1">
      <c r="FM162" s="849"/>
      <c r="FN162" s="849"/>
      <c r="FO162" s="849"/>
      <c r="FP162" s="849"/>
      <c r="FQ162" s="849"/>
      <c r="FR162" s="849"/>
      <c r="FS162" s="849"/>
      <c r="FT162" s="849"/>
      <c r="FU162" s="849"/>
      <c r="FV162" s="849"/>
      <c r="FW162" s="690"/>
      <c r="FX162" s="690"/>
      <c r="FY162" s="690"/>
      <c r="FZ162" s="690"/>
      <c r="GH162" s="849"/>
      <c r="GI162" s="849"/>
      <c r="GJ162" s="849"/>
      <c r="GK162" s="849"/>
      <c r="GL162" s="849"/>
      <c r="GM162" s="849"/>
      <c r="GN162" s="849"/>
      <c r="GO162" s="849"/>
      <c r="GP162" s="849"/>
      <c r="GQ162" s="849"/>
    </row>
    <row r="163" spans="169:199" ht="10.5" customHeight="1">
      <c r="FM163" s="849"/>
      <c r="FN163" s="849"/>
      <c r="FO163" s="849"/>
      <c r="FP163" s="849"/>
      <c r="FQ163" s="849"/>
      <c r="FR163" s="849"/>
      <c r="FS163" s="849"/>
      <c r="FT163" s="849"/>
      <c r="FU163" s="849"/>
      <c r="FV163" s="849"/>
      <c r="FW163" s="690"/>
      <c r="FX163" s="690"/>
      <c r="FY163" s="690"/>
      <c r="FZ163" s="690"/>
      <c r="GH163" s="849"/>
      <c r="GI163" s="849"/>
      <c r="GJ163" s="849"/>
      <c r="GK163" s="849"/>
      <c r="GL163" s="849"/>
      <c r="GM163" s="849"/>
      <c r="GN163" s="849"/>
      <c r="GO163" s="849"/>
      <c r="GP163" s="849"/>
      <c r="GQ163" s="849"/>
    </row>
    <row r="164" spans="169:199" ht="10.5" customHeight="1">
      <c r="FM164" s="849"/>
      <c r="FN164" s="849"/>
      <c r="FO164" s="849"/>
      <c r="FP164" s="849"/>
      <c r="FQ164" s="849"/>
      <c r="FR164" s="849"/>
      <c r="FS164" s="849"/>
      <c r="FT164" s="849"/>
      <c r="FU164" s="849"/>
      <c r="FV164" s="849"/>
      <c r="FW164" s="690"/>
      <c r="FX164" s="690"/>
      <c r="FY164" s="690"/>
      <c r="FZ164" s="690"/>
      <c r="GH164" s="849"/>
      <c r="GI164" s="849"/>
      <c r="GJ164" s="849"/>
      <c r="GK164" s="849"/>
      <c r="GL164" s="849"/>
      <c r="GM164" s="849"/>
      <c r="GN164" s="849"/>
      <c r="GO164" s="849"/>
      <c r="GP164" s="849"/>
      <c r="GQ164" s="849"/>
    </row>
    <row r="165" spans="169:199" ht="10.5" customHeight="1">
      <c r="FM165" s="849"/>
      <c r="FN165" s="849"/>
      <c r="FO165" s="849"/>
      <c r="FP165" s="849"/>
      <c r="FQ165" s="849"/>
      <c r="FR165" s="849"/>
      <c r="FS165" s="849"/>
      <c r="FT165" s="849"/>
      <c r="FU165" s="849"/>
      <c r="FV165" s="849"/>
      <c r="FW165" s="690"/>
      <c r="FX165" s="690"/>
      <c r="FY165" s="690"/>
      <c r="FZ165" s="690"/>
      <c r="GH165" s="849"/>
      <c r="GI165" s="849"/>
      <c r="GJ165" s="849"/>
      <c r="GK165" s="849"/>
      <c r="GL165" s="849"/>
      <c r="GM165" s="849"/>
      <c r="GN165" s="849"/>
      <c r="GO165" s="849"/>
      <c r="GP165" s="849"/>
      <c r="GQ165" s="849"/>
    </row>
    <row r="166" spans="169:199" ht="10.5" customHeight="1">
      <c r="FM166" s="849"/>
      <c r="FN166" s="849"/>
      <c r="FO166" s="849"/>
      <c r="FP166" s="849"/>
      <c r="FQ166" s="849"/>
      <c r="FR166" s="849"/>
      <c r="FS166" s="849"/>
      <c r="FT166" s="849"/>
      <c r="FU166" s="849"/>
      <c r="FV166" s="849"/>
      <c r="FW166" s="690"/>
      <c r="FX166" s="690"/>
      <c r="FY166" s="690"/>
      <c r="FZ166" s="690"/>
      <c r="GH166" s="849"/>
      <c r="GI166" s="849"/>
      <c r="GJ166" s="849"/>
      <c r="GK166" s="849"/>
      <c r="GL166" s="849"/>
      <c r="GM166" s="849"/>
      <c r="GN166" s="849"/>
      <c r="GO166" s="849"/>
      <c r="GP166" s="849"/>
      <c r="GQ166" s="849"/>
    </row>
    <row r="167" spans="169:199" ht="10.5" customHeight="1">
      <c r="FM167" s="849"/>
      <c r="FN167" s="849"/>
      <c r="FO167" s="849"/>
      <c r="FP167" s="849"/>
      <c r="FQ167" s="849"/>
      <c r="FR167" s="849"/>
      <c r="FS167" s="849"/>
      <c r="FT167" s="849"/>
      <c r="FU167" s="849"/>
      <c r="FV167" s="849"/>
      <c r="FW167" s="690"/>
      <c r="FX167" s="690"/>
      <c r="FY167" s="690"/>
      <c r="FZ167" s="690"/>
      <c r="GH167" s="849"/>
      <c r="GI167" s="849"/>
      <c r="GJ167" s="849"/>
      <c r="GK167" s="849"/>
      <c r="GL167" s="849"/>
      <c r="GM167" s="849"/>
      <c r="GN167" s="849"/>
      <c r="GO167" s="849"/>
      <c r="GP167" s="849"/>
      <c r="GQ167" s="849"/>
    </row>
    <row r="168" spans="169:199" ht="10.5" customHeight="1">
      <c r="FM168" s="849"/>
      <c r="FN168" s="849"/>
      <c r="FO168" s="849"/>
      <c r="FP168" s="849"/>
      <c r="FQ168" s="849"/>
      <c r="FR168" s="849"/>
      <c r="FS168" s="849"/>
      <c r="FT168" s="849"/>
      <c r="FU168" s="849"/>
      <c r="FV168" s="849"/>
      <c r="FW168" s="690"/>
      <c r="FX168" s="690"/>
      <c r="FY168" s="690"/>
      <c r="FZ168" s="690"/>
      <c r="GH168" s="849"/>
      <c r="GI168" s="849"/>
      <c r="GJ168" s="849"/>
      <c r="GK168" s="849"/>
      <c r="GL168" s="849"/>
      <c r="GM168" s="849"/>
      <c r="GN168" s="849"/>
      <c r="GO168" s="849"/>
      <c r="GP168" s="849"/>
      <c r="GQ168" s="849"/>
    </row>
    <row r="169" spans="169:199" ht="10.5" customHeight="1">
      <c r="FM169" s="849"/>
      <c r="FN169" s="849"/>
      <c r="FO169" s="849"/>
      <c r="FP169" s="849"/>
      <c r="FQ169" s="849"/>
      <c r="FR169" s="849"/>
      <c r="FS169" s="849"/>
      <c r="FT169" s="849"/>
      <c r="FU169" s="849"/>
      <c r="FV169" s="849"/>
      <c r="FW169" s="690"/>
      <c r="FX169" s="690"/>
      <c r="FY169" s="690"/>
      <c r="FZ169" s="690"/>
      <c r="GH169" s="849"/>
      <c r="GI169" s="849"/>
      <c r="GJ169" s="849"/>
      <c r="GK169" s="849"/>
      <c r="GL169" s="849"/>
      <c r="GM169" s="849"/>
      <c r="GN169" s="849"/>
      <c r="GO169" s="849"/>
      <c r="GP169" s="849"/>
      <c r="GQ169" s="849"/>
    </row>
    <row r="170" spans="169:199" ht="10.5" customHeight="1">
      <c r="FM170" s="849"/>
      <c r="FN170" s="849"/>
      <c r="FO170" s="849"/>
      <c r="FP170" s="849"/>
      <c r="FQ170" s="849"/>
      <c r="FR170" s="849"/>
      <c r="FS170" s="849"/>
      <c r="FT170" s="849"/>
      <c r="FU170" s="849"/>
      <c r="FV170" s="849"/>
      <c r="FW170" s="690"/>
      <c r="FX170" s="690"/>
      <c r="FY170" s="690"/>
      <c r="FZ170" s="690"/>
      <c r="GH170" s="849"/>
      <c r="GI170" s="849"/>
      <c r="GJ170" s="849"/>
      <c r="GK170" s="849"/>
      <c r="GL170" s="849"/>
      <c r="GM170" s="849"/>
      <c r="GN170" s="849"/>
      <c r="GO170" s="849"/>
      <c r="GP170" s="849"/>
      <c r="GQ170" s="849"/>
    </row>
    <row r="171" spans="169:199" ht="10.5" customHeight="1">
      <c r="FM171" s="849"/>
      <c r="FN171" s="849"/>
      <c r="FO171" s="849"/>
      <c r="FP171" s="849"/>
      <c r="FQ171" s="849"/>
      <c r="FR171" s="849"/>
      <c r="FS171" s="849"/>
      <c r="FT171" s="849"/>
      <c r="FU171" s="849"/>
      <c r="FV171" s="849"/>
      <c r="FW171" s="690"/>
      <c r="FX171" s="690"/>
      <c r="FY171" s="690"/>
      <c r="FZ171" s="690"/>
      <c r="GH171" s="849"/>
      <c r="GI171" s="849"/>
      <c r="GJ171" s="849"/>
      <c r="GK171" s="849"/>
      <c r="GL171" s="849"/>
      <c r="GM171" s="849"/>
      <c r="GN171" s="849"/>
      <c r="GO171" s="849"/>
      <c r="GP171" s="849"/>
      <c r="GQ171" s="849"/>
    </row>
    <row r="172" spans="169:199" ht="10.5" customHeight="1">
      <c r="FM172" s="849"/>
      <c r="FN172" s="849"/>
      <c r="FO172" s="849"/>
      <c r="FP172" s="849"/>
      <c r="FQ172" s="849"/>
      <c r="FR172" s="849"/>
      <c r="FS172" s="849"/>
      <c r="FT172" s="849"/>
      <c r="FU172" s="849"/>
      <c r="FV172" s="849"/>
      <c r="FW172" s="690"/>
      <c r="FX172" s="690"/>
      <c r="FY172" s="690"/>
      <c r="FZ172" s="690"/>
      <c r="GH172" s="849"/>
      <c r="GI172" s="849"/>
      <c r="GJ172" s="849"/>
      <c r="GK172" s="849"/>
      <c r="GL172" s="849"/>
      <c r="GM172" s="849"/>
      <c r="GN172" s="849"/>
      <c r="GO172" s="849"/>
      <c r="GP172" s="849"/>
      <c r="GQ172" s="849"/>
    </row>
    <row r="173" spans="169:199" ht="10.5" customHeight="1">
      <c r="FM173" s="849"/>
      <c r="FN173" s="849"/>
      <c r="FO173" s="849"/>
      <c r="FP173" s="849"/>
      <c r="FQ173" s="849"/>
      <c r="FR173" s="849"/>
      <c r="FS173" s="849"/>
      <c r="FT173" s="849"/>
      <c r="FU173" s="849"/>
      <c r="FV173" s="849"/>
      <c r="FW173" s="690"/>
      <c r="FX173" s="690"/>
      <c r="FY173" s="690"/>
      <c r="FZ173" s="690"/>
      <c r="GH173" s="849"/>
      <c r="GI173" s="849"/>
      <c r="GJ173" s="849"/>
      <c r="GK173" s="849"/>
      <c r="GL173" s="849"/>
      <c r="GM173" s="849"/>
      <c r="GN173" s="849"/>
      <c r="GO173" s="849"/>
      <c r="GP173" s="849"/>
      <c r="GQ173" s="849"/>
    </row>
    <row r="174" spans="169:199" ht="10.5" customHeight="1">
      <c r="FM174" s="849"/>
      <c r="FN174" s="849"/>
      <c r="FO174" s="849"/>
      <c r="FP174" s="849"/>
      <c r="FQ174" s="849"/>
      <c r="FR174" s="849"/>
      <c r="FS174" s="849"/>
      <c r="FT174" s="849"/>
      <c r="FU174" s="849"/>
      <c r="FV174" s="849"/>
      <c r="FW174" s="690"/>
      <c r="FX174" s="690"/>
      <c r="FY174" s="690"/>
      <c r="FZ174" s="690"/>
      <c r="GH174" s="849"/>
      <c r="GI174" s="849"/>
      <c r="GJ174" s="849"/>
      <c r="GK174" s="849"/>
      <c r="GL174" s="849"/>
      <c r="GM174" s="849"/>
      <c r="GN174" s="849"/>
      <c r="GO174" s="849"/>
      <c r="GP174" s="849"/>
      <c r="GQ174" s="849"/>
    </row>
    <row r="175" spans="169:199" ht="10.5" customHeight="1">
      <c r="FM175" s="849"/>
      <c r="FN175" s="849"/>
      <c r="FO175" s="849"/>
      <c r="FP175" s="849"/>
      <c r="FQ175" s="849"/>
      <c r="FR175" s="849"/>
      <c r="FS175" s="849"/>
      <c r="FT175" s="849"/>
      <c r="FU175" s="849"/>
      <c r="FV175" s="849"/>
      <c r="FW175" s="690"/>
      <c r="FX175" s="690"/>
      <c r="FY175" s="690"/>
      <c r="FZ175" s="690"/>
      <c r="GH175" s="849"/>
      <c r="GI175" s="849"/>
      <c r="GJ175" s="849"/>
      <c r="GK175" s="849"/>
      <c r="GL175" s="849"/>
      <c r="GM175" s="849"/>
      <c r="GN175" s="849"/>
      <c r="GO175" s="849"/>
      <c r="GP175" s="849"/>
      <c r="GQ175" s="849"/>
    </row>
    <row r="176" spans="169:199" ht="10.5" customHeight="1">
      <c r="FM176" s="849"/>
      <c r="FN176" s="849"/>
      <c r="FO176" s="849"/>
      <c r="FP176" s="849"/>
      <c r="FQ176" s="849"/>
      <c r="FR176" s="849"/>
      <c r="FS176" s="849"/>
      <c r="FT176" s="849"/>
      <c r="FU176" s="849"/>
      <c r="FV176" s="849"/>
      <c r="FW176" s="690"/>
      <c r="FX176" s="690"/>
      <c r="FY176" s="690"/>
      <c r="FZ176" s="690"/>
      <c r="GH176" s="849"/>
      <c r="GI176" s="849"/>
      <c r="GJ176" s="849"/>
      <c r="GK176" s="849"/>
      <c r="GL176" s="849"/>
      <c r="GM176" s="849"/>
      <c r="GN176" s="849"/>
      <c r="GO176" s="849"/>
      <c r="GP176" s="849"/>
      <c r="GQ176" s="849"/>
    </row>
    <row r="177" spans="169:199" ht="10.5" customHeight="1">
      <c r="FM177" s="849"/>
      <c r="FN177" s="849"/>
      <c r="FO177" s="849"/>
      <c r="FP177" s="849"/>
      <c r="FQ177" s="849"/>
      <c r="FR177" s="849"/>
      <c r="FS177" s="849"/>
      <c r="FT177" s="849"/>
      <c r="FU177" s="849"/>
      <c r="FV177" s="849"/>
      <c r="FW177" s="690"/>
      <c r="FX177" s="690"/>
      <c r="FY177" s="690"/>
      <c r="FZ177" s="690"/>
      <c r="GH177" s="849"/>
      <c r="GI177" s="849"/>
      <c r="GJ177" s="849"/>
      <c r="GK177" s="849"/>
      <c r="GL177" s="849"/>
      <c r="GM177" s="849"/>
      <c r="GN177" s="849"/>
      <c r="GO177" s="849"/>
      <c r="GP177" s="849"/>
      <c r="GQ177" s="849"/>
    </row>
    <row r="178" spans="169:199" ht="10.5" customHeight="1">
      <c r="FM178" s="849"/>
      <c r="FN178" s="849"/>
      <c r="FO178" s="849"/>
      <c r="FP178" s="849"/>
      <c r="FQ178" s="849"/>
      <c r="FR178" s="849"/>
      <c r="FS178" s="849"/>
      <c r="FT178" s="849"/>
      <c r="FU178" s="849"/>
      <c r="FV178" s="849"/>
      <c r="FW178" s="690"/>
      <c r="FX178" s="690"/>
      <c r="FY178" s="690"/>
      <c r="FZ178" s="690"/>
      <c r="GH178" s="849"/>
      <c r="GI178" s="849"/>
      <c r="GJ178" s="849"/>
      <c r="GK178" s="849"/>
      <c r="GL178" s="849"/>
      <c r="GM178" s="849"/>
      <c r="GN178" s="849"/>
      <c r="GO178" s="849"/>
      <c r="GP178" s="849"/>
      <c r="GQ178" s="849"/>
    </row>
    <row r="179" spans="169:199" ht="10.5" customHeight="1">
      <c r="FM179" s="849"/>
      <c r="FN179" s="849"/>
      <c r="FO179" s="849"/>
      <c r="FP179" s="849"/>
      <c r="FQ179" s="849"/>
      <c r="FR179" s="849"/>
      <c r="FS179" s="849"/>
      <c r="FT179" s="849"/>
      <c r="FU179" s="849"/>
      <c r="FV179" s="849"/>
      <c r="FW179" s="690"/>
      <c r="FX179" s="690"/>
      <c r="FY179" s="690"/>
      <c r="FZ179" s="690"/>
      <c r="GH179" s="849"/>
      <c r="GI179" s="849"/>
      <c r="GJ179" s="849"/>
      <c r="GK179" s="849"/>
      <c r="GL179" s="849"/>
      <c r="GM179" s="849"/>
      <c r="GN179" s="849"/>
      <c r="GO179" s="849"/>
      <c r="GP179" s="849"/>
      <c r="GQ179" s="849"/>
    </row>
    <row r="180" spans="169:199" ht="10.5" customHeight="1">
      <c r="FM180" s="849"/>
      <c r="FN180" s="849"/>
      <c r="FO180" s="849"/>
      <c r="FP180" s="849"/>
      <c r="FQ180" s="849"/>
      <c r="FR180" s="849"/>
      <c r="FS180" s="849"/>
      <c r="FT180" s="849"/>
      <c r="FU180" s="849"/>
      <c r="FV180" s="849"/>
      <c r="FW180" s="690"/>
      <c r="FX180" s="690"/>
      <c r="FY180" s="690"/>
      <c r="FZ180" s="690"/>
      <c r="GH180" s="849"/>
      <c r="GI180" s="849"/>
      <c r="GJ180" s="849"/>
      <c r="GK180" s="849"/>
      <c r="GL180" s="849"/>
      <c r="GM180" s="849"/>
      <c r="GN180" s="849"/>
      <c r="GO180" s="849"/>
      <c r="GP180" s="849"/>
      <c r="GQ180" s="849"/>
    </row>
    <row r="181" spans="169:199" ht="10.5" customHeight="1">
      <c r="FM181" s="849"/>
      <c r="FN181" s="849"/>
      <c r="FO181" s="849"/>
      <c r="FP181" s="849"/>
      <c r="FQ181" s="849"/>
      <c r="FR181" s="849"/>
      <c r="FS181" s="849"/>
      <c r="FT181" s="849"/>
      <c r="FU181" s="849"/>
      <c r="FV181" s="849"/>
      <c r="FW181" s="690"/>
      <c r="FX181" s="690"/>
      <c r="FY181" s="690"/>
      <c r="FZ181" s="690"/>
      <c r="GH181" s="849"/>
      <c r="GI181" s="849"/>
      <c r="GJ181" s="849"/>
      <c r="GK181" s="849"/>
      <c r="GL181" s="849"/>
      <c r="GM181" s="849"/>
      <c r="GN181" s="849"/>
      <c r="GO181" s="849"/>
      <c r="GP181" s="849"/>
      <c r="GQ181" s="849"/>
    </row>
    <row r="182" spans="169:199" ht="10.5" customHeight="1">
      <c r="FM182" s="849"/>
      <c r="FN182" s="849"/>
      <c r="FO182" s="849"/>
      <c r="FP182" s="849"/>
      <c r="FQ182" s="849"/>
      <c r="FR182" s="849"/>
      <c r="FS182" s="849"/>
      <c r="FT182" s="849"/>
      <c r="FU182" s="849"/>
      <c r="FV182" s="849"/>
      <c r="FW182" s="690"/>
      <c r="FX182" s="690"/>
      <c r="FY182" s="690"/>
      <c r="FZ182" s="690"/>
      <c r="GH182" s="849"/>
      <c r="GI182" s="849"/>
      <c r="GJ182" s="849"/>
      <c r="GK182" s="849"/>
      <c r="GL182" s="849"/>
      <c r="GM182" s="849"/>
      <c r="GN182" s="849"/>
      <c r="GO182" s="849"/>
      <c r="GP182" s="849"/>
      <c r="GQ182" s="849"/>
    </row>
    <row r="183" spans="169:199" ht="10.5" customHeight="1">
      <c r="FM183" s="849"/>
      <c r="FN183" s="849"/>
      <c r="FO183" s="849"/>
      <c r="FP183" s="849"/>
      <c r="FQ183" s="849"/>
      <c r="FR183" s="849"/>
      <c r="FS183" s="849"/>
      <c r="FT183" s="849"/>
      <c r="FU183" s="849"/>
      <c r="FV183" s="849"/>
      <c r="FW183" s="690"/>
      <c r="FX183" s="690"/>
      <c r="FY183" s="690"/>
      <c r="FZ183" s="690"/>
      <c r="GH183" s="849"/>
      <c r="GI183" s="849"/>
      <c r="GJ183" s="849"/>
      <c r="GK183" s="849"/>
      <c r="GL183" s="849"/>
      <c r="GM183" s="849"/>
      <c r="GN183" s="849"/>
      <c r="GO183" s="849"/>
      <c r="GP183" s="849"/>
      <c r="GQ183" s="849"/>
    </row>
    <row r="184" spans="169:199" ht="10.5" customHeight="1">
      <c r="FM184" s="849"/>
      <c r="FN184" s="849"/>
      <c r="FO184" s="849"/>
      <c r="FP184" s="849"/>
      <c r="FQ184" s="849"/>
      <c r="FR184" s="849"/>
      <c r="FS184" s="849"/>
      <c r="FT184" s="849"/>
      <c r="FU184" s="849"/>
      <c r="FV184" s="849"/>
      <c r="FW184" s="690"/>
      <c r="FX184" s="690"/>
      <c r="FY184" s="690"/>
      <c r="FZ184" s="690"/>
      <c r="GH184" s="849"/>
      <c r="GI184" s="849"/>
      <c r="GJ184" s="849"/>
      <c r="GK184" s="849"/>
      <c r="GL184" s="849"/>
      <c r="GM184" s="849"/>
      <c r="GN184" s="849"/>
      <c r="GO184" s="849"/>
      <c r="GP184" s="849"/>
      <c r="GQ184" s="849"/>
    </row>
    <row r="185" spans="169:199" ht="10.5" customHeight="1">
      <c r="FM185" s="849"/>
      <c r="FN185" s="849"/>
      <c r="FO185" s="849"/>
      <c r="FP185" s="849"/>
      <c r="FQ185" s="849"/>
      <c r="FR185" s="849"/>
      <c r="FS185" s="849"/>
      <c r="FT185" s="849"/>
      <c r="FU185" s="849"/>
      <c r="FV185" s="849"/>
      <c r="FW185" s="690"/>
      <c r="FX185" s="690"/>
      <c r="FY185" s="690"/>
      <c r="FZ185" s="690"/>
      <c r="GH185" s="849"/>
      <c r="GI185" s="849"/>
      <c r="GJ185" s="849"/>
      <c r="GK185" s="849"/>
      <c r="GL185" s="849"/>
      <c r="GM185" s="849"/>
      <c r="GN185" s="849"/>
      <c r="GO185" s="849"/>
      <c r="GP185" s="849"/>
      <c r="GQ185" s="849"/>
    </row>
    <row r="186" spans="169:199" ht="10.5" customHeight="1">
      <c r="FM186" s="849"/>
      <c r="FN186" s="849"/>
      <c r="FO186" s="849"/>
      <c r="FP186" s="849"/>
      <c r="FQ186" s="849"/>
      <c r="FR186" s="849"/>
      <c r="FS186" s="849"/>
      <c r="FT186" s="849"/>
      <c r="FU186" s="849"/>
      <c r="FV186" s="849"/>
      <c r="FW186" s="690"/>
      <c r="FX186" s="690"/>
      <c r="FY186" s="690"/>
      <c r="FZ186" s="690"/>
      <c r="GH186" s="849"/>
      <c r="GI186" s="849"/>
      <c r="GJ186" s="849"/>
      <c r="GK186" s="849"/>
      <c r="GL186" s="849"/>
      <c r="GM186" s="849"/>
      <c r="GN186" s="849"/>
      <c r="GO186" s="849"/>
      <c r="GP186" s="849"/>
      <c r="GQ186" s="849"/>
    </row>
    <row r="187" spans="169:199" ht="10.5" customHeight="1">
      <c r="FM187" s="849"/>
      <c r="FN187" s="849"/>
      <c r="FO187" s="849"/>
      <c r="FP187" s="849"/>
      <c r="FQ187" s="849"/>
      <c r="FR187" s="849"/>
      <c r="FS187" s="849"/>
      <c r="FT187" s="849"/>
      <c r="FU187" s="849"/>
      <c r="FV187" s="849"/>
      <c r="FW187" s="690"/>
      <c r="FX187" s="690"/>
      <c r="FY187" s="690"/>
      <c r="FZ187" s="690"/>
      <c r="GH187" s="849"/>
      <c r="GI187" s="849"/>
      <c r="GJ187" s="849"/>
      <c r="GK187" s="849"/>
      <c r="GL187" s="849"/>
      <c r="GM187" s="849"/>
      <c r="GN187" s="849"/>
      <c r="GO187" s="849"/>
      <c r="GP187" s="849"/>
      <c r="GQ187" s="849"/>
    </row>
    <row r="188" spans="169:199" ht="10.5" customHeight="1">
      <c r="FM188" s="849"/>
      <c r="FN188" s="849"/>
      <c r="FO188" s="849"/>
      <c r="FP188" s="849"/>
      <c r="FQ188" s="849"/>
      <c r="FR188" s="849"/>
      <c r="FS188" s="849"/>
      <c r="FT188" s="849"/>
      <c r="FU188" s="849"/>
      <c r="FV188" s="849"/>
      <c r="FW188" s="690"/>
      <c r="FX188" s="690"/>
      <c r="FY188" s="690"/>
      <c r="FZ188" s="690"/>
      <c r="GH188" s="849"/>
      <c r="GI188" s="849"/>
      <c r="GJ188" s="849"/>
      <c r="GK188" s="849"/>
      <c r="GL188" s="849"/>
      <c r="GM188" s="849"/>
      <c r="GN188" s="849"/>
      <c r="GO188" s="849"/>
      <c r="GP188" s="849"/>
      <c r="GQ188" s="849"/>
    </row>
    <row r="189" spans="169:199" ht="10.5" customHeight="1">
      <c r="FM189" s="849"/>
      <c r="FN189" s="849"/>
      <c r="FO189" s="849"/>
      <c r="FP189" s="849"/>
      <c r="FQ189" s="849"/>
      <c r="FR189" s="849"/>
      <c r="FS189" s="849"/>
      <c r="FT189" s="849"/>
      <c r="FU189" s="849"/>
      <c r="FV189" s="849"/>
      <c r="FW189" s="690"/>
      <c r="FX189" s="690"/>
      <c r="FY189" s="690"/>
      <c r="FZ189" s="690"/>
      <c r="GH189" s="849"/>
      <c r="GI189" s="849"/>
      <c r="GJ189" s="849"/>
      <c r="GK189" s="849"/>
      <c r="GL189" s="849"/>
      <c r="GM189" s="849"/>
      <c r="GN189" s="849"/>
      <c r="GO189" s="849"/>
      <c r="GP189" s="849"/>
      <c r="GQ189" s="849"/>
    </row>
    <row r="190" spans="169:199" ht="10.5" customHeight="1">
      <c r="FM190" s="849"/>
      <c r="FN190" s="849"/>
      <c r="FO190" s="849"/>
      <c r="FP190" s="849"/>
      <c r="FQ190" s="849"/>
      <c r="FR190" s="849"/>
      <c r="FS190" s="849"/>
      <c r="FT190" s="849"/>
      <c r="FU190" s="849"/>
      <c r="FV190" s="849"/>
      <c r="FW190" s="690"/>
      <c r="FX190" s="690"/>
      <c r="FY190" s="690"/>
      <c r="FZ190" s="690"/>
      <c r="GH190" s="849"/>
      <c r="GI190" s="849"/>
      <c r="GJ190" s="849"/>
      <c r="GK190" s="849"/>
      <c r="GL190" s="849"/>
      <c r="GM190" s="849"/>
      <c r="GN190" s="849"/>
      <c r="GO190" s="849"/>
      <c r="GP190" s="849"/>
      <c r="GQ190" s="849"/>
    </row>
    <row r="191" spans="169:199" ht="10.5" customHeight="1">
      <c r="FM191" s="849"/>
      <c r="FN191" s="849"/>
      <c r="FO191" s="849"/>
      <c r="FP191" s="849"/>
      <c r="FQ191" s="849"/>
      <c r="FR191" s="849"/>
      <c r="FS191" s="849"/>
      <c r="FT191" s="849"/>
      <c r="FU191" s="849"/>
      <c r="FV191" s="849"/>
      <c r="FW191" s="690"/>
      <c r="FX191" s="690"/>
      <c r="FY191" s="690"/>
      <c r="FZ191" s="690"/>
      <c r="GH191" s="849"/>
      <c r="GI191" s="849"/>
      <c r="GJ191" s="849"/>
      <c r="GK191" s="849"/>
      <c r="GL191" s="849"/>
      <c r="GM191" s="849"/>
      <c r="GN191" s="849"/>
      <c r="GO191" s="849"/>
      <c r="GP191" s="849"/>
      <c r="GQ191" s="849"/>
    </row>
    <row r="192" spans="169:199" ht="10.5" customHeight="1">
      <c r="FM192" s="849"/>
      <c r="FN192" s="849"/>
      <c r="FO192" s="849"/>
      <c r="FP192" s="849"/>
      <c r="FQ192" s="849"/>
      <c r="FR192" s="849"/>
      <c r="FS192" s="849"/>
      <c r="FT192" s="849"/>
      <c r="FU192" s="849"/>
      <c r="FV192" s="849"/>
      <c r="FW192" s="690"/>
      <c r="FX192" s="690"/>
      <c r="FY192" s="690"/>
      <c r="FZ192" s="690"/>
      <c r="GH192" s="849"/>
      <c r="GI192" s="849"/>
      <c r="GJ192" s="849"/>
      <c r="GK192" s="849"/>
      <c r="GL192" s="849"/>
      <c r="GM192" s="849"/>
      <c r="GN192" s="849"/>
      <c r="GO192" s="849"/>
      <c r="GP192" s="849"/>
      <c r="GQ192" s="849"/>
    </row>
    <row r="193" spans="169:199" ht="10.5" customHeight="1">
      <c r="FM193" s="849"/>
      <c r="FN193" s="849"/>
      <c r="FO193" s="849"/>
      <c r="FP193" s="849"/>
      <c r="FQ193" s="849"/>
      <c r="FR193" s="849"/>
      <c r="FS193" s="849"/>
      <c r="FT193" s="849"/>
      <c r="FU193" s="849"/>
      <c r="FV193" s="849"/>
      <c r="FW193" s="690"/>
      <c r="FX193" s="690"/>
      <c r="FY193" s="690"/>
      <c r="FZ193" s="690"/>
      <c r="GH193" s="849"/>
      <c r="GI193" s="849"/>
      <c r="GJ193" s="849"/>
      <c r="GK193" s="849"/>
      <c r="GL193" s="849"/>
      <c r="GM193" s="849"/>
      <c r="GN193" s="849"/>
      <c r="GO193" s="849"/>
      <c r="GP193" s="849"/>
      <c r="GQ193" s="849"/>
    </row>
    <row r="194" spans="169:199" ht="10.5" customHeight="1">
      <c r="FM194" s="849"/>
      <c r="FN194" s="849"/>
      <c r="FO194" s="849"/>
      <c r="FP194" s="849"/>
      <c r="FQ194" s="849"/>
      <c r="FR194" s="849"/>
      <c r="FS194" s="849"/>
      <c r="FT194" s="849"/>
      <c r="FU194" s="849"/>
      <c r="FV194" s="849"/>
      <c r="FW194" s="690"/>
      <c r="FX194" s="690"/>
      <c r="FY194" s="690"/>
      <c r="FZ194" s="690"/>
      <c r="GH194" s="849"/>
      <c r="GI194" s="849"/>
      <c r="GJ194" s="849"/>
      <c r="GK194" s="849"/>
      <c r="GL194" s="849"/>
      <c r="GM194" s="849"/>
      <c r="GN194" s="849"/>
      <c r="GO194" s="849"/>
      <c r="GP194" s="849"/>
      <c r="GQ194" s="849"/>
    </row>
    <row r="195" spans="169:199" ht="10.5" customHeight="1">
      <c r="FM195" s="849"/>
      <c r="FN195" s="849"/>
      <c r="FO195" s="849"/>
      <c r="FP195" s="849"/>
      <c r="FQ195" s="849"/>
      <c r="FR195" s="849"/>
      <c r="FS195" s="849"/>
      <c r="FT195" s="849"/>
      <c r="FU195" s="849"/>
      <c r="FV195" s="849"/>
      <c r="FW195" s="690"/>
      <c r="FX195" s="690"/>
      <c r="FY195" s="690"/>
      <c r="FZ195" s="690"/>
      <c r="GH195" s="849"/>
      <c r="GI195" s="849"/>
      <c r="GJ195" s="849"/>
      <c r="GK195" s="849"/>
      <c r="GL195" s="849"/>
      <c r="GM195" s="849"/>
      <c r="GN195" s="849"/>
      <c r="GO195" s="849"/>
      <c r="GP195" s="849"/>
      <c r="GQ195" s="849"/>
    </row>
    <row r="196" spans="169:199" ht="10.5" customHeight="1">
      <c r="FM196" s="849"/>
      <c r="FN196" s="849"/>
      <c r="FO196" s="849"/>
      <c r="FP196" s="849"/>
      <c r="FQ196" s="849"/>
      <c r="FR196" s="849"/>
      <c r="FS196" s="849"/>
      <c r="FT196" s="849"/>
      <c r="FU196" s="849"/>
      <c r="FV196" s="849"/>
      <c r="FW196" s="690"/>
      <c r="FX196" s="690"/>
      <c r="FY196" s="690"/>
      <c r="FZ196" s="690"/>
      <c r="GH196" s="849"/>
      <c r="GI196" s="849"/>
      <c r="GJ196" s="849"/>
      <c r="GK196" s="849"/>
      <c r="GL196" s="849"/>
      <c r="GM196" s="849"/>
      <c r="GN196" s="849"/>
      <c r="GO196" s="849"/>
      <c r="GP196" s="849"/>
      <c r="GQ196" s="849"/>
    </row>
    <row r="197" spans="169:199" ht="10.5" customHeight="1">
      <c r="FM197" s="849"/>
      <c r="FN197" s="849"/>
      <c r="FO197" s="849"/>
      <c r="FP197" s="849"/>
      <c r="FQ197" s="849"/>
      <c r="FR197" s="849"/>
      <c r="FS197" s="849"/>
      <c r="FT197" s="849"/>
      <c r="FU197" s="849"/>
      <c r="FV197" s="849"/>
      <c r="FW197" s="690"/>
      <c r="FX197" s="690"/>
      <c r="FY197" s="690"/>
      <c r="FZ197" s="690"/>
      <c r="GH197" s="849"/>
      <c r="GI197" s="849"/>
      <c r="GJ197" s="849"/>
      <c r="GK197" s="849"/>
      <c r="GL197" s="849"/>
      <c r="GM197" s="849"/>
      <c r="GN197" s="849"/>
      <c r="GO197" s="849"/>
      <c r="GP197" s="849"/>
      <c r="GQ197" s="849"/>
    </row>
    <row r="198" spans="169:199" ht="10.5" customHeight="1">
      <c r="FM198" s="849"/>
      <c r="FN198" s="849"/>
      <c r="FO198" s="849"/>
      <c r="FP198" s="849"/>
      <c r="FQ198" s="849"/>
      <c r="FR198" s="849"/>
      <c r="FS198" s="849"/>
      <c r="FT198" s="849"/>
      <c r="FU198" s="849"/>
      <c r="FV198" s="849"/>
      <c r="FW198" s="690"/>
      <c r="FX198" s="690"/>
      <c r="FY198" s="690"/>
      <c r="FZ198" s="690"/>
      <c r="GH198" s="849"/>
      <c r="GI198" s="849"/>
      <c r="GJ198" s="849"/>
      <c r="GK198" s="849"/>
      <c r="GL198" s="849"/>
      <c r="GM198" s="849"/>
      <c r="GN198" s="849"/>
      <c r="GO198" s="849"/>
      <c r="GP198" s="849"/>
      <c r="GQ198" s="849"/>
    </row>
    <row r="199" spans="169:199" ht="10.5" customHeight="1">
      <c r="FM199" s="849"/>
      <c r="FN199" s="849"/>
      <c r="FO199" s="849"/>
      <c r="FP199" s="849"/>
      <c r="FQ199" s="849"/>
      <c r="FR199" s="849"/>
      <c r="FS199" s="849"/>
      <c r="FT199" s="849"/>
      <c r="FU199" s="849"/>
      <c r="FV199" s="849"/>
      <c r="FW199" s="690"/>
      <c r="FX199" s="690"/>
      <c r="FY199" s="690"/>
      <c r="FZ199" s="690"/>
      <c r="GH199" s="849"/>
      <c r="GI199" s="849"/>
      <c r="GJ199" s="849"/>
      <c r="GK199" s="849"/>
      <c r="GL199" s="849"/>
      <c r="GM199" s="849"/>
      <c r="GN199" s="849"/>
      <c r="GO199" s="849"/>
      <c r="GP199" s="849"/>
      <c r="GQ199" s="849"/>
    </row>
    <row r="200" spans="169:199" ht="10.5" customHeight="1">
      <c r="FM200" s="849"/>
      <c r="FN200" s="849"/>
      <c r="FO200" s="849"/>
      <c r="FP200" s="849"/>
      <c r="FQ200" s="849"/>
      <c r="FR200" s="849"/>
      <c r="FS200" s="849"/>
      <c r="FT200" s="849"/>
      <c r="FU200" s="849"/>
      <c r="FV200" s="849"/>
      <c r="FW200" s="690"/>
      <c r="FX200" s="690"/>
      <c r="FY200" s="690"/>
      <c r="FZ200" s="690"/>
      <c r="GH200" s="849"/>
      <c r="GI200" s="849"/>
      <c r="GJ200" s="849"/>
      <c r="GK200" s="849"/>
      <c r="GL200" s="849"/>
      <c r="GM200" s="849"/>
      <c r="GN200" s="849"/>
      <c r="GO200" s="849"/>
      <c r="GP200" s="849"/>
      <c r="GQ200" s="849"/>
    </row>
    <row r="201" spans="169:199" ht="10.5" customHeight="1">
      <c r="FM201" s="849"/>
      <c r="FN201" s="849"/>
      <c r="FO201" s="849"/>
      <c r="FP201" s="849"/>
      <c r="FQ201" s="849"/>
      <c r="FR201" s="849"/>
      <c r="FS201" s="849"/>
      <c r="FT201" s="849"/>
      <c r="FU201" s="849"/>
      <c r="FV201" s="849"/>
      <c r="FW201" s="690"/>
      <c r="FX201" s="690"/>
      <c r="FY201" s="690"/>
      <c r="FZ201" s="690"/>
      <c r="GH201" s="849"/>
      <c r="GI201" s="849"/>
      <c r="GJ201" s="849"/>
      <c r="GK201" s="849"/>
      <c r="GL201" s="849"/>
      <c r="GM201" s="849"/>
      <c r="GN201" s="849"/>
      <c r="GO201" s="849"/>
      <c r="GP201" s="849"/>
      <c r="GQ201" s="849"/>
    </row>
    <row r="202" spans="169:199" ht="10.5" customHeight="1">
      <c r="FM202" s="849"/>
      <c r="FN202" s="849"/>
      <c r="FO202" s="849"/>
      <c r="FP202" s="849"/>
      <c r="FQ202" s="849"/>
      <c r="FR202" s="849"/>
      <c r="FS202" s="849"/>
      <c r="FT202" s="849"/>
      <c r="FU202" s="849"/>
      <c r="FV202" s="849"/>
      <c r="FW202" s="690"/>
      <c r="FX202" s="690"/>
      <c r="FY202" s="690"/>
      <c r="FZ202" s="690"/>
      <c r="GH202" s="849"/>
      <c r="GI202" s="849"/>
      <c r="GJ202" s="849"/>
      <c r="GK202" s="849"/>
      <c r="GL202" s="849"/>
      <c r="GM202" s="849"/>
      <c r="GN202" s="849"/>
      <c r="GO202" s="849"/>
      <c r="GP202" s="849"/>
      <c r="GQ202" s="849"/>
    </row>
    <row r="203" spans="169:199" ht="10.5" customHeight="1">
      <c r="FM203" s="849"/>
      <c r="FN203" s="849"/>
      <c r="FO203" s="849"/>
      <c r="FP203" s="849"/>
      <c r="FQ203" s="849"/>
      <c r="FR203" s="849"/>
      <c r="FS203" s="849"/>
      <c r="FT203" s="849"/>
      <c r="FU203" s="849"/>
      <c r="FV203" s="849"/>
      <c r="FW203" s="690"/>
      <c r="FX203" s="690"/>
      <c r="FY203" s="690"/>
      <c r="FZ203" s="690"/>
      <c r="GH203" s="849"/>
      <c r="GI203" s="849"/>
      <c r="GJ203" s="849"/>
      <c r="GK203" s="849"/>
      <c r="GL203" s="849"/>
      <c r="GM203" s="849"/>
      <c r="GN203" s="849"/>
      <c r="GO203" s="849"/>
      <c r="GP203" s="849"/>
      <c r="GQ203" s="849"/>
    </row>
    <row r="204" spans="169:199" ht="10.5" customHeight="1">
      <c r="FM204" s="849"/>
      <c r="FN204" s="849"/>
      <c r="FO204" s="849"/>
      <c r="FP204" s="849"/>
      <c r="FQ204" s="849"/>
      <c r="FR204" s="849"/>
      <c r="FS204" s="849"/>
      <c r="FT204" s="849"/>
      <c r="FU204" s="849"/>
      <c r="FV204" s="849"/>
      <c r="FW204" s="690"/>
      <c r="FX204" s="690"/>
      <c r="FY204" s="690"/>
      <c r="FZ204" s="690"/>
      <c r="GH204" s="849"/>
      <c r="GI204" s="849"/>
      <c r="GJ204" s="849"/>
      <c r="GK204" s="849"/>
      <c r="GL204" s="849"/>
      <c r="GM204" s="849"/>
      <c r="GN204" s="849"/>
      <c r="GO204" s="849"/>
      <c r="GP204" s="849"/>
      <c r="GQ204" s="849"/>
    </row>
    <row r="205" spans="169:199" ht="10.5" customHeight="1">
      <c r="FM205" s="849"/>
      <c r="FN205" s="849"/>
      <c r="FO205" s="849"/>
      <c r="FP205" s="849"/>
      <c r="FQ205" s="849"/>
      <c r="FR205" s="849"/>
      <c r="FS205" s="849"/>
      <c r="FT205" s="849"/>
      <c r="FU205" s="849"/>
      <c r="FV205" s="849"/>
      <c r="FW205" s="690"/>
      <c r="FX205" s="690"/>
      <c r="FY205" s="690"/>
      <c r="FZ205" s="690"/>
      <c r="GH205" s="849"/>
      <c r="GI205" s="849"/>
      <c r="GJ205" s="849"/>
      <c r="GK205" s="849"/>
      <c r="GL205" s="849"/>
      <c r="GM205" s="849"/>
      <c r="GN205" s="849"/>
      <c r="GO205" s="849"/>
      <c r="GP205" s="849"/>
      <c r="GQ205" s="849"/>
    </row>
  </sheetData>
  <sheetProtection formatColumns="0" formatRows="0"/>
  <dataConsolidate/>
  <conditionalFormatting sqref="L18:M18">
    <cfRule type="expression" dxfId="50" priority="11">
      <formula>OR(RIGHT($L$18,3)="NSS",RIGHT($L$18,3)="ing")</formula>
    </cfRule>
  </conditionalFormatting>
  <conditionalFormatting sqref="L4">
    <cfRule type="expression" dxfId="49" priority="10">
      <formula>oppty.VoltageMode</formula>
    </cfRule>
  </conditionalFormatting>
  <conditionalFormatting sqref="L3">
    <cfRule type="expression" dxfId="48" priority="9">
      <formula>oppty.VoltageMode</formula>
    </cfRule>
  </conditionalFormatting>
  <conditionalFormatting sqref="W21">
    <cfRule type="expression" dxfId="47" priority="5">
      <formula>"yes"</formula>
    </cfRule>
  </conditionalFormatting>
  <conditionalFormatting sqref="N18:O18">
    <cfRule type="expression" dxfId="46" priority="15">
      <formula>LEFT($O$18,3)="Non"</formula>
    </cfRule>
  </conditionalFormatting>
  <conditionalFormatting sqref="Q18">
    <cfRule type="expression" dxfId="45" priority="4">
      <formula>LEFT($Q$18,3)="Not"</formula>
    </cfRule>
  </conditionalFormatting>
  <conditionalFormatting sqref="AQ14:AQ15">
    <cfRule type="expression" dxfId="44" priority="3">
      <formula>AND(OR(AQ14="",AQ14="required"),DK14&lt;&gt;"",EI14=1)</formula>
    </cfRule>
  </conditionalFormatting>
  <conditionalFormatting sqref="P18">
    <cfRule type="expression" dxfId="43" priority="2">
      <formula>LEFT($P$18,3)="Non"</formula>
    </cfRule>
  </conditionalFormatting>
  <conditionalFormatting sqref="U21">
    <cfRule type="expression" dxfId="42" priority="1">
      <formula>"yes"</formula>
    </cfRule>
  </conditionalFormatting>
  <dataValidations disablePrompts="1" count="3">
    <dataValidation type="list" allowBlank="1" showInputMessage="1" showErrorMessage="1" sqref="AN14:AN15 AN86:AN87 C86:AI87 AN78:AN79 C78:AI79 AN70:AN71 C70:AI71 AN62:AN63 C62:AI63 C14:AI15 AN22:AN23 C22:AI23 AN30:AN31 C30:AI31 AN38:AN39 C38:AI39 AN46:AN47 C46:AI47 AN54:AN55 C54:AI55" xr:uid="{00000000-0002-0000-0A00-000000000000}">
      <formula1>OFFSET(ScratchStart,0,0,MAX(1,Scratch_ValueCount),1)</formula1>
    </dataValidation>
    <dataValidation type="list" allowBlank="1" showInputMessage="1" showErrorMessage="1" sqref="L7" xr:uid="{00000000-0002-0000-0A00-000001000000}">
      <formula1>"Float, 1, 2, 3, 4, 5, 6, 7, 8, 9, 10"</formula1>
    </dataValidation>
    <dataValidation type="list" allowBlank="1" showInputMessage="1" showErrorMessage="1" sqref="L4" xr:uid="{00000000-0002-0000-0A00-000002000000}">
      <formula1>LRate</formula1>
    </dataValidation>
  </dataValidations>
  <pageMargins left="0.75" right="0.75" top="1" bottom="1" header="0.5" footer="0.5"/>
  <pageSetup orientation="portrait" verticalDpi="300" r:id="rId1"/>
  <headerFooter alignWithMargins="0">
    <oddFooter>&amp;CAT&amp;&amp;T Proprietary (Internal Use Only)</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97313" r:id="rId4" name="btn.back">
              <controlPr defaultSize="0" autoFill="0" autoPict="0" macro="[0]!to_Step1">
                <anchor moveWithCells="1">
                  <from>
                    <xdr:col>0</xdr:col>
                    <xdr:colOff>161925</xdr:colOff>
                    <xdr:row>1</xdr:row>
                    <xdr:rowOff>66675</xdr:rowOff>
                  </from>
                  <to>
                    <xdr:col>2</xdr:col>
                    <xdr:colOff>285750</xdr:colOff>
                    <xdr:row>2</xdr:row>
                    <xdr:rowOff>133350</xdr:rowOff>
                  </to>
                </anchor>
              </controlPr>
            </control>
          </mc:Choice>
        </mc:AlternateContent>
        <mc:AlternateContent xmlns:mc="http://schemas.openxmlformats.org/markup-compatibility/2006">
          <mc:Choice Requires="x14">
            <control shapeId="397314" r:id="rId5" name="btn.next">
              <controlPr defaultSize="0" autoFill="0" autoPict="0" macro="[0]!to_Next_Product">
                <anchor moveWithCells="1">
                  <from>
                    <xdr:col>2</xdr:col>
                    <xdr:colOff>371475</xdr:colOff>
                    <xdr:row>1</xdr:row>
                    <xdr:rowOff>66675</xdr:rowOff>
                  </from>
                  <to>
                    <xdr:col>3</xdr:col>
                    <xdr:colOff>295275</xdr:colOff>
                    <xdr:row>2</xdr:row>
                    <xdr:rowOff>133350</xdr:rowOff>
                  </to>
                </anchor>
              </controlPr>
            </control>
          </mc:Choice>
        </mc:AlternateContent>
        <mc:AlternateContent xmlns:mc="http://schemas.openxmlformats.org/markup-compatibility/2006">
          <mc:Choice Requires="x14">
            <control shapeId="397315" r:id="rId6" name="btn.reset">
              <controlPr defaultSize="0" autoFill="0" autoPict="0" macro="[0]!ThisWorkbook.reset">
                <anchor moveWithCells="1">
                  <from>
                    <xdr:col>3</xdr:col>
                    <xdr:colOff>390525</xdr:colOff>
                    <xdr:row>1</xdr:row>
                    <xdr:rowOff>66675</xdr:rowOff>
                  </from>
                  <to>
                    <xdr:col>5</xdr:col>
                    <xdr:colOff>200025</xdr:colOff>
                    <xdr:row>2</xdr:row>
                    <xdr:rowOff>133350</xdr:rowOff>
                  </to>
                </anchor>
              </controlPr>
            </control>
          </mc:Choice>
        </mc:AlternateContent>
        <mc:AlternateContent xmlns:mc="http://schemas.openxmlformats.org/markup-compatibility/2006">
          <mc:Choice Requires="x14">
            <control shapeId="397316" r:id="rId7" name="btn.addrows">
              <controlPr defaultSize="0" autoFill="0" autoPict="0" macro="[0]!AddLines">
                <anchor moveWithCells="1">
                  <from>
                    <xdr:col>13</xdr:col>
                    <xdr:colOff>485775</xdr:colOff>
                    <xdr:row>8</xdr:row>
                    <xdr:rowOff>9525</xdr:rowOff>
                  </from>
                  <to>
                    <xdr:col>14</xdr:col>
                    <xdr:colOff>504825</xdr:colOff>
                    <xdr:row>9</xdr:row>
                    <xdr:rowOff>152400</xdr:rowOff>
                  </to>
                </anchor>
              </controlPr>
            </control>
          </mc:Choice>
        </mc:AlternateContent>
        <mc:AlternateContent xmlns:mc="http://schemas.openxmlformats.org/markup-compatibility/2006">
          <mc:Choice Requires="x14">
            <control shapeId="397317" r:id="rId8" name="btnExprCert">
              <controlPr defaultSize="0" autoFill="0" autoPict="0" macro="[0]!ExpressValidation.ExpressValidation">
                <anchor moveWithCells="1">
                  <from>
                    <xdr:col>9</xdr:col>
                    <xdr:colOff>152400</xdr:colOff>
                    <xdr:row>1</xdr:row>
                    <xdr:rowOff>66675</xdr:rowOff>
                  </from>
                  <to>
                    <xdr:col>10</xdr:col>
                    <xdr:colOff>676275</xdr:colOff>
                    <xdr:row>2</xdr:row>
                    <xdr:rowOff>133350</xdr:rowOff>
                  </to>
                </anchor>
              </controlPr>
            </control>
          </mc:Choice>
        </mc:AlternateContent>
        <mc:AlternateContent xmlns:mc="http://schemas.openxmlformats.org/markup-compatibility/2006">
          <mc:Choice Requires="x14">
            <control shapeId="397318" r:id="rId9" name="ButtonAIS">
              <controlPr defaultSize="0" print="0" autoFill="0" autoPict="0" macro="[0]!AddAIS">
                <anchor moveWithCells="1">
                  <from>
                    <xdr:col>14</xdr:col>
                    <xdr:colOff>628650</xdr:colOff>
                    <xdr:row>8</xdr:row>
                    <xdr:rowOff>9525</xdr:rowOff>
                  </from>
                  <to>
                    <xdr:col>15</xdr:col>
                    <xdr:colOff>523875</xdr:colOff>
                    <xdr:row>9</xdr:row>
                    <xdr:rowOff>152400</xdr:rowOff>
                  </to>
                </anchor>
              </controlPr>
            </control>
          </mc:Choice>
        </mc:AlternateContent>
        <mc:AlternateContent xmlns:mc="http://schemas.openxmlformats.org/markup-compatibility/2006">
          <mc:Choice Requires="x14">
            <control shapeId="397319" r:id="rId10" name="btn.sort">
              <controlPr defaultSize="0" autoFill="0" autoPict="0" macro="[0]!sortButton">
                <anchor moveWithCells="1">
                  <from>
                    <xdr:col>10</xdr:col>
                    <xdr:colOff>571500</xdr:colOff>
                    <xdr:row>8</xdr:row>
                    <xdr:rowOff>9525</xdr:rowOff>
                  </from>
                  <to>
                    <xdr:col>11</xdr:col>
                    <xdr:colOff>647700</xdr:colOff>
                    <xdr:row>9</xdr:row>
                    <xdr:rowOff>152400</xdr:rowOff>
                  </to>
                </anchor>
              </controlPr>
            </control>
          </mc:Choice>
        </mc:AlternateContent>
        <mc:AlternateContent xmlns:mc="http://schemas.openxmlformats.org/markup-compatibility/2006">
          <mc:Choice Requires="x14">
            <control shapeId="397320" r:id="rId11" name="btn.condense">
              <controlPr defaultSize="0" autoFill="0" autoPict="0" macro="[0]!collapseProducts">
                <anchor moveWithCells="1">
                  <from>
                    <xdr:col>12</xdr:col>
                    <xdr:colOff>57150</xdr:colOff>
                    <xdr:row>8</xdr:row>
                    <xdr:rowOff>9525</xdr:rowOff>
                  </from>
                  <to>
                    <xdr:col>13</xdr:col>
                    <xdr:colOff>361950</xdr:colOff>
                    <xdr:row>9</xdr:row>
                    <xdr:rowOff>152400</xdr:rowOff>
                  </to>
                </anchor>
              </controlPr>
            </control>
          </mc:Choice>
        </mc:AlternateContent>
        <mc:AlternateContent xmlns:mc="http://schemas.openxmlformats.org/markup-compatibility/2006">
          <mc:Choice Requires="x14">
            <control shapeId="397321" r:id="rId12" name="btn.save">
              <controlPr defaultSize="0" autoFill="0" autoPict="0" macro="[0]!saveDealButton">
                <anchor moveWithCells="1">
                  <from>
                    <xdr:col>5</xdr:col>
                    <xdr:colOff>285750</xdr:colOff>
                    <xdr:row>1</xdr:row>
                    <xdr:rowOff>66675</xdr:rowOff>
                  </from>
                  <to>
                    <xdr:col>7</xdr:col>
                    <xdr:colOff>95250</xdr:colOff>
                    <xdr:row>2</xdr:row>
                    <xdr:rowOff>133350</xdr:rowOff>
                  </to>
                </anchor>
              </controlPr>
            </control>
          </mc:Choice>
        </mc:AlternateContent>
        <mc:AlternateContent xmlns:mc="http://schemas.openxmlformats.org/markup-compatibility/2006">
          <mc:Choice Requires="x14">
            <control shapeId="397322" r:id="rId13" name="btn.checkerr">
              <controlPr defaultSize="0" autoFill="0" autoPict="0" macro="[0]!findCdtErrorsWs">
                <anchor moveWithCells="1">
                  <from>
                    <xdr:col>7</xdr:col>
                    <xdr:colOff>180975</xdr:colOff>
                    <xdr:row>1</xdr:row>
                    <xdr:rowOff>66675</xdr:rowOff>
                  </from>
                  <to>
                    <xdr:col>9</xdr:col>
                    <xdr:colOff>76200</xdr:colOff>
                    <xdr:row>2</xdr:row>
                    <xdr:rowOff>133350</xdr:rowOff>
                  </to>
                </anchor>
              </controlPr>
            </control>
          </mc:Choice>
        </mc:AlternateContent>
        <mc:AlternateContent xmlns:mc="http://schemas.openxmlformats.org/markup-compatibility/2006">
          <mc:Choice Requires="x14">
            <control shapeId="397325" r:id="rId14" name="btn.DiscOffExisting">
              <controlPr defaultSize="0" autoFill="0" autoPict="0" macro="[0]!getDiscOffExisting">
                <anchor moveWithCells="1">
                  <from>
                    <xdr:col>15</xdr:col>
                    <xdr:colOff>647700</xdr:colOff>
                    <xdr:row>8</xdr:row>
                    <xdr:rowOff>9525</xdr:rowOff>
                  </from>
                  <to>
                    <xdr:col>19</xdr:col>
                    <xdr:colOff>57150</xdr:colOff>
                    <xdr:row>9</xdr:row>
                    <xdr:rowOff>152400</xdr:rowOff>
                  </to>
                </anchor>
              </controlPr>
            </control>
          </mc:Choice>
        </mc:AlternateContent>
        <mc:AlternateContent xmlns:mc="http://schemas.openxmlformats.org/markup-compatibility/2006">
          <mc:Choice Requires="x14">
            <control shapeId="397326" r:id="rId15" name="btn.ASEmoveAddresses">
              <controlPr defaultSize="0" autoFill="0" autoPict="0" macro="[0]!ButtonMoveAddresses">
                <anchor moveWithCells="1">
                  <from>
                    <xdr:col>9</xdr:col>
                    <xdr:colOff>123825</xdr:colOff>
                    <xdr:row>17</xdr:row>
                    <xdr:rowOff>57150</xdr:rowOff>
                  </from>
                  <to>
                    <xdr:col>10</xdr:col>
                    <xdr:colOff>590550</xdr:colOff>
                    <xdr:row>18</xdr:row>
                    <xdr:rowOff>66675</xdr:rowOff>
                  </to>
                </anchor>
              </controlPr>
            </control>
          </mc:Choice>
        </mc:AlternateContent>
        <mc:AlternateContent xmlns:mc="http://schemas.openxmlformats.org/markup-compatibility/2006">
          <mc:Choice Requires="x14">
            <control shapeId="397327" r:id="rId16" name="btn.ASEcheckNSS">
              <controlPr defaultSize="0" autoFill="0" autoPict="0" macro="[0]!checkAisByAsrId">
                <anchor moveWithCells="1">
                  <from>
                    <xdr:col>21</xdr:col>
                    <xdr:colOff>533400</xdr:colOff>
                    <xdr:row>17</xdr:row>
                    <xdr:rowOff>47625</xdr:rowOff>
                  </from>
                  <to>
                    <xdr:col>23</xdr:col>
                    <xdr:colOff>447675</xdr:colOff>
                    <xdr:row>18</xdr:row>
                    <xdr:rowOff>85725</xdr:rowOff>
                  </to>
                </anchor>
              </controlPr>
            </control>
          </mc:Choice>
        </mc:AlternateContent>
        <mc:AlternateContent xmlns:mc="http://schemas.openxmlformats.org/markup-compatibility/2006">
          <mc:Choice Requires="x14">
            <control shapeId="397328" r:id="rId17" name="btn.start3pa">
              <controlPr defaultSize="0" autoFill="0" autoPict="0" macro="[0]!import3paProdButton">
                <anchor moveWithCells="1">
                  <from>
                    <xdr:col>8</xdr:col>
                    <xdr:colOff>323850</xdr:colOff>
                    <xdr:row>4</xdr:row>
                    <xdr:rowOff>57150</xdr:rowOff>
                  </from>
                  <to>
                    <xdr:col>10</xdr:col>
                    <xdr:colOff>409575</xdr:colOff>
                    <xdr:row>9</xdr:row>
                    <xdr:rowOff>161925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wsRLtemplateVoltage"/>
  <dimension ref="A1:BB94"/>
  <sheetViews>
    <sheetView showGridLines="0" topLeftCell="A2" workbookViewId="0">
      <selection activeCell="E23" sqref="E23"/>
    </sheetView>
  </sheetViews>
  <sheetFormatPr defaultColWidth="9.140625" defaultRowHeight="12.75"/>
  <cols>
    <col min="1" max="4" width="0.28515625" style="1450" customWidth="1"/>
    <col min="5" max="5" width="21.140625" style="1450" customWidth="1"/>
    <col min="6" max="10" width="9.140625" style="1450"/>
    <col min="11" max="12" width="7.85546875" style="1450" customWidth="1"/>
    <col min="13" max="14" width="11.7109375" style="1450" customWidth="1"/>
    <col min="15" max="15" width="9.140625" style="1450" hidden="1" customWidth="1"/>
    <col min="16" max="17" width="12.5703125" style="1450" hidden="1" customWidth="1"/>
    <col min="18" max="19" width="9.140625" style="1450"/>
    <col min="20" max="21" width="12.140625" style="1450" customWidth="1"/>
    <col min="22" max="23" width="13.85546875" style="1450" customWidth="1"/>
    <col min="24" max="26" width="9.140625" style="1450"/>
    <col min="27" max="42" width="2.42578125" style="1450" hidden="1" customWidth="1"/>
    <col min="43" max="52" width="1.85546875" style="1450" hidden="1" customWidth="1"/>
    <col min="53" max="63" width="0" style="1450" hidden="1" customWidth="1"/>
    <col min="64" max="16384" width="9.140625" style="1450"/>
  </cols>
  <sheetData>
    <row r="1" spans="1:54" ht="15" hidden="1" customHeight="1">
      <c r="A1" s="1446"/>
      <c r="B1" s="1447"/>
      <c r="C1" s="1447"/>
      <c r="D1" s="1447"/>
      <c r="E1" s="1446"/>
      <c r="F1" s="1447"/>
      <c r="G1" s="1447"/>
      <c r="H1" s="1447"/>
      <c r="I1" s="1447"/>
      <c r="J1" s="1447"/>
      <c r="K1" s="1447"/>
      <c r="L1" s="1447"/>
      <c r="M1" s="1447"/>
      <c r="N1" s="1447"/>
      <c r="O1" s="1448" t="s">
        <v>9632</v>
      </c>
      <c r="P1" s="1448"/>
      <c r="Q1" s="1448"/>
      <c r="R1" s="1447"/>
      <c r="S1" s="1449"/>
      <c r="T1" s="1447"/>
      <c r="U1" s="1447"/>
      <c r="V1" s="1447"/>
      <c r="W1" s="1447"/>
    </row>
    <row r="2" spans="1:54" ht="25.5">
      <c r="A2" s="1447"/>
      <c r="B2" s="1447"/>
      <c r="C2" s="1451"/>
      <c r="D2" s="1451"/>
      <c r="E2" s="1452" t="s">
        <v>10918</v>
      </c>
      <c r="F2" s="1451"/>
      <c r="G2" s="1451"/>
      <c r="H2" s="1451"/>
      <c r="I2" s="1451"/>
      <c r="J2" s="1451"/>
      <c r="K2" s="1451"/>
      <c r="L2" s="1451"/>
      <c r="M2" s="1451"/>
      <c r="N2" s="1451"/>
      <c r="O2" s="1451"/>
      <c r="P2" s="1451"/>
      <c r="Q2" s="1451"/>
      <c r="R2" s="1447"/>
      <c r="S2" s="1453"/>
      <c r="T2" s="1451"/>
      <c r="U2" s="1451"/>
      <c r="V2" s="1451"/>
      <c r="W2" s="1451"/>
    </row>
    <row r="3" spans="1:54" ht="12" hidden="1" customHeight="1">
      <c r="A3" s="1454"/>
      <c r="B3" s="1454"/>
      <c r="C3" s="1454"/>
      <c r="D3" s="1454"/>
      <c r="G3" s="1454"/>
      <c r="H3" s="1454"/>
      <c r="I3" s="1454"/>
      <c r="J3" s="1454"/>
      <c r="K3" s="1454"/>
      <c r="L3" s="1454"/>
      <c r="M3" s="1454"/>
      <c r="N3" s="1454"/>
      <c r="O3" s="1454"/>
      <c r="P3" s="1454"/>
      <c r="Q3" s="1454"/>
      <c r="R3" s="1455"/>
      <c r="S3" s="1455"/>
      <c r="T3" s="1454"/>
      <c r="U3" s="1454"/>
      <c r="V3" s="1454"/>
      <c r="W3" s="1454"/>
    </row>
    <row r="4" spans="1:54" ht="12" hidden="1" customHeight="1">
      <c r="A4" s="1447"/>
      <c r="B4" s="1447"/>
      <c r="C4" s="1451"/>
      <c r="D4" s="1451"/>
      <c r="G4" s="1456"/>
      <c r="H4" s="1456"/>
      <c r="I4" s="1456"/>
      <c r="J4" s="1456"/>
      <c r="K4" s="1456"/>
      <c r="L4" s="1456"/>
      <c r="M4" s="1456"/>
      <c r="N4" s="1456"/>
      <c r="O4" s="1456"/>
      <c r="P4" s="1456"/>
      <c r="Q4" s="1456"/>
      <c r="R4" s="1457"/>
      <c r="S4" s="1457"/>
      <c r="T4" s="1451"/>
      <c r="U4" s="1451"/>
      <c r="V4" s="1451"/>
      <c r="W4" s="1451"/>
    </row>
    <row r="5" spans="1:54" ht="12" customHeight="1">
      <c r="A5" s="1447"/>
      <c r="B5" s="1447"/>
      <c r="C5" s="1451"/>
      <c r="D5" s="1451"/>
      <c r="E5" s="1456"/>
      <c r="F5" s="1456"/>
      <c r="G5" s="1456"/>
      <c r="H5" s="1456"/>
      <c r="I5" s="1456"/>
      <c r="J5" s="1456"/>
      <c r="K5" s="1456"/>
      <c r="L5" s="1456"/>
      <c r="M5" s="1456"/>
      <c r="N5" s="1456"/>
      <c r="O5" s="1456"/>
      <c r="P5" s="1456"/>
      <c r="Q5" s="1456"/>
      <c r="R5" s="1457"/>
      <c r="S5" s="1457"/>
      <c r="T5" s="1451"/>
      <c r="U5" s="1451"/>
      <c r="V5" s="1451"/>
      <c r="W5" s="1451"/>
    </row>
    <row r="6" spans="1:54" ht="28.5" customHeight="1">
      <c r="A6" s="1447"/>
      <c r="B6" s="1447"/>
      <c r="C6" s="1451"/>
      <c r="D6" s="1451"/>
      <c r="E6" s="1458" t="s">
        <v>9603</v>
      </c>
      <c r="F6" s="1459"/>
      <c r="G6" s="1791">
        <f>oppty.customerName</f>
        <v>0</v>
      </c>
      <c r="H6" s="1792"/>
      <c r="I6" s="1456"/>
      <c r="J6" s="1458" t="s">
        <v>9604</v>
      </c>
      <c r="K6" s="1459"/>
      <c r="L6" s="1459"/>
      <c r="M6" s="1793">
        <f ca="1">M7+180</f>
        <v>43561</v>
      </c>
      <c r="N6" s="1794"/>
      <c r="O6" s="1456"/>
      <c r="P6" s="1447"/>
      <c r="Q6" s="1451"/>
      <c r="R6" s="1453"/>
      <c r="S6" s="1460"/>
      <c r="T6" s="1451"/>
      <c r="U6" s="1451"/>
      <c r="V6" s="1451"/>
      <c r="W6" s="1451"/>
    </row>
    <row r="7" spans="1:54" ht="14.25">
      <c r="A7" s="1447"/>
      <c r="B7" s="1447"/>
      <c r="C7" s="1451"/>
      <c r="D7" s="1451"/>
      <c r="E7" s="1461" t="s">
        <v>10914</v>
      </c>
      <c r="F7" s="1462"/>
      <c r="G7" s="1463" t="s">
        <v>10919</v>
      </c>
      <c r="H7" s="1464"/>
      <c r="I7" s="1456"/>
      <c r="J7" s="1461" t="s">
        <v>9636</v>
      </c>
      <c r="K7" s="1462"/>
      <c r="L7" s="1462"/>
      <c r="M7" s="1465">
        <f ca="1">TODAY()</f>
        <v>43381</v>
      </c>
      <c r="N7" s="1464"/>
      <c r="O7" s="1456"/>
      <c r="P7" s="1447"/>
      <c r="Q7" s="1451"/>
      <c r="R7" s="1453"/>
      <c r="S7" s="1460"/>
      <c r="T7" s="1451"/>
      <c r="U7" s="1451"/>
      <c r="V7" s="1451"/>
      <c r="W7" s="1451"/>
    </row>
    <row r="8" spans="1:54" ht="14.25">
      <c r="A8" s="1447"/>
      <c r="B8" s="1447"/>
      <c r="C8" s="1451"/>
      <c r="D8" s="1451"/>
      <c r="E8" s="1461" t="s">
        <v>9608</v>
      </c>
      <c r="F8" s="1462"/>
      <c r="G8" s="1466">
        <f>oppty.tsebdm</f>
        <v>0</v>
      </c>
      <c r="H8" s="1467"/>
      <c r="I8" s="1456"/>
      <c r="J8" s="923" t="s">
        <v>10915</v>
      </c>
      <c r="K8" s="1462"/>
      <c r="L8" s="1462"/>
      <c r="M8" s="1468">
        <f>ddDealNum</f>
        <v>0</v>
      </c>
      <c r="N8" s="1469"/>
      <c r="O8" s="1456"/>
      <c r="R8" s="1453"/>
      <c r="U8" s="1451"/>
      <c r="V8" s="1451"/>
      <c r="W8" s="1451"/>
      <c r="BA8" s="1470" t="s">
        <v>9637</v>
      </c>
      <c r="BB8" s="1470" t="s">
        <v>9638</v>
      </c>
    </row>
    <row r="9" spans="1:54" ht="14.25">
      <c r="A9" s="1447"/>
      <c r="B9" s="1447"/>
      <c r="C9" s="1451"/>
      <c r="D9" s="1451"/>
      <c r="E9" s="1461" t="s">
        <v>9610</v>
      </c>
      <c r="F9" s="1462"/>
      <c r="G9" s="1466">
        <f>oppty.accountExecutive</f>
        <v>0</v>
      </c>
      <c r="H9" s="1471"/>
      <c r="I9" s="1456"/>
      <c r="J9" s="923" t="s">
        <v>9607</v>
      </c>
      <c r="K9" s="1462"/>
      <c r="L9" s="1462"/>
      <c r="M9" s="1468">
        <f>ddVersion</f>
        <v>0</v>
      </c>
      <c r="N9" s="1469"/>
      <c r="O9" s="1456"/>
      <c r="R9" s="1453"/>
      <c r="U9" s="1451"/>
      <c r="V9" s="1451"/>
      <c r="W9" s="1451"/>
    </row>
    <row r="10" spans="1:54" ht="14.25">
      <c r="A10" s="1447"/>
      <c r="B10" s="1447"/>
      <c r="C10" s="1451"/>
      <c r="D10" s="1451"/>
      <c r="E10" s="1461" t="s">
        <v>9611</v>
      </c>
      <c r="F10" s="1462"/>
      <c r="G10" s="1466">
        <f>oppty.salesVP</f>
        <v>0</v>
      </c>
      <c r="H10" s="1471"/>
      <c r="I10" s="1456"/>
      <c r="J10" s="1472" t="s">
        <v>9635</v>
      </c>
      <c r="K10" s="1473"/>
      <c r="L10" s="1473"/>
      <c r="M10" s="1474">
        <f>oppty.ecrmRequestID</f>
        <v>0</v>
      </c>
      <c r="N10" s="1475"/>
      <c r="O10" s="1456"/>
      <c r="R10" s="1453"/>
      <c r="U10" s="1451"/>
      <c r="V10" s="1476" t="s">
        <v>9615</v>
      </c>
      <c r="W10" s="1477"/>
    </row>
    <row r="11" spans="1:54" ht="14.25">
      <c r="A11" s="1447"/>
      <c r="B11" s="1447"/>
      <c r="C11" s="1451"/>
      <c r="D11" s="1451"/>
      <c r="E11" s="1472" t="s">
        <v>9612</v>
      </c>
      <c r="F11" s="1473"/>
      <c r="G11" s="1478">
        <f>oppty.salesChannel</f>
        <v>0</v>
      </c>
      <c r="H11" s="1479"/>
      <c r="I11" s="1456"/>
      <c r="O11" s="1470"/>
      <c r="R11" s="1453"/>
      <c r="U11" s="1451"/>
      <c r="V11" s="1480" t="s">
        <v>9616</v>
      </c>
      <c r="W11" s="1481" t="s">
        <v>9617</v>
      </c>
    </row>
    <row r="12" spans="1:54" ht="14.25">
      <c r="A12" s="1447"/>
      <c r="B12" s="1447"/>
      <c r="C12" s="1451"/>
      <c r="D12" s="1451"/>
      <c r="I12" s="1456"/>
      <c r="J12" s="892"/>
      <c r="K12" s="892"/>
      <c r="L12" s="892"/>
      <c r="M12" s="892"/>
      <c r="O12" s="1456"/>
      <c r="R12" s="1453"/>
      <c r="U12" s="1451"/>
      <c r="V12" s="1482">
        <f>SUM(BA14:BA30)</f>
        <v>0</v>
      </c>
      <c r="W12" s="1483">
        <f>SUM(BB14:BB30)</f>
        <v>0</v>
      </c>
    </row>
    <row r="13" spans="1:54" ht="3.75" customHeight="1">
      <c r="A13" s="1447"/>
      <c r="B13" s="1447"/>
      <c r="C13" s="1451"/>
      <c r="D13" s="1451"/>
      <c r="E13" s="1484"/>
      <c r="F13" s="1456"/>
      <c r="G13" s="1485"/>
      <c r="H13" s="1456"/>
      <c r="I13" s="1456"/>
      <c r="J13" s="1456"/>
      <c r="K13" s="1456"/>
      <c r="L13" s="1456"/>
      <c r="M13" s="1456"/>
      <c r="N13" s="1456"/>
      <c r="O13" s="1456"/>
      <c r="P13" s="1456"/>
      <c r="Q13" s="1456"/>
      <c r="R13" s="1453"/>
      <c r="S13" s="1453"/>
      <c r="T13" s="1451"/>
      <c r="U13" s="1451"/>
      <c r="V13" s="1451"/>
      <c r="W13" s="1451"/>
    </row>
    <row r="14" spans="1:54" ht="12.75" customHeight="1">
      <c r="A14" s="1447"/>
      <c r="B14" s="1447"/>
      <c r="C14" s="1451"/>
      <c r="D14" s="1451"/>
      <c r="J14" s="892" t="s">
        <v>10000</v>
      </c>
      <c r="K14" s="892"/>
      <c r="L14" s="892"/>
      <c r="M14" s="892" t="s">
        <v>10001</v>
      </c>
      <c r="O14" s="1451"/>
      <c r="P14" s="1456"/>
      <c r="Q14" s="1456"/>
      <c r="R14" s="1453"/>
      <c r="S14" s="1453"/>
      <c r="T14" s="1451"/>
      <c r="U14" s="1451"/>
      <c r="V14" s="1547" t="s">
        <v>10993</v>
      </c>
      <c r="W14" s="1548">
        <f>VLOOKUP((TotalAnnualRev*0.85),Table_ABN_MARCs,1,TRUE)</f>
        <v>0</v>
      </c>
      <c r="Z14" s="1470"/>
      <c r="AA14" s="1470"/>
      <c r="AB14" s="1470"/>
    </row>
    <row r="15" spans="1:54" ht="3.75" customHeight="1">
      <c r="A15" s="1447"/>
      <c r="B15" s="1447"/>
      <c r="C15" s="1451"/>
      <c r="D15" s="1451"/>
      <c r="I15" s="1451"/>
      <c r="K15" s="1451"/>
      <c r="L15" s="1451"/>
      <c r="M15" s="1451"/>
      <c r="N15" s="1451"/>
      <c r="O15" s="1451"/>
      <c r="P15" s="1456"/>
      <c r="Q15" s="1456"/>
      <c r="R15" s="1453"/>
      <c r="S15" s="1453"/>
      <c r="T15" s="1451"/>
      <c r="U15" s="1451"/>
      <c r="V15" s="1451"/>
      <c r="W15" s="1451"/>
      <c r="Z15" s="1470"/>
      <c r="AA15" s="1470"/>
      <c r="AB15" s="1470"/>
    </row>
    <row r="16" spans="1:54" ht="3.75" customHeight="1">
      <c r="A16" s="1447"/>
      <c r="B16" s="1447"/>
      <c r="C16" s="1451"/>
      <c r="D16" s="1451"/>
      <c r="I16" s="1451"/>
      <c r="J16" s="1451"/>
      <c r="K16" s="1451"/>
      <c r="L16" s="1451"/>
      <c r="M16" s="1451"/>
      <c r="N16" s="1451"/>
      <c r="O16" s="1451"/>
      <c r="P16" s="1456"/>
      <c r="Q16" s="1456"/>
      <c r="R16" s="1453"/>
      <c r="S16" s="1453"/>
      <c r="T16" s="1451"/>
      <c r="U16" s="1451"/>
      <c r="V16" s="1451"/>
      <c r="W16" s="1451"/>
      <c r="Z16" s="1470"/>
      <c r="AA16" s="1470"/>
      <c r="AB16" s="1470"/>
    </row>
    <row r="17" spans="1:54" ht="14.25">
      <c r="A17" s="1447"/>
      <c r="B17" s="1447"/>
      <c r="C17" s="1451"/>
      <c r="D17" s="1451"/>
      <c r="E17" s="1486"/>
      <c r="F17" s="52"/>
      <c r="G17" s="1487"/>
      <c r="H17" s="1487"/>
      <c r="I17" s="1451"/>
      <c r="J17" s="1451"/>
      <c r="K17" s="1451"/>
      <c r="L17" s="1451"/>
      <c r="M17" s="1451"/>
      <c r="N17" s="1451"/>
      <c r="O17" s="1451"/>
      <c r="P17" s="1456"/>
      <c r="Q17" s="1456"/>
      <c r="R17" s="1453"/>
      <c r="S17" s="1453"/>
      <c r="T17" s="1451"/>
      <c r="U17" s="1451"/>
      <c r="V17" s="1451"/>
      <c r="W17" s="1451"/>
      <c r="Z17" s="1470"/>
      <c r="AA17" s="1470"/>
      <c r="AB17" s="1470"/>
    </row>
    <row r="18" spans="1:54" ht="14.25">
      <c r="A18" s="1447"/>
      <c r="B18" s="1447"/>
      <c r="C18" s="1451"/>
      <c r="D18" s="1451"/>
      <c r="E18" s="1488"/>
      <c r="F18" s="1451"/>
      <c r="G18" s="1451"/>
      <c r="H18" s="1451"/>
      <c r="I18" s="1451"/>
      <c r="J18" s="1451"/>
      <c r="K18" s="1451"/>
      <c r="L18" s="1451"/>
      <c r="M18" s="1451"/>
      <c r="N18" s="1451"/>
      <c r="O18" s="1451"/>
      <c r="P18" s="1456"/>
      <c r="Q18" s="1456"/>
      <c r="R18" s="1453"/>
      <c r="S18" s="1453"/>
      <c r="T18" s="1451"/>
      <c r="U18" s="1451"/>
      <c r="V18" s="1451"/>
      <c r="W18" s="1451"/>
    </row>
    <row r="19" spans="1:54" ht="14.25">
      <c r="A19" s="1447"/>
      <c r="B19" s="1447"/>
      <c r="C19" s="1451"/>
      <c r="D19" s="1451"/>
      <c r="E19" s="1488"/>
      <c r="F19" s="1488" t="s">
        <v>9619</v>
      </c>
      <c r="G19" s="1454"/>
      <c r="H19" s="1489"/>
      <c r="I19" s="1490"/>
      <c r="J19" s="1490"/>
      <c r="K19" s="1491" t="s">
        <v>9620</v>
      </c>
      <c r="L19" s="1492"/>
      <c r="M19" s="1491" t="s">
        <v>9621</v>
      </c>
      <c r="N19" s="1492"/>
      <c r="O19" s="1491" t="s">
        <v>9622</v>
      </c>
      <c r="P19" s="1491" t="s">
        <v>9623</v>
      </c>
      <c r="Q19" s="1492"/>
      <c r="R19" s="1491" t="s">
        <v>9624</v>
      </c>
      <c r="S19" s="1492"/>
      <c r="T19" s="1493" t="s">
        <v>9625</v>
      </c>
      <c r="U19" s="1494"/>
      <c r="V19" s="1476" t="s">
        <v>9626</v>
      </c>
      <c r="W19" s="1477"/>
    </row>
    <row r="20" spans="1:54" ht="25.5">
      <c r="A20" s="1447"/>
      <c r="B20" s="1447"/>
      <c r="C20" s="1451"/>
      <c r="D20" s="1451"/>
      <c r="E20" s="1495" t="s">
        <v>9595</v>
      </c>
      <c r="F20" s="1496" t="s">
        <v>9627</v>
      </c>
      <c r="G20" s="1497"/>
      <c r="H20" s="1497"/>
      <c r="I20" s="1497"/>
      <c r="J20" s="1498"/>
      <c r="K20" s="1499" t="s">
        <v>9628</v>
      </c>
      <c r="L20" s="1500" t="s">
        <v>9629</v>
      </c>
      <c r="M20" s="1499" t="s">
        <v>9616</v>
      </c>
      <c r="N20" s="1500" t="s">
        <v>9617</v>
      </c>
      <c r="O20" s="1499" t="s">
        <v>9616</v>
      </c>
      <c r="P20" s="1499" t="s">
        <v>9616</v>
      </c>
      <c r="Q20" s="1500" t="s">
        <v>9617</v>
      </c>
      <c r="R20" s="1499" t="s">
        <v>9630</v>
      </c>
      <c r="S20" s="1500" t="s">
        <v>9631</v>
      </c>
      <c r="T20" s="1501" t="s">
        <v>9616</v>
      </c>
      <c r="U20" s="1502" t="s">
        <v>9633</v>
      </c>
      <c r="V20" s="1480" t="s">
        <v>9616</v>
      </c>
      <c r="W20" s="1481" t="s">
        <v>9617</v>
      </c>
    </row>
    <row r="21" spans="1:54" ht="14.25">
      <c r="A21" s="1447"/>
      <c r="B21" s="1503"/>
      <c r="C21" s="1451"/>
      <c r="D21" s="1451"/>
      <c r="E21" s="1504" t="s">
        <v>9634</v>
      </c>
      <c r="F21" s="1505"/>
      <c r="G21" s="1505"/>
      <c r="H21" s="1505"/>
      <c r="I21" s="1505"/>
      <c r="J21" s="1506" t="s">
        <v>9614</v>
      </c>
      <c r="K21" s="1507">
        <f>SUM(K22:K23)</f>
        <v>0</v>
      </c>
      <c r="L21" s="1508">
        <f>SUM(L22:L23)</f>
        <v>0</v>
      </c>
      <c r="M21" s="1482">
        <f>SUMPRODUCT($K22:$K24,M22:M24,$BD22:$BD24)+SUMPRODUCT($L22:$L24,M22:M24,$BD22:$BD24)</f>
        <v>0</v>
      </c>
      <c r="N21" s="1483">
        <f>SUMPRODUCT($K22:$K24,N22:N24,$BD22:$BD24)</f>
        <v>0</v>
      </c>
      <c r="O21" s="1482">
        <f>SUMPRODUCT(K22:K24,O22:O24)+SUMPRODUCT(L22:L24,O22:O24)</f>
        <v>0</v>
      </c>
      <c r="P21" s="1482">
        <f>SUMPRODUCT($K22:$K24,P22:P24)+SUMPRODUCT($L22:$L24,P22:P24)</f>
        <v>0</v>
      </c>
      <c r="Q21" s="1483">
        <f>SUMPRODUCT($K22:$K24,Q22:Q24)</f>
        <v>0</v>
      </c>
      <c r="R21" s="1509">
        <f>IF(P21=0,0,(P21-V21)/P21)</f>
        <v>0</v>
      </c>
      <c r="S21" s="1510">
        <f>IF(Q21=0,0,(Q21-W21)/Q21)</f>
        <v>0</v>
      </c>
      <c r="T21" s="1511"/>
      <c r="U21" s="1512"/>
      <c r="V21" s="1482">
        <f t="array" ref="V21">SUM(IF(V22:V23="",0,V22:V23)*$BD22:$BD23)</f>
        <v>0</v>
      </c>
      <c r="W21" s="1483">
        <f t="array" ref="W21">SUM(IF(W22:W23="",0,W22:W23)*$BD22:$BD23)</f>
        <v>0</v>
      </c>
      <c r="BA21" s="1513">
        <f>V21</f>
        <v>0</v>
      </c>
      <c r="BB21" s="1513">
        <f>W21</f>
        <v>0</v>
      </c>
    </row>
    <row r="22" spans="1:54" ht="14.25">
      <c r="A22" s="1447"/>
      <c r="B22" s="1447"/>
      <c r="C22" s="1451"/>
      <c r="D22" s="1451"/>
      <c r="E22" s="1514"/>
      <c r="F22" s="1795"/>
      <c r="G22" s="1796"/>
      <c r="H22" s="1796"/>
      <c r="I22" s="1796"/>
      <c r="J22" s="1797"/>
      <c r="K22" s="1515"/>
      <c r="L22" s="1516"/>
      <c r="M22" s="1517"/>
      <c r="N22" s="1518"/>
      <c r="O22" s="1517"/>
      <c r="P22" s="1517">
        <f>IF(ISNUMBER(M22),M22-O22,0)</f>
        <v>0</v>
      </c>
      <c r="Q22" s="1518">
        <f>N22</f>
        <v>0</v>
      </c>
      <c r="R22" s="1519" t="str">
        <f>IF(AND(ISNUMBER(P22),ISNUMBER(T22)),IF(P22=0,0,(P22-T22)/P22),"")</f>
        <v/>
      </c>
      <c r="S22" s="1520" t="str">
        <f>IF(AND(ISNUMBER(Q22),ISNUMBER(U22)),IF(Q22=0,0,(Q22-U22)/Q22),"")</f>
        <v/>
      </c>
      <c r="T22" s="1521"/>
      <c r="U22" s="1522"/>
      <c r="V22" s="1523">
        <f>IF(K22="G","",IF(ISNUMBER(T22),T22*(K22+L22),T22))</f>
        <v>0</v>
      </c>
      <c r="W22" s="1524">
        <f>IF(K22="G","",IF(ISNUMBER(U22),U22*(K22),U22))</f>
        <v>0</v>
      </c>
    </row>
    <row r="23" spans="1:54" ht="14.25">
      <c r="A23" s="1447"/>
      <c r="B23" s="1447"/>
      <c r="C23" s="1451"/>
      <c r="D23" s="1451"/>
      <c r="E23" s="1514"/>
      <c r="F23" s="1798"/>
      <c r="G23" s="1799"/>
      <c r="H23" s="1799"/>
      <c r="I23" s="1799"/>
      <c r="J23" s="1800"/>
      <c r="K23" s="1515"/>
      <c r="L23" s="1516"/>
      <c r="M23" s="1517"/>
      <c r="N23" s="1518"/>
      <c r="O23" s="1517"/>
      <c r="P23" s="1517">
        <f>IF(ISNUMBER(M23),M23-O23,0)</f>
        <v>0</v>
      </c>
      <c r="Q23" s="1518">
        <f>N23</f>
        <v>0</v>
      </c>
      <c r="R23" s="1519" t="str">
        <f>IF(AND(ISNUMBER(P23),ISNUMBER(T23)),IF(P23=0,0,(P23-T23)/P23),"")</f>
        <v/>
      </c>
      <c r="S23" s="1520" t="str">
        <f>IF(AND(ISNUMBER(Q23),ISNUMBER(U23)),IF(Q23=0,0,(Q23-U23)/Q23),"")</f>
        <v/>
      </c>
      <c r="T23" s="1521"/>
      <c r="U23" s="1522"/>
      <c r="V23" s="1523">
        <f>IF(K23="G","",IF(ISNUMBER(T23),T23*(K23+L23),T23))</f>
        <v>0</v>
      </c>
      <c r="W23" s="1524">
        <f>IF(K23="G","",IF(ISNUMBER(U23),U23*(K23),U23))</f>
        <v>0</v>
      </c>
    </row>
    <row r="24" spans="1:54" ht="14.25">
      <c r="A24" s="1525"/>
      <c r="B24" s="1525"/>
      <c r="C24" s="1526"/>
      <c r="D24" s="1526"/>
      <c r="E24" s="1527"/>
      <c r="F24" s="1527"/>
      <c r="G24" s="1527"/>
      <c r="H24" s="1527"/>
      <c r="I24" s="1527"/>
      <c r="J24" s="1527"/>
      <c r="K24" s="1527"/>
      <c r="L24" s="1527"/>
      <c r="M24" s="1527"/>
      <c r="N24" s="1527"/>
      <c r="O24" s="1527"/>
      <c r="P24" s="1527"/>
      <c r="Q24" s="1527"/>
      <c r="R24" s="1527"/>
      <c r="S24" s="1527"/>
      <c r="T24" s="1528"/>
      <c r="U24" s="1528"/>
      <c r="V24" s="1529"/>
      <c r="W24" s="1529"/>
    </row>
    <row r="25" spans="1:54" ht="14.25">
      <c r="A25" s="1525"/>
      <c r="B25" s="1525"/>
      <c r="C25" s="1526"/>
      <c r="D25" s="1526"/>
      <c r="E25" s="1526"/>
      <c r="F25" s="1526"/>
      <c r="G25" s="1526"/>
      <c r="H25" s="1526"/>
      <c r="I25" s="1526"/>
      <c r="J25" s="1526"/>
      <c r="K25" s="1526"/>
      <c r="L25" s="1526"/>
      <c r="M25" s="1526"/>
      <c r="N25" s="1526"/>
      <c r="O25" s="1526"/>
      <c r="P25" s="1526"/>
      <c r="Q25" s="1526"/>
      <c r="R25" s="1526"/>
      <c r="S25" s="1526"/>
      <c r="T25" s="1530"/>
      <c r="U25" s="1530"/>
      <c r="V25" s="1531"/>
      <c r="W25" s="1531"/>
    </row>
    <row r="26" spans="1:54" ht="15">
      <c r="A26" s="1447"/>
      <c r="B26" s="1447"/>
      <c r="C26" s="1532" t="s">
        <v>9641</v>
      </c>
      <c r="D26" s="1533"/>
      <c r="E26" s="1447"/>
      <c r="F26" s="1447"/>
      <c r="G26" s="1447"/>
      <c r="H26" s="1447"/>
      <c r="I26" s="1447"/>
      <c r="J26" s="1447"/>
      <c r="K26" s="1451"/>
      <c r="L26" s="1451"/>
      <c r="M26" s="1451"/>
      <c r="N26" s="1451"/>
      <c r="O26" s="1451"/>
      <c r="P26" s="1451"/>
      <c r="Q26" s="1451"/>
      <c r="R26" s="1453"/>
      <c r="S26" s="1453"/>
      <c r="T26" s="1451"/>
      <c r="U26" s="1451"/>
      <c r="V26" s="1447"/>
      <c r="W26" s="1447"/>
    </row>
    <row r="27" spans="1:54" ht="15">
      <c r="A27" s="1447"/>
      <c r="B27" s="1447"/>
      <c r="C27" s="1532"/>
      <c r="D27" s="1533" t="s">
        <v>9642</v>
      </c>
      <c r="E27" s="1447"/>
      <c r="F27" s="1447"/>
      <c r="G27" s="1447"/>
      <c r="H27" s="1447"/>
      <c r="I27" s="1447"/>
      <c r="J27" s="1447"/>
      <c r="K27" s="1451"/>
      <c r="L27" s="1451"/>
      <c r="M27" s="1451"/>
      <c r="N27" s="1451"/>
      <c r="O27" s="1451"/>
      <c r="P27" s="1451"/>
      <c r="Q27" s="1451"/>
      <c r="R27" s="1453"/>
      <c r="S27" s="1453"/>
      <c r="T27" s="1451"/>
      <c r="U27" s="1451"/>
      <c r="V27" s="1447"/>
      <c r="W27" s="1447"/>
    </row>
    <row r="28" spans="1:54" ht="15">
      <c r="A28" s="1447"/>
      <c r="C28" s="1532"/>
      <c r="D28" s="1533"/>
      <c r="E28" s="1470" t="s">
        <v>9644</v>
      </c>
      <c r="F28" s="1470" t="s">
        <v>9643</v>
      </c>
      <c r="G28" s="1470" t="s">
        <v>9645</v>
      </c>
      <c r="H28" s="1470" t="s">
        <v>9646</v>
      </c>
      <c r="I28" s="1470" t="s">
        <v>9647</v>
      </c>
      <c r="J28" s="1470" t="s">
        <v>9648</v>
      </c>
    </row>
    <row r="29" spans="1:54" ht="15">
      <c r="A29" s="1447"/>
      <c r="C29" s="1532"/>
      <c r="D29" s="1533"/>
    </row>
    <row r="30" spans="1:54" ht="15">
      <c r="A30" s="1447"/>
      <c r="C30" s="1532"/>
      <c r="D30" s="1533"/>
    </row>
    <row r="31" spans="1:54" ht="15">
      <c r="A31" s="1447"/>
      <c r="C31" s="1532"/>
      <c r="D31" s="1533"/>
    </row>
    <row r="32" spans="1:54" ht="15">
      <c r="A32" s="1447"/>
      <c r="C32" s="1532"/>
      <c r="D32" s="1533"/>
    </row>
    <row r="33" spans="1:4" ht="15">
      <c r="A33" s="1447"/>
      <c r="C33" s="1532"/>
      <c r="D33" s="1533"/>
    </row>
    <row r="34" spans="1:4" ht="15">
      <c r="A34" s="1447"/>
      <c r="C34" s="1532"/>
      <c r="D34" s="1533"/>
    </row>
    <row r="35" spans="1:4" ht="15">
      <c r="A35" s="1447"/>
      <c r="C35" s="1532"/>
      <c r="D35" s="1533"/>
    </row>
    <row r="36" spans="1:4" ht="15">
      <c r="A36" s="1447"/>
      <c r="C36" s="1532"/>
      <c r="D36" s="1533"/>
    </row>
    <row r="37" spans="1:4" ht="15">
      <c r="A37" s="1447"/>
      <c r="C37" s="1532"/>
      <c r="D37" s="1533"/>
    </row>
    <row r="38" spans="1:4" ht="15">
      <c r="A38" s="1447"/>
      <c r="C38" s="1532"/>
      <c r="D38" s="1533"/>
    </row>
    <row r="39" spans="1:4" ht="15">
      <c r="A39" s="1447"/>
      <c r="C39" s="1532"/>
      <c r="D39" s="1533"/>
    </row>
    <row r="40" spans="1:4" ht="15">
      <c r="A40" s="1447"/>
      <c r="C40" s="1532"/>
      <c r="D40" s="1533"/>
    </row>
    <row r="41" spans="1:4" ht="15">
      <c r="A41" s="1447"/>
      <c r="C41" s="1532"/>
      <c r="D41" s="1533"/>
    </row>
    <row r="42" spans="1:4" ht="15">
      <c r="A42" s="1447"/>
      <c r="C42" s="1532"/>
      <c r="D42" s="1533"/>
    </row>
    <row r="43" spans="1:4" ht="15">
      <c r="A43" s="1447"/>
      <c r="C43" s="1532"/>
      <c r="D43" s="1533"/>
    </row>
    <row r="44" spans="1:4" ht="15">
      <c r="A44" s="1447"/>
      <c r="C44" s="1532"/>
      <c r="D44" s="1533"/>
    </row>
    <row r="45" spans="1:4" ht="15">
      <c r="A45" s="1447"/>
      <c r="C45" s="1532"/>
      <c r="D45" s="1533"/>
    </row>
    <row r="46" spans="1:4" ht="15">
      <c r="A46" s="1447"/>
      <c r="C46" s="1532"/>
      <c r="D46" s="1533"/>
    </row>
    <row r="47" spans="1:4" ht="15">
      <c r="A47" s="1447"/>
      <c r="C47" s="1532"/>
      <c r="D47" s="1533"/>
    </row>
    <row r="48" spans="1:4" ht="15">
      <c r="A48" s="1447"/>
      <c r="C48" s="1532"/>
      <c r="D48" s="1533"/>
    </row>
    <row r="49" spans="1:4" ht="15">
      <c r="A49" s="1447"/>
      <c r="C49" s="1532"/>
      <c r="D49" s="1533"/>
    </row>
    <row r="50" spans="1:4" ht="15">
      <c r="A50" s="1447"/>
      <c r="C50" s="1532"/>
      <c r="D50" s="1533"/>
    </row>
    <row r="51" spans="1:4" ht="15">
      <c r="A51" s="1447"/>
      <c r="C51" s="1532"/>
      <c r="D51" s="1533"/>
    </row>
    <row r="52" spans="1:4" ht="15">
      <c r="A52" s="1447"/>
      <c r="C52" s="1532"/>
      <c r="D52" s="1533"/>
    </row>
    <row r="53" spans="1:4" ht="15">
      <c r="A53" s="1447"/>
      <c r="C53" s="1532"/>
      <c r="D53" s="1533"/>
    </row>
    <row r="54" spans="1:4" ht="15">
      <c r="A54" s="1447"/>
      <c r="C54" s="1532"/>
      <c r="D54" s="1533"/>
    </row>
    <row r="55" spans="1:4" ht="15">
      <c r="A55" s="1447"/>
      <c r="C55" s="1532"/>
      <c r="D55" s="1533"/>
    </row>
    <row r="56" spans="1:4" ht="15">
      <c r="A56" s="1447"/>
      <c r="C56" s="1532"/>
      <c r="D56" s="1533"/>
    </row>
    <row r="57" spans="1:4" ht="15">
      <c r="A57" s="1447"/>
      <c r="C57" s="1532"/>
      <c r="D57" s="1533"/>
    </row>
    <row r="58" spans="1:4" ht="15">
      <c r="A58" s="1447"/>
      <c r="C58" s="1532"/>
      <c r="D58" s="1533"/>
    </row>
    <row r="59" spans="1:4" ht="15">
      <c r="A59" s="1447"/>
      <c r="C59" s="1532"/>
      <c r="D59" s="1533"/>
    </row>
    <row r="60" spans="1:4" ht="15">
      <c r="A60" s="1447"/>
      <c r="C60" s="1532"/>
      <c r="D60" s="1533"/>
    </row>
    <row r="61" spans="1:4" ht="15">
      <c r="A61" s="1447"/>
      <c r="C61" s="1532"/>
      <c r="D61" s="1533"/>
    </row>
    <row r="62" spans="1:4" ht="15">
      <c r="A62" s="1447"/>
      <c r="C62" s="1532"/>
      <c r="D62" s="1533"/>
    </row>
    <row r="63" spans="1:4" ht="15">
      <c r="A63" s="1447"/>
      <c r="C63" s="1532"/>
      <c r="D63" s="1533"/>
    </row>
    <row r="64" spans="1:4" ht="15">
      <c r="A64" s="1447"/>
      <c r="C64" s="1532"/>
      <c r="D64" s="1533"/>
    </row>
    <row r="65" spans="1:4" ht="15">
      <c r="A65" s="1447"/>
      <c r="C65" s="1532"/>
      <c r="D65" s="1533"/>
    </row>
    <row r="66" spans="1:4" ht="15">
      <c r="A66" s="1447"/>
      <c r="C66" s="1532"/>
      <c r="D66" s="1533"/>
    </row>
    <row r="67" spans="1:4" ht="15">
      <c r="A67" s="1447"/>
      <c r="C67" s="1532"/>
      <c r="D67" s="1533"/>
    </row>
    <row r="68" spans="1:4" ht="15">
      <c r="A68" s="1447"/>
      <c r="C68" s="1532"/>
      <c r="D68" s="1533"/>
    </row>
    <row r="69" spans="1:4" ht="15">
      <c r="A69" s="1447"/>
      <c r="C69" s="1532"/>
      <c r="D69" s="1533"/>
    </row>
    <row r="70" spans="1:4" ht="15">
      <c r="A70" s="1447"/>
      <c r="C70" s="1532"/>
      <c r="D70" s="1533"/>
    </row>
    <row r="71" spans="1:4" ht="15">
      <c r="A71" s="1447"/>
      <c r="C71" s="1532"/>
      <c r="D71" s="1533"/>
    </row>
    <row r="72" spans="1:4" ht="15">
      <c r="A72" s="1447"/>
      <c r="C72" s="1532"/>
      <c r="D72" s="1533"/>
    </row>
    <row r="73" spans="1:4" ht="15">
      <c r="A73" s="1447"/>
      <c r="C73" s="1532"/>
      <c r="D73" s="1533"/>
    </row>
    <row r="74" spans="1:4" ht="15">
      <c r="A74" s="1447"/>
      <c r="C74" s="1532"/>
      <c r="D74" s="1533"/>
    </row>
    <row r="75" spans="1:4" ht="15">
      <c r="A75" s="1447"/>
      <c r="C75" s="1532"/>
      <c r="D75" s="1533"/>
    </row>
    <row r="76" spans="1:4" ht="15">
      <c r="A76" s="1447"/>
      <c r="C76" s="1532"/>
      <c r="D76" s="1533"/>
    </row>
    <row r="77" spans="1:4" ht="15">
      <c r="A77" s="1447"/>
      <c r="C77" s="1532"/>
      <c r="D77" s="1533"/>
    </row>
    <row r="78" spans="1:4" ht="15">
      <c r="A78" s="1447"/>
      <c r="C78" s="1532"/>
      <c r="D78" s="1533"/>
    </row>
    <row r="79" spans="1:4" ht="15">
      <c r="A79" s="1447"/>
      <c r="C79" s="1532"/>
      <c r="D79" s="1533"/>
    </row>
    <row r="80" spans="1:4" ht="15">
      <c r="A80" s="1447"/>
      <c r="C80" s="1532"/>
      <c r="D80" s="1533"/>
    </row>
    <row r="81" spans="1:4" ht="15">
      <c r="A81" s="1447"/>
      <c r="C81" s="1532"/>
      <c r="D81" s="1533"/>
    </row>
    <row r="82" spans="1:4" ht="15">
      <c r="A82" s="1447"/>
      <c r="C82" s="1532"/>
      <c r="D82" s="1533"/>
    </row>
    <row r="83" spans="1:4" ht="15">
      <c r="A83" s="1447"/>
      <c r="C83" s="1532"/>
      <c r="D83" s="1533"/>
    </row>
    <row r="84" spans="1:4" ht="15">
      <c r="A84" s="1447"/>
      <c r="C84" s="1532"/>
      <c r="D84" s="1533"/>
    </row>
    <row r="85" spans="1:4" ht="15">
      <c r="A85" s="1447"/>
      <c r="C85" s="1532"/>
      <c r="D85" s="1533"/>
    </row>
    <row r="86" spans="1:4" ht="15">
      <c r="A86" s="1447"/>
      <c r="C86" s="1532"/>
      <c r="D86" s="1533"/>
    </row>
    <row r="87" spans="1:4" ht="15">
      <c r="A87" s="1447"/>
      <c r="C87" s="1532"/>
      <c r="D87" s="1533"/>
    </row>
    <row r="88" spans="1:4" ht="15">
      <c r="A88" s="1447"/>
      <c r="C88" s="1532"/>
      <c r="D88" s="1533"/>
    </row>
    <row r="89" spans="1:4" ht="15">
      <c r="A89" s="1447"/>
      <c r="C89" s="1532"/>
      <c r="D89" s="1533"/>
    </row>
    <row r="90" spans="1:4" ht="15">
      <c r="A90" s="1447"/>
      <c r="C90" s="1532"/>
      <c r="D90" s="1533"/>
    </row>
    <row r="91" spans="1:4" ht="15">
      <c r="A91" s="1447"/>
      <c r="C91" s="1532"/>
      <c r="D91" s="1533"/>
    </row>
    <row r="92" spans="1:4" ht="15">
      <c r="A92" s="1447"/>
      <c r="C92" s="1532"/>
      <c r="D92" s="1533"/>
    </row>
    <row r="93" spans="1:4" ht="15">
      <c r="A93" s="1447"/>
      <c r="C93" s="1532"/>
      <c r="D93" s="1533"/>
    </row>
    <row r="94" spans="1:4" ht="15">
      <c r="A94" s="1447"/>
      <c r="C94" s="1532"/>
    </row>
  </sheetData>
  <sheetProtection formatColumns="0" formatRows="0"/>
  <mergeCells count="4">
    <mergeCell ref="G6:H6"/>
    <mergeCell ref="M6:N6"/>
    <mergeCell ref="F22:J22"/>
    <mergeCell ref="F23:J23"/>
  </mergeCells>
  <pageMargins left="0.7" right="0.7" top="0.75" bottom="0.75" header="0.3" footer="0.3"/>
  <pageSetup orientation="portrait" horizontalDpi="200" verticalDpi="200" r:id="rId1"/>
  <headerFooter>
    <oddFooter>&amp;CAT&amp;&amp;T Proprietary (Internal Use Only)</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wsRLtemplate"/>
  <dimension ref="A1:BB126"/>
  <sheetViews>
    <sheetView showGridLines="0" topLeftCell="A2" workbookViewId="0">
      <selection activeCell="E2" sqref="E2"/>
    </sheetView>
  </sheetViews>
  <sheetFormatPr defaultColWidth="9.140625" defaultRowHeight="12.75"/>
  <cols>
    <col min="1" max="4" width="0.28515625" style="941" customWidth="1"/>
    <col min="5" max="5" width="21.140625" style="941" customWidth="1"/>
    <col min="6" max="10" width="9.140625" style="941"/>
    <col min="11" max="12" width="7.85546875" style="941" customWidth="1"/>
    <col min="13" max="14" width="11.7109375" style="941" customWidth="1"/>
    <col min="15" max="15" width="9.140625" style="941" hidden="1" customWidth="1"/>
    <col min="16" max="17" width="12.5703125" style="941" hidden="1" customWidth="1"/>
    <col min="18" max="19" width="9.140625" style="941"/>
    <col min="20" max="21" width="12.140625" style="941" customWidth="1"/>
    <col min="22" max="23" width="13.85546875" style="941" customWidth="1"/>
    <col min="24" max="26" width="9.140625" style="941"/>
    <col min="27" max="42" width="2.42578125" style="941" hidden="1" customWidth="1"/>
    <col min="43" max="52" width="1.85546875" style="941" hidden="1" customWidth="1"/>
    <col min="53" max="63" width="0" style="941" hidden="1" customWidth="1"/>
    <col min="64" max="16384" width="9.140625" style="941"/>
  </cols>
  <sheetData>
    <row r="1" spans="1:54" ht="15" hidden="1" customHeight="1">
      <c r="A1" s="891"/>
      <c r="B1" s="1069"/>
      <c r="C1" s="1069"/>
      <c r="D1" s="1069"/>
      <c r="E1" s="891"/>
      <c r="F1" s="1069"/>
      <c r="G1" s="1069"/>
      <c r="H1" s="1069"/>
      <c r="I1" s="1069"/>
      <c r="J1" s="1069"/>
      <c r="K1" s="1069"/>
      <c r="L1" s="1069"/>
      <c r="M1" s="1069"/>
      <c r="N1" s="1069"/>
      <c r="O1" s="1448" t="s">
        <v>9632</v>
      </c>
      <c r="P1" s="1448"/>
      <c r="Q1" s="1448"/>
      <c r="R1" s="1069"/>
      <c r="S1" s="1449"/>
      <c r="T1" s="1069"/>
      <c r="U1" s="1069"/>
      <c r="V1" s="1069"/>
      <c r="W1" s="1069"/>
    </row>
    <row r="2" spans="1:54" ht="25.5">
      <c r="A2" s="1069"/>
      <c r="B2" s="1069"/>
      <c r="C2" s="892"/>
      <c r="D2" s="892"/>
      <c r="E2" s="893" t="s">
        <v>9601</v>
      </c>
      <c r="F2" s="892"/>
      <c r="G2" s="892"/>
      <c r="H2" s="892"/>
      <c r="I2" s="892"/>
      <c r="J2" s="892"/>
      <c r="K2" s="892"/>
      <c r="L2" s="892"/>
      <c r="M2" s="892"/>
      <c r="N2" s="892"/>
      <c r="O2" s="892"/>
      <c r="P2" s="892"/>
      <c r="Q2" s="892"/>
      <c r="R2" s="1069"/>
      <c r="S2" s="1453"/>
      <c r="T2" s="892"/>
      <c r="U2" s="892"/>
      <c r="V2" s="892"/>
      <c r="W2" s="892"/>
    </row>
    <row r="3" spans="1:54">
      <c r="A3" s="295"/>
      <c r="B3" s="295"/>
      <c r="C3" s="295"/>
      <c r="D3" s="295"/>
      <c r="E3" s="295" t="s">
        <v>9602</v>
      </c>
      <c r="F3" s="894">
        <v>1</v>
      </c>
      <c r="G3" s="295"/>
      <c r="H3" s="295"/>
      <c r="I3" s="295"/>
      <c r="J3" s="295"/>
      <c r="K3" s="295"/>
      <c r="L3" s="295"/>
      <c r="M3" s="295"/>
      <c r="N3" s="295"/>
      <c r="O3" s="295"/>
      <c r="P3" s="295"/>
      <c r="Q3" s="295"/>
      <c r="R3" s="1455"/>
      <c r="S3" s="1455"/>
      <c r="T3" s="295"/>
      <c r="U3" s="295"/>
      <c r="V3" s="295"/>
      <c r="W3" s="295"/>
    </row>
    <row r="4" spans="1:54" ht="14.25">
      <c r="A4" s="1069"/>
      <c r="B4" s="1069"/>
      <c r="C4" s="892"/>
      <c r="D4" s="892"/>
      <c r="E4" s="920" t="s">
        <v>441</v>
      </c>
      <c r="F4" s="921" t="s">
        <v>9594</v>
      </c>
      <c r="G4" s="895"/>
      <c r="H4" s="895"/>
      <c r="I4" s="895"/>
      <c r="J4" s="895"/>
      <c r="K4" s="895"/>
      <c r="L4" s="895"/>
      <c r="M4" s="895"/>
      <c r="N4" s="895"/>
      <c r="O4" s="895"/>
      <c r="P4" s="895"/>
      <c r="Q4" s="895"/>
      <c r="R4" s="1457"/>
      <c r="S4" s="1457"/>
      <c r="T4" s="892"/>
      <c r="U4" s="892"/>
      <c r="V4" s="892"/>
      <c r="W4" s="892"/>
    </row>
    <row r="5" spans="1:54" ht="14.25">
      <c r="A5" s="1069"/>
      <c r="B5" s="1069"/>
      <c r="C5" s="892"/>
      <c r="D5" s="892"/>
      <c r="E5" s="895"/>
      <c r="F5" s="895"/>
      <c r="G5" s="895"/>
      <c r="H5" s="895"/>
      <c r="I5" s="895"/>
      <c r="J5" s="895"/>
      <c r="K5" s="895"/>
      <c r="L5" s="895"/>
      <c r="M5" s="895"/>
      <c r="N5" s="895"/>
      <c r="O5" s="895"/>
      <c r="P5" s="895"/>
      <c r="Q5" s="895"/>
      <c r="R5" s="1457"/>
      <c r="S5" s="1457"/>
      <c r="T5" s="892"/>
      <c r="U5" s="892"/>
      <c r="V5" s="892"/>
      <c r="W5" s="892"/>
    </row>
    <row r="6" spans="1:54" ht="28.5" customHeight="1">
      <c r="A6" s="1069"/>
      <c r="B6" s="1069"/>
      <c r="C6" s="892"/>
      <c r="D6" s="892"/>
      <c r="E6" s="933" t="s">
        <v>9603</v>
      </c>
      <c r="F6" s="922"/>
      <c r="G6" s="1803">
        <f>oppty.customerName</f>
        <v>0</v>
      </c>
      <c r="H6" s="1804"/>
      <c r="I6" s="895"/>
      <c r="J6" s="933" t="s">
        <v>9604</v>
      </c>
      <c r="K6" s="922"/>
      <c r="L6" s="922"/>
      <c r="M6" s="1801" t="s">
        <v>11291</v>
      </c>
      <c r="N6" s="1802"/>
      <c r="O6" s="895"/>
      <c r="P6" s="1069"/>
      <c r="Q6" s="892"/>
      <c r="R6" s="1453"/>
      <c r="S6" s="896"/>
      <c r="T6" s="892"/>
      <c r="U6" s="892"/>
      <c r="V6" s="892"/>
      <c r="W6" s="892"/>
    </row>
    <row r="7" spans="1:54" ht="14.25">
      <c r="A7" s="1069"/>
      <c r="B7" s="1069"/>
      <c r="C7" s="892"/>
      <c r="D7" s="892"/>
      <c r="E7" s="923" t="s">
        <v>9605</v>
      </c>
      <c r="F7" s="924"/>
      <c r="G7" s="1463" t="s">
        <v>9606</v>
      </c>
      <c r="H7" s="1464"/>
      <c r="I7" s="895"/>
      <c r="J7" s="923" t="s">
        <v>9636</v>
      </c>
      <c r="K7" s="924"/>
      <c r="L7" s="924"/>
      <c r="M7" s="1465">
        <f ca="1">TODAY()</f>
        <v>43381</v>
      </c>
      <c r="N7" s="1464"/>
      <c r="O7" s="895"/>
      <c r="P7" s="1069"/>
      <c r="Q7" s="892"/>
      <c r="R7" s="1453"/>
      <c r="S7" s="896"/>
      <c r="T7" s="892"/>
      <c r="U7" s="892"/>
      <c r="V7" s="892"/>
      <c r="W7" s="892"/>
    </row>
    <row r="8" spans="1:54" ht="14.25">
      <c r="A8" s="1069"/>
      <c r="B8" s="1069"/>
      <c r="C8" s="892"/>
      <c r="D8" s="892"/>
      <c r="E8" s="923"/>
      <c r="F8" s="924"/>
      <c r="G8" s="1463" t="s">
        <v>474</v>
      </c>
      <c r="H8" s="1464"/>
      <c r="I8" s="895"/>
      <c r="J8" s="923" t="s">
        <v>9607</v>
      </c>
      <c r="K8" s="924"/>
      <c r="L8" s="924"/>
      <c r="M8" s="1534">
        <f>ddVersion</f>
        <v>0</v>
      </c>
      <c r="N8" s="1469"/>
      <c r="O8" s="895"/>
      <c r="R8" s="1453"/>
      <c r="S8" s="927" t="s">
        <v>9819</v>
      </c>
      <c r="T8" s="892"/>
      <c r="U8" s="892"/>
      <c r="V8" s="892"/>
      <c r="W8" s="892"/>
      <c r="BA8" s="849" t="s">
        <v>9637</v>
      </c>
      <c r="BB8" s="849" t="s">
        <v>9638</v>
      </c>
    </row>
    <row r="9" spans="1:54" ht="14.25">
      <c r="A9" s="1069"/>
      <c r="B9" s="1069"/>
      <c r="C9" s="892"/>
      <c r="D9" s="892"/>
      <c r="E9" s="923" t="s">
        <v>9608</v>
      </c>
      <c r="F9" s="924"/>
      <c r="G9" s="1535">
        <f>oppty.tsebdm</f>
        <v>0</v>
      </c>
      <c r="H9" s="1467"/>
      <c r="I9" s="895"/>
      <c r="J9" s="923" t="s">
        <v>9609</v>
      </c>
      <c r="K9" s="924"/>
      <c r="L9" s="924"/>
      <c r="M9" s="1534">
        <f>ddDealNum</f>
        <v>0</v>
      </c>
      <c r="N9" s="1469"/>
      <c r="O9" s="895"/>
      <c r="R9" s="1453"/>
      <c r="S9" s="1536" t="str">
        <f>Mobility_eRateAgreement&amp;""</f>
        <v/>
      </c>
      <c r="T9" s="1537"/>
      <c r="U9" s="892"/>
      <c r="V9" s="892"/>
      <c r="W9" s="892"/>
    </row>
    <row r="10" spans="1:54" ht="14.25">
      <c r="A10" s="1069"/>
      <c r="B10" s="1069"/>
      <c r="C10" s="892"/>
      <c r="D10" s="892"/>
      <c r="E10" s="923" t="s">
        <v>9610</v>
      </c>
      <c r="F10" s="924"/>
      <c r="G10" s="1535">
        <f>oppty.accountExecutive</f>
        <v>0</v>
      </c>
      <c r="H10" s="1471"/>
      <c r="I10" s="895"/>
      <c r="J10" s="923" t="s">
        <v>9635</v>
      </c>
      <c r="K10" s="924"/>
      <c r="L10" s="924"/>
      <c r="M10" s="1534">
        <f>oppty.ecrmRequestID</f>
        <v>0</v>
      </c>
      <c r="N10" s="1469"/>
      <c r="O10" s="895"/>
      <c r="R10" s="1453"/>
      <c r="U10" s="892"/>
      <c r="V10" s="1476" t="s">
        <v>9615</v>
      </c>
      <c r="W10" s="1477"/>
    </row>
    <row r="11" spans="1:54" ht="14.25">
      <c r="A11" s="1069"/>
      <c r="B11" s="1069"/>
      <c r="C11" s="892"/>
      <c r="D11" s="892"/>
      <c r="E11" s="923" t="s">
        <v>9611</v>
      </c>
      <c r="F11" s="924"/>
      <c r="G11" s="1535">
        <f>oppty.salesVP</f>
        <v>0</v>
      </c>
      <c r="H11" s="1471"/>
      <c r="I11" s="895"/>
      <c r="J11" s="1538" t="str">
        <f>oppty.RequestLabel</f>
        <v>ICB-PS Request #</v>
      </c>
      <c r="K11" s="1539"/>
      <c r="L11" s="1540"/>
      <c r="M11" s="1535">
        <f>oppty.ICBPSnum</f>
        <v>0</v>
      </c>
      <c r="N11" s="1541"/>
      <c r="O11" s="849"/>
      <c r="R11" s="1453"/>
      <c r="S11" s="927" t="s">
        <v>9737</v>
      </c>
      <c r="T11" s="892"/>
      <c r="U11" s="892"/>
      <c r="V11" s="1480" t="s">
        <v>9616</v>
      </c>
      <c r="W11" s="1481" t="s">
        <v>9617</v>
      </c>
    </row>
    <row r="12" spans="1:54" ht="14.25">
      <c r="A12" s="1069"/>
      <c r="B12" s="1069"/>
      <c r="C12" s="892"/>
      <c r="D12" s="892"/>
      <c r="E12" s="925" t="s">
        <v>9612</v>
      </c>
      <c r="F12" s="926"/>
      <c r="G12" s="1542">
        <f>oppty.salesChannel</f>
        <v>0</v>
      </c>
      <c r="H12" s="1479"/>
      <c r="I12" s="895"/>
      <c r="J12" s="925" t="s">
        <v>9613</v>
      </c>
      <c r="K12" s="926"/>
      <c r="L12" s="926"/>
      <c r="M12" s="1543">
        <f>oppty.s470num</f>
        <v>0</v>
      </c>
      <c r="N12" s="1544"/>
      <c r="O12" s="895"/>
      <c r="R12" s="1453"/>
      <c r="S12" s="1536">
        <f>oppty.s470numWireless</f>
        <v>0</v>
      </c>
      <c r="T12" s="1537"/>
      <c r="U12" s="892"/>
      <c r="V12" s="1482">
        <f>SUM(BA14:BA45)</f>
        <v>0</v>
      </c>
      <c r="W12" s="1483">
        <f t="shared" ref="W12" si="0">SUM(BB14:BB45)</f>
        <v>0</v>
      </c>
    </row>
    <row r="13" spans="1:54" ht="14.25">
      <c r="A13" s="1069"/>
      <c r="B13" s="1069"/>
      <c r="C13" s="892"/>
      <c r="D13" s="892"/>
      <c r="E13" s="920"/>
      <c r="F13" s="895"/>
      <c r="G13" s="1485"/>
      <c r="H13" s="895"/>
      <c r="I13" s="895"/>
      <c r="J13" s="895"/>
      <c r="K13" s="895"/>
      <c r="L13" s="895"/>
      <c r="M13" s="895"/>
      <c r="N13" s="895"/>
      <c r="O13" s="895"/>
      <c r="P13" s="895"/>
      <c r="Q13" s="895"/>
      <c r="R13" s="1453"/>
      <c r="S13" s="1453"/>
      <c r="T13" s="892"/>
      <c r="U13" s="892"/>
      <c r="V13" s="892"/>
      <c r="W13" s="892"/>
    </row>
    <row r="14" spans="1:54" ht="14.25">
      <c r="A14" s="1069"/>
      <c r="B14" s="1069"/>
      <c r="C14" s="892"/>
      <c r="D14" s="892"/>
      <c r="E14" s="1050" t="s">
        <v>10002</v>
      </c>
      <c r="F14" s="1051"/>
      <c r="G14" s="1811">
        <f>oppty.LDMarcS1</f>
        <v>0</v>
      </c>
      <c r="H14" s="1812"/>
      <c r="I14" s="892"/>
      <c r="J14" s="892" t="s">
        <v>10000</v>
      </c>
      <c r="K14" s="892"/>
      <c r="L14" s="892"/>
      <c r="M14" s="892" t="s">
        <v>10001</v>
      </c>
      <c r="N14" s="892"/>
      <c r="O14" s="892"/>
      <c r="P14" s="895"/>
      <c r="Q14" s="895"/>
      <c r="R14" s="1453"/>
      <c r="S14" s="1453"/>
      <c r="T14" s="892"/>
      <c r="U14" s="892"/>
      <c r="V14" s="892"/>
      <c r="W14" s="892"/>
      <c r="Z14" s="849"/>
      <c r="AA14" s="849"/>
      <c r="AB14" s="849"/>
    </row>
    <row r="15" spans="1:54" ht="14.25">
      <c r="A15" s="1069"/>
      <c r="B15" s="1069"/>
      <c r="C15" s="892"/>
      <c r="D15" s="892"/>
      <c r="I15" s="892"/>
      <c r="K15" s="892"/>
      <c r="L15" s="892"/>
      <c r="M15" s="892"/>
      <c r="N15" s="892"/>
      <c r="O15" s="892"/>
      <c r="P15" s="895"/>
      <c r="Q15" s="895"/>
      <c r="R15" s="1453"/>
      <c r="S15" s="1453"/>
      <c r="T15" s="892"/>
      <c r="U15" s="892"/>
      <c r="V15" s="892"/>
      <c r="W15" s="892"/>
      <c r="Z15" s="849"/>
      <c r="AA15" s="849"/>
      <c r="AB15" s="849"/>
    </row>
    <row r="16" spans="1:54" ht="14.25">
      <c r="A16" s="1069"/>
      <c r="B16" s="1069"/>
      <c r="C16" s="892"/>
      <c r="D16" s="892"/>
      <c r="I16" s="892"/>
      <c r="J16" s="892"/>
      <c r="K16" s="892"/>
      <c r="L16" s="892"/>
      <c r="M16" s="892"/>
      <c r="N16" s="892"/>
      <c r="O16" s="892"/>
      <c r="P16" s="895"/>
      <c r="Q16" s="895"/>
      <c r="R16" s="1453"/>
      <c r="S16" s="1453"/>
      <c r="T16" s="892"/>
      <c r="U16" s="892"/>
      <c r="V16" s="892"/>
      <c r="W16" s="892"/>
      <c r="Z16" s="849"/>
      <c r="AA16" s="849"/>
      <c r="AB16" s="849"/>
    </row>
    <row r="17" spans="1:54" ht="14.25">
      <c r="A17" s="1069"/>
      <c r="B17" s="1069"/>
      <c r="C17" s="892"/>
      <c r="D17" s="892"/>
      <c r="E17" s="52"/>
      <c r="F17" s="52"/>
      <c r="G17" s="1487"/>
      <c r="H17" s="1487"/>
      <c r="I17" s="892"/>
      <c r="J17" s="892"/>
      <c r="K17" s="892"/>
      <c r="L17" s="892"/>
      <c r="M17" s="892"/>
      <c r="N17" s="892"/>
      <c r="O17" s="892"/>
      <c r="P17" s="895"/>
      <c r="Q17" s="895"/>
      <c r="R17" s="1453"/>
      <c r="S17" s="1453"/>
      <c r="T17" s="892"/>
      <c r="U17" s="892"/>
      <c r="V17" s="892"/>
      <c r="W17" s="892"/>
      <c r="Z17" s="849"/>
      <c r="AA17" s="849"/>
      <c r="AB17" s="849"/>
    </row>
    <row r="18" spans="1:54" ht="14.25">
      <c r="A18" s="1069"/>
      <c r="B18" s="1069"/>
      <c r="C18" s="892"/>
      <c r="D18" s="892"/>
      <c r="E18" s="295"/>
      <c r="F18" s="892"/>
      <c r="G18" s="892"/>
      <c r="H18" s="892"/>
      <c r="I18" s="892"/>
      <c r="J18" s="892"/>
      <c r="K18" s="892"/>
      <c r="L18" s="892"/>
      <c r="M18" s="892"/>
      <c r="N18" s="892"/>
      <c r="O18" s="892"/>
      <c r="P18" s="895"/>
      <c r="Q18" s="895"/>
      <c r="R18" s="1453"/>
      <c r="S18" s="1453"/>
      <c r="T18" s="892"/>
      <c r="U18" s="892"/>
      <c r="V18" s="892"/>
      <c r="W18" s="892"/>
    </row>
    <row r="19" spans="1:54" ht="14.25">
      <c r="A19" s="1069"/>
      <c r="B19" s="1069"/>
      <c r="C19" s="892"/>
      <c r="D19" s="892"/>
      <c r="E19" s="899" t="s">
        <v>9618</v>
      </c>
      <c r="F19" s="899" t="s">
        <v>9619</v>
      </c>
      <c r="G19" s="295"/>
      <c r="H19" s="295"/>
      <c r="I19" s="927"/>
      <c r="J19" s="927"/>
      <c r="K19" s="900" t="s">
        <v>9620</v>
      </c>
      <c r="L19" s="901"/>
      <c r="M19" s="900" t="s">
        <v>9621</v>
      </c>
      <c r="N19" s="901"/>
      <c r="O19" s="900" t="s">
        <v>9622</v>
      </c>
      <c r="P19" s="900" t="s">
        <v>9623</v>
      </c>
      <c r="Q19" s="901"/>
      <c r="R19" s="900" t="s">
        <v>9624</v>
      </c>
      <c r="S19" s="901"/>
      <c r="T19" s="902" t="s">
        <v>9625</v>
      </c>
      <c r="U19" s="903"/>
      <c r="V19" s="1476" t="s">
        <v>9626</v>
      </c>
      <c r="W19" s="1477"/>
    </row>
    <row r="20" spans="1:54" ht="25.5">
      <c r="A20" s="1069"/>
      <c r="B20" s="1069"/>
      <c r="C20" s="892"/>
      <c r="D20" s="892"/>
      <c r="E20" s="904" t="s">
        <v>9595</v>
      </c>
      <c r="F20" s="919" t="s">
        <v>9627</v>
      </c>
      <c r="G20" s="905"/>
      <c r="H20" s="905"/>
      <c r="I20" s="905"/>
      <c r="J20" s="906"/>
      <c r="K20" s="907" t="s">
        <v>9628</v>
      </c>
      <c r="L20" s="908" t="s">
        <v>9629</v>
      </c>
      <c r="M20" s="907" t="s">
        <v>9616</v>
      </c>
      <c r="N20" s="908" t="s">
        <v>9617</v>
      </c>
      <c r="O20" s="907" t="s">
        <v>9616</v>
      </c>
      <c r="P20" s="907" t="s">
        <v>9616</v>
      </c>
      <c r="Q20" s="908" t="s">
        <v>9617</v>
      </c>
      <c r="R20" s="907" t="s">
        <v>9630</v>
      </c>
      <c r="S20" s="908" t="s">
        <v>9631</v>
      </c>
      <c r="T20" s="909" t="s">
        <v>9616</v>
      </c>
      <c r="U20" s="910" t="s">
        <v>9633</v>
      </c>
      <c r="V20" s="1480" t="s">
        <v>9616</v>
      </c>
      <c r="W20" s="1481" t="s">
        <v>9617</v>
      </c>
    </row>
    <row r="21" spans="1:54" ht="14.25">
      <c r="A21" s="1069"/>
      <c r="B21" s="1503"/>
      <c r="C21" s="892"/>
      <c r="D21" s="892"/>
      <c r="E21" s="911" t="s">
        <v>9634</v>
      </c>
      <c r="F21" s="912"/>
      <c r="G21" s="912"/>
      <c r="H21" s="912"/>
      <c r="I21" s="912"/>
      <c r="J21" s="913" t="s">
        <v>9614</v>
      </c>
      <c r="K21" s="1507">
        <f>SUM(K22:K23)</f>
        <v>0</v>
      </c>
      <c r="L21" s="1508">
        <f>SUM(L22:L23)</f>
        <v>0</v>
      </c>
      <c r="M21" s="1482">
        <f>SUMPRODUCT($K22:$K24,M22:M24)+SUMPRODUCT($L22:$L24,M22:M24)</f>
        <v>0</v>
      </c>
      <c r="N21" s="1483">
        <f>SUMPRODUCT($K22:$K24,N22:N24)</f>
        <v>0</v>
      </c>
      <c r="O21" s="1482">
        <f>SUMPRODUCT(K22:K24,O22:O24)+SUMPRODUCT(L22:L24,O22:O24)</f>
        <v>0</v>
      </c>
      <c r="P21" s="1482">
        <f>SUMPRODUCT($K22:$K24,P22:P24)+SUMPRODUCT($L22:$L24,P22:P24)</f>
        <v>0</v>
      </c>
      <c r="Q21" s="1483">
        <f>SUMPRODUCT($K22:$K24,Q22:Q24)</f>
        <v>0</v>
      </c>
      <c r="R21" s="1509">
        <f>IF(P21=0,0,(P21-V21)/P21)</f>
        <v>0</v>
      </c>
      <c r="S21" s="1510">
        <f>IF(Q21=0,0,(Q21-W21)/Q21)</f>
        <v>0</v>
      </c>
      <c r="T21" s="1511"/>
      <c r="U21" s="1512"/>
      <c r="V21" s="1482">
        <f>SUM(V22:V23)</f>
        <v>0</v>
      </c>
      <c r="W21" s="1483">
        <f>SUM(W22:W23)</f>
        <v>0</v>
      </c>
      <c r="BA21" s="928">
        <f>V21</f>
        <v>0</v>
      </c>
      <c r="BB21" s="928">
        <f>W21</f>
        <v>0</v>
      </c>
    </row>
    <row r="22" spans="1:54" ht="14.25">
      <c r="A22" s="1069"/>
      <c r="B22" s="1069"/>
      <c r="C22" s="892"/>
      <c r="D22" s="892"/>
      <c r="E22" s="929"/>
      <c r="F22" s="1805"/>
      <c r="G22" s="1806"/>
      <c r="H22" s="1806"/>
      <c r="I22" s="1806"/>
      <c r="J22" s="1807"/>
      <c r="K22" s="930"/>
      <c r="L22" s="931"/>
      <c r="M22" s="1517"/>
      <c r="N22" s="1518"/>
      <c r="O22" s="1517"/>
      <c r="P22" s="1517">
        <f>IF(ISNUMBER(M22),M22-O22,0)</f>
        <v>0</v>
      </c>
      <c r="Q22" s="1518">
        <f>N22</f>
        <v>0</v>
      </c>
      <c r="R22" s="1519" t="str">
        <f>IF(AND(ISNUMBER(P22),ISNUMBER(T22)),IF(P22=0,0,(P22-T22)/P22),"")</f>
        <v/>
      </c>
      <c r="S22" s="1520" t="str">
        <f>IF(AND(ISNUMBER(Q22),ISNUMBER(U22)),IF(Q22=0,0,(Q22-U22)/Q22),"")</f>
        <v/>
      </c>
      <c r="T22" s="1521"/>
      <c r="U22" s="1522"/>
      <c r="V22" s="1523">
        <f>IF(K22="G","",IF(ISNUMBER(T22),T22*(K22+L22),T22))</f>
        <v>0</v>
      </c>
      <c r="W22" s="1524">
        <f>IF(K22="G","",IF(ISNUMBER(U22),U22*(K22),U22))</f>
        <v>0</v>
      </c>
    </row>
    <row r="23" spans="1:54" ht="14.25">
      <c r="A23" s="1069"/>
      <c r="B23" s="1069"/>
      <c r="C23" s="892"/>
      <c r="D23" s="892"/>
      <c r="E23" s="932"/>
      <c r="F23" s="1808"/>
      <c r="G23" s="1809"/>
      <c r="H23" s="1809"/>
      <c r="I23" s="1809"/>
      <c r="J23" s="1810"/>
      <c r="K23" s="930"/>
      <c r="L23" s="931"/>
      <c r="M23" s="1517"/>
      <c r="N23" s="1518"/>
      <c r="O23" s="1517"/>
      <c r="P23" s="1517">
        <f>IF(ISNUMBER(M23),M23-O23,0)</f>
        <v>0</v>
      </c>
      <c r="Q23" s="1518">
        <f>N23</f>
        <v>0</v>
      </c>
      <c r="R23" s="1519" t="str">
        <f>IF(AND(ISNUMBER(P23),ISNUMBER(T23)),IF(P23=0,0,(P23-T23)/P23),"")</f>
        <v/>
      </c>
      <c r="S23" s="1520" t="str">
        <f>IF(AND(ISNUMBER(Q23),ISNUMBER(U23)),IF(Q23=0,0,(Q23-U23)/Q23),"")</f>
        <v/>
      </c>
      <c r="T23" s="1521"/>
      <c r="U23" s="1522"/>
      <c r="V23" s="1523">
        <f>IF(K23="G","",IF(ISNUMBER(T23),T23*(K23+L23),T23))</f>
        <v>0</v>
      </c>
      <c r="W23" s="1524">
        <f>IF(K23="G","",IF(ISNUMBER(U23),U23*(K23),U23))</f>
        <v>0</v>
      </c>
    </row>
    <row r="24" spans="1:54" ht="14.25">
      <c r="A24" s="914"/>
      <c r="B24" s="914"/>
      <c r="C24" s="897"/>
      <c r="D24" s="897"/>
      <c r="E24" s="915"/>
      <c r="F24" s="915"/>
      <c r="G24" s="915"/>
      <c r="H24" s="915"/>
      <c r="I24" s="915"/>
      <c r="J24" s="915"/>
      <c r="K24" s="915"/>
      <c r="L24" s="915"/>
      <c r="M24" s="915"/>
      <c r="N24" s="915"/>
      <c r="O24" s="915"/>
      <c r="P24" s="915"/>
      <c r="Q24" s="915"/>
      <c r="R24" s="915"/>
      <c r="S24" s="915"/>
      <c r="T24" s="916"/>
      <c r="U24" s="916"/>
      <c r="V24" s="1529"/>
      <c r="W24" s="1529"/>
    </row>
    <row r="25" spans="1:54" ht="14.25">
      <c r="A25" s="914"/>
      <c r="B25" s="914"/>
      <c r="C25" s="897"/>
      <c r="D25" s="897"/>
      <c r="E25" s="897"/>
      <c r="F25" s="897"/>
      <c r="G25" s="897"/>
      <c r="H25" s="897"/>
      <c r="I25" s="897"/>
      <c r="J25" s="897"/>
      <c r="K25" s="897"/>
      <c r="L25" s="897"/>
      <c r="M25" s="897"/>
      <c r="N25" s="897"/>
      <c r="O25" s="897"/>
      <c r="P25" s="897"/>
      <c r="Q25" s="897"/>
      <c r="R25" s="897"/>
      <c r="S25" s="897"/>
      <c r="T25" s="898"/>
      <c r="U25" s="898"/>
      <c r="V25" s="1531"/>
      <c r="W25" s="1531"/>
    </row>
    <row r="26" spans="1:54" ht="15">
      <c r="A26" s="1069"/>
      <c r="B26" s="1069"/>
      <c r="C26" s="917" t="s">
        <v>9641</v>
      </c>
      <c r="D26" s="918"/>
      <c r="E26" s="1069"/>
      <c r="F26" s="1069"/>
      <c r="G26" s="1069"/>
      <c r="H26" s="1069"/>
      <c r="I26" s="1069"/>
      <c r="J26" s="1069"/>
      <c r="K26" s="892"/>
      <c r="L26" s="892"/>
      <c r="M26" s="892"/>
      <c r="N26" s="892"/>
      <c r="O26" s="892"/>
      <c r="P26" s="892"/>
      <c r="Q26" s="892"/>
      <c r="R26" s="1453"/>
      <c r="S26" s="1453"/>
      <c r="T26" s="892"/>
      <c r="U26" s="892"/>
      <c r="V26" s="1069"/>
      <c r="W26" s="1069"/>
    </row>
    <row r="27" spans="1:54" ht="15">
      <c r="A27" s="1069"/>
      <c r="B27" s="1069"/>
      <c r="C27" s="917"/>
      <c r="D27" s="918" t="s">
        <v>9642</v>
      </c>
      <c r="E27" s="1069"/>
      <c r="F27" s="1069"/>
      <c r="G27" s="1069"/>
      <c r="H27" s="1069"/>
      <c r="I27" s="1069"/>
      <c r="J27" s="1069"/>
      <c r="K27" s="892"/>
      <c r="L27" s="892"/>
      <c r="M27" s="892"/>
      <c r="N27" s="892"/>
      <c r="O27" s="892"/>
      <c r="P27" s="892"/>
      <c r="Q27" s="892"/>
      <c r="R27" s="1453"/>
      <c r="S27" s="1453"/>
      <c r="T27" s="892"/>
      <c r="U27" s="892"/>
      <c r="V27" s="1069"/>
      <c r="W27" s="1069"/>
    </row>
    <row r="28" spans="1:54" ht="15">
      <c r="A28" s="1069"/>
      <c r="C28" s="917"/>
      <c r="D28" s="918"/>
      <c r="E28" s="849" t="s">
        <v>9644</v>
      </c>
      <c r="F28" s="849" t="s">
        <v>9643</v>
      </c>
      <c r="G28" s="849" t="s">
        <v>9645</v>
      </c>
      <c r="H28" s="849" t="s">
        <v>9646</v>
      </c>
      <c r="I28" s="849" t="s">
        <v>9647</v>
      </c>
      <c r="J28" s="849" t="s">
        <v>9648</v>
      </c>
    </row>
    <row r="29" spans="1:54" ht="15">
      <c r="A29" s="1069"/>
      <c r="C29" s="917"/>
      <c r="D29" s="918"/>
    </row>
    <row r="30" spans="1:54" ht="15">
      <c r="A30" s="1069"/>
      <c r="C30" s="917"/>
      <c r="D30" s="918"/>
    </row>
    <row r="31" spans="1:54" ht="15">
      <c r="A31" s="1069"/>
      <c r="C31" s="917"/>
      <c r="D31" s="918"/>
    </row>
    <row r="32" spans="1:54" ht="15">
      <c r="A32" s="1069"/>
      <c r="C32" s="917"/>
      <c r="D32" s="918"/>
    </row>
    <row r="33" spans="1:4" ht="15">
      <c r="A33" s="1069"/>
      <c r="C33" s="917"/>
      <c r="D33" s="918"/>
    </row>
    <row r="34" spans="1:4" ht="15">
      <c r="A34" s="1069"/>
      <c r="C34" s="917"/>
      <c r="D34" s="918"/>
    </row>
    <row r="35" spans="1:4" ht="15">
      <c r="A35" s="1069"/>
      <c r="C35" s="917"/>
      <c r="D35" s="918"/>
    </row>
    <row r="36" spans="1:4" ht="15">
      <c r="A36" s="1069"/>
      <c r="C36" s="917"/>
      <c r="D36" s="918"/>
    </row>
    <row r="37" spans="1:4" ht="15">
      <c r="A37" s="1069"/>
      <c r="C37" s="917"/>
      <c r="D37" s="918"/>
    </row>
    <row r="38" spans="1:4" ht="15">
      <c r="A38" s="1069"/>
      <c r="C38" s="917"/>
      <c r="D38" s="918"/>
    </row>
    <row r="39" spans="1:4" ht="15">
      <c r="A39" s="1069"/>
      <c r="C39" s="917"/>
      <c r="D39" s="918"/>
    </row>
    <row r="40" spans="1:4" ht="15">
      <c r="A40" s="1069"/>
      <c r="C40" s="917"/>
      <c r="D40" s="918"/>
    </row>
    <row r="41" spans="1:4" ht="15">
      <c r="A41" s="1069"/>
      <c r="C41" s="917"/>
      <c r="D41" s="918"/>
    </row>
    <row r="42" spans="1:4" ht="15">
      <c r="A42" s="1069"/>
      <c r="C42" s="917"/>
      <c r="D42" s="918"/>
    </row>
    <row r="43" spans="1:4" ht="15">
      <c r="A43" s="1069"/>
      <c r="C43" s="917"/>
      <c r="D43" s="918"/>
    </row>
    <row r="44" spans="1:4" ht="15">
      <c r="A44" s="1069"/>
      <c r="C44" s="917"/>
      <c r="D44" s="918"/>
    </row>
    <row r="45" spans="1:4" ht="15">
      <c r="A45" s="1069"/>
      <c r="C45" s="917"/>
      <c r="D45" s="918"/>
    </row>
    <row r="46" spans="1:4" ht="15">
      <c r="A46" s="1069"/>
      <c r="C46" s="917"/>
      <c r="D46" s="918"/>
    </row>
    <row r="47" spans="1:4" ht="15">
      <c r="A47" s="1069"/>
      <c r="C47" s="917"/>
      <c r="D47" s="918"/>
    </row>
    <row r="48" spans="1:4" ht="15">
      <c r="A48" s="1069"/>
      <c r="C48" s="917"/>
      <c r="D48" s="918"/>
    </row>
    <row r="49" spans="1:4" ht="15">
      <c r="A49" s="1069"/>
      <c r="C49" s="917"/>
      <c r="D49" s="918"/>
    </row>
    <row r="50" spans="1:4" ht="15">
      <c r="A50" s="1069"/>
      <c r="C50" s="917"/>
      <c r="D50" s="918"/>
    </row>
    <row r="51" spans="1:4" ht="15">
      <c r="A51" s="1069"/>
      <c r="C51" s="917"/>
      <c r="D51" s="918"/>
    </row>
    <row r="52" spans="1:4" ht="15">
      <c r="A52" s="1069"/>
      <c r="C52" s="917"/>
      <c r="D52" s="918"/>
    </row>
    <row r="53" spans="1:4" ht="15">
      <c r="A53" s="1069"/>
      <c r="C53" s="917"/>
      <c r="D53" s="918"/>
    </row>
    <row r="54" spans="1:4" ht="15">
      <c r="A54" s="1069"/>
      <c r="C54" s="917"/>
      <c r="D54" s="918"/>
    </row>
    <row r="55" spans="1:4" ht="15">
      <c r="A55" s="1069"/>
      <c r="C55" s="917"/>
      <c r="D55" s="918"/>
    </row>
    <row r="56" spans="1:4" ht="15">
      <c r="A56" s="1069"/>
      <c r="C56" s="917"/>
      <c r="D56" s="918"/>
    </row>
    <row r="57" spans="1:4" ht="15">
      <c r="A57" s="1069"/>
      <c r="C57" s="917"/>
      <c r="D57" s="918"/>
    </row>
    <row r="58" spans="1:4" ht="15">
      <c r="A58" s="1069"/>
      <c r="C58" s="917"/>
      <c r="D58" s="918"/>
    </row>
    <row r="59" spans="1:4" ht="15">
      <c r="A59" s="1069"/>
      <c r="C59" s="917"/>
      <c r="D59" s="918"/>
    </row>
    <row r="60" spans="1:4" ht="15">
      <c r="A60" s="1069"/>
      <c r="C60" s="917"/>
      <c r="D60" s="918"/>
    </row>
    <row r="61" spans="1:4" ht="15">
      <c r="A61" s="1069"/>
      <c r="C61" s="917"/>
      <c r="D61" s="918"/>
    </row>
    <row r="62" spans="1:4" ht="15">
      <c r="A62" s="1069"/>
      <c r="C62" s="917"/>
      <c r="D62" s="918"/>
    </row>
    <row r="63" spans="1:4" ht="15">
      <c r="A63" s="1069"/>
      <c r="C63" s="917"/>
      <c r="D63" s="918"/>
    </row>
    <row r="64" spans="1:4" ht="15">
      <c r="A64" s="1069"/>
      <c r="C64" s="917"/>
      <c r="D64" s="918"/>
    </row>
    <row r="65" spans="1:4" ht="15">
      <c r="A65" s="1069"/>
      <c r="C65" s="917"/>
      <c r="D65" s="918"/>
    </row>
    <row r="66" spans="1:4" ht="15">
      <c r="A66" s="1069"/>
      <c r="C66" s="917"/>
      <c r="D66" s="918"/>
    </row>
    <row r="67" spans="1:4" ht="15">
      <c r="A67" s="1069"/>
      <c r="C67" s="917"/>
      <c r="D67" s="918"/>
    </row>
    <row r="68" spans="1:4" ht="15">
      <c r="A68" s="1069"/>
      <c r="C68" s="917"/>
      <c r="D68" s="918"/>
    </row>
    <row r="69" spans="1:4" ht="15">
      <c r="A69" s="1069"/>
      <c r="C69" s="917"/>
      <c r="D69" s="918"/>
    </row>
    <row r="70" spans="1:4" ht="15">
      <c r="A70" s="1069"/>
      <c r="C70" s="917"/>
      <c r="D70" s="918"/>
    </row>
    <row r="71" spans="1:4" ht="15">
      <c r="A71" s="1069"/>
      <c r="C71" s="917"/>
      <c r="D71" s="918"/>
    </row>
    <row r="72" spans="1:4" ht="15">
      <c r="A72" s="1069"/>
      <c r="C72" s="917"/>
      <c r="D72" s="918"/>
    </row>
    <row r="73" spans="1:4" ht="15">
      <c r="A73" s="1069"/>
      <c r="C73" s="917"/>
      <c r="D73" s="918"/>
    </row>
    <row r="74" spans="1:4" ht="15">
      <c r="A74" s="1069"/>
      <c r="C74" s="917"/>
      <c r="D74" s="918"/>
    </row>
    <row r="75" spans="1:4" ht="15">
      <c r="A75" s="1069"/>
      <c r="C75" s="917"/>
      <c r="D75" s="918"/>
    </row>
    <row r="76" spans="1:4" ht="15">
      <c r="A76" s="1069"/>
      <c r="C76" s="917"/>
      <c r="D76" s="918"/>
    </row>
    <row r="77" spans="1:4" ht="15">
      <c r="A77" s="1069"/>
      <c r="C77" s="917"/>
      <c r="D77" s="918"/>
    </row>
    <row r="78" spans="1:4" ht="15">
      <c r="A78" s="1069"/>
      <c r="C78" s="917"/>
      <c r="D78" s="918"/>
    </row>
    <row r="79" spans="1:4" ht="15">
      <c r="A79" s="1069"/>
      <c r="C79" s="917"/>
      <c r="D79" s="918"/>
    </row>
    <row r="80" spans="1:4" ht="15">
      <c r="A80" s="1069"/>
      <c r="C80" s="917"/>
      <c r="D80" s="918"/>
    </row>
    <row r="81" spans="1:4" ht="15">
      <c r="A81" s="1069"/>
      <c r="C81" s="917"/>
      <c r="D81" s="918"/>
    </row>
    <row r="82" spans="1:4" ht="15">
      <c r="A82" s="1069"/>
      <c r="C82" s="917"/>
      <c r="D82" s="918"/>
    </row>
    <row r="83" spans="1:4" ht="15">
      <c r="A83" s="1069"/>
      <c r="C83" s="917"/>
      <c r="D83" s="918"/>
    </row>
    <row r="84" spans="1:4" ht="15">
      <c r="A84" s="1069"/>
      <c r="C84" s="917"/>
      <c r="D84" s="918"/>
    </row>
    <row r="85" spans="1:4" ht="15">
      <c r="A85" s="1069"/>
      <c r="C85" s="917"/>
      <c r="D85" s="918"/>
    </row>
    <row r="86" spans="1:4" ht="15">
      <c r="A86" s="1069"/>
      <c r="C86" s="917"/>
      <c r="D86" s="918"/>
    </row>
    <row r="87" spans="1:4" ht="15">
      <c r="A87" s="1069"/>
      <c r="C87" s="917"/>
      <c r="D87" s="918"/>
    </row>
    <row r="88" spans="1:4" ht="15">
      <c r="A88" s="1069"/>
      <c r="C88" s="917"/>
      <c r="D88" s="918"/>
    </row>
    <row r="89" spans="1:4" ht="15">
      <c r="A89" s="1069"/>
      <c r="C89" s="917"/>
      <c r="D89" s="918"/>
    </row>
    <row r="90" spans="1:4" ht="15">
      <c r="A90" s="1069"/>
      <c r="C90" s="917"/>
      <c r="D90" s="918"/>
    </row>
    <row r="91" spans="1:4" ht="15">
      <c r="A91" s="1069"/>
      <c r="C91" s="917"/>
      <c r="D91" s="918"/>
    </row>
    <row r="92" spans="1:4" ht="15">
      <c r="A92" s="1069"/>
      <c r="C92" s="917"/>
      <c r="D92" s="918"/>
    </row>
    <row r="93" spans="1:4" ht="15">
      <c r="A93" s="1069"/>
      <c r="C93" s="917"/>
      <c r="D93" s="918"/>
    </row>
    <row r="94" spans="1:4" ht="15">
      <c r="A94" s="1069"/>
      <c r="C94" s="917"/>
      <c r="D94" s="918"/>
    </row>
    <row r="95" spans="1:4" ht="15">
      <c r="A95" s="1069"/>
      <c r="C95" s="917"/>
      <c r="D95" s="918"/>
    </row>
    <row r="96" spans="1:4" ht="15">
      <c r="A96" s="1069"/>
      <c r="C96" s="917"/>
      <c r="D96" s="918"/>
    </row>
    <row r="97" spans="1:4" ht="15">
      <c r="A97" s="1069"/>
      <c r="C97" s="917"/>
      <c r="D97" s="918"/>
    </row>
    <row r="98" spans="1:4" ht="15">
      <c r="A98" s="1069"/>
      <c r="C98" s="917"/>
      <c r="D98" s="918"/>
    </row>
    <row r="99" spans="1:4" ht="15">
      <c r="A99" s="1069"/>
      <c r="C99" s="917"/>
      <c r="D99" s="918"/>
    </row>
    <row r="100" spans="1:4" ht="15">
      <c r="A100" s="1069"/>
      <c r="C100" s="917"/>
      <c r="D100" s="918"/>
    </row>
    <row r="101" spans="1:4" ht="15">
      <c r="A101" s="1069"/>
      <c r="C101" s="917"/>
      <c r="D101" s="918"/>
    </row>
    <row r="102" spans="1:4" ht="15">
      <c r="A102" s="1069"/>
      <c r="C102" s="917"/>
      <c r="D102" s="918"/>
    </row>
    <row r="103" spans="1:4" ht="15">
      <c r="A103" s="1069"/>
      <c r="C103" s="917"/>
      <c r="D103" s="918"/>
    </row>
    <row r="104" spans="1:4" ht="15">
      <c r="A104" s="1069"/>
      <c r="C104" s="917"/>
      <c r="D104" s="918"/>
    </row>
    <row r="105" spans="1:4" ht="15">
      <c r="A105" s="1069"/>
      <c r="C105" s="917"/>
      <c r="D105" s="918"/>
    </row>
    <row r="106" spans="1:4" ht="15">
      <c r="A106" s="1069"/>
      <c r="C106" s="917"/>
      <c r="D106" s="918"/>
    </row>
    <row r="107" spans="1:4" ht="15">
      <c r="A107" s="1069"/>
      <c r="C107" s="917"/>
      <c r="D107" s="918"/>
    </row>
    <row r="108" spans="1:4" ht="15">
      <c r="A108" s="1069"/>
      <c r="C108" s="917"/>
      <c r="D108" s="918"/>
    </row>
    <row r="109" spans="1:4" ht="15">
      <c r="A109" s="1069"/>
      <c r="C109" s="917"/>
      <c r="D109" s="918"/>
    </row>
    <row r="110" spans="1:4" ht="15">
      <c r="A110" s="1069"/>
      <c r="C110" s="917"/>
      <c r="D110" s="918"/>
    </row>
    <row r="111" spans="1:4" ht="15">
      <c r="A111" s="1069"/>
      <c r="C111" s="917"/>
      <c r="D111" s="918"/>
    </row>
    <row r="112" spans="1:4" ht="15">
      <c r="A112" s="1069"/>
      <c r="C112" s="917"/>
      <c r="D112" s="918"/>
    </row>
    <row r="113" spans="1:4" ht="15">
      <c r="A113" s="1069"/>
      <c r="C113" s="917"/>
      <c r="D113" s="918"/>
    </row>
    <row r="114" spans="1:4" ht="15">
      <c r="A114" s="1069"/>
      <c r="C114" s="917"/>
      <c r="D114" s="918"/>
    </row>
    <row r="115" spans="1:4" ht="15">
      <c r="A115" s="1069"/>
      <c r="C115" s="917"/>
      <c r="D115" s="918"/>
    </row>
    <row r="116" spans="1:4" ht="15">
      <c r="A116" s="1069"/>
      <c r="C116" s="917"/>
      <c r="D116" s="918"/>
    </row>
    <row r="117" spans="1:4" ht="15">
      <c r="A117" s="1069"/>
      <c r="C117" s="917"/>
      <c r="D117" s="918"/>
    </row>
    <row r="118" spans="1:4" ht="15">
      <c r="A118" s="1069"/>
      <c r="C118" s="917"/>
      <c r="D118" s="918"/>
    </row>
    <row r="119" spans="1:4" ht="15">
      <c r="A119" s="1069"/>
      <c r="C119" s="917"/>
      <c r="D119" s="918"/>
    </row>
    <row r="120" spans="1:4" ht="15">
      <c r="A120" s="1069"/>
      <c r="C120" s="917"/>
      <c r="D120" s="918"/>
    </row>
    <row r="121" spans="1:4" ht="15">
      <c r="A121" s="1069"/>
      <c r="C121" s="917"/>
      <c r="D121" s="918"/>
    </row>
    <row r="122" spans="1:4" ht="15">
      <c r="A122" s="1069"/>
      <c r="C122" s="917"/>
      <c r="D122" s="918"/>
    </row>
    <row r="123" spans="1:4" ht="15">
      <c r="A123" s="1069"/>
      <c r="C123" s="917"/>
      <c r="D123" s="918"/>
    </row>
    <row r="124" spans="1:4" ht="15">
      <c r="A124" s="1069"/>
      <c r="C124" s="917"/>
      <c r="D124" s="918"/>
    </row>
    <row r="125" spans="1:4" ht="15">
      <c r="A125" s="1069"/>
      <c r="C125" s="917"/>
      <c r="D125" s="918"/>
    </row>
    <row r="126" spans="1:4" ht="15">
      <c r="A126" s="1069"/>
      <c r="C126" s="917"/>
    </row>
  </sheetData>
  <sheetProtection formatColumns="0" formatRows="0"/>
  <mergeCells count="5">
    <mergeCell ref="M6:N6"/>
    <mergeCell ref="G6:H6"/>
    <mergeCell ref="F22:J22"/>
    <mergeCell ref="F23:J23"/>
    <mergeCell ref="G14:H14"/>
  </mergeCells>
  <pageMargins left="0.7" right="0.7" top="0.75" bottom="0.75" header="0.3" footer="0.3"/>
  <pageSetup orientation="portrait" horizontalDpi="200" verticalDpi="200" r:id="rId1"/>
  <headerFooter>
    <oddFooter>&amp;CAT&amp;&amp;T Proprietary (Internal Use Only)</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Templates"/>
  <dimension ref="A1:FI23"/>
  <sheetViews>
    <sheetView showGridLines="0" workbookViewId="0">
      <selection activeCell="D1" sqref="D1"/>
    </sheetView>
  </sheetViews>
  <sheetFormatPr defaultRowHeight="12.75"/>
  <cols>
    <col min="1" max="2" width="3.85546875" customWidth="1"/>
  </cols>
  <sheetData>
    <row r="1" spans="1:165">
      <c r="C1" s="849" t="s">
        <v>8066</v>
      </c>
      <c r="D1" s="1587"/>
    </row>
    <row r="2" spans="1:165">
      <c r="C2" s="241" t="s">
        <v>9190</v>
      </c>
      <c r="D2" s="661"/>
    </row>
    <row r="3" spans="1:165">
      <c r="C3" s="241" t="s">
        <v>9191</v>
      </c>
      <c r="D3" s="120"/>
    </row>
    <row r="4" spans="1:165">
      <c r="C4" s="657" t="s">
        <v>9202</v>
      </c>
      <c r="D4" s="681"/>
    </row>
    <row r="5" spans="1:165">
      <c r="C5" s="657" t="s">
        <v>9273</v>
      </c>
      <c r="D5" s="681"/>
    </row>
    <row r="6" spans="1:165">
      <c r="B6" s="14"/>
      <c r="C6" s="849" t="s">
        <v>9273</v>
      </c>
      <c r="D6" s="936"/>
      <c r="E6" s="14"/>
      <c r="F6" s="14"/>
      <c r="G6" s="1"/>
      <c r="H6" s="1"/>
      <c r="I6" s="1"/>
      <c r="J6" s="1"/>
      <c r="K6" s="1"/>
      <c r="L6" s="1"/>
      <c r="M6" s="1"/>
      <c r="N6" s="1"/>
      <c r="O6" s="167" t="str">
        <f ca="1">IF(AND(LEFT(Subprod_Name_1,5)="telco",OR(OFFSET(Subprod_Headers_1,ROWS(Subprod_Data_1)+2,COLUMNS(Subprod_Headers_1),1,1)&gt;0,AND(OFFSET(Subprod_Headers_1,ROWS(Subprod_Data_1)+2,COLUMNS(Subprod_Headers_1)+1,1,1)&gt;0,OFFSET(Subprod_Headers_1,ROWS(Subprod_Data_1)+2,COLUMNS(Subprod_Headers_1)+4,1,1)&gt;OFFSET(Subprod_Headers_1,ROWS(Subprod_Data_1)+2,COLUMNS(Subprod_Headers_1)+9,1,1)))),"AIS Required for Regulatory","")</f>
        <v/>
      </c>
      <c r="P6" s="1"/>
      <c r="Q6" s="1"/>
      <c r="R6" s="1"/>
      <c r="S6" s="1"/>
      <c r="T6" s="1"/>
      <c r="U6" s="1"/>
      <c r="V6" s="1"/>
      <c r="W6" s="1"/>
      <c r="X6" s="1"/>
      <c r="Y6" s="1"/>
    </row>
    <row r="7" spans="1:165">
      <c r="B7" s="1"/>
      <c r="C7" s="849" t="s">
        <v>10293</v>
      </c>
      <c r="D7" s="66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row>
    <row r="8" spans="1:165">
      <c r="B8" s="1"/>
      <c r="C8" s="1106" t="s">
        <v>10295</v>
      </c>
      <c r="D8" s="1242"/>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row>
    <row r="9" spans="1:165">
      <c r="B9" s="1"/>
      <c r="C9" s="1106" t="s">
        <v>10294</v>
      </c>
      <c r="D9" s="1242"/>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row>
    <row r="10" spans="1:165" ht="15">
      <c r="B10" s="1"/>
      <c r="C10" s="46" t="s">
        <v>254</v>
      </c>
    </row>
    <row r="11" spans="1:165">
      <c r="B11" s="1"/>
      <c r="AT11" s="90" t="str">
        <f ca="1">IF(AV11="","","Scenario 1")</f>
        <v>Scenario 1</v>
      </c>
      <c r="AU11" s="87"/>
      <c r="AV11" s="91" t="str">
        <f ca="1">IF(OFFSET('Step 1'!$G$21,$A$1,0)=0,"",OFFSET('Step 1'!$G$21,$A$1,0)&amp;" months term")</f>
        <v>1 months term</v>
      </c>
      <c r="AW11" s="87"/>
      <c r="AX11" s="88"/>
      <c r="AY11" s="88"/>
      <c r="AZ11" s="82" t="str">
        <f ca="1">IF(BB11="","","Scenario 2")</f>
        <v>Scenario 2</v>
      </c>
      <c r="BA11" s="83"/>
      <c r="BB11" s="89" t="str">
        <f ca="1">IF(OFFSET('Step 1'!$G$21,$A$1,1)=0,"",OFFSET('Step 1'!$G$21,$A$1,1)&amp;" months term")</f>
        <v>2 months term</v>
      </c>
      <c r="BC11" s="84"/>
      <c r="BD11" s="85"/>
      <c r="BE11" s="85"/>
      <c r="BF11" s="90" t="str">
        <f ca="1">IF(BH11="","","Scenario 3")</f>
        <v>Scenario 3</v>
      </c>
      <c r="BG11" s="86"/>
      <c r="BH11" s="91" t="str">
        <f ca="1">IF(OFFSET('Step 1'!$G$21,$A$1,2)=0,"",OFFSET('Step 1'!$G$21,$A$1,2)&amp;" months term")</f>
        <v>3 months term</v>
      </c>
      <c r="BI11" s="87"/>
      <c r="BJ11" s="88"/>
      <c r="BK11" s="99"/>
      <c r="BL11" s="97"/>
      <c r="DL11" s="62" t="s">
        <v>8</v>
      </c>
      <c r="DM11" s="62"/>
      <c r="DN11" s="62" t="s">
        <v>9</v>
      </c>
      <c r="DO11" s="62"/>
      <c r="DP11" s="62" t="s">
        <v>10</v>
      </c>
      <c r="DQ11" s="62"/>
      <c r="DR11" s="62" t="s">
        <v>11</v>
      </c>
      <c r="DS11" s="62"/>
      <c r="DT11" s="62" t="s">
        <v>12</v>
      </c>
      <c r="DU11" s="62"/>
      <c r="DV11" s="62" t="s">
        <v>13</v>
      </c>
      <c r="DW11" s="62"/>
      <c r="DX11" s="62" t="s">
        <v>261</v>
      </c>
      <c r="DY11" s="114"/>
      <c r="DZ11" s="115"/>
      <c r="EA11" s="62" t="s">
        <v>211</v>
      </c>
      <c r="EB11" s="62"/>
      <c r="EC11" s="62" t="s">
        <v>214</v>
      </c>
      <c r="ED11" s="114"/>
      <c r="EE11" s="118"/>
      <c r="EF11" s="118"/>
      <c r="EG11" s="118"/>
      <c r="EH11" s="118"/>
      <c r="EI11" s="118"/>
      <c r="EJ11" s="118"/>
      <c r="EK11" s="118"/>
      <c r="EL11" s="118"/>
      <c r="EM11" s="118"/>
      <c r="EN11" s="118"/>
      <c r="EO11" s="118"/>
      <c r="ES11" s="62" t="s">
        <v>8</v>
      </c>
      <c r="ET11" s="62"/>
      <c r="EU11" s="62" t="s">
        <v>9</v>
      </c>
      <c r="EV11" s="62"/>
      <c r="EW11" s="62" t="s">
        <v>10</v>
      </c>
      <c r="EX11" s="62"/>
      <c r="EY11" s="62" t="s">
        <v>11</v>
      </c>
      <c r="EZ11" s="62"/>
      <c r="FA11" s="62" t="s">
        <v>12</v>
      </c>
      <c r="FB11" s="62"/>
      <c r="FC11" s="62" t="s">
        <v>13</v>
      </c>
      <c r="FD11" s="62"/>
      <c r="FH11" s="62" t="s">
        <v>211</v>
      </c>
      <c r="FI11" s="62"/>
    </row>
    <row r="12" spans="1:165" ht="34.5" customHeight="1">
      <c r="B12" s="1"/>
      <c r="C12" s="662" t="s">
        <v>375</v>
      </c>
      <c r="D12" s="662" t="s">
        <v>375</v>
      </c>
      <c r="E12" s="662" t="s">
        <v>375</v>
      </c>
      <c r="F12" s="662" t="s">
        <v>375</v>
      </c>
      <c r="G12" s="662" t="s">
        <v>375</v>
      </c>
      <c r="H12" s="662" t="s">
        <v>375</v>
      </c>
      <c r="I12" s="662" t="s">
        <v>375</v>
      </c>
      <c r="J12" s="662" t="s">
        <v>375</v>
      </c>
      <c r="K12" s="662" t="s">
        <v>375</v>
      </c>
      <c r="L12" s="662" t="s">
        <v>375</v>
      </c>
      <c r="M12" s="662" t="s">
        <v>375</v>
      </c>
      <c r="N12" s="662" t="s">
        <v>375</v>
      </c>
      <c r="O12" s="662" t="s">
        <v>375</v>
      </c>
      <c r="P12" s="662" t="s">
        <v>375</v>
      </c>
      <c r="Q12" s="662" t="s">
        <v>375</v>
      </c>
      <c r="R12" s="662" t="s">
        <v>375</v>
      </c>
      <c r="S12" s="662" t="s">
        <v>375</v>
      </c>
      <c r="T12" s="662" t="s">
        <v>375</v>
      </c>
      <c r="U12" s="662" t="s">
        <v>375</v>
      </c>
      <c r="V12" s="662" t="s">
        <v>375</v>
      </c>
      <c r="W12" s="662" t="s">
        <v>375</v>
      </c>
      <c r="X12" s="662" t="s">
        <v>375</v>
      </c>
      <c r="Y12" s="662" t="s">
        <v>375</v>
      </c>
      <c r="Z12" s="662" t="s">
        <v>375</v>
      </c>
      <c r="AA12" s="662" t="s">
        <v>375</v>
      </c>
      <c r="AB12" s="662" t="s">
        <v>375</v>
      </c>
      <c r="AC12" s="662" t="s">
        <v>375</v>
      </c>
      <c r="AD12" s="662" t="s">
        <v>375</v>
      </c>
      <c r="AE12" s="662" t="s">
        <v>375</v>
      </c>
      <c r="AF12" s="662" t="s">
        <v>375</v>
      </c>
      <c r="AG12" s="662" t="s">
        <v>375</v>
      </c>
      <c r="AH12" s="662" t="s">
        <v>375</v>
      </c>
      <c r="AI12" s="662" t="s">
        <v>375</v>
      </c>
      <c r="AJ12" s="49" t="s">
        <v>249</v>
      </c>
      <c r="AK12" s="49" t="s">
        <v>250</v>
      </c>
      <c r="AL12" s="49" t="s">
        <v>251</v>
      </c>
      <c r="AM12" s="49" t="s">
        <v>252</v>
      </c>
      <c r="AN12" s="49" t="s">
        <v>197</v>
      </c>
      <c r="AO12" s="49" t="s">
        <v>516</v>
      </c>
      <c r="AP12" s="49" t="s">
        <v>517</v>
      </c>
      <c r="AQ12" s="49" t="s">
        <v>518</v>
      </c>
      <c r="AR12" s="49" t="s">
        <v>388</v>
      </c>
      <c r="AS12" s="70" t="s">
        <v>389</v>
      </c>
      <c r="AT12" s="72" t="s">
        <v>519</v>
      </c>
      <c r="AU12" s="51" t="s">
        <v>520</v>
      </c>
      <c r="AV12" s="51" t="s">
        <v>521</v>
      </c>
      <c r="AW12" s="51" t="s">
        <v>509</v>
      </c>
      <c r="AX12" s="51" t="s">
        <v>510</v>
      </c>
      <c r="AY12" s="66" t="s">
        <v>511</v>
      </c>
      <c r="AZ12" s="77" t="s">
        <v>360</v>
      </c>
      <c r="BA12" s="51" t="s">
        <v>361</v>
      </c>
      <c r="BB12" s="51" t="s">
        <v>362</v>
      </c>
      <c r="BC12" s="51" t="s">
        <v>363</v>
      </c>
      <c r="BD12" s="51" t="s">
        <v>243</v>
      </c>
      <c r="BE12" s="66" t="s">
        <v>244</v>
      </c>
      <c r="BF12" s="72" t="s">
        <v>512</v>
      </c>
      <c r="BG12" s="51" t="s">
        <v>513</v>
      </c>
      <c r="BH12" s="51" t="s">
        <v>514</v>
      </c>
      <c r="BI12" s="51" t="s">
        <v>515</v>
      </c>
      <c r="BJ12" s="51" t="s">
        <v>358</v>
      </c>
      <c r="BK12" s="100" t="s">
        <v>359</v>
      </c>
      <c r="BL12" s="97"/>
      <c r="DY12" s="97"/>
      <c r="DZ12" s="97"/>
      <c r="ED12" s="97"/>
      <c r="EE12" s="97"/>
      <c r="EF12" s="97"/>
      <c r="EG12" s="97"/>
      <c r="EH12" s="97"/>
      <c r="EI12" s="97"/>
      <c r="EJ12" s="97"/>
      <c r="EK12" s="97"/>
      <c r="EL12" s="97"/>
      <c r="EM12" s="97"/>
      <c r="EN12" s="97"/>
      <c r="EO12" s="97"/>
    </row>
    <row r="13" spans="1:165">
      <c r="B13" s="1"/>
      <c r="C13" s="50"/>
      <c r="D13" s="50"/>
      <c r="E13" s="50"/>
      <c r="F13" s="50"/>
      <c r="G13" s="50"/>
      <c r="H13" s="50"/>
      <c r="I13" s="50"/>
      <c r="J13" s="50"/>
      <c r="K13" s="50"/>
      <c r="L13" s="50"/>
      <c r="M13" s="50"/>
      <c r="N13" s="50"/>
      <c r="O13" s="50"/>
      <c r="P13" s="50"/>
      <c r="Q13" s="50"/>
      <c r="R13" s="50"/>
      <c r="S13" s="50"/>
      <c r="T13" s="50"/>
      <c r="U13" s="50"/>
      <c r="V13" s="50"/>
      <c r="W13" s="50"/>
      <c r="X13" s="50"/>
      <c r="Y13" s="50"/>
      <c r="Z13" s="50"/>
      <c r="AA13" s="50"/>
      <c r="AB13" s="50"/>
      <c r="AC13" s="50"/>
      <c r="AD13" s="50"/>
      <c r="AE13" s="50"/>
      <c r="AF13" s="50"/>
      <c r="AG13" s="50"/>
      <c r="AH13" s="50"/>
      <c r="AI13" s="50"/>
      <c r="AJ13" s="50"/>
      <c r="AK13" s="50"/>
      <c r="AL13" s="50"/>
      <c r="AM13" s="50"/>
      <c r="AN13" s="50"/>
      <c r="AO13" s="50"/>
      <c r="AP13" s="50"/>
      <c r="AQ13" s="50"/>
      <c r="AR13" s="50"/>
      <c r="AS13" s="71"/>
      <c r="AT13" s="73"/>
      <c r="AU13" s="50"/>
      <c r="AV13" s="53"/>
      <c r="AW13" s="53"/>
      <c r="AX13" s="54"/>
      <c r="AY13" s="54"/>
      <c r="AZ13" s="78"/>
      <c r="BA13" s="50"/>
      <c r="BB13" s="53"/>
      <c r="BC13" s="53"/>
      <c r="BD13" s="54"/>
      <c r="BE13" s="54"/>
      <c r="BF13" s="73"/>
      <c r="BG13" s="50"/>
      <c r="BH13" s="53"/>
      <c r="BI13" s="53"/>
      <c r="BJ13" s="54"/>
      <c r="BK13" s="101"/>
      <c r="BL13" s="97"/>
      <c r="DH13" s="61" t="s">
        <v>631</v>
      </c>
      <c r="DI13" s="62" t="s">
        <v>632</v>
      </c>
      <c r="DJ13" s="61" t="s">
        <v>379</v>
      </c>
      <c r="DK13" s="62" t="s">
        <v>575</v>
      </c>
      <c r="DL13" s="62" t="s">
        <v>380</v>
      </c>
      <c r="DM13" s="62" t="s">
        <v>381</v>
      </c>
      <c r="DN13" s="62" t="s">
        <v>382</v>
      </c>
      <c r="DO13" s="62" t="s">
        <v>383</v>
      </c>
      <c r="DP13" s="62" t="s">
        <v>384</v>
      </c>
      <c r="DQ13" s="62" t="s">
        <v>385</v>
      </c>
      <c r="DR13" s="62" t="s">
        <v>386</v>
      </c>
      <c r="DS13" s="62" t="s">
        <v>387</v>
      </c>
      <c r="DT13" s="62" t="s">
        <v>390</v>
      </c>
      <c r="DU13" s="62" t="s">
        <v>391</v>
      </c>
      <c r="DV13" s="62" t="s">
        <v>392</v>
      </c>
      <c r="DW13" s="62" t="s">
        <v>393</v>
      </c>
      <c r="DX13" s="62" t="s">
        <v>197</v>
      </c>
      <c r="DY13" s="62" t="s">
        <v>262</v>
      </c>
      <c r="DZ13" s="62" t="s">
        <v>263</v>
      </c>
      <c r="EA13" s="62" t="s">
        <v>212</v>
      </c>
      <c r="EB13" s="62" t="s">
        <v>213</v>
      </c>
      <c r="EC13" s="62" t="s">
        <v>215</v>
      </c>
      <c r="ED13" s="62" t="s">
        <v>14</v>
      </c>
      <c r="EE13" s="118"/>
      <c r="EF13" s="118"/>
      <c r="EG13" s="118"/>
      <c r="EH13" s="118"/>
      <c r="EI13" s="118"/>
      <c r="EJ13" s="118"/>
      <c r="EK13" s="118"/>
      <c r="EL13" s="118"/>
      <c r="EM13" s="118"/>
      <c r="EN13" s="118"/>
      <c r="EO13" s="118"/>
      <c r="EQ13" s="61" t="s">
        <v>379</v>
      </c>
      <c r="ER13" s="62" t="s">
        <v>575</v>
      </c>
      <c r="ES13" s="62" t="s">
        <v>380</v>
      </c>
      <c r="ET13" s="62" t="s">
        <v>381</v>
      </c>
      <c r="EU13" s="62" t="s">
        <v>382</v>
      </c>
      <c r="EV13" s="62" t="s">
        <v>383</v>
      </c>
      <c r="EW13" s="62" t="s">
        <v>384</v>
      </c>
      <c r="EX13" s="62" t="s">
        <v>385</v>
      </c>
      <c r="EY13" s="62" t="s">
        <v>386</v>
      </c>
      <c r="EZ13" s="62" t="s">
        <v>387</v>
      </c>
      <c r="FA13" s="62" t="s">
        <v>390</v>
      </c>
      <c r="FB13" s="62" t="s">
        <v>391</v>
      </c>
      <c r="FC13" s="62" t="s">
        <v>392</v>
      </c>
      <c r="FD13" s="62" t="s">
        <v>393</v>
      </c>
      <c r="FH13" s="62" t="s">
        <v>212</v>
      </c>
      <c r="FI13" s="62" t="s">
        <v>213</v>
      </c>
    </row>
    <row r="14" spans="1:165" s="93" customFormat="1">
      <c r="B14" s="92"/>
      <c r="C14" s="120"/>
      <c r="D14" s="120"/>
      <c r="E14" s="120"/>
      <c r="F14" s="120"/>
      <c r="G14" s="120"/>
      <c r="H14" s="120"/>
      <c r="I14" s="120"/>
      <c r="J14" s="120"/>
      <c r="K14" s="120"/>
      <c r="L14" s="120"/>
      <c r="M14" s="120"/>
      <c r="N14" s="120"/>
      <c r="O14" s="120"/>
      <c r="P14" s="120"/>
      <c r="Q14" s="120"/>
      <c r="R14" s="120"/>
      <c r="S14" s="120"/>
      <c r="T14" s="120"/>
      <c r="U14" s="120"/>
      <c r="V14" s="120"/>
      <c r="W14" s="120"/>
      <c r="X14" s="120"/>
      <c r="Y14" s="120"/>
      <c r="Z14" s="120"/>
      <c r="AA14" s="120"/>
      <c r="AB14" s="120"/>
      <c r="AC14" s="120"/>
      <c r="AD14" s="120"/>
      <c r="AE14" s="120"/>
      <c r="AF14" s="120"/>
      <c r="AG14" s="120"/>
      <c r="AH14" s="120"/>
      <c r="AI14" s="120"/>
      <c r="AJ14" s="59"/>
      <c r="AK14" s="59"/>
      <c r="AL14" s="59"/>
      <c r="AM14" s="59"/>
      <c r="AN14" s="59"/>
      <c r="AO14" s="59"/>
      <c r="AP14" s="59"/>
      <c r="AQ14" s="59"/>
      <c r="AR14" s="59"/>
      <c r="AS14" s="67"/>
      <c r="AT14" s="74"/>
      <c r="AU14" s="63"/>
      <c r="AV14" s="59"/>
      <c r="AW14" s="59"/>
      <c r="AX14" s="59"/>
      <c r="AY14" s="67"/>
      <c r="AZ14" s="79"/>
      <c r="BA14" s="63"/>
      <c r="BB14" s="59"/>
      <c r="BC14" s="59"/>
      <c r="BD14" s="59"/>
      <c r="BE14" s="67"/>
      <c r="BF14" s="74"/>
      <c r="BG14" s="63"/>
      <c r="BH14" s="59"/>
      <c r="BI14" s="59"/>
      <c r="BJ14" s="59"/>
      <c r="BK14" s="102"/>
      <c r="BL14" s="98"/>
      <c r="BV14"/>
      <c r="BW14"/>
      <c r="BX14"/>
      <c r="BY14"/>
      <c r="BZ14"/>
      <c r="CA14"/>
      <c r="DH14" s="94"/>
      <c r="DI14" s="95"/>
      <c r="DJ14" s="94"/>
      <c r="DK14" s="95"/>
      <c r="DL14" s="96"/>
      <c r="DM14" s="96"/>
      <c r="DN14" s="96"/>
      <c r="DO14" s="96"/>
      <c r="DP14" s="96"/>
      <c r="DQ14" s="96"/>
      <c r="DR14" s="96"/>
      <c r="DS14" s="96"/>
      <c r="DT14" s="96"/>
      <c r="DU14" s="96"/>
      <c r="DV14" s="96"/>
      <c r="DW14" s="96"/>
      <c r="DX14" s="113"/>
      <c r="DY14" s="113"/>
      <c r="DZ14" s="113"/>
      <c r="EA14" s="96"/>
      <c r="EB14" s="96"/>
      <c r="EC14" s="113"/>
      <c r="ED14" s="113"/>
      <c r="EE14" s="119"/>
      <c r="EF14" s="119"/>
      <c r="EG14" s="119"/>
      <c r="EH14" s="119"/>
      <c r="EI14" s="119"/>
      <c r="EJ14" s="119"/>
      <c r="EK14" s="119"/>
      <c r="EL14" s="119"/>
      <c r="EM14" s="119"/>
      <c r="EN14" s="119"/>
      <c r="EO14" s="119"/>
      <c r="EQ14" s="94"/>
      <c r="ER14" s="95"/>
      <c r="ES14" s="96"/>
      <c r="ET14" s="96"/>
      <c r="EU14" s="96"/>
      <c r="EV14" s="96"/>
      <c r="EW14" s="96"/>
      <c r="EX14" s="96"/>
      <c r="EY14" s="96"/>
      <c r="EZ14" s="96"/>
      <c r="FA14" s="96"/>
      <c r="FB14" s="96"/>
      <c r="FC14" s="96"/>
      <c r="FD14" s="96"/>
      <c r="FH14" s="96"/>
      <c r="FI14" s="96"/>
    </row>
    <row r="15" spans="1:165" s="93" customFormat="1">
      <c r="A15" s="105"/>
      <c r="B15" s="106"/>
      <c r="C15" s="120"/>
      <c r="D15" s="120"/>
      <c r="E15" s="120"/>
      <c r="F15" s="120"/>
      <c r="G15" s="120"/>
      <c r="H15" s="120"/>
      <c r="I15" s="120"/>
      <c r="J15" s="120"/>
      <c r="K15" s="120"/>
      <c r="L15" s="120"/>
      <c r="M15" s="120"/>
      <c r="N15" s="120"/>
      <c r="O15" s="120"/>
      <c r="P15" s="120"/>
      <c r="Q15" s="120"/>
      <c r="R15" s="120"/>
      <c r="S15" s="120"/>
      <c r="T15" s="120"/>
      <c r="U15" s="120"/>
      <c r="V15" s="120"/>
      <c r="W15" s="120"/>
      <c r="X15" s="120"/>
      <c r="Y15" s="120"/>
      <c r="Z15" s="120"/>
      <c r="AA15" s="120"/>
      <c r="AB15" s="120"/>
      <c r="AC15" s="120"/>
      <c r="AD15" s="120"/>
      <c r="AE15" s="120"/>
      <c r="AF15" s="120"/>
      <c r="AG15" s="120"/>
      <c r="AH15" s="120"/>
      <c r="AI15" s="120"/>
      <c r="AJ15" s="60"/>
      <c r="AK15" s="60"/>
      <c r="AL15" s="60"/>
      <c r="AM15" s="60"/>
      <c r="AN15" s="59"/>
      <c r="AO15" s="60"/>
      <c r="AP15" s="60"/>
      <c r="AQ15" s="60"/>
      <c r="AR15" s="60"/>
      <c r="AS15" s="68"/>
      <c r="AT15" s="75"/>
      <c r="AU15" s="64"/>
      <c r="AV15" s="60"/>
      <c r="AW15" s="60"/>
      <c r="AX15" s="60"/>
      <c r="AY15" s="68"/>
      <c r="AZ15" s="80"/>
      <c r="BA15" s="64"/>
      <c r="BB15" s="60"/>
      <c r="BC15" s="60"/>
      <c r="BD15" s="60"/>
      <c r="BE15" s="68"/>
      <c r="BF15" s="75"/>
      <c r="BG15" s="64"/>
      <c r="BH15" s="60"/>
      <c r="BI15" s="60"/>
      <c r="BJ15" s="60"/>
      <c r="BK15" s="103"/>
      <c r="BL15" s="98"/>
      <c r="BX15"/>
      <c r="BY15"/>
      <c r="BZ15"/>
      <c r="CA15"/>
      <c r="DH15" s="95"/>
      <c r="DI15" s="95"/>
      <c r="DJ15" s="95"/>
      <c r="DK15" s="95"/>
      <c r="DL15" s="96"/>
      <c r="DM15" s="96"/>
      <c r="DN15" s="96"/>
      <c r="DO15" s="96"/>
      <c r="DP15" s="96"/>
      <c r="DQ15" s="96"/>
      <c r="DR15" s="96"/>
      <c r="DS15" s="96"/>
      <c r="DT15" s="96"/>
      <c r="DU15" s="96"/>
      <c r="DV15" s="96"/>
      <c r="DW15" s="96"/>
      <c r="DX15" s="113"/>
      <c r="DY15" s="113"/>
      <c r="DZ15" s="113"/>
      <c r="EA15" s="96"/>
      <c r="EB15" s="96"/>
      <c r="EC15" s="113"/>
      <c r="ED15" s="113"/>
      <c r="EE15" s="119"/>
      <c r="EF15" s="119"/>
      <c r="EG15" s="119"/>
      <c r="EH15" s="119"/>
      <c r="EI15" s="119"/>
      <c r="EJ15" s="119"/>
      <c r="EK15" s="119"/>
      <c r="EL15" s="119"/>
      <c r="EM15" s="119"/>
      <c r="EN15" s="119"/>
      <c r="EO15" s="119"/>
      <c r="EQ15" s="95"/>
      <c r="ER15" s="95"/>
      <c r="ES15" s="96"/>
      <c r="ET15" s="96"/>
      <c r="EU15" s="96"/>
      <c r="EV15" s="96"/>
      <c r="EW15" s="96"/>
      <c r="EX15" s="96"/>
      <c r="EY15" s="96"/>
      <c r="EZ15" s="96"/>
      <c r="FA15" s="96"/>
      <c r="FB15" s="96"/>
      <c r="FC15" s="96"/>
      <c r="FD15" s="96"/>
      <c r="FH15" s="96"/>
      <c r="FI15" s="96"/>
    </row>
    <row r="16" spans="1:165">
      <c r="B16" s="1"/>
      <c r="C16" s="48"/>
      <c r="D16" s="48"/>
      <c r="E16" s="48"/>
      <c r="F16" s="48"/>
      <c r="G16" s="48"/>
      <c r="H16" s="48"/>
      <c r="I16" s="48"/>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t="s">
        <v>253</v>
      </c>
      <c r="AJ16" s="55">
        <f>SUM(AJ14:AJ15)</f>
        <v>0</v>
      </c>
      <c r="AK16" s="56">
        <f>SUM(AK14:AK15)</f>
        <v>0</v>
      </c>
      <c r="AL16" s="56">
        <f>SUM(AL14:AL15)</f>
        <v>0</v>
      </c>
      <c r="AM16" s="56">
        <f>SUM(AM14:AM15)</f>
        <v>0</v>
      </c>
      <c r="AN16" s="58"/>
      <c r="AO16" s="58">
        <f>SUMPRODUCT(AJ14:AJ15,AO14:AO15,DZ14:DZ15)+SUMPRODUCT(AK14:AK15,AO14:AO15,DZ14:DZ15)</f>
        <v>0</v>
      </c>
      <c r="AP16" s="58">
        <f>SUMPRODUCT(AJ14:AJ15,AP14:AP15,DZ14:DZ15)</f>
        <v>0</v>
      </c>
      <c r="AQ16" s="58">
        <f>SUMPRODUCT(AJ14:AJ15,AQ14:AQ15,DZ14:DZ15)+SUMPRODUCT(AK14:AK15,AQ14:AQ15,DZ14:DZ15)</f>
        <v>0</v>
      </c>
      <c r="AR16" s="58">
        <f>SUMPRODUCT(AJ14:AJ15,AR14:AR15,DZ14:DZ15)+SUMPRODUCT(AK14:AK15,AR14:AR15,DZ14:DZ15)</f>
        <v>0</v>
      </c>
      <c r="AS16" s="69">
        <f>SUMPRODUCT(AJ14:AJ15,AS14:AS15,DZ14:DZ15)</f>
        <v>0</v>
      </c>
      <c r="AT16" s="76">
        <f>SUMPRODUCT(AJ14:AJ15,AT14:AT15,DZ14:DZ15)+SUMPRODUCT(AK14:AK15,AT14:AT15,DZ14:DZ15)</f>
        <v>0</v>
      </c>
      <c r="AU16" s="58">
        <f>SUMPRODUCT(AJ14:AJ15,AU14:AU15,DZ14:DZ15)</f>
        <v>0</v>
      </c>
      <c r="AV16" s="57">
        <f>IF(AT16=0,0,(AT16-AX16)/AT16)</f>
        <v>0</v>
      </c>
      <c r="AW16" s="57">
        <f>IF(AU16=0,0,(AU16-AY16)/AU16)</f>
        <v>0</v>
      </c>
      <c r="AX16" s="58">
        <f>SUMPRODUCT(AJ14:AJ15,AX14:AX15,DZ14:DZ15)+SUMPRODUCT(AK14:AK15,AX14:AX15,DZ14:DZ15)</f>
        <v>0</v>
      </c>
      <c r="AY16" s="69">
        <f>SUMPRODUCT(AJ14:AJ15,AY14:AY15,DZ14:DZ15)</f>
        <v>0</v>
      </c>
      <c r="AZ16" s="81">
        <f>SUMPRODUCT(AJ14:AJ15,AZ14:AZ15,DZ14:DZ15)+SUMPRODUCT(AK14:AK15,AZ14:AZ15,DZ14:DZ15)</f>
        <v>0</v>
      </c>
      <c r="BA16" s="58">
        <f>SUMPRODUCT(AJ14:AJ15,BA14:BA15,DZ14:DZ15)</f>
        <v>0</v>
      </c>
      <c r="BB16" s="57">
        <f>IF(AZ16=0,0,(AZ16-BD16)/AZ16)</f>
        <v>0</v>
      </c>
      <c r="BC16" s="57">
        <f>IF(BA16=0,0,(BA16-BE16)/BA16)</f>
        <v>0</v>
      </c>
      <c r="BD16" s="58">
        <f>SUMPRODUCT(AJ14:AJ15,BD14:BD15,DZ14:DZ15)+SUMPRODUCT(AK14:AK15,BD14:BD15,DZ14:DZ15)</f>
        <v>0</v>
      </c>
      <c r="BE16" s="69">
        <f>SUMPRODUCT(AJ14:AJ15,BE14:BE15,DZ14:DZ15)</f>
        <v>0</v>
      </c>
      <c r="BF16" s="76">
        <f>SUMPRODUCT(AJ14:AJ15,BF14:BF15,DZ14:DZ15)+SUMPRODUCT(AK14:AK15,BF14:BF15,DZ14:DZ15)</f>
        <v>0</v>
      </c>
      <c r="BG16" s="58">
        <f>SUMPRODUCT(AJ14:AJ15,BG14:BG15,DZ14:DZ15)</f>
        <v>0</v>
      </c>
      <c r="BH16" s="57">
        <f>IF(BF16=0,0,(BF16-BJ16)/BF16)</f>
        <v>0</v>
      </c>
      <c r="BI16" s="57">
        <f>IF(BG16=0,0,(BG16-BK16)/BG16)</f>
        <v>0</v>
      </c>
      <c r="BJ16" s="58">
        <f>SUMPRODUCT(AJ14:AJ15,BJ14:BJ15,DZ14:DZ15)+SUMPRODUCT(AK14:AK15,BJ14:BJ15,DZ14:DZ15)</f>
        <v>0</v>
      </c>
      <c r="BK16" s="104">
        <f>SUMPRODUCT(AJ14:AJ15,BK14:BK15,DZ14:DZ15)</f>
        <v>0</v>
      </c>
      <c r="BL16" s="97"/>
    </row>
    <row r="17" spans="2:38">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row>
    <row r="18" spans="2:38">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row>
    <row r="19" spans="2:38">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row>
    <row r="20" spans="2:38">
      <c r="B20" s="1"/>
      <c r="C20" s="1"/>
      <c r="D20" s="1"/>
      <c r="E20" s="1"/>
      <c r="F20" s="1"/>
      <c r="G20" s="1"/>
      <c r="H20" s="1"/>
      <c r="I20" s="1"/>
      <c r="J20" s="1"/>
      <c r="K20" s="1"/>
      <c r="L20" s="1"/>
      <c r="M20" s="1"/>
      <c r="N20" s="1"/>
      <c r="O20" s="1"/>
      <c r="P20" s="1"/>
      <c r="Q20" s="1"/>
      <c r="R20" s="1"/>
      <c r="S20" s="1"/>
      <c r="T20" s="1"/>
      <c r="U20" s="1"/>
      <c r="V20" s="1"/>
      <c r="W20" s="1"/>
      <c r="X20" s="1"/>
      <c r="Y20" s="1"/>
    </row>
    <row r="21" spans="2:38">
      <c r="B21" s="1"/>
      <c r="C21" s="1"/>
      <c r="D21" s="1"/>
      <c r="E21" s="1"/>
      <c r="F21" s="1"/>
      <c r="G21" s="1"/>
      <c r="H21" s="1"/>
      <c r="I21" s="1"/>
      <c r="J21" s="1"/>
      <c r="K21" s="1"/>
      <c r="L21" s="1"/>
      <c r="M21" s="1"/>
      <c r="N21" s="1"/>
      <c r="O21" s="1"/>
      <c r="P21" s="1"/>
      <c r="Q21" s="1"/>
      <c r="R21" s="1"/>
      <c r="S21" s="1"/>
      <c r="T21" s="1"/>
      <c r="U21" s="1"/>
      <c r="V21" s="1"/>
      <c r="W21" s="1"/>
      <c r="X21" s="1"/>
      <c r="Y21" s="1"/>
    </row>
    <row r="22" spans="2:38">
      <c r="B22" s="1"/>
      <c r="C22" s="1"/>
      <c r="D22" s="1"/>
      <c r="E22" s="1"/>
      <c r="F22" s="1"/>
      <c r="G22" s="1"/>
      <c r="H22" s="1"/>
      <c r="I22" s="1"/>
      <c r="J22" s="1"/>
      <c r="K22" s="1"/>
      <c r="L22" s="1"/>
      <c r="M22" s="1"/>
      <c r="N22" s="1"/>
      <c r="O22" s="1"/>
      <c r="P22" s="1"/>
      <c r="Q22" s="1"/>
      <c r="R22" s="1"/>
      <c r="S22" s="1"/>
      <c r="T22" s="1"/>
      <c r="U22" s="1"/>
      <c r="V22" s="1"/>
      <c r="W22" s="1"/>
      <c r="X22" s="1"/>
      <c r="Y22" s="1"/>
    </row>
    <row r="23" spans="2:38">
      <c r="B23" s="1"/>
      <c r="C23" s="1"/>
      <c r="D23" s="1"/>
      <c r="E23" s="1"/>
      <c r="F23" s="1"/>
      <c r="G23" s="1"/>
      <c r="H23" s="1"/>
      <c r="I23" s="1"/>
      <c r="J23" s="1"/>
      <c r="K23" s="1"/>
      <c r="L23" s="1"/>
      <c r="M23" s="1"/>
      <c r="N23" s="1"/>
      <c r="O23" s="1"/>
      <c r="P23" s="1"/>
      <c r="Q23" s="1"/>
      <c r="R23" s="1"/>
      <c r="S23" s="1"/>
      <c r="T23" s="1"/>
      <c r="U23" s="1"/>
      <c r="V23" s="1"/>
      <c r="W23" s="1"/>
      <c r="X23" s="1"/>
      <c r="Y23" s="1"/>
    </row>
  </sheetData>
  <sheetProtection formatColumns="0" formatRows="0"/>
  <phoneticPr fontId="3" type="noConversion"/>
  <conditionalFormatting sqref="AX13:AY13 BD13:BE13 BJ13:BK13">
    <cfRule type="cellIs" dxfId="41" priority="1" stopIfTrue="1" operator="notEqual">
      <formula>IF(OR(AX13="",AX13=AX16),AX13,"zzz")</formula>
    </cfRule>
  </conditionalFormatting>
  <dataValidations count="1">
    <dataValidation type="list" allowBlank="1" showInputMessage="1" showErrorMessage="1" sqref="D2:D3 C14:AI15 AN14:AN15 D7" xr:uid="{00000000-0002-0000-0D00-000000000000}">
      <formula1>OFFSET(ScratchStart,0,0,MAX(1,Scratch_ValueCount),1)</formula1>
    </dataValidation>
  </dataValidations>
  <pageMargins left="0.75" right="0.75" top="1" bottom="1" header="0.5" footer="0.5"/>
  <pageSetup paperSize="9" orientation="portrait" r:id="rId1"/>
  <headerFooter alignWithMargins="0">
    <oddFooter>&amp;CAT&amp;&amp;T Proprietary (Internal Use Only)</oddFooter>
  </headerFooter>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wsLog">
    <tabColor rgb="FFFF0000"/>
  </sheetPr>
  <dimension ref="A1:AB747"/>
  <sheetViews>
    <sheetView workbookViewId="0">
      <pane ySplit="1" topLeftCell="A724" activePane="bottomLeft" state="frozen"/>
      <selection pane="bottomLeft" activeCell="D748" sqref="D748"/>
    </sheetView>
  </sheetViews>
  <sheetFormatPr defaultRowHeight="12.75"/>
  <cols>
    <col min="1" max="1" width="10.140625" style="941" bestFit="1" customWidth="1"/>
    <col min="2" max="2" width="18.140625" style="111" customWidth="1"/>
    <col min="3" max="3" width="9.85546875" style="111" customWidth="1"/>
    <col min="4" max="4" width="10.42578125" style="122" customWidth="1"/>
    <col min="5" max="5" width="9.140625" style="111"/>
    <col min="6" max="6" width="100.140625" style="1055" customWidth="1"/>
  </cols>
  <sheetData>
    <row r="1" spans="1:28" ht="30">
      <c r="A1" s="1583">
        <v>43381</v>
      </c>
      <c r="B1" s="110" t="s">
        <v>28</v>
      </c>
      <c r="C1" s="110" t="s">
        <v>29</v>
      </c>
      <c r="D1" s="1251" t="s">
        <v>30</v>
      </c>
      <c r="E1" s="110" t="s">
        <v>31</v>
      </c>
      <c r="F1" s="40" t="s">
        <v>32</v>
      </c>
      <c r="G1" s="962" t="s">
        <v>9840</v>
      </c>
      <c r="H1" s="962" t="s">
        <v>9841</v>
      </c>
      <c r="I1" s="962" t="s">
        <v>9842</v>
      </c>
      <c r="AB1" t="s">
        <v>63</v>
      </c>
    </row>
    <row r="2" spans="1:28">
      <c r="D2" s="122">
        <v>40182</v>
      </c>
      <c r="E2" s="111" t="s">
        <v>581</v>
      </c>
      <c r="F2" s="116" t="s">
        <v>325</v>
      </c>
    </row>
    <row r="3" spans="1:28">
      <c r="D3" s="122">
        <v>40183</v>
      </c>
      <c r="E3" s="111" t="s">
        <v>581</v>
      </c>
      <c r="F3" s="116" t="s">
        <v>326</v>
      </c>
    </row>
    <row r="4" spans="1:28">
      <c r="B4" s="122">
        <v>40192</v>
      </c>
      <c r="D4" s="122">
        <v>40192</v>
      </c>
      <c r="E4" s="111" t="s">
        <v>621</v>
      </c>
      <c r="F4" s="116" t="s">
        <v>327</v>
      </c>
    </row>
    <row r="5" spans="1:28">
      <c r="B5" s="122">
        <v>40193</v>
      </c>
      <c r="D5" s="122">
        <v>40193</v>
      </c>
      <c r="E5" s="111" t="s">
        <v>621</v>
      </c>
      <c r="F5" s="116" t="s">
        <v>328</v>
      </c>
    </row>
    <row r="6" spans="1:28" ht="25.5">
      <c r="B6" s="122">
        <v>40196</v>
      </c>
      <c r="D6" s="122">
        <v>40196</v>
      </c>
      <c r="E6" s="111" t="s">
        <v>621</v>
      </c>
      <c r="F6" s="116" t="s">
        <v>329</v>
      </c>
    </row>
    <row r="7" spans="1:28" ht="25.5">
      <c r="B7" s="122">
        <v>40199</v>
      </c>
      <c r="D7" s="122">
        <v>40199</v>
      </c>
      <c r="E7" s="111" t="s">
        <v>621</v>
      </c>
      <c r="F7" s="116" t="s">
        <v>330</v>
      </c>
    </row>
    <row r="8" spans="1:28" ht="25.5">
      <c r="B8" s="122">
        <v>40200</v>
      </c>
      <c r="D8" s="122">
        <v>40200</v>
      </c>
      <c r="E8" s="124" t="s">
        <v>621</v>
      </c>
      <c r="F8" s="136" t="s">
        <v>331</v>
      </c>
    </row>
    <row r="9" spans="1:28">
      <c r="B9" s="122">
        <v>40203</v>
      </c>
      <c r="D9" s="122">
        <v>40203</v>
      </c>
      <c r="E9" s="111" t="s">
        <v>621</v>
      </c>
      <c r="F9" s="116" t="s">
        <v>332</v>
      </c>
    </row>
    <row r="10" spans="1:28" ht="25.5">
      <c r="D10" s="122">
        <v>40205</v>
      </c>
      <c r="E10" s="111" t="s">
        <v>621</v>
      </c>
      <c r="F10" s="116" t="s">
        <v>333</v>
      </c>
    </row>
    <row r="11" spans="1:28">
      <c r="B11" s="122">
        <v>40210</v>
      </c>
      <c r="D11" s="122">
        <v>40210</v>
      </c>
      <c r="E11" s="111" t="s">
        <v>621</v>
      </c>
      <c r="F11" s="116" t="s">
        <v>334</v>
      </c>
    </row>
    <row r="12" spans="1:28" ht="25.5">
      <c r="B12" s="122">
        <v>40217</v>
      </c>
      <c r="D12" s="122">
        <v>40217</v>
      </c>
      <c r="E12" s="134" t="s">
        <v>335</v>
      </c>
      <c r="F12" s="116" t="s">
        <v>336</v>
      </c>
    </row>
    <row r="13" spans="1:28">
      <c r="B13" s="122">
        <v>40218</v>
      </c>
      <c r="D13" s="122">
        <v>40217</v>
      </c>
      <c r="E13" s="111" t="s">
        <v>621</v>
      </c>
      <c r="F13" s="116" t="s">
        <v>337</v>
      </c>
    </row>
    <row r="14" spans="1:28">
      <c r="D14" s="122">
        <v>40218</v>
      </c>
      <c r="E14" s="111" t="s">
        <v>581</v>
      </c>
      <c r="F14" s="116" t="s">
        <v>338</v>
      </c>
    </row>
    <row r="15" spans="1:28">
      <c r="B15" s="122">
        <v>40219</v>
      </c>
      <c r="C15" s="122">
        <v>40219</v>
      </c>
      <c r="D15" s="122">
        <v>40218</v>
      </c>
      <c r="E15" s="111" t="s">
        <v>621</v>
      </c>
      <c r="F15" s="116" t="s">
        <v>339</v>
      </c>
    </row>
    <row r="16" spans="1:28" ht="25.5">
      <c r="B16" s="122">
        <v>40225</v>
      </c>
      <c r="D16" s="122">
        <v>40225</v>
      </c>
      <c r="E16" s="111" t="s">
        <v>582</v>
      </c>
      <c r="F16" s="116" t="s">
        <v>342</v>
      </c>
    </row>
    <row r="17" spans="2:6">
      <c r="B17" s="122">
        <v>40225</v>
      </c>
      <c r="D17" s="122">
        <v>40225</v>
      </c>
      <c r="E17" s="111" t="s">
        <v>357</v>
      </c>
      <c r="F17" s="116" t="s">
        <v>343</v>
      </c>
    </row>
    <row r="18" spans="2:6" ht="25.5">
      <c r="B18" s="122">
        <v>40225</v>
      </c>
      <c r="C18" s="122">
        <v>40225</v>
      </c>
      <c r="D18" s="122">
        <v>40225</v>
      </c>
      <c r="E18" s="124" t="s">
        <v>582</v>
      </c>
      <c r="F18" s="136" t="s">
        <v>344</v>
      </c>
    </row>
    <row r="19" spans="2:6">
      <c r="B19" s="122">
        <v>40225</v>
      </c>
      <c r="C19" s="122"/>
      <c r="D19" s="122">
        <v>40240</v>
      </c>
      <c r="E19" s="111" t="s">
        <v>357</v>
      </c>
      <c r="F19" s="116" t="s">
        <v>352</v>
      </c>
    </row>
    <row r="20" spans="2:6">
      <c r="B20" s="122">
        <v>40246</v>
      </c>
      <c r="C20" s="122">
        <v>40246</v>
      </c>
      <c r="D20" s="122">
        <v>40240</v>
      </c>
      <c r="E20" s="111" t="s">
        <v>582</v>
      </c>
      <c r="F20" s="116" t="s">
        <v>353</v>
      </c>
    </row>
    <row r="21" spans="2:6">
      <c r="D21" s="122">
        <v>40266</v>
      </c>
      <c r="E21" s="111" t="s">
        <v>357</v>
      </c>
      <c r="F21" s="136" t="s">
        <v>65</v>
      </c>
    </row>
    <row r="22" spans="2:6">
      <c r="D22" s="122">
        <v>40267</v>
      </c>
      <c r="E22" s="111" t="s">
        <v>581</v>
      </c>
      <c r="F22" s="116" t="s">
        <v>64</v>
      </c>
    </row>
    <row r="23" spans="2:6">
      <c r="B23" s="122">
        <v>40267</v>
      </c>
      <c r="C23" s="122">
        <v>40267</v>
      </c>
      <c r="D23" s="122">
        <v>40267</v>
      </c>
      <c r="E23" s="124" t="s">
        <v>621</v>
      </c>
      <c r="F23" s="136" t="s">
        <v>66</v>
      </c>
    </row>
    <row r="24" spans="2:6">
      <c r="B24" s="122">
        <v>40274</v>
      </c>
      <c r="D24" s="122">
        <v>40274</v>
      </c>
      <c r="E24" s="111" t="s">
        <v>15</v>
      </c>
      <c r="F24" s="116" t="s">
        <v>16</v>
      </c>
    </row>
    <row r="25" spans="2:6">
      <c r="B25" s="122">
        <v>40310</v>
      </c>
      <c r="C25" s="122">
        <v>40310</v>
      </c>
      <c r="D25" s="122">
        <v>40310</v>
      </c>
      <c r="E25" s="124" t="s">
        <v>357</v>
      </c>
      <c r="F25" s="136" t="s">
        <v>1063</v>
      </c>
    </row>
    <row r="26" spans="2:6">
      <c r="B26" s="122">
        <v>40320</v>
      </c>
      <c r="C26" s="122">
        <v>40310</v>
      </c>
      <c r="D26" s="122">
        <v>40310</v>
      </c>
      <c r="E26" s="111" t="s">
        <v>15</v>
      </c>
      <c r="F26" s="136" t="s">
        <v>1064</v>
      </c>
    </row>
    <row r="27" spans="2:6">
      <c r="B27" s="122">
        <v>40320</v>
      </c>
      <c r="C27" s="122">
        <v>40310</v>
      </c>
      <c r="D27" s="122">
        <v>40310</v>
      </c>
      <c r="E27" s="111" t="s">
        <v>15</v>
      </c>
      <c r="F27" s="136" t="s">
        <v>1065</v>
      </c>
    </row>
    <row r="28" spans="2:6">
      <c r="B28" s="122">
        <v>40326</v>
      </c>
      <c r="C28" s="122">
        <v>40326</v>
      </c>
      <c r="D28" s="122">
        <v>40326</v>
      </c>
      <c r="E28" s="124" t="s">
        <v>582</v>
      </c>
      <c r="F28" s="136" t="s">
        <v>1066</v>
      </c>
    </row>
    <row r="29" spans="2:6" ht="25.5">
      <c r="B29" s="122">
        <v>40333</v>
      </c>
      <c r="C29" s="122"/>
      <c r="D29" s="122">
        <v>40332</v>
      </c>
      <c r="E29" s="124" t="s">
        <v>582</v>
      </c>
      <c r="F29" s="136" t="s">
        <v>1067</v>
      </c>
    </row>
    <row r="30" spans="2:6">
      <c r="B30" s="122">
        <v>40336</v>
      </c>
      <c r="C30" s="122">
        <v>40337</v>
      </c>
      <c r="D30" s="122">
        <v>40333</v>
      </c>
      <c r="E30" s="124" t="s">
        <v>581</v>
      </c>
      <c r="F30" s="136" t="s">
        <v>1068</v>
      </c>
    </row>
    <row r="31" spans="2:6">
      <c r="D31" s="122">
        <v>40351</v>
      </c>
      <c r="E31" s="124" t="s">
        <v>581</v>
      </c>
      <c r="F31" s="136" t="s">
        <v>1061</v>
      </c>
    </row>
    <row r="32" spans="2:6">
      <c r="D32" s="122">
        <v>40351</v>
      </c>
      <c r="E32" s="124" t="s">
        <v>581</v>
      </c>
      <c r="F32" s="136" t="s">
        <v>1062</v>
      </c>
    </row>
    <row r="33" spans="2:6">
      <c r="B33" s="122">
        <v>40359</v>
      </c>
      <c r="C33" s="122">
        <v>40359</v>
      </c>
      <c r="D33" s="122">
        <v>40359</v>
      </c>
      <c r="E33" s="124" t="s">
        <v>357</v>
      </c>
      <c r="F33" s="136" t="s">
        <v>1069</v>
      </c>
    </row>
    <row r="34" spans="2:6" ht="25.5">
      <c r="B34" s="122">
        <v>40360</v>
      </c>
      <c r="C34" s="122">
        <v>40360</v>
      </c>
      <c r="D34" s="122">
        <v>40359</v>
      </c>
      <c r="E34" s="124" t="s">
        <v>15</v>
      </c>
      <c r="F34" s="136" t="s">
        <v>1078</v>
      </c>
    </row>
    <row r="35" spans="2:6">
      <c r="B35" s="122">
        <v>40373</v>
      </c>
      <c r="C35" s="122">
        <v>40373</v>
      </c>
      <c r="D35" s="122">
        <v>40373</v>
      </c>
      <c r="E35" s="124" t="s">
        <v>15</v>
      </c>
      <c r="F35" s="136" t="s">
        <v>7586</v>
      </c>
    </row>
    <row r="36" spans="2:6">
      <c r="B36" s="122">
        <v>40375</v>
      </c>
      <c r="C36" s="122">
        <v>40375</v>
      </c>
      <c r="D36" s="122">
        <v>40375</v>
      </c>
      <c r="E36" s="124" t="s">
        <v>15</v>
      </c>
      <c r="F36" s="136" t="s">
        <v>7587</v>
      </c>
    </row>
    <row r="37" spans="2:6">
      <c r="B37" s="122">
        <v>40399</v>
      </c>
      <c r="C37" s="122"/>
      <c r="D37" s="122">
        <v>40399</v>
      </c>
      <c r="E37" s="124" t="s">
        <v>15</v>
      </c>
      <c r="F37" s="136" t="s">
        <v>7588</v>
      </c>
    </row>
    <row r="38" spans="2:6">
      <c r="D38" s="122">
        <v>40402</v>
      </c>
      <c r="E38" s="124" t="s">
        <v>357</v>
      </c>
      <c r="F38" s="136" t="s">
        <v>7594</v>
      </c>
    </row>
    <row r="39" spans="2:6">
      <c r="D39" s="122">
        <v>40408</v>
      </c>
      <c r="E39" s="124" t="s">
        <v>357</v>
      </c>
      <c r="F39" s="136" t="s">
        <v>7596</v>
      </c>
    </row>
    <row r="40" spans="2:6">
      <c r="D40" s="122">
        <v>40408</v>
      </c>
      <c r="E40" s="124" t="s">
        <v>357</v>
      </c>
      <c r="F40" s="136" t="s">
        <v>7597</v>
      </c>
    </row>
    <row r="41" spans="2:6">
      <c r="D41" s="122">
        <v>40414</v>
      </c>
      <c r="E41" s="124" t="s">
        <v>357</v>
      </c>
      <c r="F41" s="136" t="s">
        <v>7598</v>
      </c>
    </row>
    <row r="42" spans="2:6">
      <c r="D42" s="122">
        <v>40417</v>
      </c>
      <c r="E42" s="124" t="s">
        <v>357</v>
      </c>
      <c r="F42" s="136" t="s">
        <v>7599</v>
      </c>
    </row>
    <row r="43" spans="2:6">
      <c r="D43" s="122">
        <v>40424</v>
      </c>
      <c r="E43" s="124" t="s">
        <v>582</v>
      </c>
      <c r="F43" s="136" t="s">
        <v>7602</v>
      </c>
    </row>
    <row r="44" spans="2:6">
      <c r="D44" s="122">
        <v>40424</v>
      </c>
      <c r="E44" s="124" t="s">
        <v>582</v>
      </c>
      <c r="F44" s="136" t="s">
        <v>7603</v>
      </c>
    </row>
    <row r="45" spans="2:6">
      <c r="B45" s="122"/>
      <c r="C45" s="122"/>
      <c r="D45" s="122">
        <v>40428</v>
      </c>
      <c r="E45" s="124" t="s">
        <v>357</v>
      </c>
      <c r="F45" s="136" t="s">
        <v>7601</v>
      </c>
    </row>
    <row r="46" spans="2:6" ht="25.5">
      <c r="D46" s="122">
        <v>40434</v>
      </c>
      <c r="E46" s="124" t="s">
        <v>581</v>
      </c>
      <c r="F46" s="136" t="s">
        <v>7604</v>
      </c>
    </row>
    <row r="47" spans="2:6">
      <c r="B47" s="122">
        <v>40435</v>
      </c>
      <c r="C47" s="122">
        <v>40435</v>
      </c>
      <c r="D47" s="122">
        <v>40435</v>
      </c>
      <c r="E47" s="124" t="s">
        <v>357</v>
      </c>
      <c r="F47" s="136" t="s">
        <v>7605</v>
      </c>
    </row>
    <row r="48" spans="2:6">
      <c r="D48" s="122">
        <v>40452</v>
      </c>
      <c r="E48" s="124" t="s">
        <v>357</v>
      </c>
      <c r="F48" s="136" t="s">
        <v>7608</v>
      </c>
    </row>
    <row r="49" spans="2:6">
      <c r="D49" s="122">
        <v>40452</v>
      </c>
      <c r="E49" s="124" t="s">
        <v>357</v>
      </c>
      <c r="F49" s="136" t="s">
        <v>7609</v>
      </c>
    </row>
    <row r="50" spans="2:6">
      <c r="D50" s="122">
        <v>40454</v>
      </c>
      <c r="E50" s="124" t="s">
        <v>581</v>
      </c>
      <c r="F50" s="136" t="s">
        <v>7610</v>
      </c>
    </row>
    <row r="51" spans="2:6" ht="38.25">
      <c r="B51" s="122">
        <v>40462</v>
      </c>
      <c r="D51" s="122">
        <v>40456</v>
      </c>
      <c r="E51" s="124" t="s">
        <v>582</v>
      </c>
      <c r="F51" s="158" t="s">
        <v>7690</v>
      </c>
    </row>
    <row r="52" spans="2:6" ht="25.5">
      <c r="D52" s="122">
        <v>40466</v>
      </c>
      <c r="E52" s="124" t="s">
        <v>357</v>
      </c>
      <c r="F52" s="136" t="s">
        <v>7691</v>
      </c>
    </row>
    <row r="53" spans="2:6" ht="38.25">
      <c r="B53" s="122">
        <v>40467</v>
      </c>
      <c r="C53" s="122">
        <v>40467</v>
      </c>
      <c r="D53" s="122">
        <v>40467</v>
      </c>
      <c r="E53" s="124" t="s">
        <v>582</v>
      </c>
      <c r="F53" s="136" t="s">
        <v>7692</v>
      </c>
    </row>
    <row r="54" spans="2:6">
      <c r="B54" s="122">
        <v>40472</v>
      </c>
      <c r="C54" s="122"/>
      <c r="D54" s="122">
        <v>40472</v>
      </c>
      <c r="E54" s="124" t="s">
        <v>15</v>
      </c>
      <c r="F54" s="136" t="s">
        <v>7697</v>
      </c>
    </row>
    <row r="55" spans="2:6">
      <c r="B55" s="122">
        <v>40480</v>
      </c>
      <c r="C55" s="122"/>
      <c r="D55" s="122">
        <v>40480</v>
      </c>
      <c r="E55" s="124" t="s">
        <v>15</v>
      </c>
      <c r="F55" s="136" t="s">
        <v>7699</v>
      </c>
    </row>
    <row r="56" spans="2:6">
      <c r="B56" s="122">
        <v>40480</v>
      </c>
      <c r="C56" s="122"/>
      <c r="D56" s="122">
        <v>40480</v>
      </c>
      <c r="E56" s="124" t="s">
        <v>15</v>
      </c>
      <c r="F56" s="136" t="s">
        <v>7700</v>
      </c>
    </row>
    <row r="57" spans="2:6">
      <c r="B57" s="122">
        <v>40487</v>
      </c>
      <c r="C57" s="122"/>
      <c r="D57" s="122">
        <v>40487</v>
      </c>
      <c r="E57" s="124" t="s">
        <v>582</v>
      </c>
      <c r="F57" s="136" t="s">
        <v>7733</v>
      </c>
    </row>
    <row r="58" spans="2:6">
      <c r="B58" s="122">
        <v>40491</v>
      </c>
      <c r="C58" s="122"/>
      <c r="D58" s="122">
        <v>40491</v>
      </c>
      <c r="E58" s="124" t="s">
        <v>15</v>
      </c>
      <c r="F58" s="136" t="s">
        <v>7743</v>
      </c>
    </row>
    <row r="59" spans="2:6">
      <c r="B59" s="122">
        <v>40493</v>
      </c>
      <c r="C59" s="122"/>
      <c r="D59" s="122">
        <v>40493</v>
      </c>
      <c r="E59" s="124" t="s">
        <v>15</v>
      </c>
      <c r="F59" s="136" t="s">
        <v>7744</v>
      </c>
    </row>
    <row r="60" spans="2:6">
      <c r="B60" s="122">
        <v>40494</v>
      </c>
      <c r="C60" s="122"/>
      <c r="D60" s="122">
        <v>40494</v>
      </c>
      <c r="E60" s="124" t="s">
        <v>15</v>
      </c>
      <c r="F60" s="136" t="s">
        <v>7747</v>
      </c>
    </row>
    <row r="61" spans="2:6">
      <c r="B61" s="122">
        <v>40498</v>
      </c>
      <c r="D61" s="122">
        <v>40498</v>
      </c>
      <c r="E61" s="124" t="s">
        <v>15</v>
      </c>
      <c r="F61" s="136" t="s">
        <v>7749</v>
      </c>
    </row>
    <row r="62" spans="2:6">
      <c r="B62" s="122">
        <v>40498</v>
      </c>
      <c r="D62" s="122">
        <v>40498</v>
      </c>
      <c r="E62" s="124" t="s">
        <v>15</v>
      </c>
      <c r="F62" s="136" t="s">
        <v>7750</v>
      </c>
    </row>
    <row r="63" spans="2:6">
      <c r="D63" s="122">
        <v>40507</v>
      </c>
      <c r="E63" s="124" t="s">
        <v>357</v>
      </c>
      <c r="F63" s="136" t="s">
        <v>7757</v>
      </c>
    </row>
    <row r="64" spans="2:6">
      <c r="B64" s="122">
        <v>40515</v>
      </c>
      <c r="D64" s="122">
        <v>40515</v>
      </c>
      <c r="E64" s="124" t="s">
        <v>15</v>
      </c>
      <c r="F64" s="136" t="s">
        <v>7758</v>
      </c>
    </row>
    <row r="65" spans="2:13">
      <c r="D65" s="122">
        <v>40521</v>
      </c>
      <c r="E65" s="124" t="s">
        <v>357</v>
      </c>
      <c r="F65" s="136" t="s">
        <v>7760</v>
      </c>
    </row>
    <row r="66" spans="2:13">
      <c r="B66" s="122">
        <v>40527</v>
      </c>
      <c r="D66" s="122">
        <v>40527</v>
      </c>
      <c r="E66" s="124" t="s">
        <v>15</v>
      </c>
      <c r="F66" s="136" t="s">
        <v>7766</v>
      </c>
    </row>
    <row r="67" spans="2:13">
      <c r="B67" s="122">
        <v>40536</v>
      </c>
      <c r="D67" s="122">
        <v>40536</v>
      </c>
      <c r="E67" s="124" t="s">
        <v>15</v>
      </c>
      <c r="F67" s="136" t="s">
        <v>7765</v>
      </c>
      <c r="J67">
        <v>2011</v>
      </c>
    </row>
    <row r="68" spans="2:13">
      <c r="B68" s="122">
        <v>40549</v>
      </c>
      <c r="D68" s="122">
        <v>40549</v>
      </c>
      <c r="E68" s="124" t="s">
        <v>15</v>
      </c>
      <c r="F68" s="136" t="s">
        <v>7817</v>
      </c>
      <c r="G68" s="690" t="str">
        <f>IF(LEFT(E68,2)="sd","SD",IF(LEFT(E68,2)="ms","IT",IF(LEFT(E68,2)="oc","IT",IF(LEFT(E68,2)="rl","Lorenz","CSA"))))</f>
        <v>CSA</v>
      </c>
      <c r="H68" s="690">
        <v>1</v>
      </c>
      <c r="I68" s="690"/>
      <c r="K68" s="690" t="s">
        <v>8061</v>
      </c>
      <c r="L68" s="690">
        <f ca="1">SUMIF(Effort2011,$K68,Enhance2011)</f>
        <v>14</v>
      </c>
      <c r="M68" s="690">
        <f ca="1">SUMIF(Effort2011,$K68,Adjust2011)</f>
        <v>79</v>
      </c>
    </row>
    <row r="69" spans="2:13">
      <c r="B69" s="122">
        <v>40549</v>
      </c>
      <c r="D69" s="122">
        <v>40549</v>
      </c>
      <c r="E69" s="124" t="s">
        <v>15</v>
      </c>
      <c r="F69" s="136" t="s">
        <v>7818</v>
      </c>
      <c r="G69" s="690" t="str">
        <f t="shared" ref="G69:G132" si="0">IF(LEFT(E69,2)="sd","SD",IF(LEFT(E69,2)="ms","IT",IF(LEFT(E69,2)="oc","IT",IF(LEFT(E69,2)="rl","Lorenz","CSA"))))</f>
        <v>CSA</v>
      </c>
      <c r="H69" s="690"/>
      <c r="I69" s="690">
        <v>1</v>
      </c>
      <c r="K69" s="690" t="s">
        <v>556</v>
      </c>
      <c r="L69" s="690">
        <f ca="1">SUMIF(Effort2011,$K69,Enhance2011)</f>
        <v>6</v>
      </c>
      <c r="M69" s="690">
        <f ca="1">SUMIF(Effort2011,$K69,Adjust2011)</f>
        <v>3</v>
      </c>
    </row>
    <row r="70" spans="2:13">
      <c r="B70" s="244">
        <v>40553</v>
      </c>
      <c r="C70" s="244"/>
      <c r="D70" s="244">
        <v>40553</v>
      </c>
      <c r="E70" s="242" t="s">
        <v>582</v>
      </c>
      <c r="F70" s="243" t="s">
        <v>7820</v>
      </c>
      <c r="G70" s="690" t="str">
        <f t="shared" si="0"/>
        <v>SD</v>
      </c>
      <c r="H70" s="690"/>
      <c r="I70" s="690">
        <v>1</v>
      </c>
      <c r="K70" s="690" t="s">
        <v>9843</v>
      </c>
      <c r="L70" s="690">
        <f ca="1">SUMIF(Effort2011,$K70,Enhance2011)</f>
        <v>1</v>
      </c>
      <c r="M70" s="690">
        <f ca="1">SUMIF(Effort2011,$K70,Adjust2011)</f>
        <v>0</v>
      </c>
    </row>
    <row r="71" spans="2:13" ht="25.5">
      <c r="B71" s="244">
        <v>40553</v>
      </c>
      <c r="C71" s="244"/>
      <c r="D71" s="244">
        <v>40553</v>
      </c>
      <c r="E71" s="242" t="s">
        <v>15</v>
      </c>
      <c r="F71" s="243" t="s">
        <v>7821</v>
      </c>
      <c r="G71" s="690" t="str">
        <f t="shared" si="0"/>
        <v>CSA</v>
      </c>
      <c r="H71" s="690">
        <v>1</v>
      </c>
      <c r="I71" s="690"/>
      <c r="L71">
        <f ca="1">SUM(L68:L70)</f>
        <v>21</v>
      </c>
      <c r="M71" s="690">
        <f ca="1">SUM(M68:M70)</f>
        <v>82</v>
      </c>
    </row>
    <row r="72" spans="2:13">
      <c r="B72" s="244">
        <v>40553</v>
      </c>
      <c r="D72" s="244">
        <v>40553</v>
      </c>
      <c r="E72" s="124" t="s">
        <v>15</v>
      </c>
      <c r="F72" s="136" t="s">
        <v>7822</v>
      </c>
      <c r="G72" s="690" t="str">
        <f t="shared" si="0"/>
        <v>CSA</v>
      </c>
      <c r="H72" s="690">
        <v>1</v>
      </c>
      <c r="I72" s="690"/>
    </row>
    <row r="73" spans="2:13">
      <c r="B73" s="122">
        <v>40555</v>
      </c>
      <c r="D73" s="122">
        <v>40555</v>
      </c>
      <c r="E73" s="124" t="s">
        <v>15</v>
      </c>
      <c r="F73" s="136" t="s">
        <v>7823</v>
      </c>
      <c r="G73" s="690" t="str">
        <f t="shared" si="0"/>
        <v>CSA</v>
      </c>
      <c r="H73" s="690">
        <v>1</v>
      </c>
      <c r="I73" s="690"/>
    </row>
    <row r="74" spans="2:13">
      <c r="B74" s="122">
        <v>40194</v>
      </c>
      <c r="D74" s="122">
        <v>36907</v>
      </c>
      <c r="E74" s="124" t="s">
        <v>15</v>
      </c>
      <c r="F74" s="136" t="s">
        <v>7850</v>
      </c>
      <c r="G74" s="690" t="str">
        <f t="shared" si="0"/>
        <v>CSA</v>
      </c>
      <c r="H74" s="690"/>
      <c r="I74" s="690">
        <v>1</v>
      </c>
    </row>
    <row r="75" spans="2:13">
      <c r="B75" s="122">
        <v>40570</v>
      </c>
      <c r="D75" s="122">
        <v>40570</v>
      </c>
      <c r="E75" s="122">
        <v>40570</v>
      </c>
      <c r="F75" s="136" t="s">
        <v>7856</v>
      </c>
      <c r="G75" s="690" t="str">
        <f t="shared" si="0"/>
        <v>CSA</v>
      </c>
      <c r="H75" s="690"/>
      <c r="I75" s="690">
        <v>1</v>
      </c>
    </row>
    <row r="76" spans="2:13">
      <c r="E76" s="122">
        <v>40573</v>
      </c>
      <c r="F76" s="136" t="s">
        <v>7864</v>
      </c>
      <c r="G76" s="690" t="str">
        <f t="shared" si="0"/>
        <v>CSA</v>
      </c>
      <c r="H76" s="690"/>
      <c r="I76" s="690">
        <v>1</v>
      </c>
    </row>
    <row r="77" spans="2:13">
      <c r="B77" s="122">
        <v>40570</v>
      </c>
      <c r="D77" s="122">
        <v>40570</v>
      </c>
      <c r="E77" s="124" t="s">
        <v>7883</v>
      </c>
      <c r="F77" s="136" t="s">
        <v>7884</v>
      </c>
      <c r="G77" s="690" t="str">
        <f t="shared" si="0"/>
        <v>CSA</v>
      </c>
      <c r="H77" s="690"/>
      <c r="I77" s="690">
        <v>1</v>
      </c>
    </row>
    <row r="78" spans="2:13">
      <c r="B78" s="122">
        <v>40570</v>
      </c>
      <c r="D78" s="122">
        <v>40570</v>
      </c>
      <c r="E78" s="124" t="s">
        <v>7883</v>
      </c>
      <c r="F78" s="136" t="s">
        <v>7885</v>
      </c>
      <c r="G78" s="690" t="str">
        <f t="shared" si="0"/>
        <v>CSA</v>
      </c>
      <c r="H78" s="690"/>
      <c r="I78" s="690">
        <v>1</v>
      </c>
    </row>
    <row r="79" spans="2:13">
      <c r="D79" s="122">
        <v>40588</v>
      </c>
      <c r="E79" s="124" t="s">
        <v>357</v>
      </c>
      <c r="F79" s="350" t="s">
        <v>7888</v>
      </c>
      <c r="G79" s="690" t="str">
        <f t="shared" si="0"/>
        <v>CSA</v>
      </c>
      <c r="H79" s="690"/>
      <c r="I79" s="690">
        <v>1</v>
      </c>
    </row>
    <row r="80" spans="2:13">
      <c r="D80" s="122">
        <v>40589</v>
      </c>
      <c r="E80" s="124" t="s">
        <v>357</v>
      </c>
      <c r="F80" s="350" t="s">
        <v>7889</v>
      </c>
      <c r="G80" s="690" t="str">
        <f t="shared" si="0"/>
        <v>CSA</v>
      </c>
      <c r="H80" s="690"/>
      <c r="I80" s="690">
        <v>1</v>
      </c>
    </row>
    <row r="81" spans="4:9">
      <c r="D81" s="122">
        <v>40589</v>
      </c>
      <c r="E81" s="124" t="s">
        <v>357</v>
      </c>
      <c r="F81" s="350" t="s">
        <v>7890</v>
      </c>
      <c r="G81" s="690" t="str">
        <f t="shared" si="0"/>
        <v>CSA</v>
      </c>
      <c r="H81" s="690"/>
      <c r="I81" s="690">
        <v>1</v>
      </c>
    </row>
    <row r="82" spans="4:9">
      <c r="D82" s="122">
        <v>40590</v>
      </c>
      <c r="E82" s="124" t="s">
        <v>357</v>
      </c>
      <c r="F82" s="350" t="s">
        <v>7891</v>
      </c>
      <c r="G82" s="690" t="str">
        <f t="shared" si="0"/>
        <v>CSA</v>
      </c>
      <c r="H82" s="690">
        <v>1</v>
      </c>
      <c r="I82" s="690"/>
    </row>
    <row r="83" spans="4:9">
      <c r="D83" s="122">
        <v>40592</v>
      </c>
      <c r="E83" s="124" t="s">
        <v>15</v>
      </c>
      <c r="F83" s="350" t="s">
        <v>7892</v>
      </c>
      <c r="G83" s="690" t="str">
        <f t="shared" si="0"/>
        <v>CSA</v>
      </c>
      <c r="H83" s="690"/>
      <c r="I83" s="690">
        <v>1</v>
      </c>
    </row>
    <row r="84" spans="4:9">
      <c r="D84" s="122">
        <v>40592</v>
      </c>
      <c r="E84" s="124" t="s">
        <v>15</v>
      </c>
      <c r="F84" s="350" t="s">
        <v>7907</v>
      </c>
      <c r="G84" s="690" t="str">
        <f t="shared" si="0"/>
        <v>CSA</v>
      </c>
      <c r="H84" s="690"/>
      <c r="I84" s="690">
        <v>1</v>
      </c>
    </row>
    <row r="85" spans="4:9">
      <c r="D85" s="122">
        <v>40596</v>
      </c>
      <c r="E85" s="124" t="s">
        <v>15</v>
      </c>
      <c r="F85" s="350" t="s">
        <v>7908</v>
      </c>
      <c r="G85" s="690" t="str">
        <f t="shared" si="0"/>
        <v>CSA</v>
      </c>
      <c r="H85" s="690"/>
      <c r="I85" s="690">
        <v>1</v>
      </c>
    </row>
    <row r="86" spans="4:9">
      <c r="D86" s="122">
        <v>40596</v>
      </c>
      <c r="E86" s="124" t="s">
        <v>15</v>
      </c>
      <c r="F86" s="350" t="s">
        <v>7909</v>
      </c>
      <c r="G86" s="690" t="str">
        <f t="shared" si="0"/>
        <v>CSA</v>
      </c>
      <c r="H86" s="690"/>
      <c r="I86" s="690">
        <v>1</v>
      </c>
    </row>
    <row r="87" spans="4:9">
      <c r="F87" s="350" t="s">
        <v>7910</v>
      </c>
      <c r="G87" s="690" t="str">
        <f t="shared" si="0"/>
        <v>CSA</v>
      </c>
      <c r="H87" s="690"/>
      <c r="I87" s="690"/>
    </row>
    <row r="88" spans="4:9">
      <c r="D88" s="122">
        <v>40596</v>
      </c>
      <c r="E88" s="124" t="s">
        <v>15</v>
      </c>
      <c r="F88" s="350" t="s">
        <v>7914</v>
      </c>
      <c r="G88" s="690" t="str">
        <f t="shared" si="0"/>
        <v>CSA</v>
      </c>
      <c r="H88" s="690"/>
      <c r="I88" s="690">
        <v>1</v>
      </c>
    </row>
    <row r="89" spans="4:9">
      <c r="D89" s="122">
        <v>40599</v>
      </c>
      <c r="E89" s="124" t="s">
        <v>15</v>
      </c>
      <c r="F89" s="350" t="s">
        <v>7925</v>
      </c>
      <c r="G89" s="690" t="str">
        <f t="shared" si="0"/>
        <v>CSA</v>
      </c>
      <c r="H89" s="690"/>
      <c r="I89" s="690">
        <v>1</v>
      </c>
    </row>
    <row r="90" spans="4:9">
      <c r="D90" s="122">
        <v>40615</v>
      </c>
      <c r="E90" s="124" t="s">
        <v>15</v>
      </c>
      <c r="F90" s="350" t="s">
        <v>7925</v>
      </c>
      <c r="G90" s="690" t="str">
        <f t="shared" si="0"/>
        <v>CSA</v>
      </c>
      <c r="H90" s="690"/>
      <c r="I90" s="690">
        <v>1</v>
      </c>
    </row>
    <row r="91" spans="4:9">
      <c r="D91" s="122">
        <v>40617</v>
      </c>
      <c r="E91" s="124" t="s">
        <v>15</v>
      </c>
      <c r="F91" s="350" t="s">
        <v>7976</v>
      </c>
      <c r="G91" s="690" t="str">
        <f t="shared" si="0"/>
        <v>CSA</v>
      </c>
      <c r="H91" s="690"/>
      <c r="I91" s="690">
        <v>1</v>
      </c>
    </row>
    <row r="92" spans="4:9">
      <c r="D92" s="122">
        <v>40620</v>
      </c>
      <c r="E92" s="124" t="s">
        <v>357</v>
      </c>
      <c r="F92" s="350" t="s">
        <v>7978</v>
      </c>
      <c r="G92" s="690" t="str">
        <f t="shared" si="0"/>
        <v>CSA</v>
      </c>
      <c r="H92" s="690"/>
      <c r="I92" s="690">
        <v>1</v>
      </c>
    </row>
    <row r="93" spans="4:9">
      <c r="D93" s="122">
        <v>40620</v>
      </c>
      <c r="E93" s="124" t="s">
        <v>357</v>
      </c>
      <c r="F93" s="350" t="s">
        <v>7979</v>
      </c>
      <c r="G93" s="690" t="str">
        <f t="shared" si="0"/>
        <v>CSA</v>
      </c>
      <c r="H93" s="690"/>
      <c r="I93" s="690">
        <v>1</v>
      </c>
    </row>
    <row r="94" spans="4:9">
      <c r="D94" s="122">
        <v>40614</v>
      </c>
      <c r="E94" s="124" t="s">
        <v>357</v>
      </c>
      <c r="F94" s="350" t="s">
        <v>7981</v>
      </c>
      <c r="G94" s="690" t="str">
        <f t="shared" si="0"/>
        <v>CSA</v>
      </c>
      <c r="H94" s="690"/>
      <c r="I94" s="690">
        <v>1</v>
      </c>
    </row>
    <row r="95" spans="4:9">
      <c r="D95" s="122">
        <v>40625</v>
      </c>
      <c r="E95" s="124" t="s">
        <v>357</v>
      </c>
      <c r="F95" s="350" t="s">
        <v>7992</v>
      </c>
      <c r="G95" s="690" t="str">
        <f t="shared" si="0"/>
        <v>CSA</v>
      </c>
      <c r="H95" s="690"/>
      <c r="I95" s="690">
        <v>1</v>
      </c>
    </row>
    <row r="96" spans="4:9">
      <c r="D96" s="122">
        <v>40625</v>
      </c>
      <c r="E96" s="124" t="s">
        <v>357</v>
      </c>
      <c r="F96" s="350" t="s">
        <v>7993</v>
      </c>
      <c r="G96" s="690" t="str">
        <f t="shared" si="0"/>
        <v>CSA</v>
      </c>
      <c r="H96" s="690"/>
      <c r="I96" s="690">
        <v>1</v>
      </c>
    </row>
    <row r="97" spans="4:9">
      <c r="D97" s="122">
        <v>40781</v>
      </c>
      <c r="E97" s="124" t="s">
        <v>210</v>
      </c>
      <c r="F97" s="350" t="s">
        <v>9271</v>
      </c>
      <c r="G97" s="690" t="str">
        <f t="shared" si="0"/>
        <v>Lorenz</v>
      </c>
      <c r="H97" s="690">
        <v>1</v>
      </c>
      <c r="I97" s="690"/>
    </row>
    <row r="98" spans="4:9">
      <c r="D98" s="122">
        <v>40781</v>
      </c>
      <c r="E98" s="124" t="s">
        <v>582</v>
      </c>
      <c r="F98" s="350" t="s">
        <v>9272</v>
      </c>
      <c r="G98" s="690" t="str">
        <f t="shared" si="0"/>
        <v>SD</v>
      </c>
      <c r="H98" s="690"/>
      <c r="I98" s="690">
        <v>1</v>
      </c>
    </row>
    <row r="99" spans="4:9">
      <c r="D99" s="122">
        <v>40826</v>
      </c>
      <c r="E99" s="124" t="s">
        <v>357</v>
      </c>
      <c r="F99" s="350" t="s">
        <v>9665</v>
      </c>
      <c r="G99" s="690" t="str">
        <f t="shared" si="0"/>
        <v>CSA</v>
      </c>
      <c r="H99" s="690">
        <v>1</v>
      </c>
      <c r="I99" s="690"/>
    </row>
    <row r="100" spans="4:9">
      <c r="D100" s="122">
        <v>40827</v>
      </c>
      <c r="E100" s="124" t="s">
        <v>357</v>
      </c>
      <c r="F100" s="350" t="s">
        <v>9666</v>
      </c>
      <c r="G100" s="690" t="str">
        <f t="shared" si="0"/>
        <v>CSA</v>
      </c>
      <c r="H100" s="690">
        <v>1</v>
      </c>
      <c r="I100" s="690"/>
    </row>
    <row r="101" spans="4:9">
      <c r="D101" s="122">
        <v>40827</v>
      </c>
      <c r="E101" s="124" t="s">
        <v>357</v>
      </c>
      <c r="F101" s="350" t="s">
        <v>9667</v>
      </c>
      <c r="G101" s="690" t="str">
        <f t="shared" si="0"/>
        <v>CSA</v>
      </c>
      <c r="H101" s="690"/>
      <c r="I101" s="690">
        <v>1</v>
      </c>
    </row>
    <row r="102" spans="4:9">
      <c r="D102" s="122">
        <v>40827</v>
      </c>
      <c r="E102" s="124" t="s">
        <v>357</v>
      </c>
      <c r="F102" s="350" t="s">
        <v>9668</v>
      </c>
      <c r="G102" s="690" t="str">
        <f t="shared" si="0"/>
        <v>CSA</v>
      </c>
      <c r="H102" s="690"/>
      <c r="I102" s="690">
        <v>1</v>
      </c>
    </row>
    <row r="103" spans="4:9">
      <c r="D103" s="122">
        <v>40827</v>
      </c>
      <c r="E103" s="124" t="s">
        <v>357</v>
      </c>
      <c r="F103" s="350" t="s">
        <v>9669</v>
      </c>
      <c r="G103" s="690" t="str">
        <f t="shared" si="0"/>
        <v>CSA</v>
      </c>
      <c r="H103" s="690"/>
      <c r="I103" s="690">
        <v>1</v>
      </c>
    </row>
    <row r="104" spans="4:9">
      <c r="D104" s="122">
        <v>40827</v>
      </c>
      <c r="E104" s="124" t="s">
        <v>357</v>
      </c>
      <c r="F104" s="350" t="s">
        <v>9670</v>
      </c>
      <c r="G104" s="690" t="str">
        <f t="shared" si="0"/>
        <v>CSA</v>
      </c>
      <c r="H104" s="690"/>
      <c r="I104" s="690">
        <v>1</v>
      </c>
    </row>
    <row r="105" spans="4:9">
      <c r="D105" s="122">
        <v>40828</v>
      </c>
      <c r="E105" s="124" t="s">
        <v>357</v>
      </c>
      <c r="F105" s="350" t="s">
        <v>9671</v>
      </c>
      <c r="G105" s="690" t="str">
        <f t="shared" si="0"/>
        <v>CSA</v>
      </c>
      <c r="H105" s="690"/>
      <c r="I105" s="690">
        <v>1</v>
      </c>
    </row>
    <row r="106" spans="4:9">
      <c r="D106" s="122">
        <v>40828</v>
      </c>
      <c r="E106" s="124" t="s">
        <v>357</v>
      </c>
      <c r="F106" s="350" t="s">
        <v>9672</v>
      </c>
      <c r="G106" s="690" t="str">
        <f t="shared" si="0"/>
        <v>CSA</v>
      </c>
      <c r="H106" s="690"/>
      <c r="I106" s="690">
        <v>1</v>
      </c>
    </row>
    <row r="107" spans="4:9">
      <c r="D107" s="122">
        <v>40829</v>
      </c>
      <c r="E107" s="124" t="s">
        <v>357</v>
      </c>
      <c r="F107" s="350" t="s">
        <v>9673</v>
      </c>
      <c r="G107" s="690" t="str">
        <f t="shared" si="0"/>
        <v>CSA</v>
      </c>
      <c r="H107" s="690"/>
      <c r="I107" s="690">
        <v>1</v>
      </c>
    </row>
    <row r="108" spans="4:9">
      <c r="D108" s="122">
        <v>40829</v>
      </c>
      <c r="E108" s="124" t="s">
        <v>357</v>
      </c>
      <c r="F108" s="350" t="s">
        <v>9674</v>
      </c>
      <c r="G108" s="690" t="str">
        <f t="shared" si="0"/>
        <v>CSA</v>
      </c>
      <c r="H108" s="690"/>
      <c r="I108" s="690">
        <v>1</v>
      </c>
    </row>
    <row r="109" spans="4:9">
      <c r="D109" s="122">
        <v>40829</v>
      </c>
      <c r="E109" s="124" t="s">
        <v>357</v>
      </c>
      <c r="F109" s="350" t="s">
        <v>9675</v>
      </c>
      <c r="G109" s="690" t="str">
        <f t="shared" si="0"/>
        <v>CSA</v>
      </c>
      <c r="H109" s="690"/>
      <c r="I109" s="690">
        <v>1</v>
      </c>
    </row>
    <row r="110" spans="4:9">
      <c r="D110" s="122">
        <v>40829</v>
      </c>
      <c r="E110" s="124" t="s">
        <v>357</v>
      </c>
      <c r="F110" s="350" t="s">
        <v>9676</v>
      </c>
      <c r="G110" s="690" t="str">
        <f t="shared" si="0"/>
        <v>CSA</v>
      </c>
      <c r="H110" s="690"/>
      <c r="I110" s="690">
        <v>1</v>
      </c>
    </row>
    <row r="111" spans="4:9">
      <c r="D111" s="122">
        <v>40832</v>
      </c>
      <c r="E111" s="124" t="s">
        <v>357</v>
      </c>
      <c r="F111" s="350" t="s">
        <v>9678</v>
      </c>
      <c r="G111" s="690" t="str">
        <f t="shared" si="0"/>
        <v>CSA</v>
      </c>
      <c r="H111" s="690">
        <v>1</v>
      </c>
      <c r="I111" s="690"/>
    </row>
    <row r="112" spans="4:9">
      <c r="D112" s="122">
        <v>40833</v>
      </c>
      <c r="E112" s="124" t="s">
        <v>357</v>
      </c>
      <c r="F112" s="350" t="s">
        <v>9679</v>
      </c>
      <c r="G112" s="690" t="str">
        <f t="shared" si="0"/>
        <v>CSA</v>
      </c>
      <c r="H112" s="690">
        <v>1</v>
      </c>
      <c r="I112" s="690"/>
    </row>
    <row r="113" spans="4:9">
      <c r="D113" s="122">
        <v>40833</v>
      </c>
      <c r="E113" s="124" t="s">
        <v>357</v>
      </c>
      <c r="F113" s="350" t="s">
        <v>9680</v>
      </c>
      <c r="G113" s="690" t="str">
        <f t="shared" si="0"/>
        <v>CSA</v>
      </c>
      <c r="H113" s="690"/>
      <c r="I113" s="690">
        <v>1</v>
      </c>
    </row>
    <row r="114" spans="4:9">
      <c r="D114" s="122">
        <v>40833</v>
      </c>
      <c r="E114" s="124" t="s">
        <v>357</v>
      </c>
      <c r="F114" s="350" t="s">
        <v>9681</v>
      </c>
      <c r="G114" s="690" t="str">
        <f t="shared" si="0"/>
        <v>CSA</v>
      </c>
      <c r="H114" s="690"/>
      <c r="I114" s="690">
        <v>1</v>
      </c>
    </row>
    <row r="115" spans="4:9">
      <c r="D115" s="122">
        <v>40834</v>
      </c>
      <c r="E115" s="124" t="s">
        <v>357</v>
      </c>
      <c r="F115" s="350" t="s">
        <v>9682</v>
      </c>
      <c r="G115" s="690" t="str">
        <f t="shared" si="0"/>
        <v>CSA</v>
      </c>
      <c r="H115" s="690"/>
      <c r="I115" s="690">
        <v>1</v>
      </c>
    </row>
    <row r="116" spans="4:9">
      <c r="D116" s="122">
        <v>40834</v>
      </c>
      <c r="E116" s="124" t="s">
        <v>357</v>
      </c>
      <c r="F116" s="350" t="s">
        <v>9683</v>
      </c>
      <c r="G116" s="690" t="str">
        <f t="shared" si="0"/>
        <v>CSA</v>
      </c>
      <c r="H116" s="690"/>
      <c r="I116" s="690">
        <v>1</v>
      </c>
    </row>
    <row r="117" spans="4:9">
      <c r="D117" s="122">
        <v>40839</v>
      </c>
      <c r="E117" s="124" t="s">
        <v>357</v>
      </c>
      <c r="F117" s="350" t="s">
        <v>9684</v>
      </c>
      <c r="G117" s="690" t="str">
        <f t="shared" si="0"/>
        <v>CSA</v>
      </c>
      <c r="H117" s="690"/>
      <c r="I117" s="690">
        <v>1</v>
      </c>
    </row>
    <row r="118" spans="4:9">
      <c r="D118" s="122">
        <v>40839</v>
      </c>
      <c r="E118" s="124" t="s">
        <v>357</v>
      </c>
      <c r="F118" s="350" t="s">
        <v>9685</v>
      </c>
      <c r="G118" s="690" t="str">
        <f t="shared" si="0"/>
        <v>CSA</v>
      </c>
      <c r="H118" s="690"/>
      <c r="I118" s="690">
        <v>1</v>
      </c>
    </row>
    <row r="119" spans="4:9">
      <c r="D119" s="122">
        <v>40840</v>
      </c>
      <c r="E119" s="124" t="s">
        <v>357</v>
      </c>
      <c r="F119" s="350" t="s">
        <v>9687</v>
      </c>
      <c r="G119" s="690" t="str">
        <f t="shared" si="0"/>
        <v>CSA</v>
      </c>
      <c r="H119" s="690"/>
      <c r="I119" s="690">
        <v>1</v>
      </c>
    </row>
    <row r="120" spans="4:9">
      <c r="D120" s="122">
        <v>40840</v>
      </c>
      <c r="E120" s="124" t="s">
        <v>357</v>
      </c>
      <c r="F120" s="350" t="s">
        <v>9688</v>
      </c>
      <c r="G120" s="690" t="str">
        <f t="shared" si="0"/>
        <v>CSA</v>
      </c>
      <c r="H120" s="690"/>
      <c r="I120" s="690">
        <v>1</v>
      </c>
    </row>
    <row r="121" spans="4:9">
      <c r="D121" s="122">
        <v>40840</v>
      </c>
      <c r="E121" s="124" t="s">
        <v>357</v>
      </c>
      <c r="F121" s="350" t="s">
        <v>9689</v>
      </c>
      <c r="G121" s="690" t="str">
        <f t="shared" si="0"/>
        <v>CSA</v>
      </c>
      <c r="H121" s="690"/>
      <c r="I121" s="690">
        <v>1</v>
      </c>
    </row>
    <row r="122" spans="4:9">
      <c r="D122" s="122">
        <v>40841</v>
      </c>
      <c r="E122" s="124" t="s">
        <v>15</v>
      </c>
      <c r="F122" s="350" t="s">
        <v>9692</v>
      </c>
      <c r="G122" s="690" t="str">
        <f t="shared" si="0"/>
        <v>CSA</v>
      </c>
      <c r="H122" s="690"/>
      <c r="I122" s="690">
        <v>1</v>
      </c>
    </row>
    <row r="123" spans="4:9">
      <c r="D123" s="122">
        <v>40848</v>
      </c>
      <c r="E123" s="124" t="s">
        <v>357</v>
      </c>
      <c r="F123" s="350" t="s">
        <v>9694</v>
      </c>
      <c r="G123" s="690" t="str">
        <f t="shared" si="0"/>
        <v>CSA</v>
      </c>
      <c r="H123" s="690">
        <v>1</v>
      </c>
      <c r="I123" s="690"/>
    </row>
    <row r="124" spans="4:9">
      <c r="D124" s="122">
        <v>40849</v>
      </c>
      <c r="E124" s="124" t="s">
        <v>357</v>
      </c>
      <c r="F124" s="350" t="s">
        <v>9695</v>
      </c>
      <c r="G124" s="690" t="str">
        <f t="shared" si="0"/>
        <v>CSA</v>
      </c>
      <c r="H124" s="690"/>
      <c r="I124" s="690">
        <v>1</v>
      </c>
    </row>
    <row r="125" spans="4:9">
      <c r="D125" s="122">
        <v>40849</v>
      </c>
      <c r="E125" s="124" t="s">
        <v>357</v>
      </c>
      <c r="F125" s="350" t="s">
        <v>9696</v>
      </c>
      <c r="G125" s="690" t="str">
        <f t="shared" si="0"/>
        <v>CSA</v>
      </c>
      <c r="H125" s="690"/>
      <c r="I125" s="690">
        <v>1</v>
      </c>
    </row>
    <row r="126" spans="4:9">
      <c r="D126" s="122">
        <v>40849</v>
      </c>
      <c r="E126" s="124" t="s">
        <v>357</v>
      </c>
      <c r="F126" s="350" t="s">
        <v>9697</v>
      </c>
      <c r="G126" s="690" t="str">
        <f t="shared" si="0"/>
        <v>CSA</v>
      </c>
      <c r="H126" s="690"/>
      <c r="I126" s="690">
        <v>1</v>
      </c>
    </row>
    <row r="127" spans="4:9">
      <c r="D127" s="122">
        <v>40849</v>
      </c>
      <c r="E127" s="124" t="s">
        <v>357</v>
      </c>
      <c r="F127" s="350" t="s">
        <v>9698</v>
      </c>
      <c r="G127" s="690" t="str">
        <f t="shared" si="0"/>
        <v>CSA</v>
      </c>
      <c r="H127" s="690"/>
      <c r="I127" s="690">
        <v>1</v>
      </c>
    </row>
    <row r="128" spans="4:9">
      <c r="D128" s="122">
        <v>40850</v>
      </c>
      <c r="E128" s="124" t="s">
        <v>357</v>
      </c>
      <c r="F128" s="350" t="s">
        <v>9699</v>
      </c>
      <c r="G128" s="690" t="str">
        <f t="shared" si="0"/>
        <v>CSA</v>
      </c>
      <c r="H128" s="690"/>
      <c r="I128" s="690">
        <v>1</v>
      </c>
    </row>
    <row r="129" spans="2:9">
      <c r="D129" s="122">
        <v>40851</v>
      </c>
      <c r="E129" s="124" t="s">
        <v>357</v>
      </c>
      <c r="F129" s="350" t="s">
        <v>9705</v>
      </c>
      <c r="G129" s="690" t="str">
        <f t="shared" si="0"/>
        <v>CSA</v>
      </c>
      <c r="H129" s="690"/>
      <c r="I129" s="690">
        <v>1</v>
      </c>
    </row>
    <row r="130" spans="2:9">
      <c r="D130" s="122">
        <v>40851</v>
      </c>
      <c r="E130" s="124" t="s">
        <v>357</v>
      </c>
      <c r="F130" s="350" t="s">
        <v>9708</v>
      </c>
      <c r="G130" s="690" t="str">
        <f t="shared" si="0"/>
        <v>CSA</v>
      </c>
      <c r="H130" s="690"/>
      <c r="I130" s="690">
        <v>1</v>
      </c>
    </row>
    <row r="131" spans="2:9">
      <c r="D131" s="122">
        <v>40854</v>
      </c>
      <c r="E131" s="124" t="s">
        <v>357</v>
      </c>
      <c r="F131" s="350" t="s">
        <v>9710</v>
      </c>
      <c r="G131" s="690" t="str">
        <f t="shared" si="0"/>
        <v>CSA</v>
      </c>
      <c r="H131" s="690"/>
      <c r="I131" s="690">
        <v>1</v>
      </c>
    </row>
    <row r="132" spans="2:9" ht="25.5">
      <c r="D132" s="122">
        <v>40854</v>
      </c>
      <c r="E132" s="124" t="s">
        <v>357</v>
      </c>
      <c r="F132" s="350" t="s">
        <v>9712</v>
      </c>
      <c r="G132" s="690" t="str">
        <f t="shared" si="0"/>
        <v>CSA</v>
      </c>
      <c r="H132" s="690"/>
      <c r="I132" s="690">
        <v>1</v>
      </c>
    </row>
    <row r="133" spans="2:9">
      <c r="D133" s="122">
        <v>40854</v>
      </c>
      <c r="E133" s="124" t="s">
        <v>357</v>
      </c>
      <c r="F133" s="350" t="s">
        <v>9713</v>
      </c>
      <c r="G133" s="690" t="str">
        <f t="shared" ref="G133:G197" si="1">IF(LEFT(E133,2)="sd","SD",IF(LEFT(E133,2)="ms","IT",IF(LEFT(E133,2)="oc","IT",IF(LEFT(E133,2)="rl","Lorenz","CSA"))))</f>
        <v>CSA</v>
      </c>
      <c r="H133" s="690"/>
      <c r="I133" s="690">
        <v>1</v>
      </c>
    </row>
    <row r="134" spans="2:9">
      <c r="B134" s="122">
        <v>40856</v>
      </c>
      <c r="C134" s="122">
        <v>40856</v>
      </c>
      <c r="D134" s="122">
        <v>40856</v>
      </c>
      <c r="E134" s="124" t="s">
        <v>582</v>
      </c>
      <c r="F134" s="350" t="s">
        <v>9714</v>
      </c>
      <c r="G134" s="690" t="str">
        <f t="shared" si="1"/>
        <v>SD</v>
      </c>
      <c r="H134" s="690"/>
      <c r="I134" s="690">
        <v>1</v>
      </c>
    </row>
    <row r="135" spans="2:9">
      <c r="D135" s="122">
        <v>40861</v>
      </c>
      <c r="E135" s="124" t="s">
        <v>357</v>
      </c>
      <c r="F135" s="350" t="s">
        <v>9728</v>
      </c>
      <c r="G135" s="690" t="str">
        <f t="shared" si="1"/>
        <v>CSA</v>
      </c>
      <c r="H135" s="690">
        <v>1</v>
      </c>
      <c r="I135" s="690"/>
    </row>
    <row r="136" spans="2:9">
      <c r="D136" s="122">
        <v>40861</v>
      </c>
      <c r="E136" s="124" t="s">
        <v>357</v>
      </c>
      <c r="F136" s="350" t="s">
        <v>9729</v>
      </c>
      <c r="G136" s="690" t="str">
        <f t="shared" si="1"/>
        <v>CSA</v>
      </c>
      <c r="H136" s="690"/>
      <c r="I136" s="690">
        <v>1</v>
      </c>
    </row>
    <row r="137" spans="2:9">
      <c r="D137" s="122">
        <v>40861</v>
      </c>
      <c r="E137" s="124" t="s">
        <v>357</v>
      </c>
      <c r="F137" s="350" t="s">
        <v>9730</v>
      </c>
      <c r="G137" s="690" t="str">
        <f t="shared" si="1"/>
        <v>CSA</v>
      </c>
      <c r="H137" s="690"/>
      <c r="I137" s="690">
        <v>1</v>
      </c>
    </row>
    <row r="138" spans="2:9">
      <c r="D138" s="122">
        <v>40861</v>
      </c>
      <c r="E138" s="124" t="s">
        <v>357</v>
      </c>
      <c r="F138" s="350" t="s">
        <v>9731</v>
      </c>
      <c r="G138" s="690" t="str">
        <f t="shared" si="1"/>
        <v>CSA</v>
      </c>
      <c r="H138" s="690"/>
      <c r="I138" s="690">
        <v>1</v>
      </c>
    </row>
    <row r="139" spans="2:9">
      <c r="D139" s="122">
        <v>40867</v>
      </c>
      <c r="E139" s="124" t="s">
        <v>357</v>
      </c>
      <c r="F139" s="350" t="s">
        <v>9736</v>
      </c>
      <c r="G139" s="690" t="str">
        <f t="shared" si="1"/>
        <v>CSA</v>
      </c>
      <c r="H139" s="690"/>
      <c r="I139" s="690">
        <v>1</v>
      </c>
    </row>
    <row r="140" spans="2:9">
      <c r="D140" s="122">
        <v>40837</v>
      </c>
      <c r="E140" s="124" t="s">
        <v>357</v>
      </c>
      <c r="F140" s="350" t="s">
        <v>9738</v>
      </c>
      <c r="G140" s="690" t="str">
        <f t="shared" si="1"/>
        <v>CSA</v>
      </c>
      <c r="H140" s="690"/>
      <c r="I140" s="690">
        <v>1</v>
      </c>
    </row>
    <row r="141" spans="2:9">
      <c r="D141" s="122">
        <v>40837</v>
      </c>
      <c r="E141" s="124" t="s">
        <v>357</v>
      </c>
      <c r="F141" s="350" t="s">
        <v>9739</v>
      </c>
      <c r="G141" s="690" t="str">
        <f t="shared" si="1"/>
        <v>CSA</v>
      </c>
      <c r="H141" s="690"/>
      <c r="I141" s="690">
        <v>1</v>
      </c>
    </row>
    <row r="142" spans="2:9">
      <c r="D142" s="122">
        <v>40837</v>
      </c>
      <c r="E142" s="124" t="s">
        <v>357</v>
      </c>
      <c r="F142" s="350" t="s">
        <v>9740</v>
      </c>
      <c r="G142" s="690" t="str">
        <f t="shared" si="1"/>
        <v>CSA</v>
      </c>
      <c r="H142" s="690"/>
      <c r="I142" s="690">
        <v>1</v>
      </c>
    </row>
    <row r="143" spans="2:9">
      <c r="D143" s="122">
        <v>40838</v>
      </c>
      <c r="E143" s="124" t="s">
        <v>357</v>
      </c>
      <c r="F143" s="350" t="s">
        <v>9741</v>
      </c>
      <c r="G143" s="690" t="str">
        <f t="shared" si="1"/>
        <v>CSA</v>
      </c>
      <c r="H143" s="690"/>
      <c r="I143" s="690">
        <v>1</v>
      </c>
    </row>
    <row r="144" spans="2:9">
      <c r="D144" s="122">
        <v>40838</v>
      </c>
      <c r="E144" s="124" t="s">
        <v>357</v>
      </c>
      <c r="F144" s="350" t="s">
        <v>9742</v>
      </c>
      <c r="G144" s="690" t="str">
        <f t="shared" si="1"/>
        <v>CSA</v>
      </c>
      <c r="H144" s="690"/>
      <c r="I144" s="690">
        <v>1</v>
      </c>
    </row>
    <row r="145" spans="2:9">
      <c r="D145" s="122">
        <v>40875</v>
      </c>
      <c r="E145" s="124" t="s">
        <v>357</v>
      </c>
      <c r="F145" s="350" t="s">
        <v>9743</v>
      </c>
      <c r="G145" s="690" t="str">
        <f t="shared" si="1"/>
        <v>CSA</v>
      </c>
      <c r="H145" s="690"/>
      <c r="I145" s="690">
        <v>1</v>
      </c>
    </row>
    <row r="146" spans="2:9" ht="76.5">
      <c r="B146" s="122">
        <v>40875</v>
      </c>
      <c r="D146" s="122">
        <v>40875</v>
      </c>
      <c r="E146" s="124" t="s">
        <v>582</v>
      </c>
      <c r="F146" s="350" t="s">
        <v>9744</v>
      </c>
      <c r="G146" s="690" t="str">
        <f t="shared" si="1"/>
        <v>SD</v>
      </c>
      <c r="H146" s="690">
        <v>3</v>
      </c>
      <c r="I146" s="690"/>
    </row>
    <row r="147" spans="2:9">
      <c r="D147" s="122">
        <v>40876</v>
      </c>
      <c r="E147" s="124" t="s">
        <v>15</v>
      </c>
      <c r="F147" s="350" t="s">
        <v>9747</v>
      </c>
      <c r="G147" s="690" t="str">
        <f t="shared" si="1"/>
        <v>CSA</v>
      </c>
      <c r="H147" s="690"/>
      <c r="I147" s="690">
        <v>1</v>
      </c>
    </row>
    <row r="148" spans="2:9">
      <c r="D148" s="122">
        <v>40876</v>
      </c>
      <c r="E148" s="124" t="s">
        <v>357</v>
      </c>
      <c r="F148" s="350" t="s">
        <v>9748</v>
      </c>
      <c r="G148" s="690" t="str">
        <f t="shared" si="1"/>
        <v>CSA</v>
      </c>
      <c r="H148" s="690"/>
      <c r="I148" s="690">
        <v>1</v>
      </c>
    </row>
    <row r="149" spans="2:9">
      <c r="D149" s="122">
        <v>40876</v>
      </c>
      <c r="E149" s="124" t="s">
        <v>357</v>
      </c>
      <c r="F149" s="350" t="s">
        <v>9749</v>
      </c>
      <c r="G149" s="690" t="str">
        <f t="shared" si="1"/>
        <v>CSA</v>
      </c>
      <c r="H149" s="690"/>
      <c r="I149" s="690">
        <v>1</v>
      </c>
    </row>
    <row r="150" spans="2:9">
      <c r="D150" s="122">
        <v>40876</v>
      </c>
      <c r="E150" s="124" t="s">
        <v>357</v>
      </c>
      <c r="F150" s="350" t="s">
        <v>9750</v>
      </c>
      <c r="G150" s="690" t="str">
        <f t="shared" si="1"/>
        <v>CSA</v>
      </c>
      <c r="H150" s="690"/>
      <c r="I150" s="690">
        <v>1</v>
      </c>
    </row>
    <row r="151" spans="2:9">
      <c r="D151" s="122">
        <v>40876</v>
      </c>
      <c r="E151" s="124" t="s">
        <v>357</v>
      </c>
      <c r="F151" s="350" t="s">
        <v>9751</v>
      </c>
      <c r="G151" s="690" t="str">
        <f t="shared" si="1"/>
        <v>CSA</v>
      </c>
      <c r="H151" s="690"/>
      <c r="I151" s="690">
        <v>1</v>
      </c>
    </row>
    <row r="152" spans="2:9">
      <c r="D152" s="122">
        <v>40876</v>
      </c>
      <c r="E152" s="124" t="s">
        <v>357</v>
      </c>
      <c r="F152" s="350" t="s">
        <v>9752</v>
      </c>
      <c r="G152" s="690" t="str">
        <f t="shared" si="1"/>
        <v>CSA</v>
      </c>
      <c r="H152" s="690"/>
      <c r="I152" s="690">
        <v>1</v>
      </c>
    </row>
    <row r="153" spans="2:9">
      <c r="D153" s="122">
        <v>40877</v>
      </c>
      <c r="E153" s="124" t="s">
        <v>357</v>
      </c>
      <c r="F153" s="350" t="s">
        <v>9753</v>
      </c>
      <c r="G153" s="690" t="str">
        <f t="shared" si="1"/>
        <v>CSA</v>
      </c>
      <c r="H153" s="690">
        <v>1</v>
      </c>
      <c r="I153" s="690"/>
    </row>
    <row r="154" spans="2:9" ht="89.25">
      <c r="B154" s="122">
        <v>40878</v>
      </c>
      <c r="D154" s="122">
        <v>40878</v>
      </c>
      <c r="E154" s="124" t="s">
        <v>582</v>
      </c>
      <c r="F154" s="350" t="s">
        <v>9754</v>
      </c>
      <c r="G154" s="690" t="str">
        <f t="shared" si="1"/>
        <v>SD</v>
      </c>
      <c r="H154" s="690">
        <v>3</v>
      </c>
      <c r="I154" s="690"/>
    </row>
    <row r="155" spans="2:9">
      <c r="D155" s="122">
        <v>40879</v>
      </c>
      <c r="E155" s="124" t="s">
        <v>357</v>
      </c>
      <c r="F155" s="350" t="s">
        <v>9785</v>
      </c>
      <c r="G155" s="690" t="str">
        <f t="shared" si="1"/>
        <v>CSA</v>
      </c>
      <c r="H155" s="690"/>
      <c r="I155" s="690">
        <v>1</v>
      </c>
    </row>
    <row r="156" spans="2:9">
      <c r="D156" s="122">
        <v>40881</v>
      </c>
      <c r="E156" s="124" t="s">
        <v>357</v>
      </c>
      <c r="F156" s="350" t="s">
        <v>9786</v>
      </c>
      <c r="G156" s="690" t="str">
        <f t="shared" si="1"/>
        <v>CSA</v>
      </c>
      <c r="H156" s="690"/>
      <c r="I156" s="690">
        <v>1</v>
      </c>
    </row>
    <row r="157" spans="2:9">
      <c r="D157" s="122">
        <v>40882</v>
      </c>
      <c r="E157" s="124" t="s">
        <v>357</v>
      </c>
      <c r="F157" s="350" t="s">
        <v>9787</v>
      </c>
      <c r="G157" s="690" t="str">
        <f t="shared" si="1"/>
        <v>CSA</v>
      </c>
      <c r="H157" s="690"/>
      <c r="I157" s="690">
        <v>1</v>
      </c>
    </row>
    <row r="158" spans="2:9">
      <c r="D158" s="122">
        <v>40885</v>
      </c>
      <c r="E158" s="124" t="s">
        <v>357</v>
      </c>
      <c r="F158" s="350" t="s">
        <v>9806</v>
      </c>
      <c r="G158" s="690" t="str">
        <f t="shared" si="1"/>
        <v>CSA</v>
      </c>
      <c r="H158" s="690"/>
      <c r="I158" s="690">
        <v>1</v>
      </c>
    </row>
    <row r="159" spans="2:9">
      <c r="D159" s="122">
        <v>40885</v>
      </c>
      <c r="E159" s="124" t="s">
        <v>357</v>
      </c>
      <c r="F159" s="350" t="s">
        <v>9807</v>
      </c>
      <c r="G159" s="690" t="str">
        <f t="shared" si="1"/>
        <v>CSA</v>
      </c>
      <c r="H159" s="690"/>
      <c r="I159" s="690">
        <v>1</v>
      </c>
    </row>
    <row r="160" spans="2:9">
      <c r="D160" s="122">
        <v>40888</v>
      </c>
      <c r="E160" s="124" t="s">
        <v>357</v>
      </c>
      <c r="F160" s="350" t="s">
        <v>9808</v>
      </c>
      <c r="G160" s="690" t="str">
        <f t="shared" si="1"/>
        <v>CSA</v>
      </c>
      <c r="H160" s="690"/>
      <c r="I160" s="690">
        <v>1</v>
      </c>
    </row>
    <row r="161" spans="2:14">
      <c r="D161" s="122">
        <v>40889</v>
      </c>
      <c r="E161" s="124" t="s">
        <v>357</v>
      </c>
      <c r="F161" s="350" t="s">
        <v>9810</v>
      </c>
      <c r="G161" s="690" t="str">
        <f t="shared" si="1"/>
        <v>CSA</v>
      </c>
      <c r="H161" s="690">
        <v>1</v>
      </c>
      <c r="I161" s="690"/>
    </row>
    <row r="162" spans="2:14">
      <c r="D162" s="122">
        <v>40892</v>
      </c>
      <c r="E162" s="124" t="s">
        <v>357</v>
      </c>
      <c r="F162" s="350" t="s">
        <v>9813</v>
      </c>
      <c r="G162" s="690" t="str">
        <f t="shared" si="1"/>
        <v>CSA</v>
      </c>
      <c r="H162" s="690">
        <v>1</v>
      </c>
      <c r="I162" s="690"/>
    </row>
    <row r="163" spans="2:14">
      <c r="D163" s="122">
        <v>40892</v>
      </c>
      <c r="E163" s="124" t="s">
        <v>357</v>
      </c>
      <c r="F163" s="350" t="s">
        <v>9814</v>
      </c>
      <c r="G163" s="690" t="str">
        <f t="shared" si="1"/>
        <v>CSA</v>
      </c>
      <c r="H163" s="690"/>
      <c r="I163" s="690">
        <v>1</v>
      </c>
    </row>
    <row r="164" spans="2:14">
      <c r="D164" s="122">
        <v>40892</v>
      </c>
      <c r="E164" s="124" t="s">
        <v>357</v>
      </c>
      <c r="F164" s="350" t="s">
        <v>9816</v>
      </c>
      <c r="G164" s="690" t="str">
        <f t="shared" si="1"/>
        <v>CSA</v>
      </c>
      <c r="H164" s="690"/>
      <c r="I164" s="690">
        <v>1</v>
      </c>
    </row>
    <row r="165" spans="2:14">
      <c r="D165" s="122">
        <v>40892</v>
      </c>
      <c r="E165" s="124" t="s">
        <v>357</v>
      </c>
      <c r="F165" s="350" t="s">
        <v>9817</v>
      </c>
      <c r="G165" s="690" t="str">
        <f t="shared" si="1"/>
        <v>CSA</v>
      </c>
      <c r="H165" s="690"/>
      <c r="I165" s="690">
        <v>1</v>
      </c>
    </row>
    <row r="166" spans="2:14">
      <c r="D166" s="122">
        <v>40897</v>
      </c>
      <c r="E166" s="124" t="s">
        <v>357</v>
      </c>
      <c r="F166" s="350" t="s">
        <v>9821</v>
      </c>
      <c r="G166" s="690" t="str">
        <f t="shared" si="1"/>
        <v>CSA</v>
      </c>
      <c r="H166" s="690"/>
      <c r="I166" s="690">
        <v>1</v>
      </c>
    </row>
    <row r="167" spans="2:14" ht="13.5" thickBot="1">
      <c r="B167" s="963"/>
      <c r="C167" s="963"/>
      <c r="D167" s="964">
        <v>40897</v>
      </c>
      <c r="E167" s="965" t="s">
        <v>15</v>
      </c>
      <c r="F167" s="966" t="s">
        <v>9826</v>
      </c>
      <c r="G167" s="967" t="str">
        <f t="shared" si="1"/>
        <v>CSA</v>
      </c>
      <c r="H167" s="967"/>
      <c r="I167" s="967">
        <v>1</v>
      </c>
      <c r="J167" s="967">
        <v>2012</v>
      </c>
      <c r="K167" s="967"/>
      <c r="L167" s="967"/>
      <c r="M167" s="967"/>
      <c r="N167" s="967"/>
    </row>
    <row r="168" spans="2:14">
      <c r="D168" s="122">
        <v>40909</v>
      </c>
      <c r="E168" s="124" t="s">
        <v>357</v>
      </c>
      <c r="F168" s="350" t="s">
        <v>9830</v>
      </c>
      <c r="G168" s="690" t="str">
        <f t="shared" si="1"/>
        <v>CSA</v>
      </c>
      <c r="I168">
        <v>1</v>
      </c>
      <c r="J168" s="690"/>
      <c r="K168" s="690" t="s">
        <v>8061</v>
      </c>
      <c r="L168" s="690">
        <f ca="1">SUMIF(Effort2011,$K168,Enhance2011)</f>
        <v>14</v>
      </c>
      <c r="M168" s="690">
        <f ca="1">SUMIF(Effort2011,$K168,Adjust2011)</f>
        <v>79</v>
      </c>
    </row>
    <row r="169" spans="2:14">
      <c r="D169" s="122">
        <v>40919</v>
      </c>
      <c r="E169" s="124" t="s">
        <v>357</v>
      </c>
      <c r="F169" s="350" t="s">
        <v>9831</v>
      </c>
      <c r="G169" s="690" t="str">
        <f t="shared" si="1"/>
        <v>CSA</v>
      </c>
      <c r="H169">
        <v>1</v>
      </c>
      <c r="J169" s="690"/>
      <c r="K169" s="690" t="s">
        <v>556</v>
      </c>
      <c r="L169" s="690">
        <f ca="1">SUMIF(Effort2011,$K169,Enhance2011)</f>
        <v>6</v>
      </c>
      <c r="M169" s="690">
        <f ca="1">SUMIF(Effort2011,$K169,Adjust2011)</f>
        <v>3</v>
      </c>
    </row>
    <row r="170" spans="2:14">
      <c r="D170" s="122">
        <v>41229</v>
      </c>
      <c r="E170" s="124" t="s">
        <v>357</v>
      </c>
      <c r="F170" s="350" t="s">
        <v>9832</v>
      </c>
      <c r="G170" s="690" t="str">
        <f t="shared" si="1"/>
        <v>CSA</v>
      </c>
      <c r="I170">
        <v>1</v>
      </c>
      <c r="J170" s="690"/>
      <c r="K170" s="690" t="s">
        <v>9843</v>
      </c>
      <c r="L170" s="690">
        <f ca="1">SUMIF(Effort2011,$K170,Enhance2011)</f>
        <v>1</v>
      </c>
      <c r="M170" s="690">
        <f ca="1">SUMIF(Effort2011,$K170,Adjust2011)</f>
        <v>0</v>
      </c>
    </row>
    <row r="171" spans="2:14">
      <c r="D171" s="122">
        <v>41229</v>
      </c>
      <c r="E171" s="124" t="s">
        <v>357</v>
      </c>
      <c r="F171" s="350" t="s">
        <v>9833</v>
      </c>
      <c r="G171" s="690" t="str">
        <f t="shared" si="1"/>
        <v>CSA</v>
      </c>
      <c r="I171">
        <v>1</v>
      </c>
      <c r="J171" s="690"/>
      <c r="K171" s="690"/>
      <c r="L171" s="690">
        <f ca="1">SUM(L168:L170)</f>
        <v>21</v>
      </c>
      <c r="M171" s="690">
        <f ca="1">SUM(M168:M170)</f>
        <v>82</v>
      </c>
    </row>
    <row r="172" spans="2:14">
      <c r="D172" s="122">
        <v>40926</v>
      </c>
      <c r="E172" s="124" t="s">
        <v>357</v>
      </c>
      <c r="F172" s="350" t="s">
        <v>9834</v>
      </c>
      <c r="G172" s="690" t="str">
        <f t="shared" si="1"/>
        <v>CSA</v>
      </c>
      <c r="I172">
        <v>1</v>
      </c>
    </row>
    <row r="173" spans="2:14">
      <c r="D173" s="122">
        <v>40927</v>
      </c>
      <c r="E173" s="124" t="s">
        <v>582</v>
      </c>
      <c r="F173" s="350" t="s">
        <v>9835</v>
      </c>
      <c r="G173" s="690" t="str">
        <f t="shared" si="1"/>
        <v>SD</v>
      </c>
      <c r="I173">
        <v>1</v>
      </c>
    </row>
    <row r="174" spans="2:14" ht="63.75">
      <c r="D174" s="122">
        <v>40927</v>
      </c>
      <c r="E174" s="124" t="s">
        <v>582</v>
      </c>
      <c r="F174" s="350" t="s">
        <v>9836</v>
      </c>
      <c r="G174" s="690" t="str">
        <f t="shared" si="1"/>
        <v>SD</v>
      </c>
      <c r="I174">
        <v>1</v>
      </c>
    </row>
    <row r="175" spans="2:14">
      <c r="D175" s="122">
        <v>40932</v>
      </c>
      <c r="E175" s="124" t="s">
        <v>357</v>
      </c>
      <c r="F175" s="350" t="s">
        <v>9838</v>
      </c>
      <c r="G175" s="690" t="str">
        <f t="shared" si="1"/>
        <v>CSA</v>
      </c>
      <c r="I175">
        <v>1</v>
      </c>
    </row>
    <row r="176" spans="2:14">
      <c r="D176" s="122">
        <v>40932</v>
      </c>
      <c r="E176" s="124" t="s">
        <v>357</v>
      </c>
      <c r="F176" s="350" t="s">
        <v>9839</v>
      </c>
      <c r="G176" s="690" t="str">
        <f t="shared" si="1"/>
        <v>CSA</v>
      </c>
      <c r="I176">
        <v>1</v>
      </c>
    </row>
    <row r="177" spans="2:9">
      <c r="D177" s="122">
        <v>40932</v>
      </c>
      <c r="E177" s="124" t="s">
        <v>582</v>
      </c>
      <c r="F177" s="350" t="s">
        <v>9844</v>
      </c>
      <c r="G177" t="str">
        <f t="shared" si="1"/>
        <v>SD</v>
      </c>
      <c r="I177">
        <v>1</v>
      </c>
    </row>
    <row r="178" spans="2:9">
      <c r="D178" s="122">
        <v>40939</v>
      </c>
      <c r="E178" s="124" t="s">
        <v>357</v>
      </c>
      <c r="F178" s="350" t="s">
        <v>9845</v>
      </c>
      <c r="G178" t="str">
        <f t="shared" si="1"/>
        <v>CSA</v>
      </c>
      <c r="I178">
        <v>1</v>
      </c>
    </row>
    <row r="179" spans="2:9">
      <c r="D179" s="122">
        <v>40939</v>
      </c>
      <c r="E179" s="124" t="s">
        <v>210</v>
      </c>
      <c r="F179" s="350" t="s">
        <v>9846</v>
      </c>
      <c r="G179" t="str">
        <f t="shared" si="1"/>
        <v>Lorenz</v>
      </c>
      <c r="H179">
        <v>1</v>
      </c>
    </row>
    <row r="180" spans="2:9">
      <c r="D180" s="122">
        <v>40939</v>
      </c>
      <c r="E180" s="124" t="s">
        <v>582</v>
      </c>
      <c r="F180" s="350" t="s">
        <v>9847</v>
      </c>
      <c r="G180" s="690" t="str">
        <f t="shared" si="1"/>
        <v>SD</v>
      </c>
      <c r="I180">
        <v>1</v>
      </c>
    </row>
    <row r="181" spans="2:9">
      <c r="D181" s="122">
        <v>40941</v>
      </c>
      <c r="E181" s="124" t="s">
        <v>357</v>
      </c>
      <c r="F181" s="350" t="s">
        <v>9848</v>
      </c>
      <c r="G181" s="690" t="str">
        <f t="shared" si="1"/>
        <v>CSA</v>
      </c>
      <c r="I181">
        <v>1</v>
      </c>
    </row>
    <row r="182" spans="2:9">
      <c r="D182" s="122">
        <v>40947</v>
      </c>
      <c r="E182" s="124" t="s">
        <v>357</v>
      </c>
      <c r="F182" s="350" t="s">
        <v>9849</v>
      </c>
      <c r="G182" s="690" t="str">
        <f t="shared" si="1"/>
        <v>CSA</v>
      </c>
      <c r="I182" s="690">
        <v>1</v>
      </c>
    </row>
    <row r="183" spans="2:9">
      <c r="D183" s="122">
        <v>40947</v>
      </c>
      <c r="E183" s="124" t="s">
        <v>357</v>
      </c>
      <c r="F183" s="350" t="s">
        <v>9850</v>
      </c>
      <c r="G183" s="690" t="str">
        <f t="shared" si="1"/>
        <v>CSA</v>
      </c>
      <c r="H183" s="690"/>
      <c r="I183" s="690">
        <v>1</v>
      </c>
    </row>
    <row r="184" spans="2:9">
      <c r="D184" s="122">
        <v>40948</v>
      </c>
      <c r="E184" s="124" t="s">
        <v>357</v>
      </c>
      <c r="F184" s="350" t="s">
        <v>9851</v>
      </c>
      <c r="G184" s="690" t="str">
        <f t="shared" si="1"/>
        <v>CSA</v>
      </c>
      <c r="I184">
        <v>1</v>
      </c>
    </row>
    <row r="185" spans="2:9">
      <c r="D185" s="122">
        <v>40948</v>
      </c>
      <c r="E185" s="124" t="s">
        <v>357</v>
      </c>
      <c r="F185" s="350" t="s">
        <v>9852</v>
      </c>
      <c r="G185" s="690" t="str">
        <f t="shared" si="1"/>
        <v>CSA</v>
      </c>
      <c r="H185">
        <v>1</v>
      </c>
    </row>
    <row r="186" spans="2:9">
      <c r="D186" s="122">
        <v>40962</v>
      </c>
      <c r="E186" s="124" t="s">
        <v>15</v>
      </c>
      <c r="F186" s="350" t="s">
        <v>9883</v>
      </c>
      <c r="G186" s="690" t="str">
        <f t="shared" si="1"/>
        <v>CSA</v>
      </c>
      <c r="I186">
        <v>1</v>
      </c>
    </row>
    <row r="187" spans="2:9">
      <c r="D187" s="122">
        <v>40965</v>
      </c>
      <c r="E187" s="124" t="s">
        <v>357</v>
      </c>
      <c r="F187" s="350" t="s">
        <v>9888</v>
      </c>
      <c r="G187" s="690" t="str">
        <f t="shared" si="1"/>
        <v>CSA</v>
      </c>
      <c r="I187" s="690">
        <v>1</v>
      </c>
    </row>
    <row r="188" spans="2:9">
      <c r="D188" s="122">
        <v>40968</v>
      </c>
      <c r="E188" s="124" t="s">
        <v>621</v>
      </c>
      <c r="F188" s="350" t="s">
        <v>9889</v>
      </c>
      <c r="G188" s="690" t="str">
        <f t="shared" si="1"/>
        <v>IT</v>
      </c>
      <c r="H188">
        <v>1</v>
      </c>
    </row>
    <row r="189" spans="2:9">
      <c r="B189" s="122">
        <v>40983</v>
      </c>
      <c r="D189" s="122">
        <v>40968</v>
      </c>
      <c r="E189" s="124" t="s">
        <v>15</v>
      </c>
      <c r="F189" s="350" t="s">
        <v>9919</v>
      </c>
      <c r="G189" s="690" t="str">
        <f t="shared" si="1"/>
        <v>CSA</v>
      </c>
      <c r="H189">
        <v>1</v>
      </c>
    </row>
    <row r="190" spans="2:9">
      <c r="D190" s="122">
        <v>40970</v>
      </c>
      <c r="E190" s="111" t="s">
        <v>15</v>
      </c>
      <c r="F190" s="1055" t="s">
        <v>9915</v>
      </c>
      <c r="G190" s="690" t="str">
        <f t="shared" si="1"/>
        <v>CSA</v>
      </c>
      <c r="H190">
        <v>1</v>
      </c>
    </row>
    <row r="191" spans="2:9">
      <c r="D191" s="122">
        <v>40970</v>
      </c>
      <c r="E191" s="111" t="s">
        <v>15</v>
      </c>
      <c r="F191" s="1055" t="s">
        <v>9916</v>
      </c>
      <c r="G191" s="690" t="str">
        <f t="shared" si="1"/>
        <v>CSA</v>
      </c>
      <c r="I191">
        <v>1</v>
      </c>
    </row>
    <row r="192" spans="2:9">
      <c r="D192" s="122">
        <v>40970</v>
      </c>
      <c r="E192" s="111" t="s">
        <v>15</v>
      </c>
      <c r="F192" s="1055" t="s">
        <v>9917</v>
      </c>
      <c r="G192" s="690" t="str">
        <f t="shared" si="1"/>
        <v>CSA</v>
      </c>
      <c r="H192">
        <v>1</v>
      </c>
    </row>
    <row r="193" spans="2:9" ht="25.5">
      <c r="D193" s="122">
        <v>40971</v>
      </c>
      <c r="E193" s="111" t="s">
        <v>15</v>
      </c>
      <c r="F193" s="1055" t="s">
        <v>9918</v>
      </c>
      <c r="G193" s="690" t="str">
        <f t="shared" si="1"/>
        <v>CSA</v>
      </c>
      <c r="I193">
        <v>1</v>
      </c>
    </row>
    <row r="194" spans="2:9">
      <c r="D194" s="122">
        <v>41007</v>
      </c>
      <c r="E194" s="124" t="s">
        <v>357</v>
      </c>
      <c r="F194" s="1056" t="s">
        <v>9921</v>
      </c>
      <c r="G194" s="690" t="str">
        <f t="shared" si="1"/>
        <v>CSA</v>
      </c>
      <c r="I194">
        <v>1</v>
      </c>
    </row>
    <row r="195" spans="2:9">
      <c r="B195" s="122">
        <v>41009</v>
      </c>
      <c r="D195" s="122">
        <v>41009</v>
      </c>
      <c r="E195" s="124" t="s">
        <v>210</v>
      </c>
      <c r="F195" s="1056" t="s">
        <v>9923</v>
      </c>
      <c r="G195" s="690" t="str">
        <f t="shared" si="1"/>
        <v>Lorenz</v>
      </c>
      <c r="I195">
        <v>1</v>
      </c>
    </row>
    <row r="196" spans="2:9">
      <c r="D196" s="122">
        <v>41012</v>
      </c>
      <c r="E196" s="111" t="s">
        <v>15</v>
      </c>
      <c r="F196" s="1056" t="s">
        <v>9924</v>
      </c>
      <c r="G196" s="690" t="str">
        <f t="shared" si="1"/>
        <v>CSA</v>
      </c>
      <c r="H196">
        <v>1</v>
      </c>
    </row>
    <row r="197" spans="2:9">
      <c r="B197" s="122">
        <v>41014</v>
      </c>
      <c r="C197" s="122">
        <v>41014</v>
      </c>
      <c r="D197" s="122">
        <v>41014</v>
      </c>
      <c r="E197" s="124" t="s">
        <v>582</v>
      </c>
      <c r="F197" s="1056" t="s">
        <v>9925</v>
      </c>
      <c r="G197" s="690" t="str">
        <f t="shared" si="1"/>
        <v>SD</v>
      </c>
      <c r="I197">
        <v>1</v>
      </c>
    </row>
    <row r="198" spans="2:9">
      <c r="D198" s="122">
        <v>41017</v>
      </c>
      <c r="E198" s="111" t="s">
        <v>15</v>
      </c>
      <c r="F198" s="1056" t="s">
        <v>9926</v>
      </c>
      <c r="G198" s="690" t="str">
        <f t="shared" ref="G198:G236" si="2">IF(LEFT(E198,2)="sd","SD",IF(LEFT(E198,2)="ms","IT",IF(LEFT(E198,2)="oc","IT",IF(LEFT(E198,2)="rl","Lorenz","CSA"))))</f>
        <v>CSA</v>
      </c>
      <c r="I198">
        <v>1</v>
      </c>
    </row>
    <row r="199" spans="2:9">
      <c r="D199" s="122">
        <v>41017</v>
      </c>
      <c r="E199" s="111" t="s">
        <v>15</v>
      </c>
      <c r="F199" s="1056" t="s">
        <v>9928</v>
      </c>
      <c r="G199" s="690" t="str">
        <f t="shared" si="2"/>
        <v>CSA</v>
      </c>
      <c r="H199" s="690"/>
      <c r="I199" s="690">
        <v>1</v>
      </c>
    </row>
    <row r="200" spans="2:9">
      <c r="D200" s="122">
        <v>41018</v>
      </c>
      <c r="E200" s="124" t="s">
        <v>357</v>
      </c>
      <c r="F200" s="1056" t="s">
        <v>9930</v>
      </c>
      <c r="G200" s="690" t="str">
        <f t="shared" si="2"/>
        <v>CSA</v>
      </c>
      <c r="I200">
        <v>1</v>
      </c>
    </row>
    <row r="201" spans="2:9">
      <c r="D201" s="122">
        <v>41019</v>
      </c>
      <c r="E201" s="124" t="s">
        <v>357</v>
      </c>
      <c r="F201" s="1056" t="s">
        <v>9931</v>
      </c>
      <c r="G201" s="690" t="str">
        <f t="shared" si="2"/>
        <v>CSA</v>
      </c>
      <c r="H201">
        <v>1</v>
      </c>
    </row>
    <row r="202" spans="2:9">
      <c r="D202" s="122">
        <v>41022</v>
      </c>
      <c r="E202" s="124" t="s">
        <v>357</v>
      </c>
      <c r="F202" s="1056" t="s">
        <v>9935</v>
      </c>
      <c r="G202" s="690" t="str">
        <f t="shared" si="2"/>
        <v>CSA</v>
      </c>
      <c r="I202">
        <v>1</v>
      </c>
    </row>
    <row r="203" spans="2:9">
      <c r="B203" s="122">
        <v>41025</v>
      </c>
      <c r="D203" s="122">
        <v>41025</v>
      </c>
      <c r="E203" s="124" t="s">
        <v>9936</v>
      </c>
      <c r="F203" s="1056" t="s">
        <v>9937</v>
      </c>
      <c r="G203" s="690" t="str">
        <f t="shared" si="2"/>
        <v>CSA</v>
      </c>
      <c r="H203" s="690"/>
      <c r="I203" s="690">
        <v>1</v>
      </c>
    </row>
    <row r="204" spans="2:9">
      <c r="D204" s="122">
        <v>41029</v>
      </c>
      <c r="E204" s="124" t="s">
        <v>357</v>
      </c>
      <c r="F204" s="1056" t="s">
        <v>9938</v>
      </c>
      <c r="G204" s="690" t="str">
        <f t="shared" si="2"/>
        <v>CSA</v>
      </c>
      <c r="I204">
        <v>1</v>
      </c>
    </row>
    <row r="205" spans="2:9">
      <c r="D205" s="122">
        <v>41038</v>
      </c>
      <c r="E205" s="124" t="s">
        <v>357</v>
      </c>
      <c r="F205" s="1056" t="s">
        <v>9939</v>
      </c>
      <c r="G205" s="690" t="str">
        <f t="shared" si="2"/>
        <v>CSA</v>
      </c>
      <c r="I205">
        <v>1</v>
      </c>
    </row>
    <row r="206" spans="2:9">
      <c r="D206" s="122">
        <v>41038</v>
      </c>
      <c r="E206" s="124" t="s">
        <v>357</v>
      </c>
      <c r="F206" s="1056" t="s">
        <v>9940</v>
      </c>
      <c r="G206" s="690" t="str">
        <f t="shared" si="2"/>
        <v>CSA</v>
      </c>
      <c r="I206">
        <v>1</v>
      </c>
    </row>
    <row r="207" spans="2:9">
      <c r="D207" s="122">
        <v>41039</v>
      </c>
      <c r="E207" s="124" t="s">
        <v>357</v>
      </c>
      <c r="F207" s="1056" t="s">
        <v>9941</v>
      </c>
      <c r="G207" s="690" t="str">
        <f t="shared" si="2"/>
        <v>CSA</v>
      </c>
      <c r="I207" s="690">
        <v>1</v>
      </c>
    </row>
    <row r="208" spans="2:9">
      <c r="D208" s="122">
        <v>41040</v>
      </c>
      <c r="E208" s="124" t="s">
        <v>9956</v>
      </c>
      <c r="F208" s="1056" t="s">
        <v>9955</v>
      </c>
      <c r="G208" s="690" t="str">
        <f t="shared" si="2"/>
        <v>CSA</v>
      </c>
      <c r="H208">
        <v>1</v>
      </c>
    </row>
    <row r="209" spans="2:9">
      <c r="D209" s="122">
        <v>41040</v>
      </c>
      <c r="E209" s="124" t="s">
        <v>9956</v>
      </c>
      <c r="F209" s="1056" t="s">
        <v>9957</v>
      </c>
      <c r="G209" s="690" t="str">
        <f t="shared" si="2"/>
        <v>CSA</v>
      </c>
      <c r="H209">
        <v>1</v>
      </c>
    </row>
    <row r="210" spans="2:9">
      <c r="D210" s="122">
        <v>41040</v>
      </c>
      <c r="E210" s="124" t="s">
        <v>9956</v>
      </c>
      <c r="F210" s="1056" t="s">
        <v>9958</v>
      </c>
      <c r="G210" s="690" t="str">
        <f t="shared" si="2"/>
        <v>CSA</v>
      </c>
      <c r="H210">
        <v>1</v>
      </c>
    </row>
    <row r="211" spans="2:9">
      <c r="B211" s="122">
        <v>41051</v>
      </c>
      <c r="D211" s="122">
        <v>41050</v>
      </c>
      <c r="E211" s="124" t="s">
        <v>210</v>
      </c>
      <c r="F211" s="1056" t="s">
        <v>9959</v>
      </c>
      <c r="G211" s="690" t="str">
        <f t="shared" si="2"/>
        <v>Lorenz</v>
      </c>
      <c r="I211">
        <v>1</v>
      </c>
    </row>
    <row r="212" spans="2:9">
      <c r="D212" s="122">
        <v>41058</v>
      </c>
      <c r="E212" s="124" t="s">
        <v>357</v>
      </c>
      <c r="F212" s="1056" t="s">
        <v>9961</v>
      </c>
      <c r="G212" t="str">
        <f t="shared" si="2"/>
        <v>CSA</v>
      </c>
      <c r="H212">
        <v>1</v>
      </c>
    </row>
    <row r="213" spans="2:9">
      <c r="D213" s="122">
        <v>41059</v>
      </c>
      <c r="E213" s="124" t="s">
        <v>357</v>
      </c>
      <c r="F213" s="1056" t="s">
        <v>9962</v>
      </c>
      <c r="G213" s="690" t="str">
        <f t="shared" si="2"/>
        <v>CSA</v>
      </c>
      <c r="H213" s="690">
        <v>1</v>
      </c>
    </row>
    <row r="214" spans="2:9" ht="25.5">
      <c r="D214" s="122">
        <v>41066</v>
      </c>
      <c r="E214" s="124" t="s">
        <v>357</v>
      </c>
      <c r="F214" s="1056" t="s">
        <v>9963</v>
      </c>
      <c r="G214" s="690" t="str">
        <f t="shared" si="2"/>
        <v>CSA</v>
      </c>
      <c r="I214">
        <v>1</v>
      </c>
    </row>
    <row r="215" spans="2:9">
      <c r="B215" s="122">
        <v>41071</v>
      </c>
      <c r="D215" s="122">
        <v>41066</v>
      </c>
      <c r="E215" s="124" t="s">
        <v>357</v>
      </c>
      <c r="F215" s="1056" t="s">
        <v>9964</v>
      </c>
      <c r="G215" s="690" t="str">
        <f t="shared" si="2"/>
        <v>CSA</v>
      </c>
      <c r="I215" s="690">
        <v>1</v>
      </c>
    </row>
    <row r="216" spans="2:9">
      <c r="B216" s="122">
        <v>41072</v>
      </c>
      <c r="C216" s="122">
        <v>41072</v>
      </c>
      <c r="D216" s="122">
        <v>41072</v>
      </c>
      <c r="E216" s="124" t="s">
        <v>210</v>
      </c>
      <c r="F216" s="1056" t="s">
        <v>9965</v>
      </c>
      <c r="G216" t="str">
        <f t="shared" si="2"/>
        <v>Lorenz</v>
      </c>
      <c r="I216">
        <v>2</v>
      </c>
    </row>
    <row r="217" spans="2:9">
      <c r="D217" s="122">
        <v>41072</v>
      </c>
      <c r="E217" s="124" t="s">
        <v>15</v>
      </c>
      <c r="F217" s="1056" t="s">
        <v>9966</v>
      </c>
      <c r="G217" t="str">
        <f t="shared" si="2"/>
        <v>CSA</v>
      </c>
      <c r="H217">
        <v>1</v>
      </c>
    </row>
    <row r="218" spans="2:9">
      <c r="D218" s="122">
        <v>41079</v>
      </c>
      <c r="E218" s="124" t="s">
        <v>357</v>
      </c>
      <c r="F218" s="1056" t="s">
        <v>10003</v>
      </c>
      <c r="G218" t="str">
        <f t="shared" si="2"/>
        <v>CSA</v>
      </c>
      <c r="H218">
        <v>1</v>
      </c>
    </row>
    <row r="219" spans="2:9">
      <c r="D219" s="122">
        <v>41080</v>
      </c>
      <c r="E219" s="124" t="s">
        <v>357</v>
      </c>
      <c r="F219" s="1056" t="s">
        <v>10004</v>
      </c>
      <c r="G219" s="690" t="str">
        <f t="shared" si="2"/>
        <v>CSA</v>
      </c>
      <c r="H219" s="690">
        <v>1</v>
      </c>
    </row>
    <row r="220" spans="2:9">
      <c r="D220" s="122">
        <v>41088</v>
      </c>
      <c r="E220" s="124" t="s">
        <v>357</v>
      </c>
      <c r="F220" s="1056" t="s">
        <v>10013</v>
      </c>
      <c r="G220" s="690" t="str">
        <f t="shared" si="2"/>
        <v>CSA</v>
      </c>
      <c r="I220">
        <v>1</v>
      </c>
    </row>
    <row r="221" spans="2:9">
      <c r="D221" s="122">
        <v>41088</v>
      </c>
      <c r="E221" s="124" t="s">
        <v>357</v>
      </c>
      <c r="F221" s="1056" t="s">
        <v>10014</v>
      </c>
      <c r="G221" s="690" t="str">
        <f t="shared" si="2"/>
        <v>CSA</v>
      </c>
      <c r="I221" s="690">
        <v>1</v>
      </c>
    </row>
    <row r="222" spans="2:9">
      <c r="D222" s="122">
        <v>41089</v>
      </c>
      <c r="E222" s="124" t="s">
        <v>357</v>
      </c>
      <c r="F222" s="1056" t="s">
        <v>10018</v>
      </c>
      <c r="G222" s="690" t="str">
        <f t="shared" si="2"/>
        <v>CSA</v>
      </c>
      <c r="H222">
        <v>1</v>
      </c>
    </row>
    <row r="223" spans="2:9">
      <c r="D223" s="122">
        <v>41100</v>
      </c>
      <c r="E223" s="124" t="s">
        <v>357</v>
      </c>
      <c r="F223" s="1056" t="s">
        <v>10018</v>
      </c>
      <c r="G223" s="690" t="str">
        <f t="shared" si="2"/>
        <v>CSA</v>
      </c>
      <c r="H223" s="690">
        <v>1</v>
      </c>
    </row>
    <row r="224" spans="2:9">
      <c r="D224" s="122">
        <v>41100</v>
      </c>
      <c r="E224" s="124" t="s">
        <v>357</v>
      </c>
      <c r="F224" s="1056" t="s">
        <v>10020</v>
      </c>
      <c r="G224" s="690" t="str">
        <f t="shared" si="2"/>
        <v>CSA</v>
      </c>
      <c r="I224">
        <v>1</v>
      </c>
    </row>
    <row r="225" spans="2:9">
      <c r="D225" s="122">
        <v>41113</v>
      </c>
      <c r="E225" s="124" t="s">
        <v>357</v>
      </c>
      <c r="F225" s="1056" t="s">
        <v>10028</v>
      </c>
      <c r="G225" s="690" t="str">
        <f t="shared" si="2"/>
        <v>CSA</v>
      </c>
      <c r="H225">
        <v>1</v>
      </c>
    </row>
    <row r="226" spans="2:9">
      <c r="D226" s="122">
        <v>41113</v>
      </c>
      <c r="E226" s="124" t="s">
        <v>357</v>
      </c>
      <c r="F226" s="1056" t="s">
        <v>10029</v>
      </c>
      <c r="G226" s="690" t="str">
        <f t="shared" si="2"/>
        <v>CSA</v>
      </c>
      <c r="H226">
        <v>1</v>
      </c>
    </row>
    <row r="227" spans="2:9">
      <c r="D227" s="122">
        <v>41113</v>
      </c>
      <c r="E227" s="124" t="s">
        <v>357</v>
      </c>
      <c r="F227" s="1056" t="s">
        <v>10030</v>
      </c>
      <c r="G227" s="690" t="str">
        <f t="shared" si="2"/>
        <v>CSA</v>
      </c>
      <c r="I227">
        <v>1</v>
      </c>
    </row>
    <row r="228" spans="2:9" ht="25.5">
      <c r="B228" s="122"/>
      <c r="D228" s="122">
        <v>41114</v>
      </c>
      <c r="E228" s="124" t="s">
        <v>582</v>
      </c>
      <c r="F228" s="1056" t="s">
        <v>10031</v>
      </c>
      <c r="G228" t="str">
        <f t="shared" si="2"/>
        <v>SD</v>
      </c>
      <c r="H228">
        <v>1</v>
      </c>
    </row>
    <row r="229" spans="2:9" ht="25.5">
      <c r="D229" s="122">
        <v>41114</v>
      </c>
      <c r="E229" s="124" t="s">
        <v>582</v>
      </c>
      <c r="F229" s="1056" t="s">
        <v>10032</v>
      </c>
      <c r="G229" t="str">
        <f t="shared" si="2"/>
        <v>SD</v>
      </c>
      <c r="I229">
        <v>1</v>
      </c>
    </row>
    <row r="230" spans="2:9">
      <c r="D230" s="122">
        <v>41118</v>
      </c>
      <c r="E230" s="124" t="s">
        <v>357</v>
      </c>
      <c r="F230" s="1056" t="s">
        <v>10036</v>
      </c>
      <c r="G230" t="str">
        <f t="shared" si="2"/>
        <v>CSA</v>
      </c>
      <c r="I230">
        <v>1</v>
      </c>
    </row>
    <row r="231" spans="2:9">
      <c r="D231" s="122">
        <v>41123</v>
      </c>
      <c r="E231" s="124" t="s">
        <v>357</v>
      </c>
      <c r="F231" s="1056" t="s">
        <v>10064</v>
      </c>
      <c r="G231" s="690" t="str">
        <f t="shared" si="2"/>
        <v>CSA</v>
      </c>
      <c r="H231">
        <v>1</v>
      </c>
    </row>
    <row r="232" spans="2:9">
      <c r="D232" s="122">
        <v>41125</v>
      </c>
      <c r="E232" s="124" t="s">
        <v>357</v>
      </c>
      <c r="F232" s="1056" t="s">
        <v>10065</v>
      </c>
      <c r="G232" s="690" t="str">
        <f t="shared" si="2"/>
        <v>CSA</v>
      </c>
      <c r="H232" s="690">
        <v>1</v>
      </c>
    </row>
    <row r="233" spans="2:9">
      <c r="D233" s="122">
        <v>41125</v>
      </c>
      <c r="E233" s="124" t="s">
        <v>357</v>
      </c>
      <c r="F233" s="1056" t="s">
        <v>10066</v>
      </c>
      <c r="G233" s="690" t="str">
        <f t="shared" si="2"/>
        <v>CSA</v>
      </c>
      <c r="I233">
        <v>1</v>
      </c>
    </row>
    <row r="234" spans="2:9">
      <c r="D234" s="122">
        <v>41129</v>
      </c>
      <c r="E234" s="124" t="s">
        <v>15</v>
      </c>
      <c r="F234" s="1056" t="s">
        <v>10073</v>
      </c>
      <c r="G234" t="str">
        <f t="shared" si="2"/>
        <v>CSA</v>
      </c>
      <c r="H234">
        <v>1</v>
      </c>
    </row>
    <row r="235" spans="2:9">
      <c r="D235" s="122">
        <v>41130</v>
      </c>
      <c r="E235" s="124" t="s">
        <v>15</v>
      </c>
      <c r="F235" s="1056" t="s">
        <v>10074</v>
      </c>
      <c r="G235" s="690" t="str">
        <f t="shared" si="2"/>
        <v>CSA</v>
      </c>
      <c r="H235">
        <v>1</v>
      </c>
    </row>
    <row r="236" spans="2:9">
      <c r="D236" s="122">
        <v>41131</v>
      </c>
      <c r="E236" s="124" t="s">
        <v>15</v>
      </c>
      <c r="F236" s="1056" t="s">
        <v>10084</v>
      </c>
      <c r="G236" s="690" t="str">
        <f t="shared" si="2"/>
        <v>CSA</v>
      </c>
      <c r="H236">
        <v>1</v>
      </c>
    </row>
    <row r="237" spans="2:9" ht="25.5">
      <c r="D237" s="122">
        <v>41131</v>
      </c>
      <c r="E237" s="124" t="s">
        <v>9936</v>
      </c>
      <c r="F237" s="1056" t="s">
        <v>10086</v>
      </c>
      <c r="G237" s="849" t="s">
        <v>10085</v>
      </c>
      <c r="I237">
        <v>1</v>
      </c>
    </row>
    <row r="238" spans="2:9">
      <c r="D238" s="122">
        <v>41131</v>
      </c>
      <c r="E238" s="124" t="s">
        <v>357</v>
      </c>
      <c r="F238" s="1056" t="s">
        <v>10100</v>
      </c>
      <c r="G238" s="849" t="s">
        <v>8061</v>
      </c>
      <c r="H238">
        <v>1</v>
      </c>
    </row>
    <row r="239" spans="2:9">
      <c r="D239" s="122">
        <v>41134</v>
      </c>
      <c r="E239" s="124" t="s">
        <v>15</v>
      </c>
      <c r="F239" s="1056" t="s">
        <v>10102</v>
      </c>
      <c r="G239" s="849" t="s">
        <v>8061</v>
      </c>
      <c r="H239">
        <v>1</v>
      </c>
    </row>
    <row r="240" spans="2:9">
      <c r="D240" s="122">
        <v>41134</v>
      </c>
      <c r="E240" s="124" t="s">
        <v>15</v>
      </c>
      <c r="F240" s="1056" t="s">
        <v>10103</v>
      </c>
      <c r="G240" s="849" t="s">
        <v>8061</v>
      </c>
      <c r="H240">
        <v>1</v>
      </c>
    </row>
    <row r="241" spans="4:9">
      <c r="D241" s="122">
        <v>41137</v>
      </c>
      <c r="E241" s="124" t="s">
        <v>15</v>
      </c>
      <c r="F241" s="1056" t="s">
        <v>10101</v>
      </c>
      <c r="G241" s="849" t="s">
        <v>8061</v>
      </c>
      <c r="H241" s="690"/>
      <c r="I241" s="690">
        <v>1</v>
      </c>
    </row>
    <row r="242" spans="4:9">
      <c r="D242" s="122">
        <v>41138</v>
      </c>
      <c r="E242" s="124" t="s">
        <v>15</v>
      </c>
      <c r="F242" s="1056" t="s">
        <v>10104</v>
      </c>
      <c r="G242" s="849" t="s">
        <v>8061</v>
      </c>
      <c r="H242">
        <v>1</v>
      </c>
    </row>
    <row r="243" spans="4:9">
      <c r="D243" s="122">
        <v>41142</v>
      </c>
      <c r="E243" s="124" t="s">
        <v>357</v>
      </c>
      <c r="F243" s="1056" t="s">
        <v>10105</v>
      </c>
      <c r="G243" s="849" t="s">
        <v>8061</v>
      </c>
      <c r="I243">
        <v>1</v>
      </c>
    </row>
    <row r="244" spans="4:9" ht="38.25">
      <c r="D244" s="122">
        <v>41143</v>
      </c>
      <c r="E244" s="124" t="s">
        <v>9936</v>
      </c>
      <c r="F244" s="1056" t="s">
        <v>10107</v>
      </c>
      <c r="G244" s="849" t="s">
        <v>10085</v>
      </c>
      <c r="I244">
        <v>1</v>
      </c>
    </row>
    <row r="245" spans="4:9">
      <c r="D245" s="122">
        <v>41145</v>
      </c>
      <c r="E245" s="124" t="s">
        <v>210</v>
      </c>
      <c r="F245" s="1056" t="s">
        <v>10108</v>
      </c>
      <c r="G245" s="690" t="str">
        <f t="shared" ref="G245:G246" si="3">IF(LEFT(E245,2)="sd","SD",IF(LEFT(E245,2)="ms","IT",IF(LEFT(E245,2)="oc","IT",IF(LEFT(E245,2)="rl","Lorenz","CSA"))))</f>
        <v>Lorenz</v>
      </c>
      <c r="I245">
        <v>1</v>
      </c>
    </row>
    <row r="246" spans="4:9">
      <c r="D246" s="122">
        <v>41145</v>
      </c>
      <c r="E246" s="124" t="s">
        <v>582</v>
      </c>
      <c r="F246" s="1056" t="s">
        <v>10109</v>
      </c>
      <c r="G246" s="690" t="str">
        <f t="shared" si="3"/>
        <v>SD</v>
      </c>
      <c r="I246">
        <v>1</v>
      </c>
    </row>
    <row r="247" spans="4:9">
      <c r="D247" s="122">
        <v>41158</v>
      </c>
      <c r="E247" s="124" t="s">
        <v>357</v>
      </c>
      <c r="F247" s="1056" t="s">
        <v>10138</v>
      </c>
      <c r="G247" s="849" t="s">
        <v>8061</v>
      </c>
      <c r="H247">
        <v>1</v>
      </c>
    </row>
    <row r="248" spans="4:9">
      <c r="D248" s="122">
        <v>41164</v>
      </c>
      <c r="E248" s="124" t="s">
        <v>357</v>
      </c>
      <c r="F248" s="1056" t="s">
        <v>10140</v>
      </c>
      <c r="G248" s="849" t="s">
        <v>8061</v>
      </c>
      <c r="I248">
        <v>1</v>
      </c>
    </row>
    <row r="249" spans="4:9">
      <c r="D249" s="122">
        <v>41165</v>
      </c>
      <c r="E249" s="124" t="s">
        <v>357</v>
      </c>
      <c r="F249" s="1056" t="s">
        <v>10141</v>
      </c>
      <c r="G249" s="849" t="s">
        <v>8061</v>
      </c>
      <c r="H249">
        <v>1</v>
      </c>
    </row>
    <row r="250" spans="4:9">
      <c r="D250" s="122">
        <v>41183</v>
      </c>
      <c r="E250" s="124" t="s">
        <v>357</v>
      </c>
      <c r="F250" s="1056" t="s">
        <v>10186</v>
      </c>
      <c r="G250" s="849" t="s">
        <v>8061</v>
      </c>
      <c r="I250">
        <v>1</v>
      </c>
    </row>
    <row r="251" spans="4:9">
      <c r="D251" s="122">
        <v>41165</v>
      </c>
      <c r="E251" s="124" t="s">
        <v>357</v>
      </c>
      <c r="F251" s="1056" t="s">
        <v>10187</v>
      </c>
      <c r="G251" s="849" t="s">
        <v>8061</v>
      </c>
      <c r="I251">
        <v>1</v>
      </c>
    </row>
    <row r="252" spans="4:9">
      <c r="D252" s="122">
        <v>41185</v>
      </c>
      <c r="E252" s="124" t="s">
        <v>357</v>
      </c>
      <c r="F252" s="1056" t="s">
        <v>10210</v>
      </c>
      <c r="G252" s="849" t="s">
        <v>8061</v>
      </c>
      <c r="I252">
        <v>1</v>
      </c>
    </row>
    <row r="253" spans="4:9">
      <c r="D253" s="122">
        <v>41188</v>
      </c>
      <c r="E253" s="124" t="s">
        <v>357</v>
      </c>
      <c r="F253" s="1056" t="s">
        <v>10212</v>
      </c>
      <c r="G253" s="849" t="s">
        <v>8061</v>
      </c>
      <c r="H253">
        <v>1</v>
      </c>
    </row>
    <row r="254" spans="4:9">
      <c r="D254" s="122">
        <v>41190</v>
      </c>
      <c r="E254" s="124" t="s">
        <v>357</v>
      </c>
      <c r="F254" s="1056" t="s">
        <v>10214</v>
      </c>
      <c r="G254" s="849" t="s">
        <v>8061</v>
      </c>
      <c r="H254" s="941">
        <v>1</v>
      </c>
    </row>
    <row r="255" spans="4:9">
      <c r="D255" s="122">
        <v>41197</v>
      </c>
      <c r="E255" s="124" t="s">
        <v>357</v>
      </c>
      <c r="F255" s="1056" t="s">
        <v>10230</v>
      </c>
      <c r="G255" s="849" t="s">
        <v>8061</v>
      </c>
      <c r="I255">
        <v>1</v>
      </c>
    </row>
    <row r="256" spans="4:9">
      <c r="D256" s="122">
        <v>41197</v>
      </c>
      <c r="E256" s="124" t="s">
        <v>357</v>
      </c>
      <c r="F256" s="1056" t="s">
        <v>10231</v>
      </c>
      <c r="G256" s="849" t="s">
        <v>8061</v>
      </c>
      <c r="I256" s="941">
        <v>1</v>
      </c>
    </row>
    <row r="257" spans="4:9">
      <c r="D257" s="122">
        <v>41197</v>
      </c>
      <c r="E257" s="124" t="s">
        <v>357</v>
      </c>
      <c r="F257" s="1056" t="s">
        <v>10232</v>
      </c>
      <c r="G257" s="849" t="s">
        <v>8061</v>
      </c>
      <c r="I257" s="941">
        <v>1</v>
      </c>
    </row>
    <row r="258" spans="4:9">
      <c r="D258" s="122">
        <v>41199</v>
      </c>
      <c r="E258" s="124" t="s">
        <v>357</v>
      </c>
      <c r="F258" s="1056" t="s">
        <v>10234</v>
      </c>
      <c r="G258" s="849" t="s">
        <v>8061</v>
      </c>
      <c r="H258">
        <v>1</v>
      </c>
    </row>
    <row r="259" spans="4:9">
      <c r="D259" s="122">
        <v>41199</v>
      </c>
      <c r="E259" s="124" t="s">
        <v>357</v>
      </c>
      <c r="F259" s="1056" t="s">
        <v>10235</v>
      </c>
      <c r="G259" s="849" t="s">
        <v>8061</v>
      </c>
      <c r="H259">
        <v>1</v>
      </c>
    </row>
    <row r="260" spans="4:9">
      <c r="D260" s="122">
        <v>41201</v>
      </c>
      <c r="E260" s="124" t="s">
        <v>357</v>
      </c>
      <c r="F260" s="1056" t="s">
        <v>10236</v>
      </c>
      <c r="G260" s="849" t="s">
        <v>8061</v>
      </c>
      <c r="H260" s="941">
        <v>1</v>
      </c>
    </row>
    <row r="261" spans="4:9">
      <c r="D261" s="122">
        <v>41207</v>
      </c>
      <c r="E261" s="124" t="s">
        <v>15</v>
      </c>
      <c r="F261" s="1056" t="s">
        <v>10237</v>
      </c>
      <c r="G261" s="849" t="s">
        <v>8061</v>
      </c>
      <c r="H261">
        <v>1</v>
      </c>
    </row>
    <row r="262" spans="4:9">
      <c r="D262" s="122">
        <v>41213</v>
      </c>
      <c r="E262" s="124" t="s">
        <v>357</v>
      </c>
      <c r="F262" s="1056" t="s">
        <v>10243</v>
      </c>
      <c r="G262" s="849" t="s">
        <v>8061</v>
      </c>
      <c r="I262">
        <v>1</v>
      </c>
    </row>
    <row r="263" spans="4:9">
      <c r="D263" s="122">
        <v>41214</v>
      </c>
      <c r="E263" s="124" t="s">
        <v>357</v>
      </c>
      <c r="F263" s="1056" t="s">
        <v>10245</v>
      </c>
      <c r="G263" s="849" t="s">
        <v>8061</v>
      </c>
      <c r="I263" s="941">
        <v>1</v>
      </c>
    </row>
    <row r="264" spans="4:9">
      <c r="D264" s="122">
        <v>41214</v>
      </c>
      <c r="E264" s="124" t="s">
        <v>357</v>
      </c>
      <c r="F264" s="1056" t="s">
        <v>10246</v>
      </c>
      <c r="G264" s="849" t="s">
        <v>8061</v>
      </c>
      <c r="H264">
        <v>1</v>
      </c>
    </row>
    <row r="265" spans="4:9">
      <c r="D265" s="122">
        <v>41215</v>
      </c>
      <c r="E265" s="124" t="s">
        <v>15</v>
      </c>
      <c r="F265" s="1055" t="s">
        <v>10250</v>
      </c>
      <c r="G265" s="849" t="s">
        <v>8061</v>
      </c>
      <c r="H265">
        <v>1</v>
      </c>
    </row>
    <row r="266" spans="4:9">
      <c r="D266" s="122">
        <v>41220</v>
      </c>
      <c r="E266" s="124" t="s">
        <v>15</v>
      </c>
      <c r="F266" s="1056" t="s">
        <v>10252</v>
      </c>
      <c r="G266" s="849" t="s">
        <v>8061</v>
      </c>
      <c r="H266">
        <v>1</v>
      </c>
    </row>
    <row r="267" spans="4:9">
      <c r="D267" s="122">
        <v>41227</v>
      </c>
      <c r="E267" s="124" t="s">
        <v>15</v>
      </c>
      <c r="F267" s="1056" t="s">
        <v>10257</v>
      </c>
      <c r="G267" s="849" t="s">
        <v>8061</v>
      </c>
      <c r="H267">
        <v>1</v>
      </c>
    </row>
    <row r="268" spans="4:9">
      <c r="D268" s="122">
        <v>41229</v>
      </c>
      <c r="E268" s="124" t="s">
        <v>357</v>
      </c>
      <c r="F268" s="1056" t="s">
        <v>10287</v>
      </c>
      <c r="G268" s="849" t="s">
        <v>8061</v>
      </c>
      <c r="H268">
        <v>1</v>
      </c>
    </row>
    <row r="269" spans="4:9">
      <c r="D269" s="122">
        <v>41239</v>
      </c>
      <c r="E269" s="111" t="s">
        <v>15</v>
      </c>
      <c r="F269" s="1055" t="s">
        <v>10291</v>
      </c>
      <c r="G269" t="s">
        <v>8061</v>
      </c>
      <c r="H269">
        <v>1</v>
      </c>
    </row>
    <row r="270" spans="4:9">
      <c r="D270" s="122">
        <v>41240</v>
      </c>
      <c r="E270" s="111" t="s">
        <v>15</v>
      </c>
      <c r="F270" s="1056" t="s">
        <v>10292</v>
      </c>
      <c r="G270" t="s">
        <v>8061</v>
      </c>
      <c r="H270">
        <v>1</v>
      </c>
    </row>
    <row r="271" spans="4:9">
      <c r="D271" s="122">
        <v>41242</v>
      </c>
      <c r="E271" s="111" t="s">
        <v>15</v>
      </c>
      <c r="F271" s="1056" t="s">
        <v>10296</v>
      </c>
      <c r="G271" s="849" t="s">
        <v>8061</v>
      </c>
      <c r="H271">
        <v>1</v>
      </c>
    </row>
    <row r="272" spans="4:9">
      <c r="D272" s="122">
        <v>41242</v>
      </c>
      <c r="E272" s="111" t="s">
        <v>357</v>
      </c>
      <c r="F272" s="1055" t="s">
        <v>10300</v>
      </c>
      <c r="G272" s="849" t="s">
        <v>8061</v>
      </c>
      <c r="H272">
        <v>1</v>
      </c>
    </row>
    <row r="273" spans="2:11">
      <c r="D273" s="122">
        <v>41243</v>
      </c>
      <c r="E273" s="111" t="s">
        <v>357</v>
      </c>
      <c r="F273" s="1055" t="s">
        <v>10301</v>
      </c>
      <c r="G273" s="849" t="s">
        <v>8061</v>
      </c>
      <c r="H273">
        <v>1</v>
      </c>
    </row>
    <row r="274" spans="2:11">
      <c r="D274" s="122">
        <v>41247</v>
      </c>
      <c r="E274" s="124" t="s">
        <v>15</v>
      </c>
      <c r="F274" s="1056" t="s">
        <v>10303</v>
      </c>
      <c r="G274" s="849" t="s">
        <v>8061</v>
      </c>
      <c r="I274">
        <v>1</v>
      </c>
    </row>
    <row r="275" spans="2:11">
      <c r="D275" s="122">
        <v>41248</v>
      </c>
      <c r="E275" s="124" t="s">
        <v>15</v>
      </c>
      <c r="F275" s="1056" t="s">
        <v>10305</v>
      </c>
      <c r="G275" s="849" t="s">
        <v>8061</v>
      </c>
      <c r="H275">
        <v>1</v>
      </c>
    </row>
    <row r="276" spans="2:11">
      <c r="D276" s="122">
        <v>41248</v>
      </c>
      <c r="E276" s="124" t="s">
        <v>357</v>
      </c>
      <c r="F276" s="1056" t="s">
        <v>10306</v>
      </c>
      <c r="G276" s="849" t="s">
        <v>8061</v>
      </c>
      <c r="H276" s="941">
        <v>1</v>
      </c>
    </row>
    <row r="277" spans="2:11">
      <c r="D277" s="122">
        <v>41250</v>
      </c>
      <c r="E277" s="111" t="s">
        <v>210</v>
      </c>
      <c r="F277" s="1055" t="s">
        <v>10308</v>
      </c>
      <c r="G277" s="941" t="str">
        <f t="shared" ref="G277:G288" si="4">IF(LEFT(E277,2)="sd","SD",IF(LEFT(E277,2)="ms","IT",IF(LEFT(E277,2)="oc","IT",IF(LEFT(E277,2)="rl","Lorenz","CSA"))))</f>
        <v>Lorenz</v>
      </c>
      <c r="I277">
        <v>1</v>
      </c>
    </row>
    <row r="278" spans="2:11" ht="25.5">
      <c r="D278" s="122">
        <v>41253</v>
      </c>
      <c r="E278" s="124" t="s">
        <v>582</v>
      </c>
      <c r="F278" s="1056" t="s">
        <v>10313</v>
      </c>
      <c r="G278" s="941" t="str">
        <f t="shared" si="4"/>
        <v>SD</v>
      </c>
      <c r="H278">
        <v>1</v>
      </c>
    </row>
    <row r="279" spans="2:11" ht="25.5">
      <c r="D279" s="122">
        <v>41253</v>
      </c>
      <c r="E279" s="124" t="s">
        <v>582</v>
      </c>
      <c r="F279" s="1056" t="s">
        <v>10314</v>
      </c>
      <c r="G279" s="941" t="str">
        <f t="shared" si="4"/>
        <v>SD</v>
      </c>
      <c r="I279">
        <v>1</v>
      </c>
    </row>
    <row r="280" spans="2:11">
      <c r="D280" s="122">
        <v>41255</v>
      </c>
      <c r="E280" s="124" t="s">
        <v>15</v>
      </c>
      <c r="F280" s="1056" t="s">
        <v>10316</v>
      </c>
      <c r="G280" s="941" t="str">
        <f t="shared" si="4"/>
        <v>CSA</v>
      </c>
      <c r="I280">
        <v>1</v>
      </c>
    </row>
    <row r="281" spans="2:11" ht="13.5" thickBot="1">
      <c r="B281" s="963"/>
      <c r="C281" s="963"/>
      <c r="D281" s="964">
        <v>41271</v>
      </c>
      <c r="E281" s="965" t="s">
        <v>15</v>
      </c>
      <c r="F281" s="1247" t="s">
        <v>10317</v>
      </c>
      <c r="G281" s="967" t="str">
        <f t="shared" si="4"/>
        <v>CSA</v>
      </c>
      <c r="H281" s="967">
        <v>1</v>
      </c>
      <c r="I281" s="967">
        <v>1</v>
      </c>
    </row>
    <row r="282" spans="2:11">
      <c r="D282" s="122">
        <v>41281</v>
      </c>
      <c r="E282" s="124" t="s">
        <v>357</v>
      </c>
      <c r="F282" s="1056" t="s">
        <v>10341</v>
      </c>
      <c r="G282" s="941" t="str">
        <f t="shared" si="4"/>
        <v>CSA</v>
      </c>
      <c r="I282">
        <v>1</v>
      </c>
      <c r="K282">
        <v>2013</v>
      </c>
    </row>
    <row r="283" spans="2:11">
      <c r="D283" s="122">
        <v>41282</v>
      </c>
      <c r="E283" s="124" t="s">
        <v>357</v>
      </c>
      <c r="F283" s="1056" t="s">
        <v>10341</v>
      </c>
      <c r="G283" s="941" t="str">
        <f t="shared" si="4"/>
        <v>CSA</v>
      </c>
      <c r="I283">
        <v>1</v>
      </c>
    </row>
    <row r="284" spans="2:11" ht="25.5">
      <c r="D284" s="122">
        <v>41284</v>
      </c>
      <c r="E284" s="124" t="s">
        <v>582</v>
      </c>
      <c r="F284" s="1056" t="s">
        <v>10344</v>
      </c>
      <c r="G284" s="941" t="str">
        <f t="shared" si="4"/>
        <v>SD</v>
      </c>
      <c r="I284">
        <v>1</v>
      </c>
    </row>
    <row r="285" spans="2:11" ht="27.75" customHeight="1">
      <c r="D285" s="122">
        <v>41289</v>
      </c>
      <c r="E285" s="124" t="s">
        <v>582</v>
      </c>
      <c r="F285" s="1056" t="s">
        <v>10346</v>
      </c>
      <c r="G285" t="str">
        <f t="shared" si="4"/>
        <v>SD</v>
      </c>
      <c r="I285">
        <v>2</v>
      </c>
    </row>
    <row r="286" spans="2:11">
      <c r="D286" s="122">
        <v>41289</v>
      </c>
      <c r="E286" s="124" t="s">
        <v>582</v>
      </c>
      <c r="F286" s="1056" t="s">
        <v>10347</v>
      </c>
      <c r="G286" s="941" t="str">
        <f t="shared" si="4"/>
        <v>SD</v>
      </c>
      <c r="I286">
        <v>1</v>
      </c>
    </row>
    <row r="287" spans="2:11">
      <c r="D287" s="122">
        <v>41291</v>
      </c>
      <c r="E287" s="124" t="s">
        <v>582</v>
      </c>
      <c r="F287" s="1056" t="s">
        <v>10350</v>
      </c>
      <c r="G287" s="941" t="str">
        <f t="shared" si="4"/>
        <v>SD</v>
      </c>
      <c r="I287">
        <v>1</v>
      </c>
    </row>
    <row r="288" spans="2:11" ht="25.5">
      <c r="D288" s="122">
        <v>41296</v>
      </c>
      <c r="E288" s="124" t="s">
        <v>210</v>
      </c>
      <c r="F288" s="1056" t="s">
        <v>10353</v>
      </c>
      <c r="G288" s="941" t="str">
        <f t="shared" si="4"/>
        <v>Lorenz</v>
      </c>
      <c r="I288">
        <v>1</v>
      </c>
    </row>
    <row r="289" spans="2:9" ht="38.25">
      <c r="D289" s="122">
        <v>41302</v>
      </c>
      <c r="E289" s="111" t="s">
        <v>9936</v>
      </c>
      <c r="F289" s="1056" t="s">
        <v>10355</v>
      </c>
      <c r="G289" s="941" t="s">
        <v>10085</v>
      </c>
      <c r="H289" s="941"/>
      <c r="I289" s="941">
        <v>1</v>
      </c>
    </row>
    <row r="290" spans="2:9" ht="38.25">
      <c r="D290" s="122">
        <v>41302</v>
      </c>
      <c r="E290" s="1248" t="s">
        <v>9936</v>
      </c>
      <c r="F290" s="1056" t="s">
        <v>10356</v>
      </c>
      <c r="G290" s="849" t="s">
        <v>10085</v>
      </c>
      <c r="H290" s="941"/>
      <c r="I290" s="941">
        <v>1</v>
      </c>
    </row>
    <row r="291" spans="2:9">
      <c r="D291" s="122">
        <v>41303</v>
      </c>
      <c r="E291" s="124" t="s">
        <v>15</v>
      </c>
      <c r="F291" s="1056" t="s">
        <v>10357</v>
      </c>
      <c r="G291" s="941" t="str">
        <f t="shared" ref="G291:G301" si="5">IF(LEFT(E291,2)="sd","SD",IF(LEFT(E291,2)="ms","IT",IF(LEFT(E291,2)="oc","IT",IF(LEFT(E291,2)="rl","Lorenz","CSA"))))</f>
        <v>CSA</v>
      </c>
      <c r="H291">
        <v>1</v>
      </c>
    </row>
    <row r="292" spans="2:9">
      <c r="D292" s="122">
        <v>41304</v>
      </c>
      <c r="E292" s="124" t="s">
        <v>15</v>
      </c>
      <c r="F292" s="1056" t="s">
        <v>10360</v>
      </c>
      <c r="G292" s="941" t="str">
        <f t="shared" si="5"/>
        <v>CSA</v>
      </c>
      <c r="H292" s="941">
        <v>1</v>
      </c>
    </row>
    <row r="293" spans="2:9">
      <c r="D293" s="122">
        <v>41304</v>
      </c>
      <c r="E293" s="124" t="s">
        <v>15</v>
      </c>
      <c r="F293" s="1056" t="s">
        <v>10363</v>
      </c>
      <c r="G293" s="941" t="str">
        <f t="shared" si="5"/>
        <v>CSA</v>
      </c>
      <c r="H293" s="941">
        <v>1</v>
      </c>
    </row>
    <row r="294" spans="2:9">
      <c r="D294" s="122">
        <v>41316</v>
      </c>
      <c r="E294" s="124" t="s">
        <v>357</v>
      </c>
      <c r="F294" s="1056" t="s">
        <v>10364</v>
      </c>
      <c r="G294" s="941" t="str">
        <f t="shared" si="5"/>
        <v>CSA</v>
      </c>
      <c r="I294">
        <v>1</v>
      </c>
    </row>
    <row r="295" spans="2:9" ht="25.5">
      <c r="D295" s="122">
        <v>41320</v>
      </c>
      <c r="E295" s="124" t="s">
        <v>210</v>
      </c>
      <c r="F295" s="1056" t="s">
        <v>10442</v>
      </c>
      <c r="G295" s="941" t="str">
        <f t="shared" si="5"/>
        <v>Lorenz</v>
      </c>
      <c r="I295">
        <v>2</v>
      </c>
    </row>
    <row r="296" spans="2:9">
      <c r="D296" s="122">
        <v>41320</v>
      </c>
      <c r="E296" s="124" t="s">
        <v>582</v>
      </c>
      <c r="F296" s="1056" t="s">
        <v>10437</v>
      </c>
      <c r="G296" s="941" t="str">
        <f t="shared" si="5"/>
        <v>SD</v>
      </c>
      <c r="I296">
        <v>1</v>
      </c>
    </row>
    <row r="297" spans="2:9" ht="25.5">
      <c r="D297" s="122">
        <v>41323</v>
      </c>
      <c r="E297" s="124" t="s">
        <v>10438</v>
      </c>
      <c r="F297" s="1056" t="s">
        <v>10439</v>
      </c>
      <c r="G297" s="849" t="s">
        <v>10085</v>
      </c>
      <c r="I297">
        <v>1</v>
      </c>
    </row>
    <row r="298" spans="2:9">
      <c r="B298" s="122">
        <v>41327</v>
      </c>
      <c r="C298" s="122">
        <v>41327</v>
      </c>
      <c r="D298" s="122">
        <v>41327</v>
      </c>
      <c r="E298" s="124" t="s">
        <v>582</v>
      </c>
      <c r="F298" s="1056" t="s">
        <v>10441</v>
      </c>
      <c r="G298" s="941" t="str">
        <f t="shared" si="5"/>
        <v>SD</v>
      </c>
    </row>
    <row r="299" spans="2:9" ht="25.5">
      <c r="D299" s="122">
        <v>41332</v>
      </c>
      <c r="E299" s="124" t="s">
        <v>15</v>
      </c>
      <c r="F299" s="1056" t="s">
        <v>10443</v>
      </c>
      <c r="G299" t="str">
        <f t="shared" si="5"/>
        <v>CSA</v>
      </c>
      <c r="H299">
        <v>1</v>
      </c>
    </row>
    <row r="300" spans="2:9">
      <c r="B300" s="122">
        <v>41338</v>
      </c>
      <c r="C300" s="122">
        <v>41338</v>
      </c>
      <c r="D300" s="122">
        <v>41338</v>
      </c>
      <c r="E300" s="124" t="s">
        <v>582</v>
      </c>
      <c r="F300" s="1056" t="s">
        <v>10452</v>
      </c>
      <c r="G300" t="str">
        <f t="shared" si="5"/>
        <v>SD</v>
      </c>
    </row>
    <row r="301" spans="2:9">
      <c r="D301" s="122">
        <v>41340</v>
      </c>
      <c r="E301" s="111" t="s">
        <v>15</v>
      </c>
      <c r="F301" s="1055" t="s">
        <v>10453</v>
      </c>
      <c r="G301" t="str">
        <f t="shared" si="5"/>
        <v>CSA</v>
      </c>
      <c r="H301">
        <v>1</v>
      </c>
    </row>
    <row r="302" spans="2:9">
      <c r="D302" s="122">
        <v>41340</v>
      </c>
      <c r="E302" s="124" t="s">
        <v>15</v>
      </c>
      <c r="F302" s="1056" t="s">
        <v>10360</v>
      </c>
      <c r="G302" s="941" t="str">
        <f t="shared" ref="G302:G307" si="6">IF(LEFT(E302,2)="sd","SD",IF(LEFT(E302,2)="ms","IT",IF(LEFT(E302,2)="oc","IT",IF(LEFT(E302,2)="rl","Lorenz","CSA"))))</f>
        <v>CSA</v>
      </c>
      <c r="H302" s="941">
        <v>1</v>
      </c>
      <c r="I302" s="941"/>
    </row>
    <row r="303" spans="2:9" ht="25.5">
      <c r="D303" s="122">
        <v>41341</v>
      </c>
      <c r="E303" s="124" t="s">
        <v>582</v>
      </c>
      <c r="F303" s="1056" t="s">
        <v>10455</v>
      </c>
      <c r="G303" t="str">
        <f t="shared" si="6"/>
        <v>SD</v>
      </c>
      <c r="I303">
        <v>1</v>
      </c>
    </row>
    <row r="304" spans="2:9">
      <c r="D304" s="122">
        <v>41345</v>
      </c>
      <c r="E304" s="124" t="s">
        <v>10461</v>
      </c>
      <c r="F304" s="1056" t="s">
        <v>10462</v>
      </c>
      <c r="G304" s="849" t="s">
        <v>10085</v>
      </c>
      <c r="H304">
        <v>1</v>
      </c>
    </row>
    <row r="305" spans="4:9">
      <c r="D305" s="122">
        <v>41349</v>
      </c>
      <c r="E305" s="124" t="s">
        <v>357</v>
      </c>
      <c r="F305" s="1056" t="s">
        <v>10464</v>
      </c>
      <c r="G305" s="941" t="str">
        <f t="shared" si="6"/>
        <v>CSA</v>
      </c>
      <c r="H305">
        <v>1</v>
      </c>
    </row>
    <row r="306" spans="4:9">
      <c r="D306" s="122">
        <v>41349</v>
      </c>
      <c r="E306" s="124" t="s">
        <v>357</v>
      </c>
      <c r="F306" s="1056" t="s">
        <v>10465</v>
      </c>
      <c r="G306" s="941" t="str">
        <f t="shared" si="6"/>
        <v>CSA</v>
      </c>
      <c r="H306">
        <v>1</v>
      </c>
    </row>
    <row r="307" spans="4:9" ht="25.5">
      <c r="D307" s="122">
        <v>41351</v>
      </c>
      <c r="E307" s="124" t="s">
        <v>582</v>
      </c>
      <c r="F307" s="1056" t="s">
        <v>10466</v>
      </c>
      <c r="G307" s="941" t="str">
        <f t="shared" si="6"/>
        <v>SD</v>
      </c>
      <c r="H307">
        <v>2</v>
      </c>
    </row>
    <row r="308" spans="4:9" ht="38.25">
      <c r="D308" s="122">
        <v>41351</v>
      </c>
      <c r="E308" s="124" t="s">
        <v>10480</v>
      </c>
      <c r="F308" s="1056" t="s">
        <v>10481</v>
      </c>
      <c r="G308" s="849" t="s">
        <v>10085</v>
      </c>
      <c r="I308">
        <v>1</v>
      </c>
    </row>
    <row r="309" spans="4:9">
      <c r="D309" s="122">
        <v>41351</v>
      </c>
      <c r="E309" s="124" t="s">
        <v>10480</v>
      </c>
      <c r="F309" s="1056" t="s">
        <v>10483</v>
      </c>
      <c r="G309" s="849" t="s">
        <v>10085</v>
      </c>
      <c r="H309" s="941"/>
      <c r="I309" s="941">
        <v>1</v>
      </c>
    </row>
    <row r="310" spans="4:9">
      <c r="D310" s="122">
        <v>41354</v>
      </c>
      <c r="E310" s="124" t="s">
        <v>15</v>
      </c>
      <c r="F310" s="1056" t="s">
        <v>10484</v>
      </c>
      <c r="G310" s="849" t="s">
        <v>8061</v>
      </c>
      <c r="I310">
        <v>1</v>
      </c>
    </row>
    <row r="311" spans="4:9">
      <c r="D311" s="122">
        <v>41354</v>
      </c>
      <c r="E311" s="124" t="s">
        <v>357</v>
      </c>
      <c r="F311" s="1056" t="s">
        <v>10485</v>
      </c>
      <c r="G311" s="849" t="s">
        <v>8061</v>
      </c>
      <c r="I311">
        <v>1</v>
      </c>
    </row>
    <row r="312" spans="4:9" ht="25.5">
      <c r="D312" s="122">
        <v>41355</v>
      </c>
      <c r="E312" s="124" t="s">
        <v>15</v>
      </c>
      <c r="F312" s="1056" t="s">
        <v>10486</v>
      </c>
      <c r="G312" s="849" t="s">
        <v>8061</v>
      </c>
      <c r="H312">
        <v>1</v>
      </c>
      <c r="I312">
        <v>1</v>
      </c>
    </row>
    <row r="313" spans="4:9" ht="25.5">
      <c r="D313" s="122">
        <v>41358</v>
      </c>
      <c r="E313" s="124" t="s">
        <v>582</v>
      </c>
      <c r="F313" s="1056" t="s">
        <v>10487</v>
      </c>
    </row>
    <row r="314" spans="4:9">
      <c r="D314" s="122">
        <v>41358</v>
      </c>
      <c r="E314" s="124" t="s">
        <v>10438</v>
      </c>
      <c r="F314" s="1056" t="s">
        <v>10488</v>
      </c>
      <c r="G314" s="849" t="s">
        <v>10085</v>
      </c>
      <c r="I314">
        <v>1</v>
      </c>
    </row>
    <row r="315" spans="4:9" ht="38.25">
      <c r="D315" s="122">
        <v>41359</v>
      </c>
      <c r="E315" s="124" t="s">
        <v>582</v>
      </c>
      <c r="F315" s="1056" t="s">
        <v>10489</v>
      </c>
      <c r="G315" s="941" t="str">
        <f t="shared" ref="G315" si="7">IF(LEFT(E315,2)="sd","SD",IF(LEFT(E315,2)="ms","IT",IF(LEFT(E315,2)="oc","IT",IF(LEFT(E315,2)="rl","Lorenz","CSA"))))</f>
        <v>SD</v>
      </c>
      <c r="I315">
        <v>1</v>
      </c>
    </row>
    <row r="316" spans="4:9">
      <c r="D316" s="122">
        <v>41364</v>
      </c>
      <c r="E316" s="111" t="s">
        <v>357</v>
      </c>
      <c r="F316" s="1055" t="s">
        <v>10490</v>
      </c>
      <c r="G316" s="941" t="s">
        <v>10479</v>
      </c>
      <c r="H316">
        <v>1</v>
      </c>
    </row>
    <row r="317" spans="4:9" ht="25.5">
      <c r="D317" s="122">
        <v>41372</v>
      </c>
      <c r="E317" s="124" t="s">
        <v>10438</v>
      </c>
      <c r="F317" s="1056" t="s">
        <v>10497</v>
      </c>
      <c r="G317" s="1060" t="s">
        <v>10085</v>
      </c>
      <c r="I317">
        <v>1</v>
      </c>
    </row>
    <row r="318" spans="4:9">
      <c r="D318" s="122">
        <v>41374</v>
      </c>
      <c r="E318" s="124" t="s">
        <v>357</v>
      </c>
      <c r="F318" s="1056" t="s">
        <v>10491</v>
      </c>
      <c r="G318" s="1060" t="s">
        <v>8061</v>
      </c>
      <c r="H318">
        <v>1</v>
      </c>
    </row>
    <row r="319" spans="4:9">
      <c r="D319" s="122">
        <v>41387</v>
      </c>
      <c r="E319" s="124" t="s">
        <v>582</v>
      </c>
      <c r="F319" s="1056" t="s">
        <v>10499</v>
      </c>
      <c r="G319" s="1060" t="s">
        <v>556</v>
      </c>
      <c r="I319">
        <v>1</v>
      </c>
    </row>
    <row r="320" spans="4:9">
      <c r="D320" s="122">
        <v>41407</v>
      </c>
      <c r="E320" s="124" t="s">
        <v>15</v>
      </c>
      <c r="F320" s="1056" t="s">
        <v>10501</v>
      </c>
      <c r="G320" s="1060" t="s">
        <v>8061</v>
      </c>
      <c r="H320">
        <v>1</v>
      </c>
      <c r="I320">
        <v>1</v>
      </c>
    </row>
    <row r="321" spans="4:9">
      <c r="D321" s="122">
        <v>41409</v>
      </c>
      <c r="E321" s="124" t="s">
        <v>15</v>
      </c>
      <c r="F321" s="1056" t="s">
        <v>10503</v>
      </c>
      <c r="G321" s="1060" t="s">
        <v>8061</v>
      </c>
      <c r="I321">
        <v>1</v>
      </c>
    </row>
    <row r="322" spans="4:9">
      <c r="D322" s="122">
        <v>41410</v>
      </c>
      <c r="E322" s="124" t="s">
        <v>357</v>
      </c>
      <c r="F322" s="1056" t="s">
        <v>10504</v>
      </c>
      <c r="G322" s="1060" t="s">
        <v>8061</v>
      </c>
      <c r="H322">
        <v>1</v>
      </c>
    </row>
    <row r="323" spans="4:9">
      <c r="D323" s="122">
        <v>41442</v>
      </c>
      <c r="E323" s="124" t="s">
        <v>357</v>
      </c>
      <c r="F323" s="1056" t="s">
        <v>10570</v>
      </c>
      <c r="G323" s="1060" t="s">
        <v>8061</v>
      </c>
      <c r="H323">
        <v>1</v>
      </c>
    </row>
    <row r="324" spans="4:9" ht="38.25">
      <c r="D324" s="122">
        <v>41444</v>
      </c>
      <c r="E324" s="124" t="s">
        <v>10438</v>
      </c>
      <c r="F324" s="1056" t="s">
        <v>10579</v>
      </c>
      <c r="G324" s="1060" t="s">
        <v>10085</v>
      </c>
      <c r="H324">
        <v>1</v>
      </c>
    </row>
    <row r="325" spans="4:9">
      <c r="D325" s="122">
        <v>41446</v>
      </c>
      <c r="E325" s="124" t="s">
        <v>15</v>
      </c>
      <c r="F325" s="1056" t="s">
        <v>10571</v>
      </c>
      <c r="G325" s="1060" t="s">
        <v>8061</v>
      </c>
      <c r="H325">
        <v>1</v>
      </c>
    </row>
    <row r="326" spans="4:9">
      <c r="D326" s="1252" t="s">
        <v>10572</v>
      </c>
      <c r="E326" s="124" t="s">
        <v>15</v>
      </c>
      <c r="F326" s="1056" t="s">
        <v>10573</v>
      </c>
      <c r="G326" s="1250" t="s">
        <v>8061</v>
      </c>
      <c r="I326">
        <v>1</v>
      </c>
    </row>
    <row r="327" spans="4:9" ht="25.5">
      <c r="D327" s="122">
        <v>41451</v>
      </c>
      <c r="E327" s="111" t="s">
        <v>582</v>
      </c>
      <c r="F327" s="1055" t="s">
        <v>10580</v>
      </c>
      <c r="G327" t="s">
        <v>556</v>
      </c>
      <c r="I327">
        <v>1</v>
      </c>
    </row>
    <row r="328" spans="4:9">
      <c r="D328" s="122">
        <v>41455</v>
      </c>
      <c r="E328" s="111" t="s">
        <v>582</v>
      </c>
      <c r="F328" s="1055" t="s">
        <v>10581</v>
      </c>
      <c r="G328" s="941" t="s">
        <v>556</v>
      </c>
    </row>
    <row r="329" spans="4:9">
      <c r="F329" s="1055" t="s">
        <v>10582</v>
      </c>
      <c r="G329" s="941" t="s">
        <v>556</v>
      </c>
      <c r="I329">
        <v>1</v>
      </c>
    </row>
    <row r="330" spans="4:9">
      <c r="F330" s="1055" t="s">
        <v>10583</v>
      </c>
      <c r="G330" s="941" t="s">
        <v>556</v>
      </c>
      <c r="I330">
        <v>1</v>
      </c>
    </row>
    <row r="331" spans="4:9" ht="25.5">
      <c r="F331" s="1055" t="s">
        <v>10584</v>
      </c>
      <c r="G331" s="941" t="s">
        <v>556</v>
      </c>
      <c r="I331">
        <v>1</v>
      </c>
    </row>
    <row r="332" spans="4:9">
      <c r="D332" s="122">
        <v>41455</v>
      </c>
      <c r="E332" s="111" t="s">
        <v>582</v>
      </c>
      <c r="F332" s="1055" t="s">
        <v>10658</v>
      </c>
      <c r="G332" s="849" t="s">
        <v>556</v>
      </c>
      <c r="I332">
        <v>1</v>
      </c>
    </row>
    <row r="333" spans="4:9">
      <c r="D333" s="122">
        <v>41530</v>
      </c>
      <c r="E333" s="124" t="s">
        <v>357</v>
      </c>
      <c r="F333" s="1056" t="s">
        <v>10639</v>
      </c>
      <c r="G333" s="1060" t="s">
        <v>8061</v>
      </c>
      <c r="H333">
        <v>1</v>
      </c>
    </row>
    <row r="334" spans="4:9">
      <c r="D334" s="122">
        <v>41532</v>
      </c>
      <c r="E334" s="124" t="s">
        <v>582</v>
      </c>
      <c r="F334" s="1055" t="s">
        <v>10640</v>
      </c>
      <c r="G334" s="1060" t="s">
        <v>556</v>
      </c>
      <c r="I334">
        <v>1</v>
      </c>
    </row>
    <row r="335" spans="4:9">
      <c r="D335" s="122">
        <v>41532</v>
      </c>
      <c r="E335" s="124" t="s">
        <v>582</v>
      </c>
      <c r="F335" s="1055" t="s">
        <v>10641</v>
      </c>
      <c r="G335" s="849" t="s">
        <v>556</v>
      </c>
      <c r="I335">
        <v>1</v>
      </c>
    </row>
    <row r="336" spans="4:9" ht="25.5">
      <c r="D336" s="122">
        <v>41532</v>
      </c>
      <c r="E336" s="124" t="s">
        <v>582</v>
      </c>
      <c r="F336" s="1055" t="s">
        <v>10642</v>
      </c>
      <c r="G336" s="849" t="s">
        <v>556</v>
      </c>
      <c r="I336">
        <v>1</v>
      </c>
    </row>
    <row r="337" spans="4:9">
      <c r="D337" s="122">
        <v>41532</v>
      </c>
      <c r="E337" s="124" t="s">
        <v>582</v>
      </c>
      <c r="F337" s="1055" t="s">
        <v>10643</v>
      </c>
      <c r="G337" s="849" t="s">
        <v>556</v>
      </c>
      <c r="I337">
        <v>1</v>
      </c>
    </row>
    <row r="338" spans="4:9">
      <c r="D338" s="122">
        <v>41535</v>
      </c>
      <c r="E338" s="124" t="s">
        <v>15</v>
      </c>
      <c r="F338" s="1056" t="s">
        <v>10644</v>
      </c>
      <c r="G338" s="849" t="s">
        <v>8061</v>
      </c>
      <c r="H338">
        <v>1</v>
      </c>
    </row>
    <row r="339" spans="4:9" ht="25.5">
      <c r="D339" s="122">
        <v>41548</v>
      </c>
      <c r="E339" s="124" t="s">
        <v>15</v>
      </c>
      <c r="F339" s="1056" t="s">
        <v>10657</v>
      </c>
      <c r="G339" s="849" t="s">
        <v>8061</v>
      </c>
      <c r="H339">
        <v>1</v>
      </c>
    </row>
    <row r="340" spans="4:9" ht="25.5">
      <c r="D340" s="1252">
        <v>41549</v>
      </c>
      <c r="E340" s="124" t="s">
        <v>10438</v>
      </c>
      <c r="F340" s="1056" t="s">
        <v>10659</v>
      </c>
      <c r="G340" s="849" t="s">
        <v>10085</v>
      </c>
      <c r="I340">
        <v>1</v>
      </c>
    </row>
    <row r="341" spans="4:9" ht="25.5">
      <c r="D341" s="122">
        <v>41554</v>
      </c>
      <c r="E341" s="124" t="s">
        <v>10438</v>
      </c>
      <c r="F341" s="1056" t="s">
        <v>10660</v>
      </c>
      <c r="G341" s="849" t="s">
        <v>10085</v>
      </c>
      <c r="I341" s="941">
        <v>1</v>
      </c>
    </row>
    <row r="342" spans="4:9" ht="25.5">
      <c r="D342" s="122">
        <v>41555</v>
      </c>
      <c r="E342" s="124" t="s">
        <v>10438</v>
      </c>
      <c r="F342" s="1056" t="s">
        <v>10661</v>
      </c>
      <c r="G342" s="849" t="s">
        <v>10085</v>
      </c>
      <c r="I342" s="941">
        <v>1</v>
      </c>
    </row>
    <row r="343" spans="4:9">
      <c r="D343" s="122">
        <v>41563</v>
      </c>
      <c r="E343" s="124" t="s">
        <v>357</v>
      </c>
      <c r="F343" s="1056" t="s">
        <v>10665</v>
      </c>
      <c r="G343" s="849" t="s">
        <v>8061</v>
      </c>
      <c r="H343">
        <v>1</v>
      </c>
    </row>
    <row r="344" spans="4:9">
      <c r="D344" s="122">
        <v>41563</v>
      </c>
      <c r="E344" s="124" t="s">
        <v>357</v>
      </c>
      <c r="F344" s="1056" t="s">
        <v>10666</v>
      </c>
      <c r="G344" s="849" t="s">
        <v>8061</v>
      </c>
      <c r="I344">
        <v>1</v>
      </c>
    </row>
    <row r="345" spans="4:9">
      <c r="D345" s="122">
        <v>41570</v>
      </c>
      <c r="E345" s="111" t="s">
        <v>15</v>
      </c>
      <c r="F345" s="1055" t="s">
        <v>10668</v>
      </c>
      <c r="G345" s="849" t="s">
        <v>8061</v>
      </c>
      <c r="H345">
        <v>1</v>
      </c>
    </row>
    <row r="346" spans="4:9">
      <c r="D346" s="122">
        <v>41571</v>
      </c>
      <c r="E346" s="124" t="s">
        <v>357</v>
      </c>
      <c r="F346" s="1056" t="s">
        <v>10669</v>
      </c>
      <c r="G346" s="849" t="s">
        <v>8061</v>
      </c>
      <c r="H346">
        <v>1</v>
      </c>
    </row>
    <row r="347" spans="4:9">
      <c r="D347" s="122">
        <v>41571</v>
      </c>
      <c r="E347" s="124" t="s">
        <v>357</v>
      </c>
      <c r="F347" s="1056" t="s">
        <v>10670</v>
      </c>
      <c r="G347" s="849" t="s">
        <v>8061</v>
      </c>
      <c r="H347">
        <v>1</v>
      </c>
    </row>
    <row r="348" spans="4:9">
      <c r="D348" s="122">
        <v>41571</v>
      </c>
      <c r="E348" s="124" t="s">
        <v>357</v>
      </c>
      <c r="F348" s="1056" t="s">
        <v>10675</v>
      </c>
      <c r="G348" s="849" t="s">
        <v>8061</v>
      </c>
      <c r="H348" s="941">
        <v>1</v>
      </c>
    </row>
    <row r="349" spans="4:9">
      <c r="D349" s="122">
        <v>41571</v>
      </c>
      <c r="E349" s="124" t="s">
        <v>357</v>
      </c>
      <c r="F349" s="1056" t="s">
        <v>10676</v>
      </c>
      <c r="G349" s="849" t="s">
        <v>8061</v>
      </c>
      <c r="H349" s="941">
        <v>1</v>
      </c>
    </row>
    <row r="350" spans="4:9">
      <c r="D350" s="122">
        <v>41576</v>
      </c>
      <c r="E350" s="124" t="s">
        <v>15</v>
      </c>
      <c r="F350" s="1056" t="s">
        <v>10677</v>
      </c>
      <c r="G350" s="849" t="s">
        <v>8061</v>
      </c>
      <c r="I350">
        <v>1</v>
      </c>
    </row>
    <row r="351" spans="4:9">
      <c r="D351" s="122">
        <v>41586</v>
      </c>
      <c r="E351" s="124" t="s">
        <v>357</v>
      </c>
      <c r="F351" s="1056" t="s">
        <v>10690</v>
      </c>
      <c r="G351" s="849" t="s">
        <v>8061</v>
      </c>
      <c r="I351">
        <v>1</v>
      </c>
    </row>
    <row r="352" spans="4:9">
      <c r="D352" s="122">
        <v>41591</v>
      </c>
      <c r="E352" s="124" t="s">
        <v>357</v>
      </c>
      <c r="F352" s="1056" t="s">
        <v>10691</v>
      </c>
      <c r="G352" s="849" t="s">
        <v>8061</v>
      </c>
      <c r="I352">
        <v>1</v>
      </c>
    </row>
    <row r="353" spans="2:9">
      <c r="B353" s="122">
        <v>41592</v>
      </c>
      <c r="C353" s="122">
        <v>41592</v>
      </c>
      <c r="D353" s="122">
        <v>41592</v>
      </c>
      <c r="E353" s="124" t="s">
        <v>582</v>
      </c>
      <c r="F353" s="1056" t="s">
        <v>10441</v>
      </c>
    </row>
    <row r="354" spans="2:9">
      <c r="B354" s="122">
        <v>41604</v>
      </c>
      <c r="D354" s="122">
        <v>41604</v>
      </c>
      <c r="E354" s="124" t="s">
        <v>15</v>
      </c>
      <c r="F354" s="1056" t="s">
        <v>10695</v>
      </c>
      <c r="G354" s="849" t="s">
        <v>8061</v>
      </c>
      <c r="I354">
        <v>1</v>
      </c>
    </row>
    <row r="355" spans="2:9">
      <c r="D355" s="122">
        <v>41616</v>
      </c>
      <c r="E355" s="124" t="s">
        <v>357</v>
      </c>
      <c r="F355" s="1056" t="s">
        <v>10701</v>
      </c>
      <c r="G355" s="849" t="s">
        <v>8061</v>
      </c>
      <c r="H355">
        <v>1</v>
      </c>
    </row>
    <row r="356" spans="2:9">
      <c r="D356" s="122">
        <v>41624</v>
      </c>
      <c r="E356" s="124" t="s">
        <v>357</v>
      </c>
      <c r="F356" s="1056" t="s">
        <v>10703</v>
      </c>
      <c r="G356" s="849" t="s">
        <v>8061</v>
      </c>
      <c r="H356" s="941">
        <v>1</v>
      </c>
    </row>
    <row r="357" spans="2:9">
      <c r="D357" s="122">
        <v>41630</v>
      </c>
      <c r="E357" s="124" t="s">
        <v>357</v>
      </c>
      <c r="F357" s="1056" t="s">
        <v>10708</v>
      </c>
      <c r="G357" s="849" t="s">
        <v>8061</v>
      </c>
      <c r="I357">
        <v>1</v>
      </c>
    </row>
    <row r="358" spans="2:9">
      <c r="D358" s="122">
        <v>41630</v>
      </c>
      <c r="E358" s="124" t="s">
        <v>357</v>
      </c>
      <c r="F358" s="1056" t="s">
        <v>10709</v>
      </c>
      <c r="G358" s="849" t="s">
        <v>8061</v>
      </c>
      <c r="I358">
        <v>1</v>
      </c>
    </row>
    <row r="359" spans="2:9">
      <c r="B359" s="122">
        <v>41649</v>
      </c>
      <c r="C359" s="122">
        <v>41649</v>
      </c>
      <c r="D359" s="122">
        <v>41649</v>
      </c>
      <c r="E359" s="124" t="s">
        <v>582</v>
      </c>
      <c r="F359" s="1056" t="s">
        <v>10710</v>
      </c>
      <c r="G359" s="849" t="s">
        <v>556</v>
      </c>
    </row>
    <row r="360" spans="2:9">
      <c r="D360" s="122">
        <v>41667</v>
      </c>
      <c r="E360" s="124" t="s">
        <v>10438</v>
      </c>
      <c r="F360" s="1056" t="s">
        <v>10723</v>
      </c>
      <c r="G360" s="849" t="s">
        <v>10085</v>
      </c>
    </row>
    <row r="361" spans="2:9">
      <c r="D361" s="122">
        <v>41667</v>
      </c>
      <c r="E361" s="124" t="s">
        <v>582</v>
      </c>
      <c r="F361" s="1056" t="s">
        <v>10724</v>
      </c>
      <c r="G361" s="849" t="s">
        <v>556</v>
      </c>
      <c r="I361">
        <v>1</v>
      </c>
    </row>
    <row r="362" spans="2:9" ht="25.5">
      <c r="D362" s="122">
        <v>41670</v>
      </c>
      <c r="E362" s="124" t="s">
        <v>582</v>
      </c>
      <c r="F362" s="1056" t="s">
        <v>10726</v>
      </c>
      <c r="G362" s="849" t="s">
        <v>556</v>
      </c>
      <c r="I362">
        <v>1</v>
      </c>
    </row>
    <row r="363" spans="2:9">
      <c r="B363" s="122">
        <v>41670</v>
      </c>
      <c r="C363" s="122">
        <v>41670</v>
      </c>
      <c r="D363" s="122">
        <v>41670</v>
      </c>
      <c r="E363" s="124" t="s">
        <v>582</v>
      </c>
      <c r="F363" s="1056" t="s">
        <v>10727</v>
      </c>
      <c r="G363" s="849" t="s">
        <v>556</v>
      </c>
    </row>
    <row r="364" spans="2:9" ht="25.5">
      <c r="B364" s="122">
        <v>41673</v>
      </c>
      <c r="C364" s="122">
        <v>41673</v>
      </c>
      <c r="D364" s="122">
        <v>41673</v>
      </c>
      <c r="E364" s="1252" t="s">
        <v>10438</v>
      </c>
      <c r="F364" s="1056" t="s">
        <v>10733</v>
      </c>
      <c r="G364" s="849" t="s">
        <v>10085</v>
      </c>
      <c r="I364">
        <v>1</v>
      </c>
    </row>
    <row r="365" spans="2:9">
      <c r="D365" s="122">
        <v>41675</v>
      </c>
      <c r="E365" s="124" t="s">
        <v>582</v>
      </c>
      <c r="F365" s="1056" t="s">
        <v>10738</v>
      </c>
      <c r="G365" s="849" t="s">
        <v>556</v>
      </c>
      <c r="I365">
        <v>1</v>
      </c>
    </row>
    <row r="366" spans="2:9" ht="25.5">
      <c r="D366" s="122">
        <v>41681</v>
      </c>
      <c r="E366" s="124" t="s">
        <v>10438</v>
      </c>
      <c r="F366" s="1056" t="s">
        <v>10739</v>
      </c>
      <c r="G366" s="849" t="s">
        <v>10085</v>
      </c>
      <c r="I366">
        <v>1</v>
      </c>
    </row>
    <row r="367" spans="2:9">
      <c r="D367" s="122">
        <v>41695</v>
      </c>
      <c r="E367" s="124" t="s">
        <v>210</v>
      </c>
      <c r="G367" s="849" t="s">
        <v>10879</v>
      </c>
      <c r="I367">
        <v>1</v>
      </c>
    </row>
    <row r="368" spans="2:9">
      <c r="D368" s="122">
        <v>41696</v>
      </c>
      <c r="E368" s="124" t="s">
        <v>582</v>
      </c>
      <c r="F368" s="1055" t="s">
        <v>10880</v>
      </c>
      <c r="G368" s="849" t="s">
        <v>556</v>
      </c>
      <c r="I368">
        <v>1</v>
      </c>
    </row>
    <row r="369" spans="4:9">
      <c r="D369" s="122">
        <v>41708</v>
      </c>
      <c r="E369" s="124" t="s">
        <v>15</v>
      </c>
      <c r="F369" s="1056" t="s">
        <v>10893</v>
      </c>
      <c r="G369" s="849" t="s">
        <v>8061</v>
      </c>
      <c r="H369">
        <v>1</v>
      </c>
    </row>
    <row r="370" spans="4:9">
      <c r="D370" s="122">
        <v>41709</v>
      </c>
      <c r="E370" s="124" t="s">
        <v>15</v>
      </c>
      <c r="F370" s="1056" t="s">
        <v>10894</v>
      </c>
      <c r="G370" s="849" t="s">
        <v>8061</v>
      </c>
      <c r="H370">
        <v>1</v>
      </c>
    </row>
    <row r="371" spans="4:9">
      <c r="D371" s="122">
        <v>41717</v>
      </c>
      <c r="E371" s="124" t="s">
        <v>357</v>
      </c>
      <c r="F371" s="1056" t="s">
        <v>10895</v>
      </c>
      <c r="G371" s="849" t="s">
        <v>8061</v>
      </c>
      <c r="I371">
        <v>1</v>
      </c>
    </row>
    <row r="372" spans="4:9">
      <c r="D372" s="122">
        <v>41754</v>
      </c>
      <c r="E372" s="124" t="s">
        <v>357</v>
      </c>
      <c r="F372" s="1056" t="s">
        <v>10910</v>
      </c>
      <c r="G372" s="849" t="s">
        <v>8061</v>
      </c>
      <c r="I372">
        <v>1</v>
      </c>
    </row>
    <row r="373" spans="4:9">
      <c r="D373" s="122">
        <v>41759</v>
      </c>
      <c r="E373" s="124" t="s">
        <v>357</v>
      </c>
      <c r="F373" s="1055" t="s">
        <v>10912</v>
      </c>
      <c r="G373" s="849" t="s">
        <v>8061</v>
      </c>
      <c r="I373">
        <v>1</v>
      </c>
    </row>
    <row r="374" spans="4:9">
      <c r="D374" s="122">
        <v>41775</v>
      </c>
      <c r="E374" s="124" t="s">
        <v>357</v>
      </c>
      <c r="F374" s="1056" t="s">
        <v>10920</v>
      </c>
      <c r="G374" s="849" t="s">
        <v>8061</v>
      </c>
      <c r="H374">
        <v>1</v>
      </c>
    </row>
    <row r="375" spans="4:9">
      <c r="D375" s="122">
        <v>41779</v>
      </c>
      <c r="E375" s="124" t="s">
        <v>582</v>
      </c>
      <c r="F375" s="1056" t="s">
        <v>10921</v>
      </c>
      <c r="G375" s="849" t="s">
        <v>556</v>
      </c>
      <c r="I375">
        <v>1</v>
      </c>
    </row>
    <row r="376" spans="4:9">
      <c r="D376" s="122">
        <v>41779</v>
      </c>
      <c r="E376" s="124" t="s">
        <v>357</v>
      </c>
      <c r="F376" s="1056" t="s">
        <v>10922</v>
      </c>
      <c r="G376" s="849" t="s">
        <v>8061</v>
      </c>
      <c r="I376">
        <v>1</v>
      </c>
    </row>
    <row r="377" spans="4:9">
      <c r="D377" s="122">
        <v>41780</v>
      </c>
      <c r="E377" s="124" t="s">
        <v>582</v>
      </c>
      <c r="F377" s="1056" t="s">
        <v>10923</v>
      </c>
      <c r="G377" s="849" t="s">
        <v>556</v>
      </c>
      <c r="I377">
        <v>1</v>
      </c>
    </row>
    <row r="378" spans="4:9">
      <c r="D378" s="122">
        <v>41780</v>
      </c>
      <c r="E378" s="124" t="s">
        <v>357</v>
      </c>
      <c r="F378" s="1056" t="s">
        <v>10925</v>
      </c>
      <c r="G378" s="849" t="s">
        <v>8061</v>
      </c>
      <c r="I378" s="941">
        <v>1</v>
      </c>
    </row>
    <row r="379" spans="4:9">
      <c r="D379" s="122">
        <v>41780</v>
      </c>
      <c r="E379" s="124" t="s">
        <v>357</v>
      </c>
      <c r="F379" s="1056" t="s">
        <v>10926</v>
      </c>
      <c r="G379" s="849" t="s">
        <v>8061</v>
      </c>
      <c r="H379">
        <v>1</v>
      </c>
    </row>
    <row r="380" spans="4:9">
      <c r="D380" s="122">
        <v>41780</v>
      </c>
      <c r="E380" s="124" t="s">
        <v>357</v>
      </c>
      <c r="F380" s="1056" t="s">
        <v>10927</v>
      </c>
      <c r="G380" s="849" t="s">
        <v>8061</v>
      </c>
      <c r="H380" s="941">
        <v>1</v>
      </c>
    </row>
    <row r="381" spans="4:9">
      <c r="D381" s="122">
        <v>41780</v>
      </c>
      <c r="E381" s="124" t="s">
        <v>357</v>
      </c>
      <c r="F381" s="1056" t="s">
        <v>10928</v>
      </c>
      <c r="G381" s="849" t="s">
        <v>8061</v>
      </c>
      <c r="I381">
        <v>1</v>
      </c>
    </row>
    <row r="382" spans="4:9">
      <c r="D382" s="122">
        <v>41780</v>
      </c>
      <c r="E382" s="124" t="s">
        <v>357</v>
      </c>
      <c r="F382" s="1055" t="s">
        <v>10929</v>
      </c>
      <c r="G382" s="849" t="s">
        <v>8061</v>
      </c>
      <c r="I382">
        <v>1</v>
      </c>
    </row>
    <row r="383" spans="4:9">
      <c r="D383" s="122">
        <v>41780</v>
      </c>
      <c r="E383" s="124" t="s">
        <v>357</v>
      </c>
      <c r="F383" s="1056" t="s">
        <v>10930</v>
      </c>
      <c r="G383" s="849" t="s">
        <v>8061</v>
      </c>
      <c r="I383">
        <v>1</v>
      </c>
    </row>
    <row r="384" spans="4:9" ht="38.25">
      <c r="D384" s="122">
        <v>41789</v>
      </c>
      <c r="E384" s="124" t="s">
        <v>582</v>
      </c>
      <c r="F384" s="1056" t="s">
        <v>10932</v>
      </c>
      <c r="G384" s="849" t="s">
        <v>556</v>
      </c>
      <c r="I384">
        <v>5</v>
      </c>
    </row>
    <row r="385" spans="4:9">
      <c r="D385" s="122">
        <v>41793</v>
      </c>
      <c r="E385" s="124" t="s">
        <v>357</v>
      </c>
      <c r="F385" s="1056" t="s">
        <v>10933</v>
      </c>
      <c r="G385" s="849" t="s">
        <v>8061</v>
      </c>
      <c r="H385">
        <v>1</v>
      </c>
    </row>
    <row r="386" spans="4:9">
      <c r="D386" s="122">
        <v>41793</v>
      </c>
      <c r="E386" s="124" t="s">
        <v>357</v>
      </c>
      <c r="F386" s="1056" t="s">
        <v>10934</v>
      </c>
      <c r="G386" s="849" t="s">
        <v>8061</v>
      </c>
      <c r="H386">
        <v>1</v>
      </c>
    </row>
    <row r="387" spans="4:9">
      <c r="D387" s="122">
        <v>41793</v>
      </c>
      <c r="E387" s="124" t="s">
        <v>357</v>
      </c>
      <c r="F387" s="1056" t="s">
        <v>10935</v>
      </c>
      <c r="G387" s="849" t="s">
        <v>8061</v>
      </c>
      <c r="H387" s="941">
        <v>1</v>
      </c>
    </row>
    <row r="388" spans="4:9">
      <c r="D388" s="122">
        <v>41793</v>
      </c>
      <c r="E388" s="124" t="s">
        <v>357</v>
      </c>
      <c r="F388" s="1056" t="s">
        <v>10936</v>
      </c>
      <c r="G388" s="849" t="s">
        <v>8061</v>
      </c>
      <c r="H388" s="941">
        <v>1</v>
      </c>
    </row>
    <row r="389" spans="4:9">
      <c r="D389" s="122">
        <v>41793</v>
      </c>
      <c r="E389" s="124" t="s">
        <v>357</v>
      </c>
      <c r="F389" s="1056" t="s">
        <v>10937</v>
      </c>
      <c r="G389" s="849" t="s">
        <v>8061</v>
      </c>
      <c r="H389">
        <v>1</v>
      </c>
    </row>
    <row r="390" spans="4:9">
      <c r="D390" s="122">
        <v>41802</v>
      </c>
      <c r="E390" s="124" t="s">
        <v>15</v>
      </c>
      <c r="F390" s="1056" t="s">
        <v>10950</v>
      </c>
      <c r="G390" s="849" t="s">
        <v>8061</v>
      </c>
      <c r="H390">
        <v>1</v>
      </c>
    </row>
    <row r="391" spans="4:9">
      <c r="D391" s="122">
        <v>41807</v>
      </c>
      <c r="E391" s="124" t="s">
        <v>357</v>
      </c>
      <c r="F391" s="1056" t="s">
        <v>10954</v>
      </c>
      <c r="G391" s="849" t="s">
        <v>8061</v>
      </c>
      <c r="I391">
        <v>1</v>
      </c>
    </row>
    <row r="392" spans="4:9">
      <c r="E392" s="124" t="s">
        <v>357</v>
      </c>
      <c r="F392" s="1056" t="s">
        <v>10955</v>
      </c>
      <c r="G392" s="849" t="s">
        <v>8061</v>
      </c>
      <c r="H392">
        <v>1</v>
      </c>
    </row>
    <row r="393" spans="4:9">
      <c r="D393" s="122">
        <v>41813</v>
      </c>
      <c r="E393" s="124" t="s">
        <v>357</v>
      </c>
      <c r="F393" s="1056" t="s">
        <v>10956</v>
      </c>
      <c r="G393" s="849" t="s">
        <v>8061</v>
      </c>
      <c r="H393">
        <v>1</v>
      </c>
    </row>
    <row r="394" spans="4:9">
      <c r="D394" s="122">
        <v>41814</v>
      </c>
      <c r="E394" s="124" t="s">
        <v>357</v>
      </c>
      <c r="F394" s="1056" t="s">
        <v>10957</v>
      </c>
      <c r="G394" s="849" t="s">
        <v>8061</v>
      </c>
      <c r="I394">
        <v>1</v>
      </c>
    </row>
    <row r="395" spans="4:9">
      <c r="D395" s="122">
        <v>41823</v>
      </c>
      <c r="E395" s="124" t="s">
        <v>357</v>
      </c>
      <c r="F395" s="1056" t="s">
        <v>10958</v>
      </c>
      <c r="G395" s="849" t="s">
        <v>8061</v>
      </c>
      <c r="I395">
        <v>1</v>
      </c>
    </row>
    <row r="396" spans="4:9">
      <c r="D396" s="122">
        <v>41823</v>
      </c>
      <c r="E396" s="124" t="s">
        <v>357</v>
      </c>
      <c r="F396" s="1056" t="s">
        <v>10959</v>
      </c>
      <c r="G396" s="849" t="s">
        <v>8061</v>
      </c>
      <c r="H396">
        <v>1</v>
      </c>
    </row>
    <row r="397" spans="4:9">
      <c r="D397" s="122">
        <v>41824</v>
      </c>
      <c r="E397" s="124" t="s">
        <v>357</v>
      </c>
      <c r="F397" s="1056" t="s">
        <v>10960</v>
      </c>
      <c r="G397" s="849" t="s">
        <v>8061</v>
      </c>
      <c r="H397">
        <v>1</v>
      </c>
    </row>
    <row r="398" spans="4:9">
      <c r="D398" s="122">
        <v>41824</v>
      </c>
      <c r="E398" s="124" t="s">
        <v>357</v>
      </c>
      <c r="F398" s="1056" t="s">
        <v>10961</v>
      </c>
      <c r="G398" s="849" t="s">
        <v>8061</v>
      </c>
      <c r="H398">
        <v>1</v>
      </c>
    </row>
    <row r="399" spans="4:9">
      <c r="D399" s="122">
        <v>41824</v>
      </c>
      <c r="E399" s="124" t="s">
        <v>357</v>
      </c>
      <c r="F399" s="1056" t="s">
        <v>10962</v>
      </c>
      <c r="G399" s="849" t="s">
        <v>8061</v>
      </c>
      <c r="H399" s="941">
        <v>1</v>
      </c>
    </row>
    <row r="400" spans="4:9">
      <c r="D400" s="122">
        <v>41824</v>
      </c>
      <c r="E400" s="124" t="s">
        <v>357</v>
      </c>
      <c r="F400" s="1056" t="s">
        <v>10963</v>
      </c>
      <c r="G400" s="849" t="s">
        <v>8061</v>
      </c>
      <c r="H400">
        <v>1</v>
      </c>
    </row>
    <row r="401" spans="2:9">
      <c r="D401" s="122">
        <v>41830</v>
      </c>
      <c r="E401" s="124" t="s">
        <v>15</v>
      </c>
      <c r="F401" s="1056" t="s">
        <v>10964</v>
      </c>
      <c r="G401" s="849" t="s">
        <v>8061</v>
      </c>
      <c r="I401">
        <v>1</v>
      </c>
    </row>
    <row r="402" spans="2:9">
      <c r="D402" s="122">
        <v>41830</v>
      </c>
      <c r="E402" s="124" t="s">
        <v>15</v>
      </c>
      <c r="F402" s="1056" t="s">
        <v>10965</v>
      </c>
      <c r="G402" s="849" t="s">
        <v>8061</v>
      </c>
      <c r="H402">
        <v>1</v>
      </c>
    </row>
    <row r="403" spans="2:9">
      <c r="D403" s="122">
        <v>41831</v>
      </c>
      <c r="E403" s="124" t="s">
        <v>15</v>
      </c>
      <c r="F403" s="1056" t="s">
        <v>10966</v>
      </c>
      <c r="G403" s="849" t="s">
        <v>8061</v>
      </c>
      <c r="I403">
        <v>1</v>
      </c>
    </row>
    <row r="404" spans="2:9">
      <c r="B404" s="122">
        <v>41832</v>
      </c>
      <c r="D404" s="122">
        <v>41832</v>
      </c>
      <c r="E404" s="124" t="s">
        <v>582</v>
      </c>
      <c r="F404" s="1056" t="s">
        <v>10967</v>
      </c>
      <c r="G404" s="849" t="s">
        <v>556</v>
      </c>
    </row>
    <row r="405" spans="2:9">
      <c r="D405" s="122">
        <v>41834</v>
      </c>
      <c r="E405" s="124" t="s">
        <v>582</v>
      </c>
      <c r="F405" s="1055" t="s">
        <v>10968</v>
      </c>
      <c r="G405" s="849" t="s">
        <v>556</v>
      </c>
      <c r="I405">
        <v>1</v>
      </c>
    </row>
    <row r="406" spans="2:9" ht="25.5">
      <c r="D406" s="122">
        <v>41834</v>
      </c>
      <c r="E406" s="124" t="s">
        <v>582</v>
      </c>
      <c r="F406" s="1055" t="s">
        <v>10969</v>
      </c>
      <c r="G406" s="849" t="s">
        <v>556</v>
      </c>
      <c r="I406">
        <v>1</v>
      </c>
    </row>
    <row r="407" spans="2:9">
      <c r="D407" s="122">
        <v>41834</v>
      </c>
      <c r="E407" s="111" t="s">
        <v>582</v>
      </c>
      <c r="F407" s="1055" t="s">
        <v>10970</v>
      </c>
      <c r="G407" t="s">
        <v>556</v>
      </c>
      <c r="I407">
        <v>1</v>
      </c>
    </row>
    <row r="408" spans="2:9">
      <c r="D408" s="122">
        <v>41834</v>
      </c>
      <c r="E408" s="111" t="s">
        <v>582</v>
      </c>
      <c r="F408" s="1056" t="s">
        <v>10973</v>
      </c>
      <c r="G408" t="s">
        <v>556</v>
      </c>
      <c r="I408">
        <v>1</v>
      </c>
    </row>
    <row r="409" spans="2:9" ht="25.5">
      <c r="D409" s="122">
        <v>41834</v>
      </c>
      <c r="E409" s="111" t="s">
        <v>582</v>
      </c>
      <c r="F409" s="1055" t="s">
        <v>10971</v>
      </c>
      <c r="G409" t="s">
        <v>556</v>
      </c>
      <c r="I409">
        <v>1</v>
      </c>
    </row>
    <row r="410" spans="2:9">
      <c r="B410" s="122"/>
      <c r="D410" s="122">
        <v>41834</v>
      </c>
      <c r="E410" s="111" t="s">
        <v>582</v>
      </c>
      <c r="F410" s="1055" t="s">
        <v>10972</v>
      </c>
      <c r="G410" t="s">
        <v>556</v>
      </c>
      <c r="I410">
        <v>1</v>
      </c>
    </row>
    <row r="411" spans="2:9">
      <c r="B411" s="122">
        <v>41834</v>
      </c>
      <c r="D411" s="122">
        <v>41834</v>
      </c>
      <c r="E411" s="124" t="s">
        <v>582</v>
      </c>
      <c r="F411" s="1056" t="s">
        <v>10974</v>
      </c>
      <c r="G411" s="849" t="s">
        <v>556</v>
      </c>
      <c r="I411">
        <v>1</v>
      </c>
    </row>
    <row r="412" spans="2:9">
      <c r="D412" s="122">
        <v>41834</v>
      </c>
      <c r="E412" s="124" t="s">
        <v>15</v>
      </c>
      <c r="F412" s="1056" t="s">
        <v>10975</v>
      </c>
      <c r="G412" s="849" t="s">
        <v>8061</v>
      </c>
      <c r="I412">
        <v>1</v>
      </c>
    </row>
    <row r="413" spans="2:9">
      <c r="D413" s="122">
        <v>41837</v>
      </c>
      <c r="E413" s="124" t="s">
        <v>357</v>
      </c>
      <c r="F413" s="1056" t="s">
        <v>10976</v>
      </c>
      <c r="G413" s="849" t="s">
        <v>8061</v>
      </c>
      <c r="I413">
        <v>1</v>
      </c>
    </row>
    <row r="414" spans="2:9">
      <c r="D414" s="122">
        <v>41837</v>
      </c>
      <c r="E414" s="124" t="s">
        <v>357</v>
      </c>
      <c r="F414" s="1056" t="s">
        <v>10977</v>
      </c>
      <c r="G414" s="849" t="s">
        <v>8061</v>
      </c>
      <c r="I414">
        <v>1</v>
      </c>
    </row>
    <row r="415" spans="2:9">
      <c r="D415" s="122">
        <v>41837</v>
      </c>
      <c r="E415" s="124" t="s">
        <v>357</v>
      </c>
      <c r="F415" s="1056" t="s">
        <v>10978</v>
      </c>
      <c r="G415" s="849" t="s">
        <v>8061</v>
      </c>
      <c r="H415">
        <v>1</v>
      </c>
    </row>
    <row r="416" spans="2:9">
      <c r="D416" s="122">
        <v>41842</v>
      </c>
      <c r="E416" s="124" t="s">
        <v>357</v>
      </c>
      <c r="F416" s="1056" t="s">
        <v>10979</v>
      </c>
      <c r="G416" s="849" t="s">
        <v>8061</v>
      </c>
      <c r="I416">
        <v>1</v>
      </c>
    </row>
    <row r="417" spans="2:9">
      <c r="D417" s="122">
        <v>41842</v>
      </c>
      <c r="E417" s="124" t="s">
        <v>357</v>
      </c>
      <c r="F417" s="1056" t="s">
        <v>10980</v>
      </c>
      <c r="G417" s="849" t="s">
        <v>8061</v>
      </c>
      <c r="I417">
        <v>1</v>
      </c>
    </row>
    <row r="418" spans="2:9" ht="76.5">
      <c r="D418" s="122">
        <v>41842</v>
      </c>
      <c r="E418" s="124" t="s">
        <v>10438</v>
      </c>
      <c r="F418" s="1056" t="s">
        <v>10982</v>
      </c>
      <c r="G418" s="849" t="s">
        <v>10085</v>
      </c>
      <c r="I418">
        <v>1</v>
      </c>
    </row>
    <row r="419" spans="2:9">
      <c r="D419" s="122">
        <v>41851</v>
      </c>
      <c r="E419" s="124" t="s">
        <v>582</v>
      </c>
      <c r="F419" s="1056" t="s">
        <v>10981</v>
      </c>
      <c r="G419" s="849" t="s">
        <v>556</v>
      </c>
      <c r="H419" s="941"/>
      <c r="I419" s="941">
        <v>1</v>
      </c>
    </row>
    <row r="420" spans="2:9">
      <c r="D420" s="122">
        <v>41865</v>
      </c>
      <c r="E420" s="124" t="s">
        <v>357</v>
      </c>
      <c r="F420" s="1056" t="s">
        <v>10984</v>
      </c>
      <c r="G420" s="849" t="s">
        <v>8061</v>
      </c>
      <c r="I420">
        <v>1</v>
      </c>
    </row>
    <row r="421" spans="2:9">
      <c r="D421" s="122">
        <v>41872</v>
      </c>
      <c r="E421" s="124" t="s">
        <v>357</v>
      </c>
      <c r="F421" s="1056" t="s">
        <v>10985</v>
      </c>
      <c r="G421" s="849" t="s">
        <v>8061</v>
      </c>
      <c r="H421" s="941"/>
      <c r="I421" s="941">
        <v>1</v>
      </c>
    </row>
    <row r="422" spans="2:9" ht="63.75">
      <c r="D422" s="122">
        <v>41872</v>
      </c>
      <c r="E422" s="124" t="s">
        <v>10987</v>
      </c>
      <c r="F422" s="1056" t="s">
        <v>10988</v>
      </c>
      <c r="G422" s="849" t="s">
        <v>10085</v>
      </c>
      <c r="H422" s="941"/>
      <c r="I422" s="941">
        <v>4</v>
      </c>
    </row>
    <row r="423" spans="2:9" ht="25.5">
      <c r="D423" s="122">
        <v>41878</v>
      </c>
      <c r="E423" s="124" t="s">
        <v>10987</v>
      </c>
      <c r="F423" s="1056" t="s">
        <v>10989</v>
      </c>
      <c r="G423" s="849" t="s">
        <v>10085</v>
      </c>
      <c r="I423">
        <v>2</v>
      </c>
    </row>
    <row r="424" spans="2:9">
      <c r="B424" s="124" t="s">
        <v>10991</v>
      </c>
      <c r="D424" s="122">
        <v>41879</v>
      </c>
      <c r="E424" s="111" t="s">
        <v>582</v>
      </c>
      <c r="F424" s="1055" t="s">
        <v>10990</v>
      </c>
      <c r="G424" t="s">
        <v>556</v>
      </c>
    </row>
    <row r="425" spans="2:9" ht="38.25">
      <c r="B425" s="124" t="s">
        <v>10995</v>
      </c>
      <c r="D425" s="122">
        <v>41879</v>
      </c>
      <c r="E425" s="111" t="s">
        <v>582</v>
      </c>
      <c r="F425" s="1055" t="s">
        <v>10994</v>
      </c>
      <c r="G425" t="s">
        <v>556</v>
      </c>
    </row>
    <row r="426" spans="2:9">
      <c r="B426" s="124" t="s">
        <v>10996</v>
      </c>
      <c r="D426" s="122">
        <v>41879</v>
      </c>
      <c r="E426" s="111" t="s">
        <v>15</v>
      </c>
      <c r="F426" s="1055" t="s">
        <v>10998</v>
      </c>
    </row>
    <row r="427" spans="2:9" ht="25.5">
      <c r="B427" s="124" t="s">
        <v>10997</v>
      </c>
      <c r="D427" s="122">
        <v>41879</v>
      </c>
      <c r="E427" s="111" t="s">
        <v>15</v>
      </c>
      <c r="F427" s="1056" t="s">
        <v>10999</v>
      </c>
      <c r="G427" s="849" t="s">
        <v>8061</v>
      </c>
    </row>
    <row r="428" spans="2:9" ht="25.5">
      <c r="B428" s="124" t="s">
        <v>11001</v>
      </c>
      <c r="D428" s="122">
        <v>41879</v>
      </c>
      <c r="E428" s="111" t="s">
        <v>15</v>
      </c>
      <c r="F428" s="1055" t="s">
        <v>11000</v>
      </c>
      <c r="G428" s="849" t="s">
        <v>8061</v>
      </c>
    </row>
    <row r="429" spans="2:9" ht="25.5">
      <c r="D429" s="122">
        <v>41885</v>
      </c>
      <c r="E429" s="111" t="s">
        <v>15</v>
      </c>
      <c r="F429" s="1056" t="s">
        <v>11005</v>
      </c>
      <c r="G429" s="849" t="s">
        <v>8061</v>
      </c>
      <c r="H429">
        <v>1</v>
      </c>
    </row>
    <row r="430" spans="2:9">
      <c r="D430" s="122">
        <v>41891</v>
      </c>
      <c r="E430" s="124" t="s">
        <v>15</v>
      </c>
      <c r="F430" s="1056" t="s">
        <v>11006</v>
      </c>
      <c r="G430" s="849" t="s">
        <v>8061</v>
      </c>
      <c r="H430">
        <v>1</v>
      </c>
    </row>
    <row r="431" spans="2:9">
      <c r="D431" s="122">
        <v>41892</v>
      </c>
      <c r="E431" s="124" t="s">
        <v>15</v>
      </c>
      <c r="F431" s="1056" t="s">
        <v>11007</v>
      </c>
      <c r="G431" s="849" t="s">
        <v>8061</v>
      </c>
      <c r="H431">
        <v>1</v>
      </c>
    </row>
    <row r="432" spans="2:9">
      <c r="D432" s="122">
        <v>41897</v>
      </c>
      <c r="E432" s="124" t="s">
        <v>15</v>
      </c>
      <c r="F432" s="1055" t="s">
        <v>11028</v>
      </c>
      <c r="G432" s="849" t="s">
        <v>8061</v>
      </c>
      <c r="H432" s="941">
        <v>1</v>
      </c>
      <c r="I432" s="941"/>
    </row>
    <row r="433" spans="2:9">
      <c r="D433" s="122">
        <v>41897</v>
      </c>
      <c r="E433" s="124" t="s">
        <v>357</v>
      </c>
      <c r="F433" s="1056" t="s">
        <v>11029</v>
      </c>
      <c r="G433" s="849" t="s">
        <v>8061</v>
      </c>
      <c r="I433">
        <v>1</v>
      </c>
    </row>
    <row r="434" spans="2:9">
      <c r="D434" s="122">
        <v>41898</v>
      </c>
      <c r="E434" s="124" t="s">
        <v>15</v>
      </c>
      <c r="F434" s="1056" t="s">
        <v>11030</v>
      </c>
      <c r="G434" s="849" t="s">
        <v>8061</v>
      </c>
      <c r="I434">
        <v>1</v>
      </c>
    </row>
    <row r="435" spans="2:9" s="941" customFormat="1">
      <c r="B435" s="111"/>
      <c r="C435" s="111"/>
      <c r="D435" s="122">
        <v>41902</v>
      </c>
      <c r="E435" s="124" t="s">
        <v>357</v>
      </c>
      <c r="F435" s="1056" t="s">
        <v>11033</v>
      </c>
      <c r="G435" s="849" t="s">
        <v>8061</v>
      </c>
      <c r="H435" s="941">
        <v>1</v>
      </c>
    </row>
    <row r="436" spans="2:9">
      <c r="D436" s="122">
        <v>41903</v>
      </c>
      <c r="E436" s="124" t="s">
        <v>357</v>
      </c>
      <c r="F436" s="1056" t="s">
        <v>11031</v>
      </c>
      <c r="G436" s="849" t="s">
        <v>8061</v>
      </c>
      <c r="H436">
        <v>1</v>
      </c>
    </row>
    <row r="437" spans="2:9">
      <c r="D437" s="122">
        <v>41903</v>
      </c>
      <c r="E437" s="124" t="s">
        <v>357</v>
      </c>
      <c r="F437" s="1056" t="s">
        <v>11032</v>
      </c>
      <c r="G437" s="849" t="s">
        <v>8061</v>
      </c>
      <c r="H437">
        <v>1</v>
      </c>
    </row>
    <row r="438" spans="2:9">
      <c r="D438" s="122">
        <v>41914</v>
      </c>
      <c r="E438" s="124" t="s">
        <v>357</v>
      </c>
      <c r="F438" s="1056" t="s">
        <v>11036</v>
      </c>
      <c r="G438" s="849" t="s">
        <v>8061</v>
      </c>
      <c r="H438" s="941"/>
      <c r="I438" s="941">
        <v>1</v>
      </c>
    </row>
    <row r="439" spans="2:9">
      <c r="D439" s="122">
        <v>41915</v>
      </c>
      <c r="E439" s="124" t="s">
        <v>15</v>
      </c>
      <c r="F439" s="1056" t="s">
        <v>11044</v>
      </c>
      <c r="G439" s="849" t="s">
        <v>8061</v>
      </c>
      <c r="I439">
        <v>1</v>
      </c>
    </row>
    <row r="440" spans="2:9">
      <c r="D440" s="122">
        <v>41915</v>
      </c>
      <c r="E440" s="124" t="s">
        <v>15</v>
      </c>
      <c r="F440" s="1056" t="s">
        <v>11046</v>
      </c>
      <c r="G440" s="849" t="s">
        <v>8061</v>
      </c>
      <c r="H440">
        <v>1</v>
      </c>
    </row>
    <row r="441" spans="2:9">
      <c r="D441" s="122">
        <v>41919</v>
      </c>
      <c r="E441" s="124" t="s">
        <v>15</v>
      </c>
      <c r="F441" s="1056" t="s">
        <v>11045</v>
      </c>
      <c r="G441" s="849" t="s">
        <v>8061</v>
      </c>
      <c r="H441">
        <v>1</v>
      </c>
      <c r="I441">
        <v>1</v>
      </c>
    </row>
    <row r="442" spans="2:9">
      <c r="D442" s="122">
        <v>41920</v>
      </c>
      <c r="E442" s="124" t="s">
        <v>15</v>
      </c>
      <c r="F442" s="1056" t="s">
        <v>11047</v>
      </c>
      <c r="G442" s="849" t="s">
        <v>8061</v>
      </c>
      <c r="I442">
        <v>1</v>
      </c>
    </row>
    <row r="443" spans="2:9">
      <c r="D443" s="122">
        <v>41920</v>
      </c>
      <c r="E443" s="124" t="s">
        <v>15</v>
      </c>
      <c r="F443" s="1056" t="s">
        <v>11048</v>
      </c>
      <c r="G443" s="849" t="s">
        <v>8061</v>
      </c>
      <c r="H443">
        <v>1</v>
      </c>
    </row>
    <row r="444" spans="2:9">
      <c r="D444" s="122">
        <v>41921</v>
      </c>
      <c r="E444" s="124" t="s">
        <v>15</v>
      </c>
      <c r="F444" s="1056" t="s">
        <v>11050</v>
      </c>
      <c r="G444" s="849" t="s">
        <v>8061</v>
      </c>
      <c r="H444">
        <v>1</v>
      </c>
    </row>
    <row r="445" spans="2:9">
      <c r="D445" s="122">
        <v>41921</v>
      </c>
      <c r="E445" s="124" t="s">
        <v>15</v>
      </c>
      <c r="F445" s="1056" t="s">
        <v>11049</v>
      </c>
      <c r="G445" s="849" t="s">
        <v>8061</v>
      </c>
      <c r="H445" s="941"/>
      <c r="I445" s="941">
        <v>1</v>
      </c>
    </row>
    <row r="446" spans="2:9">
      <c r="D446" s="122">
        <v>41925</v>
      </c>
      <c r="E446" s="124" t="s">
        <v>15</v>
      </c>
      <c r="F446" s="1056" t="s">
        <v>11051</v>
      </c>
      <c r="G446" s="849" t="s">
        <v>8061</v>
      </c>
      <c r="I446">
        <v>1</v>
      </c>
    </row>
    <row r="447" spans="2:9">
      <c r="D447" s="122">
        <v>41925</v>
      </c>
      <c r="E447" s="124" t="s">
        <v>357</v>
      </c>
      <c r="F447" s="1056" t="s">
        <v>11052</v>
      </c>
      <c r="G447" s="849" t="s">
        <v>8061</v>
      </c>
      <c r="I447">
        <v>1</v>
      </c>
    </row>
    <row r="448" spans="2:9" ht="89.25">
      <c r="D448" s="122">
        <v>41929</v>
      </c>
      <c r="E448" s="124" t="s">
        <v>10987</v>
      </c>
      <c r="F448" s="1056" t="s">
        <v>11053</v>
      </c>
      <c r="G448" s="849" t="s">
        <v>10085</v>
      </c>
      <c r="H448" s="941"/>
      <c r="I448" s="941">
        <v>2</v>
      </c>
    </row>
    <row r="449" spans="4:9" ht="76.5">
      <c r="D449" s="122">
        <v>41933</v>
      </c>
      <c r="E449" s="124" t="s">
        <v>10987</v>
      </c>
      <c r="F449" s="1056" t="s">
        <v>11055</v>
      </c>
      <c r="G449" s="849" t="s">
        <v>10085</v>
      </c>
      <c r="I449">
        <v>1</v>
      </c>
    </row>
    <row r="450" spans="4:9">
      <c r="D450" s="122">
        <v>41940</v>
      </c>
      <c r="E450" s="124" t="s">
        <v>582</v>
      </c>
      <c r="F450" s="1056" t="s">
        <v>11056</v>
      </c>
      <c r="G450" s="849" t="s">
        <v>556</v>
      </c>
      <c r="I450">
        <v>1</v>
      </c>
    </row>
    <row r="451" spans="4:9">
      <c r="D451" s="122">
        <v>41940</v>
      </c>
      <c r="E451" s="124" t="s">
        <v>15</v>
      </c>
      <c r="F451" s="1056" t="s">
        <v>11057</v>
      </c>
      <c r="G451" s="849" t="s">
        <v>8061</v>
      </c>
      <c r="I451">
        <v>1</v>
      </c>
    </row>
    <row r="452" spans="4:9">
      <c r="D452" s="122">
        <v>41942</v>
      </c>
      <c r="E452" s="124" t="s">
        <v>15</v>
      </c>
      <c r="F452" s="1056" t="s">
        <v>11058</v>
      </c>
      <c r="G452" s="849" t="s">
        <v>8061</v>
      </c>
      <c r="I452">
        <v>1</v>
      </c>
    </row>
    <row r="453" spans="4:9">
      <c r="D453" s="122">
        <v>41944</v>
      </c>
      <c r="E453" s="124" t="s">
        <v>15</v>
      </c>
      <c r="F453" s="1056" t="s">
        <v>11060</v>
      </c>
      <c r="G453" s="849" t="s">
        <v>8061</v>
      </c>
      <c r="I453">
        <v>1</v>
      </c>
    </row>
    <row r="454" spans="4:9">
      <c r="D454" s="122">
        <v>41944</v>
      </c>
      <c r="E454" s="124" t="s">
        <v>582</v>
      </c>
      <c r="F454" s="1056" t="s">
        <v>11061</v>
      </c>
      <c r="G454" s="849" t="s">
        <v>556</v>
      </c>
      <c r="I454">
        <v>1</v>
      </c>
    </row>
    <row r="455" spans="4:9" ht="25.5">
      <c r="D455" s="122">
        <v>41946</v>
      </c>
      <c r="E455" s="124" t="s">
        <v>10987</v>
      </c>
      <c r="F455" s="1056" t="s">
        <v>11062</v>
      </c>
      <c r="G455" s="849" t="s">
        <v>10085</v>
      </c>
      <c r="I455">
        <v>1</v>
      </c>
    </row>
    <row r="456" spans="4:9">
      <c r="D456" s="122">
        <v>41946</v>
      </c>
      <c r="E456" s="124" t="s">
        <v>357</v>
      </c>
      <c r="F456" s="1056" t="s">
        <v>11063</v>
      </c>
      <c r="G456" s="849" t="s">
        <v>8061</v>
      </c>
      <c r="H456">
        <v>1</v>
      </c>
    </row>
    <row r="457" spans="4:9">
      <c r="D457" s="122">
        <v>41946</v>
      </c>
      <c r="E457" s="124" t="s">
        <v>357</v>
      </c>
      <c r="F457" s="1056" t="s">
        <v>11064</v>
      </c>
      <c r="G457" s="849" t="s">
        <v>8061</v>
      </c>
      <c r="H457">
        <v>1</v>
      </c>
    </row>
    <row r="458" spans="4:9">
      <c r="D458" s="122">
        <v>41947</v>
      </c>
      <c r="E458" s="124" t="s">
        <v>15</v>
      </c>
      <c r="F458" s="1056" t="s">
        <v>11065</v>
      </c>
      <c r="G458" s="849" t="s">
        <v>8061</v>
      </c>
      <c r="H458">
        <v>1</v>
      </c>
    </row>
    <row r="459" spans="4:9">
      <c r="D459" s="122">
        <v>41949</v>
      </c>
      <c r="E459" s="124" t="s">
        <v>15</v>
      </c>
      <c r="F459" s="1056" t="s">
        <v>11070</v>
      </c>
      <c r="G459" s="849" t="s">
        <v>8061</v>
      </c>
      <c r="I459">
        <v>1</v>
      </c>
    </row>
    <row r="460" spans="4:9">
      <c r="D460" s="122">
        <v>41950</v>
      </c>
      <c r="E460" s="124" t="s">
        <v>357</v>
      </c>
      <c r="F460" s="1056" t="s">
        <v>11071</v>
      </c>
      <c r="G460" s="849" t="s">
        <v>8061</v>
      </c>
      <c r="I460">
        <v>1</v>
      </c>
    </row>
    <row r="461" spans="4:9">
      <c r="D461" s="122">
        <v>41954</v>
      </c>
      <c r="E461" s="124" t="s">
        <v>15</v>
      </c>
      <c r="F461" s="1056" t="s">
        <v>11072</v>
      </c>
      <c r="G461" s="849" t="s">
        <v>8061</v>
      </c>
      <c r="I461">
        <v>1</v>
      </c>
    </row>
    <row r="462" spans="4:9" ht="25.5">
      <c r="D462" s="122">
        <v>41954</v>
      </c>
      <c r="E462" s="124" t="s">
        <v>10438</v>
      </c>
      <c r="F462" s="1056" t="s">
        <v>11073</v>
      </c>
      <c r="G462" s="849" t="s">
        <v>10085</v>
      </c>
      <c r="I462">
        <v>1</v>
      </c>
    </row>
    <row r="463" spans="4:9">
      <c r="D463" s="122">
        <v>41954</v>
      </c>
      <c r="E463" s="124" t="s">
        <v>357</v>
      </c>
      <c r="F463" s="1056" t="s">
        <v>11074</v>
      </c>
      <c r="G463" s="849" t="s">
        <v>8061</v>
      </c>
      <c r="H463">
        <v>1</v>
      </c>
    </row>
    <row r="464" spans="4:9">
      <c r="D464" s="122">
        <v>41957</v>
      </c>
      <c r="E464" s="124" t="s">
        <v>357</v>
      </c>
      <c r="F464" s="1056" t="s">
        <v>11084</v>
      </c>
      <c r="G464" s="849" t="s">
        <v>8061</v>
      </c>
      <c r="I464">
        <v>1</v>
      </c>
    </row>
    <row r="465" spans="4:9">
      <c r="D465" s="122">
        <v>41957</v>
      </c>
      <c r="E465" s="124" t="s">
        <v>357</v>
      </c>
      <c r="F465" s="1056" t="s">
        <v>11085</v>
      </c>
      <c r="G465" s="849" t="s">
        <v>8061</v>
      </c>
      <c r="I465">
        <v>1</v>
      </c>
    </row>
    <row r="466" spans="4:9" ht="25.5">
      <c r="D466" s="122">
        <v>41957</v>
      </c>
      <c r="E466" s="124" t="s">
        <v>582</v>
      </c>
      <c r="F466" s="1056" t="s">
        <v>11086</v>
      </c>
      <c r="G466" s="849" t="s">
        <v>556</v>
      </c>
      <c r="I466">
        <v>1</v>
      </c>
    </row>
    <row r="467" spans="4:9">
      <c r="D467" s="122">
        <v>41962</v>
      </c>
      <c r="E467" s="124" t="s">
        <v>15</v>
      </c>
      <c r="F467" s="1056" t="s">
        <v>11087</v>
      </c>
      <c r="G467" s="849" t="s">
        <v>8061</v>
      </c>
      <c r="I467">
        <v>1</v>
      </c>
    </row>
    <row r="468" spans="4:9">
      <c r="D468" s="122">
        <v>41963</v>
      </c>
      <c r="E468" s="124" t="s">
        <v>15</v>
      </c>
      <c r="F468" s="1056" t="s">
        <v>11088</v>
      </c>
      <c r="G468" s="849" t="s">
        <v>8061</v>
      </c>
      <c r="I468">
        <v>1</v>
      </c>
    </row>
    <row r="469" spans="4:9">
      <c r="D469" s="122">
        <v>41963</v>
      </c>
      <c r="E469" s="124" t="s">
        <v>15</v>
      </c>
      <c r="F469" s="1056" t="s">
        <v>11089</v>
      </c>
      <c r="G469" s="849" t="s">
        <v>8061</v>
      </c>
      <c r="I469">
        <v>1</v>
      </c>
    </row>
    <row r="470" spans="4:9">
      <c r="D470" s="122">
        <v>41963</v>
      </c>
      <c r="E470" s="124" t="s">
        <v>15</v>
      </c>
      <c r="F470" s="1056" t="s">
        <v>11090</v>
      </c>
      <c r="G470" s="849" t="s">
        <v>8061</v>
      </c>
      <c r="H470" s="941"/>
      <c r="I470" s="941">
        <v>1</v>
      </c>
    </row>
    <row r="471" spans="4:9">
      <c r="D471" s="122">
        <v>41966</v>
      </c>
      <c r="E471" s="124" t="s">
        <v>357</v>
      </c>
      <c r="F471" s="1056" t="s">
        <v>11092</v>
      </c>
      <c r="G471" s="849" t="s">
        <v>8061</v>
      </c>
      <c r="I471">
        <v>1</v>
      </c>
    </row>
    <row r="472" spans="4:9">
      <c r="D472" s="122">
        <v>41966</v>
      </c>
      <c r="E472" s="124" t="s">
        <v>357</v>
      </c>
      <c r="F472" s="1056" t="s">
        <v>11093</v>
      </c>
      <c r="G472" s="849" t="s">
        <v>8061</v>
      </c>
      <c r="I472">
        <v>1</v>
      </c>
    </row>
    <row r="473" spans="4:9">
      <c r="D473" s="122">
        <v>41967</v>
      </c>
      <c r="E473" s="124" t="s">
        <v>357</v>
      </c>
      <c r="F473" s="1056" t="s">
        <v>11094</v>
      </c>
      <c r="G473" s="849" t="s">
        <v>8061</v>
      </c>
      <c r="I473" s="941">
        <v>1</v>
      </c>
    </row>
    <row r="474" spans="4:9">
      <c r="D474" s="122">
        <v>41968</v>
      </c>
      <c r="E474" s="124" t="s">
        <v>357</v>
      </c>
      <c r="F474" s="1056" t="s">
        <v>11095</v>
      </c>
      <c r="G474" s="849" t="s">
        <v>8061</v>
      </c>
      <c r="I474" s="941">
        <v>1</v>
      </c>
    </row>
    <row r="475" spans="4:9">
      <c r="D475" s="122">
        <v>41976</v>
      </c>
      <c r="E475" s="124" t="s">
        <v>582</v>
      </c>
      <c r="F475" s="1056" t="s">
        <v>10452</v>
      </c>
      <c r="G475" s="849" t="s">
        <v>556</v>
      </c>
      <c r="I475">
        <v>1</v>
      </c>
    </row>
    <row r="476" spans="4:9">
      <c r="D476" s="122">
        <v>41985</v>
      </c>
      <c r="E476" s="124" t="s">
        <v>357</v>
      </c>
      <c r="F476" s="1056" t="s">
        <v>11099</v>
      </c>
      <c r="G476" s="849" t="s">
        <v>8061</v>
      </c>
      <c r="I476">
        <v>1</v>
      </c>
    </row>
    <row r="477" spans="4:9">
      <c r="D477" s="122">
        <v>42023</v>
      </c>
      <c r="E477" s="124" t="s">
        <v>357</v>
      </c>
      <c r="F477" s="1056" t="s">
        <v>11103</v>
      </c>
      <c r="G477" s="849" t="s">
        <v>8061</v>
      </c>
      <c r="I477" s="941">
        <v>1</v>
      </c>
    </row>
    <row r="478" spans="4:9">
      <c r="D478" s="122">
        <v>42030</v>
      </c>
      <c r="E478" s="124" t="s">
        <v>357</v>
      </c>
      <c r="F478" s="1056" t="s">
        <v>11106</v>
      </c>
      <c r="G478" s="849" t="s">
        <v>8061</v>
      </c>
      <c r="H478">
        <v>1</v>
      </c>
    </row>
    <row r="479" spans="4:9">
      <c r="D479" s="122">
        <v>42030</v>
      </c>
      <c r="E479" s="124" t="s">
        <v>357</v>
      </c>
      <c r="F479" s="1056" t="s">
        <v>11107</v>
      </c>
      <c r="G479" s="849" t="s">
        <v>8061</v>
      </c>
      <c r="H479" s="941">
        <v>1</v>
      </c>
    </row>
    <row r="480" spans="4:9">
      <c r="D480" s="122">
        <v>42044</v>
      </c>
      <c r="E480" s="124" t="s">
        <v>357</v>
      </c>
      <c r="F480" s="1056" t="s">
        <v>11109</v>
      </c>
      <c r="G480" s="849" t="s">
        <v>8061</v>
      </c>
      <c r="H480">
        <v>1</v>
      </c>
    </row>
    <row r="481" spans="4:9">
      <c r="D481" s="122">
        <v>42057</v>
      </c>
      <c r="E481" s="124" t="s">
        <v>357</v>
      </c>
      <c r="F481" s="1056" t="s">
        <v>11112</v>
      </c>
      <c r="G481" s="849" t="s">
        <v>8061</v>
      </c>
      <c r="H481" s="941">
        <v>1</v>
      </c>
    </row>
    <row r="482" spans="4:9">
      <c r="D482" s="122">
        <v>42060</v>
      </c>
      <c r="E482" s="124" t="s">
        <v>357</v>
      </c>
      <c r="F482" s="1056" t="s">
        <v>11114</v>
      </c>
      <c r="G482" s="849" t="s">
        <v>8061</v>
      </c>
      <c r="H482">
        <v>1</v>
      </c>
    </row>
    <row r="483" spans="4:9">
      <c r="D483" s="122">
        <v>42068</v>
      </c>
      <c r="E483" s="124" t="s">
        <v>357</v>
      </c>
      <c r="F483" s="1056" t="s">
        <v>11116</v>
      </c>
      <c r="G483" s="849" t="s">
        <v>8061</v>
      </c>
      <c r="H483" s="941">
        <v>1</v>
      </c>
    </row>
    <row r="484" spans="4:9">
      <c r="D484" s="122">
        <v>42068</v>
      </c>
      <c r="E484" s="124" t="s">
        <v>357</v>
      </c>
      <c r="F484" s="1056" t="s">
        <v>11117</v>
      </c>
      <c r="G484" s="849" t="s">
        <v>8061</v>
      </c>
      <c r="H484" s="941"/>
      <c r="I484">
        <v>1</v>
      </c>
    </row>
    <row r="485" spans="4:9">
      <c r="D485" s="122">
        <v>42074</v>
      </c>
      <c r="E485" s="124" t="s">
        <v>357</v>
      </c>
      <c r="F485" s="1056" t="s">
        <v>11118</v>
      </c>
      <c r="G485" s="849" t="s">
        <v>8061</v>
      </c>
      <c r="I485" s="941">
        <v>1</v>
      </c>
    </row>
    <row r="486" spans="4:9">
      <c r="D486" s="122">
        <v>42074</v>
      </c>
      <c r="E486" s="124" t="s">
        <v>357</v>
      </c>
      <c r="F486" s="1056" t="s">
        <v>11119</v>
      </c>
      <c r="G486" s="849" t="s">
        <v>8061</v>
      </c>
      <c r="I486" s="941">
        <v>1</v>
      </c>
    </row>
    <row r="487" spans="4:9">
      <c r="D487" s="122">
        <v>42077</v>
      </c>
      <c r="E487" s="124" t="s">
        <v>357</v>
      </c>
      <c r="F487" s="1056" t="s">
        <v>11120</v>
      </c>
      <c r="G487" s="849" t="s">
        <v>8061</v>
      </c>
      <c r="I487">
        <v>1</v>
      </c>
    </row>
    <row r="488" spans="4:9">
      <c r="D488" s="122">
        <v>42080</v>
      </c>
      <c r="E488" s="124" t="s">
        <v>357</v>
      </c>
      <c r="F488" s="1056" t="s">
        <v>11121</v>
      </c>
      <c r="G488" s="849" t="s">
        <v>8061</v>
      </c>
      <c r="H488">
        <v>1</v>
      </c>
    </row>
    <row r="489" spans="4:9">
      <c r="D489" s="122">
        <v>42082</v>
      </c>
      <c r="E489" s="124" t="s">
        <v>357</v>
      </c>
      <c r="F489" s="1056" t="s">
        <v>11122</v>
      </c>
      <c r="G489" s="849" t="s">
        <v>8061</v>
      </c>
      <c r="I489">
        <v>1</v>
      </c>
    </row>
    <row r="490" spans="4:9">
      <c r="D490" s="122">
        <v>42082</v>
      </c>
      <c r="E490" s="124" t="s">
        <v>357</v>
      </c>
      <c r="F490" s="1056" t="s">
        <v>11123</v>
      </c>
      <c r="G490" s="849" t="s">
        <v>8061</v>
      </c>
      <c r="H490" s="941"/>
      <c r="I490" s="941">
        <v>1</v>
      </c>
    </row>
    <row r="491" spans="4:9">
      <c r="D491" s="122">
        <v>42083</v>
      </c>
      <c r="E491" s="124" t="s">
        <v>357</v>
      </c>
      <c r="F491" s="1056" t="s">
        <v>11124</v>
      </c>
      <c r="G491" s="849" t="s">
        <v>8061</v>
      </c>
      <c r="I491">
        <v>1</v>
      </c>
    </row>
    <row r="492" spans="4:9">
      <c r="D492" s="122">
        <v>42083</v>
      </c>
      <c r="E492" s="124" t="s">
        <v>357</v>
      </c>
      <c r="F492" s="1056" t="s">
        <v>11125</v>
      </c>
      <c r="G492" s="849" t="s">
        <v>8061</v>
      </c>
      <c r="H492">
        <v>1</v>
      </c>
    </row>
    <row r="493" spans="4:9">
      <c r="D493" s="122">
        <v>42087</v>
      </c>
      <c r="E493" s="124" t="s">
        <v>357</v>
      </c>
      <c r="F493" s="1056" t="s">
        <v>11126</v>
      </c>
      <c r="G493" s="849" t="s">
        <v>8061</v>
      </c>
      <c r="I493">
        <v>1</v>
      </c>
    </row>
    <row r="494" spans="4:9">
      <c r="D494" s="122">
        <v>42087</v>
      </c>
      <c r="E494" s="124" t="s">
        <v>357</v>
      </c>
      <c r="F494" s="1056" t="s">
        <v>11127</v>
      </c>
      <c r="G494" s="849" t="s">
        <v>8061</v>
      </c>
      <c r="H494">
        <v>1</v>
      </c>
    </row>
    <row r="495" spans="4:9" ht="38.25">
      <c r="D495" s="122">
        <v>42073</v>
      </c>
      <c r="E495" s="111" t="s">
        <v>10438</v>
      </c>
      <c r="F495" s="1055" t="s">
        <v>11128</v>
      </c>
      <c r="G495" t="s">
        <v>10085</v>
      </c>
      <c r="I495">
        <v>1</v>
      </c>
    </row>
    <row r="496" spans="4:9" ht="25.5">
      <c r="D496" s="122">
        <v>42087</v>
      </c>
      <c r="E496" s="124" t="s">
        <v>582</v>
      </c>
      <c r="F496" s="1056" t="s">
        <v>11129</v>
      </c>
      <c r="G496" s="849" t="s">
        <v>556</v>
      </c>
      <c r="I496">
        <v>1</v>
      </c>
    </row>
    <row r="497" spans="4:9">
      <c r="D497" s="122">
        <v>42087</v>
      </c>
      <c r="E497" s="124" t="s">
        <v>582</v>
      </c>
      <c r="F497" s="1056" t="s">
        <v>11132</v>
      </c>
      <c r="G497" s="849" t="s">
        <v>556</v>
      </c>
      <c r="I497">
        <v>1</v>
      </c>
    </row>
    <row r="498" spans="4:9">
      <c r="D498" s="122">
        <v>42087</v>
      </c>
      <c r="E498" s="124" t="s">
        <v>582</v>
      </c>
      <c r="F498" s="1056" t="s">
        <v>11133</v>
      </c>
      <c r="G498" s="849" t="s">
        <v>556</v>
      </c>
      <c r="I498">
        <v>1</v>
      </c>
    </row>
    <row r="499" spans="4:9">
      <c r="D499" s="122">
        <v>42088</v>
      </c>
      <c r="E499" s="124" t="s">
        <v>357</v>
      </c>
      <c r="F499" s="1056" t="s">
        <v>11134</v>
      </c>
      <c r="G499" s="849" t="s">
        <v>8061</v>
      </c>
      <c r="I499">
        <v>1</v>
      </c>
    </row>
    <row r="500" spans="4:9">
      <c r="D500" s="122">
        <v>42093</v>
      </c>
      <c r="E500" s="124" t="s">
        <v>357</v>
      </c>
      <c r="F500" s="1056" t="s">
        <v>11136</v>
      </c>
      <c r="G500" s="849" t="s">
        <v>8061</v>
      </c>
      <c r="I500">
        <v>1</v>
      </c>
    </row>
    <row r="501" spans="4:9">
      <c r="D501" s="122">
        <v>42093</v>
      </c>
      <c r="E501" s="124" t="s">
        <v>357</v>
      </c>
      <c r="F501" s="1056" t="s">
        <v>11137</v>
      </c>
      <c r="G501" s="849" t="s">
        <v>8061</v>
      </c>
      <c r="I501" s="941">
        <v>1</v>
      </c>
    </row>
    <row r="502" spans="4:9">
      <c r="D502" s="122">
        <v>42102</v>
      </c>
      <c r="E502" s="124" t="s">
        <v>357</v>
      </c>
      <c r="F502" s="1056" t="s">
        <v>11141</v>
      </c>
      <c r="G502" s="849" t="s">
        <v>8061</v>
      </c>
      <c r="I502">
        <v>1</v>
      </c>
    </row>
    <row r="503" spans="4:9">
      <c r="D503" s="122">
        <v>42102</v>
      </c>
      <c r="E503" s="124" t="s">
        <v>357</v>
      </c>
      <c r="F503" s="1056" t="s">
        <v>11142</v>
      </c>
      <c r="G503" s="849" t="s">
        <v>8061</v>
      </c>
      <c r="I503" s="941">
        <v>1</v>
      </c>
    </row>
    <row r="504" spans="4:9">
      <c r="D504" s="122">
        <v>42103</v>
      </c>
      <c r="E504" s="124" t="s">
        <v>357</v>
      </c>
      <c r="F504" s="1056" t="s">
        <v>11143</v>
      </c>
      <c r="G504" s="849" t="s">
        <v>8061</v>
      </c>
      <c r="I504">
        <v>1</v>
      </c>
    </row>
    <row r="505" spans="4:9">
      <c r="D505" s="122">
        <v>42103</v>
      </c>
      <c r="E505" s="124" t="s">
        <v>357</v>
      </c>
      <c r="F505" s="1056" t="s">
        <v>11144</v>
      </c>
      <c r="G505" s="849" t="s">
        <v>8061</v>
      </c>
      <c r="I505">
        <v>1</v>
      </c>
    </row>
    <row r="506" spans="4:9">
      <c r="D506" s="122">
        <v>42109</v>
      </c>
      <c r="E506" s="124" t="s">
        <v>357</v>
      </c>
      <c r="F506" s="1056" t="s">
        <v>11167</v>
      </c>
      <c r="G506" s="849" t="s">
        <v>8061</v>
      </c>
      <c r="H506">
        <v>1</v>
      </c>
    </row>
    <row r="507" spans="4:9">
      <c r="D507" s="122">
        <v>42110</v>
      </c>
      <c r="E507" s="124" t="s">
        <v>582</v>
      </c>
      <c r="F507" s="1056" t="s">
        <v>11168</v>
      </c>
      <c r="G507" s="849" t="s">
        <v>556</v>
      </c>
      <c r="I507">
        <v>1</v>
      </c>
    </row>
    <row r="508" spans="4:9">
      <c r="D508" s="122">
        <v>42111</v>
      </c>
      <c r="E508" s="124" t="s">
        <v>357</v>
      </c>
      <c r="F508" s="1056" t="s">
        <v>11169</v>
      </c>
      <c r="G508" s="849" t="s">
        <v>8061</v>
      </c>
      <c r="I508">
        <v>1</v>
      </c>
    </row>
    <row r="509" spans="4:9">
      <c r="D509" s="122">
        <v>42111</v>
      </c>
      <c r="E509" s="124" t="s">
        <v>357</v>
      </c>
      <c r="F509" s="1056" t="s">
        <v>11170</v>
      </c>
      <c r="G509" s="849" t="s">
        <v>8061</v>
      </c>
      <c r="I509">
        <v>1</v>
      </c>
    </row>
    <row r="510" spans="4:9" ht="38.25">
      <c r="D510" s="122">
        <v>42114</v>
      </c>
      <c r="E510" s="124" t="s">
        <v>582</v>
      </c>
      <c r="F510" s="1055" t="s">
        <v>11171</v>
      </c>
      <c r="G510" s="849" t="s">
        <v>556</v>
      </c>
      <c r="I510">
        <v>1</v>
      </c>
    </row>
    <row r="511" spans="4:9">
      <c r="D511" s="122">
        <v>42115</v>
      </c>
      <c r="E511" s="124" t="s">
        <v>357</v>
      </c>
      <c r="F511" s="1056" t="s">
        <v>11172</v>
      </c>
      <c r="G511" s="849" t="s">
        <v>8061</v>
      </c>
      <c r="I511">
        <v>1</v>
      </c>
    </row>
    <row r="512" spans="4:9">
      <c r="D512" s="122">
        <v>42115</v>
      </c>
      <c r="E512" s="124" t="s">
        <v>357</v>
      </c>
      <c r="F512" s="1056" t="s">
        <v>11173</v>
      </c>
      <c r="G512" s="849" t="s">
        <v>8061</v>
      </c>
      <c r="I512" s="941">
        <v>1</v>
      </c>
    </row>
    <row r="513" spans="2:9">
      <c r="D513" s="122">
        <v>42121</v>
      </c>
      <c r="E513" s="124" t="s">
        <v>357</v>
      </c>
      <c r="F513" s="1056" t="s">
        <v>11176</v>
      </c>
      <c r="G513" s="849" t="s">
        <v>8061</v>
      </c>
      <c r="I513" s="941">
        <v>1</v>
      </c>
    </row>
    <row r="514" spans="2:9">
      <c r="D514" s="122">
        <v>42122</v>
      </c>
      <c r="E514" s="124" t="s">
        <v>582</v>
      </c>
      <c r="F514" s="1056" t="s">
        <v>11192</v>
      </c>
      <c r="G514" s="849" t="s">
        <v>556</v>
      </c>
      <c r="I514">
        <v>1</v>
      </c>
    </row>
    <row r="515" spans="2:9">
      <c r="B515" s="122">
        <v>42128</v>
      </c>
      <c r="C515" s="122">
        <v>42128</v>
      </c>
      <c r="D515" s="122">
        <v>42128</v>
      </c>
      <c r="E515" s="124" t="s">
        <v>582</v>
      </c>
      <c r="F515" s="1056" t="s">
        <v>11195</v>
      </c>
      <c r="G515" s="849" t="s">
        <v>556</v>
      </c>
      <c r="I515">
        <v>1</v>
      </c>
    </row>
    <row r="516" spans="2:9">
      <c r="D516" s="122">
        <v>42136</v>
      </c>
      <c r="E516" s="124" t="s">
        <v>357</v>
      </c>
      <c r="F516" s="1056" t="s">
        <v>11197</v>
      </c>
      <c r="G516" s="849" t="s">
        <v>8061</v>
      </c>
      <c r="I516">
        <v>1</v>
      </c>
    </row>
    <row r="517" spans="2:9">
      <c r="D517" s="122">
        <v>42137</v>
      </c>
      <c r="E517" s="124" t="s">
        <v>357</v>
      </c>
      <c r="F517" s="1056" t="s">
        <v>11198</v>
      </c>
      <c r="G517" s="849" t="s">
        <v>8061</v>
      </c>
      <c r="I517" s="941">
        <v>1</v>
      </c>
    </row>
    <row r="518" spans="2:9">
      <c r="D518" s="122">
        <v>42141</v>
      </c>
      <c r="E518" s="124" t="s">
        <v>357</v>
      </c>
      <c r="F518" s="1056" t="s">
        <v>11201</v>
      </c>
      <c r="G518" s="849" t="s">
        <v>8061</v>
      </c>
      <c r="I518">
        <v>1</v>
      </c>
    </row>
    <row r="519" spans="2:9">
      <c r="D519" s="122">
        <v>42178</v>
      </c>
      <c r="E519" s="124" t="s">
        <v>357</v>
      </c>
      <c r="F519" s="1055" t="s">
        <v>11207</v>
      </c>
      <c r="G519" s="849" t="s">
        <v>8061</v>
      </c>
      <c r="H519">
        <v>1</v>
      </c>
    </row>
    <row r="520" spans="2:9">
      <c r="D520" s="122">
        <v>42190</v>
      </c>
      <c r="E520" s="124" t="s">
        <v>357</v>
      </c>
      <c r="F520" s="1056" t="s">
        <v>11286</v>
      </c>
      <c r="G520" s="849" t="s">
        <v>8061</v>
      </c>
      <c r="H520">
        <v>1</v>
      </c>
    </row>
    <row r="521" spans="2:9">
      <c r="D521" s="122">
        <v>42191</v>
      </c>
      <c r="E521" s="124" t="s">
        <v>357</v>
      </c>
      <c r="F521" s="1056" t="s">
        <v>11287</v>
      </c>
      <c r="G521" s="849" t="s">
        <v>8061</v>
      </c>
      <c r="I521">
        <v>1</v>
      </c>
    </row>
    <row r="522" spans="2:9" ht="25.5">
      <c r="D522" s="122">
        <v>42202</v>
      </c>
      <c r="E522" s="124" t="s">
        <v>582</v>
      </c>
      <c r="F522" s="1056" t="s">
        <v>11288</v>
      </c>
      <c r="G522" s="849" t="s">
        <v>556</v>
      </c>
      <c r="I522">
        <v>1</v>
      </c>
    </row>
    <row r="523" spans="2:9" ht="25.5">
      <c r="D523" s="122">
        <v>42202</v>
      </c>
      <c r="E523" s="111" t="s">
        <v>582</v>
      </c>
      <c r="F523" s="1056" t="s">
        <v>11290</v>
      </c>
      <c r="G523" s="849" t="s">
        <v>556</v>
      </c>
      <c r="I523" s="941">
        <v>1</v>
      </c>
    </row>
    <row r="524" spans="2:9">
      <c r="D524" s="122">
        <v>42202</v>
      </c>
      <c r="E524" s="111" t="s">
        <v>582</v>
      </c>
      <c r="F524" s="1055" t="s">
        <v>11289</v>
      </c>
      <c r="G524" s="849" t="s">
        <v>556</v>
      </c>
      <c r="I524" s="941">
        <v>1</v>
      </c>
    </row>
    <row r="525" spans="2:9" ht="25.5">
      <c r="D525" s="122">
        <v>42202</v>
      </c>
      <c r="E525" s="124" t="s">
        <v>582</v>
      </c>
      <c r="F525" s="1056" t="s">
        <v>11293</v>
      </c>
      <c r="G525" s="849" t="s">
        <v>556</v>
      </c>
      <c r="H525">
        <v>1</v>
      </c>
    </row>
    <row r="526" spans="2:9">
      <c r="D526" s="122">
        <v>42206</v>
      </c>
      <c r="E526" s="124" t="s">
        <v>11294</v>
      </c>
      <c r="F526" s="1056" t="s">
        <v>11295</v>
      </c>
    </row>
    <row r="527" spans="2:9">
      <c r="E527" s="124"/>
      <c r="F527" s="1056" t="s">
        <v>11296</v>
      </c>
    </row>
    <row r="528" spans="2:9">
      <c r="E528" s="124"/>
      <c r="F528" s="1056" t="s">
        <v>11297</v>
      </c>
    </row>
    <row r="529" spans="4:9">
      <c r="E529" s="124"/>
      <c r="F529" s="1056" t="s">
        <v>11298</v>
      </c>
    </row>
    <row r="530" spans="4:9">
      <c r="E530" s="124"/>
      <c r="F530" s="1056" t="s">
        <v>11299</v>
      </c>
    </row>
    <row r="531" spans="4:9">
      <c r="D531" s="122">
        <v>42206</v>
      </c>
      <c r="E531" s="124" t="s">
        <v>11294</v>
      </c>
      <c r="F531" s="1056" t="s">
        <v>11300</v>
      </c>
    </row>
    <row r="532" spans="4:9">
      <c r="E532" s="124"/>
      <c r="F532" s="1056" t="s">
        <v>11301</v>
      </c>
    </row>
    <row r="533" spans="4:9" ht="15">
      <c r="D533" s="122">
        <v>42206</v>
      </c>
      <c r="E533" s="124" t="s">
        <v>11294</v>
      </c>
      <c r="F533" s="1561" t="s">
        <v>11302</v>
      </c>
    </row>
    <row r="534" spans="4:9" ht="15">
      <c r="E534" s="124"/>
      <c r="F534" s="1561" t="s">
        <v>11308</v>
      </c>
    </row>
    <row r="535" spans="4:9" ht="15">
      <c r="E535" s="124"/>
      <c r="F535" s="1561" t="s">
        <v>11303</v>
      </c>
    </row>
    <row r="536" spans="4:9" ht="15">
      <c r="E536" s="124"/>
      <c r="F536" s="1561" t="s">
        <v>11304</v>
      </c>
    </row>
    <row r="537" spans="4:9" ht="15">
      <c r="F537" s="1561" t="s">
        <v>11305</v>
      </c>
    </row>
    <row r="538" spans="4:9" ht="15">
      <c r="F538" s="1561" t="s">
        <v>11306</v>
      </c>
    </row>
    <row r="539" spans="4:9" ht="15">
      <c r="F539" s="1561" t="s">
        <v>11309</v>
      </c>
    </row>
    <row r="540" spans="4:9" ht="15">
      <c r="F540" s="1561" t="s">
        <v>11304</v>
      </c>
    </row>
    <row r="541" spans="4:9">
      <c r="F541" s="1055" t="s">
        <v>11310</v>
      </c>
    </row>
    <row r="542" spans="4:9">
      <c r="F542" s="1055" t="s">
        <v>11307</v>
      </c>
    </row>
    <row r="543" spans="4:9">
      <c r="F543" s="1055" t="s">
        <v>11311</v>
      </c>
    </row>
    <row r="544" spans="4:9">
      <c r="D544" s="122">
        <v>42213</v>
      </c>
      <c r="E544" s="124" t="s">
        <v>357</v>
      </c>
      <c r="F544" s="1056" t="s">
        <v>11313</v>
      </c>
      <c r="G544" s="849" t="s">
        <v>8061</v>
      </c>
      <c r="I544">
        <v>1</v>
      </c>
    </row>
    <row r="545" spans="4:9">
      <c r="D545" s="122">
        <v>42213</v>
      </c>
      <c r="E545" s="124" t="s">
        <v>357</v>
      </c>
      <c r="F545" s="1056" t="s">
        <v>11314</v>
      </c>
      <c r="G545" s="849" t="s">
        <v>8061</v>
      </c>
      <c r="I545">
        <v>1</v>
      </c>
    </row>
    <row r="546" spans="4:9">
      <c r="D546" s="122">
        <v>42213</v>
      </c>
      <c r="E546" s="124" t="s">
        <v>357</v>
      </c>
      <c r="F546" s="1056" t="s">
        <v>11315</v>
      </c>
      <c r="G546" s="849" t="s">
        <v>8061</v>
      </c>
      <c r="I546">
        <v>1</v>
      </c>
    </row>
    <row r="547" spans="4:9">
      <c r="D547" s="122">
        <v>42216</v>
      </c>
      <c r="E547" s="124" t="s">
        <v>357</v>
      </c>
      <c r="F547" s="1056" t="s">
        <v>11316</v>
      </c>
      <c r="G547" s="849" t="s">
        <v>8061</v>
      </c>
      <c r="I547">
        <v>1</v>
      </c>
    </row>
    <row r="548" spans="4:9">
      <c r="D548" s="122">
        <v>42223</v>
      </c>
      <c r="E548" s="124" t="s">
        <v>11294</v>
      </c>
      <c r="F548" s="1056" t="s">
        <v>11344</v>
      </c>
    </row>
    <row r="549" spans="4:9" hidden="1">
      <c r="F549" s="1055" t="s">
        <v>11318</v>
      </c>
    </row>
    <row r="550" spans="4:9" hidden="1">
      <c r="F550" s="1055" t="s">
        <v>11319</v>
      </c>
    </row>
    <row r="551" spans="4:9" hidden="1"/>
    <row r="552" spans="4:9" hidden="1">
      <c r="F552" s="1055" t="s">
        <v>11320</v>
      </c>
    </row>
    <row r="553" spans="4:9" hidden="1">
      <c r="F553" s="1055" t="s">
        <v>11321</v>
      </c>
    </row>
    <row r="554" spans="4:9" hidden="1">
      <c r="F554" s="1055" t="s">
        <v>11322</v>
      </c>
    </row>
    <row r="555" spans="4:9" hidden="1">
      <c r="F555" s="1055" t="s">
        <v>11323</v>
      </c>
    </row>
    <row r="556" spans="4:9" hidden="1">
      <c r="F556" s="1055" t="s">
        <v>11324</v>
      </c>
    </row>
    <row r="557" spans="4:9" hidden="1">
      <c r="F557" s="1055" t="s">
        <v>11325</v>
      </c>
    </row>
    <row r="558" spans="4:9" hidden="1">
      <c r="F558" s="1055" t="s">
        <v>11326</v>
      </c>
    </row>
    <row r="559" spans="4:9" hidden="1">
      <c r="F559" s="1055" t="s">
        <v>11327</v>
      </c>
    </row>
    <row r="560" spans="4:9" hidden="1">
      <c r="F560" s="1055" t="s">
        <v>11328</v>
      </c>
    </row>
    <row r="561" spans="6:6" hidden="1">
      <c r="F561" s="1055" t="s">
        <v>11329</v>
      </c>
    </row>
    <row r="562" spans="6:6" hidden="1">
      <c r="F562" s="1055" t="s">
        <v>11330</v>
      </c>
    </row>
    <row r="563" spans="6:6" hidden="1">
      <c r="F563" s="1055" t="s">
        <v>11331</v>
      </c>
    </row>
    <row r="564" spans="6:6" hidden="1">
      <c r="F564" s="1055" t="s">
        <v>11332</v>
      </c>
    </row>
    <row r="565" spans="6:6" hidden="1">
      <c r="F565" s="1055" t="s">
        <v>11333</v>
      </c>
    </row>
    <row r="566" spans="6:6" hidden="1">
      <c r="F566" s="1055" t="s">
        <v>11334</v>
      </c>
    </row>
    <row r="567" spans="6:6" hidden="1">
      <c r="F567" s="1055" t="s">
        <v>11326</v>
      </c>
    </row>
    <row r="568" spans="6:6" hidden="1">
      <c r="F568" s="1055" t="s">
        <v>11327</v>
      </c>
    </row>
    <row r="569" spans="6:6" ht="25.5" hidden="1">
      <c r="F569" s="1055" t="s">
        <v>11335</v>
      </c>
    </row>
    <row r="570" spans="6:6" hidden="1">
      <c r="F570" s="1055" t="s">
        <v>11336</v>
      </c>
    </row>
    <row r="571" spans="6:6" hidden="1">
      <c r="F571" s="1055" t="s">
        <v>11337</v>
      </c>
    </row>
    <row r="572" spans="6:6" hidden="1">
      <c r="F572" s="1055" t="s">
        <v>11338</v>
      </c>
    </row>
    <row r="573" spans="6:6" hidden="1">
      <c r="F573" s="1055" t="s">
        <v>11329</v>
      </c>
    </row>
    <row r="574" spans="6:6" hidden="1">
      <c r="F574" s="1055" t="s">
        <v>11330</v>
      </c>
    </row>
    <row r="575" spans="6:6" hidden="1">
      <c r="F575" s="1055" t="s">
        <v>11331</v>
      </c>
    </row>
    <row r="576" spans="6:6" hidden="1">
      <c r="F576" s="1055" t="s">
        <v>11339</v>
      </c>
    </row>
    <row r="577" spans="4:9" hidden="1">
      <c r="F577" s="1055" t="s">
        <v>11340</v>
      </c>
    </row>
    <row r="578" spans="4:9" hidden="1">
      <c r="F578" s="1055" t="s">
        <v>11341</v>
      </c>
    </row>
    <row r="579" spans="4:9" hidden="1">
      <c r="F579" s="1055" t="s">
        <v>11342</v>
      </c>
    </row>
    <row r="580" spans="4:9" hidden="1">
      <c r="F580" s="1055" t="s">
        <v>11343</v>
      </c>
    </row>
    <row r="581" spans="4:9" hidden="1">
      <c r="F581" s="1055" t="s">
        <v>11311</v>
      </c>
    </row>
    <row r="582" spans="4:9">
      <c r="D582" s="122">
        <v>42226</v>
      </c>
      <c r="E582" s="1252" t="s">
        <v>582</v>
      </c>
      <c r="F582" s="1056" t="s">
        <v>11345</v>
      </c>
      <c r="G582" s="849" t="s">
        <v>556</v>
      </c>
      <c r="I582">
        <v>1</v>
      </c>
    </row>
    <row r="583" spans="4:9" ht="25.5">
      <c r="D583" s="122">
        <v>42227</v>
      </c>
      <c r="E583" s="124" t="s">
        <v>10438</v>
      </c>
      <c r="F583" s="1055" t="s">
        <v>11350</v>
      </c>
      <c r="G583" s="849" t="s">
        <v>10085</v>
      </c>
      <c r="I583">
        <v>1</v>
      </c>
    </row>
    <row r="584" spans="4:9">
      <c r="D584" s="122">
        <v>42228</v>
      </c>
      <c r="E584" s="124" t="s">
        <v>357</v>
      </c>
      <c r="F584" s="1056" t="s">
        <v>11351</v>
      </c>
      <c r="G584" s="849" t="s">
        <v>8061</v>
      </c>
      <c r="I584">
        <v>1</v>
      </c>
    </row>
    <row r="585" spans="4:9" ht="25.5">
      <c r="D585" s="122">
        <v>42236</v>
      </c>
      <c r="E585" s="124" t="s">
        <v>582</v>
      </c>
      <c r="F585" s="1056" t="s">
        <v>11353</v>
      </c>
      <c r="G585" s="849" t="s">
        <v>556</v>
      </c>
      <c r="H585">
        <v>1</v>
      </c>
    </row>
    <row r="586" spans="4:9">
      <c r="D586" s="122">
        <v>42241</v>
      </c>
      <c r="E586" s="124" t="s">
        <v>357</v>
      </c>
      <c r="F586" s="1056" t="s">
        <v>11354</v>
      </c>
      <c r="G586" s="849" t="s">
        <v>8061</v>
      </c>
      <c r="I586">
        <v>1</v>
      </c>
    </row>
    <row r="587" spans="4:9">
      <c r="D587" s="122">
        <v>42243</v>
      </c>
      <c r="E587" s="124" t="s">
        <v>357</v>
      </c>
      <c r="F587" s="1056" t="s">
        <v>11355</v>
      </c>
      <c r="G587" s="849" t="s">
        <v>8061</v>
      </c>
      <c r="I587">
        <v>1</v>
      </c>
    </row>
    <row r="588" spans="4:9">
      <c r="D588" s="122">
        <v>42247</v>
      </c>
      <c r="E588" s="124" t="s">
        <v>357</v>
      </c>
      <c r="F588" s="1056" t="s">
        <v>11356</v>
      </c>
      <c r="G588" s="849" t="s">
        <v>8061</v>
      </c>
      <c r="H588" s="941"/>
      <c r="I588" s="941">
        <v>1</v>
      </c>
    </row>
    <row r="589" spans="4:9">
      <c r="D589" s="122">
        <v>42248</v>
      </c>
      <c r="E589" s="124" t="s">
        <v>357</v>
      </c>
      <c r="F589" s="1056" t="s">
        <v>11357</v>
      </c>
      <c r="G589" s="849" t="s">
        <v>8061</v>
      </c>
      <c r="I589">
        <v>1</v>
      </c>
    </row>
    <row r="590" spans="4:9">
      <c r="D590" s="122">
        <v>42262</v>
      </c>
      <c r="E590" s="124" t="s">
        <v>357</v>
      </c>
      <c r="F590" s="1056" t="s">
        <v>11360</v>
      </c>
      <c r="G590" s="849" t="s">
        <v>8061</v>
      </c>
      <c r="H590" s="941">
        <v>1</v>
      </c>
      <c r="I590" s="941"/>
    </row>
    <row r="591" spans="4:9">
      <c r="D591" s="122">
        <v>42262</v>
      </c>
      <c r="E591" s="124" t="s">
        <v>357</v>
      </c>
      <c r="F591" s="1056" t="s">
        <v>11361</v>
      </c>
      <c r="G591" s="849" t="s">
        <v>8061</v>
      </c>
      <c r="H591" s="941">
        <v>1</v>
      </c>
      <c r="I591" s="941"/>
    </row>
    <row r="592" spans="4:9">
      <c r="D592" s="122">
        <v>42264</v>
      </c>
      <c r="E592" s="124" t="s">
        <v>15</v>
      </c>
      <c r="F592" s="1056" t="s">
        <v>11362</v>
      </c>
      <c r="G592" s="849" t="s">
        <v>8061</v>
      </c>
      <c r="H592">
        <v>1</v>
      </c>
    </row>
    <row r="593" spans="4:9">
      <c r="D593" s="122">
        <v>42270</v>
      </c>
      <c r="E593" s="124" t="s">
        <v>15</v>
      </c>
      <c r="F593" s="1056" t="s">
        <v>11433</v>
      </c>
      <c r="G593" s="849" t="s">
        <v>8061</v>
      </c>
      <c r="I593">
        <v>1</v>
      </c>
    </row>
    <row r="594" spans="4:9">
      <c r="D594" s="122">
        <v>42270</v>
      </c>
      <c r="E594" s="124" t="s">
        <v>582</v>
      </c>
      <c r="F594" s="1056" t="s">
        <v>11434</v>
      </c>
      <c r="G594" s="849" t="s">
        <v>556</v>
      </c>
      <c r="I594">
        <v>1</v>
      </c>
    </row>
    <row r="595" spans="4:9">
      <c r="D595" s="122">
        <v>42271</v>
      </c>
      <c r="E595" s="124" t="s">
        <v>357</v>
      </c>
      <c r="F595" s="1056" t="s">
        <v>11435</v>
      </c>
      <c r="G595" s="849" t="s">
        <v>8061</v>
      </c>
      <c r="H595" s="941"/>
      <c r="I595" s="941">
        <v>1</v>
      </c>
    </row>
    <row r="596" spans="4:9">
      <c r="D596" s="122">
        <v>42276</v>
      </c>
      <c r="E596" s="124" t="s">
        <v>357</v>
      </c>
      <c r="F596" s="1056" t="s">
        <v>11436</v>
      </c>
      <c r="G596" s="849" t="s">
        <v>8061</v>
      </c>
      <c r="I596">
        <v>1</v>
      </c>
    </row>
    <row r="597" spans="4:9">
      <c r="D597" s="122">
        <v>42279</v>
      </c>
      <c r="E597" s="124" t="s">
        <v>15</v>
      </c>
      <c r="F597" s="1056" t="s">
        <v>11437</v>
      </c>
      <c r="G597" s="849" t="s">
        <v>8061</v>
      </c>
      <c r="H597">
        <v>1</v>
      </c>
    </row>
    <row r="598" spans="4:9">
      <c r="D598" s="122">
        <v>42285</v>
      </c>
      <c r="E598" s="124" t="s">
        <v>210</v>
      </c>
      <c r="F598" s="1056" t="s">
        <v>11443</v>
      </c>
      <c r="G598" s="849" t="s">
        <v>10879</v>
      </c>
      <c r="I598">
        <v>1</v>
      </c>
    </row>
    <row r="599" spans="4:9" ht="25.5">
      <c r="D599" s="122">
        <v>42285</v>
      </c>
      <c r="E599" s="124" t="s">
        <v>582</v>
      </c>
      <c r="F599" s="1056" t="s">
        <v>11444</v>
      </c>
      <c r="G599" s="849" t="s">
        <v>556</v>
      </c>
      <c r="I599">
        <v>1</v>
      </c>
    </row>
    <row r="600" spans="4:9">
      <c r="D600" s="122">
        <v>42289</v>
      </c>
      <c r="E600" s="124" t="s">
        <v>10438</v>
      </c>
      <c r="F600" s="1056" t="s">
        <v>11445</v>
      </c>
      <c r="G600" s="849" t="s">
        <v>10085</v>
      </c>
      <c r="H600">
        <v>1</v>
      </c>
    </row>
    <row r="601" spans="4:9" ht="25.5">
      <c r="D601" s="122">
        <v>42289</v>
      </c>
      <c r="E601" s="124" t="s">
        <v>582</v>
      </c>
      <c r="F601" s="1056" t="s">
        <v>11446</v>
      </c>
      <c r="G601" s="849" t="s">
        <v>556</v>
      </c>
      <c r="I601">
        <v>1</v>
      </c>
    </row>
    <row r="602" spans="4:9">
      <c r="D602" s="122">
        <v>42289</v>
      </c>
      <c r="E602" s="124" t="s">
        <v>582</v>
      </c>
      <c r="F602" s="1056" t="s">
        <v>11447</v>
      </c>
      <c r="G602" s="849" t="s">
        <v>556</v>
      </c>
      <c r="I602">
        <v>1</v>
      </c>
    </row>
    <row r="603" spans="4:9" ht="25.5">
      <c r="D603" s="122">
        <v>42289</v>
      </c>
      <c r="E603" s="124" t="s">
        <v>582</v>
      </c>
      <c r="F603" s="1056" t="s">
        <v>11448</v>
      </c>
      <c r="G603" s="849" t="s">
        <v>556</v>
      </c>
      <c r="I603">
        <v>1</v>
      </c>
    </row>
    <row r="604" spans="4:9" ht="25.5">
      <c r="D604" s="122">
        <v>42291</v>
      </c>
      <c r="E604" s="124" t="s">
        <v>582</v>
      </c>
      <c r="F604" s="1056" t="s">
        <v>11449</v>
      </c>
      <c r="G604" s="849" t="s">
        <v>556</v>
      </c>
      <c r="I604">
        <v>1</v>
      </c>
    </row>
    <row r="605" spans="4:9">
      <c r="D605" s="122">
        <v>42291</v>
      </c>
      <c r="E605" s="124" t="s">
        <v>357</v>
      </c>
      <c r="F605" s="1056" t="s">
        <v>11450</v>
      </c>
      <c r="G605" s="849" t="s">
        <v>8061</v>
      </c>
      <c r="H605">
        <v>1</v>
      </c>
    </row>
    <row r="606" spans="4:9" ht="25.5">
      <c r="D606" s="122">
        <v>42298</v>
      </c>
      <c r="E606" s="111" t="s">
        <v>210</v>
      </c>
      <c r="F606" s="1056" t="s">
        <v>11458</v>
      </c>
      <c r="G606" t="s">
        <v>10879</v>
      </c>
      <c r="I606">
        <v>1</v>
      </c>
    </row>
    <row r="607" spans="4:9">
      <c r="D607" s="122">
        <v>42300</v>
      </c>
      <c r="E607" s="124" t="s">
        <v>582</v>
      </c>
      <c r="F607" s="1056" t="s">
        <v>11454</v>
      </c>
      <c r="G607" s="849" t="s">
        <v>556</v>
      </c>
      <c r="I607">
        <v>1</v>
      </c>
    </row>
    <row r="608" spans="4:9">
      <c r="D608" s="122">
        <v>42300</v>
      </c>
      <c r="E608" s="124" t="s">
        <v>582</v>
      </c>
      <c r="F608" s="1056" t="s">
        <v>11455</v>
      </c>
      <c r="G608" s="849" t="s">
        <v>556</v>
      </c>
      <c r="I608">
        <v>1</v>
      </c>
    </row>
    <row r="609" spans="3:9">
      <c r="D609" s="122">
        <v>42300</v>
      </c>
      <c r="E609" s="124" t="s">
        <v>582</v>
      </c>
      <c r="F609" s="1056" t="s">
        <v>11345</v>
      </c>
      <c r="G609" s="849" t="s">
        <v>556</v>
      </c>
      <c r="I609">
        <v>1</v>
      </c>
    </row>
    <row r="610" spans="3:9">
      <c r="D610" s="122">
        <v>42307</v>
      </c>
      <c r="E610" s="124" t="s">
        <v>582</v>
      </c>
      <c r="F610" s="1056" t="s">
        <v>11459</v>
      </c>
      <c r="G610" s="849" t="s">
        <v>556</v>
      </c>
      <c r="I610">
        <v>1</v>
      </c>
    </row>
    <row r="611" spans="3:9">
      <c r="D611" s="122">
        <v>42310</v>
      </c>
      <c r="E611" s="124" t="s">
        <v>357</v>
      </c>
      <c r="F611" s="1056" t="s">
        <v>11460</v>
      </c>
      <c r="G611" s="849" t="s">
        <v>8061</v>
      </c>
      <c r="H611">
        <v>1</v>
      </c>
    </row>
    <row r="612" spans="3:9">
      <c r="D612" s="122">
        <v>42317</v>
      </c>
      <c r="E612" s="124" t="s">
        <v>582</v>
      </c>
      <c r="F612" s="1056" t="s">
        <v>11462</v>
      </c>
      <c r="G612" s="849" t="s">
        <v>556</v>
      </c>
      <c r="I612">
        <v>1</v>
      </c>
    </row>
    <row r="613" spans="3:9">
      <c r="D613" s="122">
        <v>42339</v>
      </c>
      <c r="E613" s="124" t="s">
        <v>582</v>
      </c>
      <c r="F613" s="1056" t="s">
        <v>11467</v>
      </c>
      <c r="G613" s="849" t="s">
        <v>556</v>
      </c>
      <c r="H613">
        <v>1</v>
      </c>
    </row>
    <row r="614" spans="3:9">
      <c r="D614" s="122">
        <v>42340</v>
      </c>
      <c r="E614" s="124" t="s">
        <v>357</v>
      </c>
      <c r="F614" s="1056" t="s">
        <v>11468</v>
      </c>
      <c r="G614" s="849" t="s">
        <v>8061</v>
      </c>
      <c r="H614" s="941">
        <v>1</v>
      </c>
      <c r="I614" s="941"/>
    </row>
    <row r="615" spans="3:9" ht="25.5">
      <c r="D615" s="122">
        <v>42351</v>
      </c>
      <c r="E615" s="124" t="s">
        <v>582</v>
      </c>
      <c r="F615" s="1056" t="s">
        <v>11469</v>
      </c>
      <c r="G615" s="849" t="s">
        <v>556</v>
      </c>
      <c r="I615">
        <v>1</v>
      </c>
    </row>
    <row r="616" spans="3:9">
      <c r="D616" s="122">
        <v>42357</v>
      </c>
      <c r="E616" s="124" t="s">
        <v>357</v>
      </c>
      <c r="F616" s="1056" t="s">
        <v>11470</v>
      </c>
      <c r="G616" s="849" t="s">
        <v>8061</v>
      </c>
      <c r="I616">
        <v>1</v>
      </c>
    </row>
    <row r="617" spans="3:9">
      <c r="D617" s="122">
        <v>42359</v>
      </c>
      <c r="E617" s="124" t="s">
        <v>357</v>
      </c>
      <c r="F617" s="1056" t="s">
        <v>11471</v>
      </c>
      <c r="G617" s="849" t="s">
        <v>8061</v>
      </c>
      <c r="I617">
        <v>1</v>
      </c>
    </row>
    <row r="618" spans="3:9" ht="25.5">
      <c r="D618" s="122">
        <v>42374</v>
      </c>
      <c r="E618" s="124" t="s">
        <v>10438</v>
      </c>
      <c r="F618" s="1056" t="s">
        <v>11473</v>
      </c>
      <c r="G618" s="849" t="s">
        <v>10085</v>
      </c>
      <c r="I618">
        <v>1</v>
      </c>
    </row>
    <row r="619" spans="3:9" ht="25.5">
      <c r="D619" s="122">
        <v>42383</v>
      </c>
      <c r="E619" s="124" t="s">
        <v>10438</v>
      </c>
      <c r="F619" s="1573" t="s">
        <v>11475</v>
      </c>
      <c r="G619" s="849" t="s">
        <v>10085</v>
      </c>
      <c r="I619">
        <v>1</v>
      </c>
    </row>
    <row r="620" spans="3:9">
      <c r="D620" s="122">
        <v>42384</v>
      </c>
      <c r="E620" s="124" t="s">
        <v>582</v>
      </c>
      <c r="F620" s="1056" t="s">
        <v>11479</v>
      </c>
      <c r="G620" s="849" t="s">
        <v>556</v>
      </c>
      <c r="H620">
        <v>1</v>
      </c>
    </row>
    <row r="621" spans="3:9" ht="25.5">
      <c r="D621" s="122">
        <v>42394</v>
      </c>
      <c r="E621" s="124" t="s">
        <v>582</v>
      </c>
      <c r="F621" s="1056" t="s">
        <v>11492</v>
      </c>
    </row>
    <row r="622" spans="3:9" ht="38.25">
      <c r="C622" s="1582" t="s">
        <v>11513</v>
      </c>
      <c r="D622" s="1581">
        <v>42396</v>
      </c>
      <c r="E622" s="124" t="s">
        <v>10438</v>
      </c>
      <c r="F622" s="1056" t="s">
        <v>11493</v>
      </c>
    </row>
    <row r="623" spans="3:9">
      <c r="D623" s="122">
        <v>42407</v>
      </c>
      <c r="E623" s="124" t="s">
        <v>357</v>
      </c>
      <c r="F623" s="1056" t="s">
        <v>11495</v>
      </c>
      <c r="G623" s="849" t="s">
        <v>8061</v>
      </c>
      <c r="H623">
        <v>1</v>
      </c>
    </row>
    <row r="624" spans="3:9">
      <c r="D624" s="122">
        <v>42407</v>
      </c>
      <c r="E624" s="124" t="s">
        <v>357</v>
      </c>
      <c r="F624" s="1580" t="s">
        <v>11494</v>
      </c>
      <c r="G624" s="849" t="s">
        <v>8061</v>
      </c>
    </row>
    <row r="625" spans="4:9">
      <c r="D625" s="122">
        <v>42407</v>
      </c>
      <c r="E625" s="124" t="s">
        <v>357</v>
      </c>
      <c r="F625" s="1580" t="s">
        <v>11496</v>
      </c>
      <c r="G625" s="849" t="s">
        <v>8061</v>
      </c>
    </row>
    <row r="626" spans="4:9">
      <c r="D626" s="122">
        <v>42407</v>
      </c>
      <c r="E626" s="124" t="s">
        <v>357</v>
      </c>
      <c r="F626" s="1580" t="s">
        <v>11497</v>
      </c>
      <c r="G626" s="849" t="s">
        <v>8061</v>
      </c>
    </row>
    <row r="627" spans="4:9">
      <c r="D627" s="122">
        <v>42416</v>
      </c>
      <c r="E627" s="124" t="s">
        <v>357</v>
      </c>
      <c r="F627" s="1056" t="s">
        <v>11500</v>
      </c>
      <c r="G627" s="849" t="s">
        <v>8061</v>
      </c>
      <c r="H627">
        <v>1</v>
      </c>
    </row>
    <row r="628" spans="4:9">
      <c r="D628" s="122">
        <v>42416</v>
      </c>
      <c r="E628" s="124" t="s">
        <v>357</v>
      </c>
      <c r="F628" s="1056" t="s">
        <v>11501</v>
      </c>
      <c r="G628" s="849" t="s">
        <v>8061</v>
      </c>
      <c r="H628">
        <v>1</v>
      </c>
    </row>
    <row r="629" spans="4:9">
      <c r="D629" s="122">
        <v>42416</v>
      </c>
      <c r="E629" s="124" t="s">
        <v>357</v>
      </c>
      <c r="F629" s="1056" t="s">
        <v>11502</v>
      </c>
      <c r="G629" s="849" t="s">
        <v>8061</v>
      </c>
      <c r="I629">
        <v>1</v>
      </c>
    </row>
    <row r="630" spans="4:9">
      <c r="D630" s="122">
        <v>42416</v>
      </c>
      <c r="E630" s="124" t="s">
        <v>357</v>
      </c>
      <c r="F630" s="1056" t="s">
        <v>11503</v>
      </c>
      <c r="G630" s="849" t="s">
        <v>8061</v>
      </c>
      <c r="I630">
        <v>1</v>
      </c>
    </row>
    <row r="631" spans="4:9">
      <c r="D631" s="122">
        <v>42426</v>
      </c>
      <c r="E631" s="124" t="s">
        <v>357</v>
      </c>
      <c r="F631" s="1056" t="s">
        <v>11505</v>
      </c>
      <c r="G631" s="849" t="s">
        <v>8061</v>
      </c>
      <c r="I631">
        <v>1</v>
      </c>
    </row>
    <row r="632" spans="4:9">
      <c r="D632" s="122">
        <v>42430</v>
      </c>
      <c r="E632" s="124" t="s">
        <v>357</v>
      </c>
      <c r="F632" s="1056" t="s">
        <v>11506</v>
      </c>
      <c r="G632" s="849" t="s">
        <v>8061</v>
      </c>
      <c r="I632" s="941">
        <v>1</v>
      </c>
    </row>
    <row r="633" spans="4:9">
      <c r="D633" s="122">
        <v>42443</v>
      </c>
      <c r="E633" s="124" t="s">
        <v>357</v>
      </c>
      <c r="F633" s="1056" t="s">
        <v>11510</v>
      </c>
      <c r="G633" s="849" t="s">
        <v>8061</v>
      </c>
      <c r="I633">
        <v>1</v>
      </c>
    </row>
    <row r="634" spans="4:9">
      <c r="D634" s="122">
        <v>42443</v>
      </c>
      <c r="E634" s="124" t="s">
        <v>357</v>
      </c>
      <c r="F634" s="1056" t="s">
        <v>11511</v>
      </c>
      <c r="G634" s="849" t="s">
        <v>8061</v>
      </c>
      <c r="I634">
        <v>1</v>
      </c>
    </row>
    <row r="635" spans="4:9">
      <c r="D635" s="122">
        <v>42451</v>
      </c>
      <c r="E635" s="124" t="s">
        <v>582</v>
      </c>
      <c r="F635" s="1056" t="s">
        <v>11514</v>
      </c>
      <c r="G635" s="849" t="s">
        <v>556</v>
      </c>
      <c r="I635">
        <v>1</v>
      </c>
    </row>
    <row r="636" spans="4:9">
      <c r="D636" s="122">
        <v>42451</v>
      </c>
      <c r="E636" s="124" t="s">
        <v>10438</v>
      </c>
      <c r="F636" s="1573" t="s">
        <v>11515</v>
      </c>
    </row>
    <row r="637" spans="4:9">
      <c r="D637" s="122">
        <v>42457</v>
      </c>
      <c r="E637" s="124" t="s">
        <v>357</v>
      </c>
      <c r="F637" s="1056" t="s">
        <v>11517</v>
      </c>
      <c r="G637" s="849" t="s">
        <v>8061</v>
      </c>
      <c r="H637" s="941"/>
      <c r="I637" s="941">
        <v>1</v>
      </c>
    </row>
    <row r="638" spans="4:9">
      <c r="D638" s="122">
        <v>42468</v>
      </c>
      <c r="E638" s="124" t="s">
        <v>582</v>
      </c>
      <c r="F638" s="1056" t="s">
        <v>11519</v>
      </c>
      <c r="G638" s="849" t="s">
        <v>556</v>
      </c>
    </row>
    <row r="639" spans="4:9">
      <c r="D639" s="122">
        <v>42478</v>
      </c>
      <c r="E639" s="124" t="s">
        <v>357</v>
      </c>
      <c r="F639" s="1056" t="s">
        <v>11531</v>
      </c>
      <c r="G639" s="849" t="s">
        <v>8061</v>
      </c>
      <c r="H639" s="941"/>
      <c r="I639" s="941">
        <v>1</v>
      </c>
    </row>
    <row r="640" spans="4:9">
      <c r="D640" s="122">
        <v>42478</v>
      </c>
      <c r="E640" s="124" t="s">
        <v>357</v>
      </c>
      <c r="F640" s="1056" t="s">
        <v>11532</v>
      </c>
      <c r="G640" s="849" t="s">
        <v>8061</v>
      </c>
      <c r="I640">
        <v>1</v>
      </c>
    </row>
    <row r="641" spans="4:9">
      <c r="D641" s="122">
        <v>42486</v>
      </c>
      <c r="E641" s="124" t="s">
        <v>357</v>
      </c>
      <c r="F641" s="1056" t="s">
        <v>11537</v>
      </c>
      <c r="G641" s="849" t="s">
        <v>8061</v>
      </c>
      <c r="H641">
        <v>1</v>
      </c>
    </row>
    <row r="642" spans="4:9">
      <c r="D642" s="122">
        <v>42493</v>
      </c>
      <c r="E642" s="124" t="s">
        <v>357</v>
      </c>
      <c r="F642" s="1056" t="s">
        <v>11542</v>
      </c>
      <c r="G642" s="849" t="s">
        <v>8061</v>
      </c>
      <c r="I642">
        <v>1</v>
      </c>
    </row>
    <row r="643" spans="4:9">
      <c r="D643" s="122">
        <v>42527</v>
      </c>
      <c r="E643" s="124" t="s">
        <v>357</v>
      </c>
      <c r="F643" s="1056" t="s">
        <v>11544</v>
      </c>
      <c r="G643" s="849" t="s">
        <v>8061</v>
      </c>
      <c r="I643">
        <v>1</v>
      </c>
    </row>
    <row r="644" spans="4:9">
      <c r="D644" s="122">
        <v>42538</v>
      </c>
      <c r="E644" s="124" t="s">
        <v>357</v>
      </c>
      <c r="F644" s="1056" t="s">
        <v>11546</v>
      </c>
      <c r="G644" s="849" t="s">
        <v>8061</v>
      </c>
      <c r="H644">
        <v>1</v>
      </c>
    </row>
    <row r="645" spans="4:9">
      <c r="D645" s="122">
        <v>42540</v>
      </c>
      <c r="E645" s="124" t="s">
        <v>357</v>
      </c>
      <c r="F645" s="1056" t="s">
        <v>11547</v>
      </c>
      <c r="G645" s="849" t="s">
        <v>8061</v>
      </c>
      <c r="H645">
        <v>1</v>
      </c>
    </row>
    <row r="646" spans="4:9">
      <c r="D646" s="122">
        <v>42543</v>
      </c>
      <c r="E646" s="124" t="s">
        <v>357</v>
      </c>
      <c r="F646" s="1056" t="s">
        <v>11549</v>
      </c>
      <c r="G646" s="849" t="s">
        <v>8061</v>
      </c>
      <c r="H646">
        <v>1</v>
      </c>
    </row>
    <row r="647" spans="4:9">
      <c r="D647" s="122">
        <v>42555</v>
      </c>
      <c r="E647" s="124" t="s">
        <v>357</v>
      </c>
      <c r="F647" s="1056" t="s">
        <v>11550</v>
      </c>
      <c r="G647" s="849" t="s">
        <v>8061</v>
      </c>
      <c r="H647">
        <v>1</v>
      </c>
    </row>
    <row r="648" spans="4:9">
      <c r="D648" s="122">
        <v>42563</v>
      </c>
      <c r="E648" s="124" t="s">
        <v>357</v>
      </c>
      <c r="F648" s="1056" t="s">
        <v>11551</v>
      </c>
      <c r="G648" s="849" t="s">
        <v>8061</v>
      </c>
      <c r="H648">
        <v>1</v>
      </c>
    </row>
    <row r="649" spans="4:9">
      <c r="D649" s="122">
        <v>42584</v>
      </c>
      <c r="E649" s="124" t="s">
        <v>357</v>
      </c>
      <c r="F649" s="1056" t="s">
        <v>11552</v>
      </c>
      <c r="G649" s="849" t="s">
        <v>8061</v>
      </c>
      <c r="I649">
        <v>1</v>
      </c>
    </row>
    <row r="650" spans="4:9">
      <c r="D650" s="122">
        <v>42584</v>
      </c>
      <c r="E650" s="124" t="s">
        <v>357</v>
      </c>
      <c r="F650" s="1056" t="s">
        <v>11553</v>
      </c>
      <c r="G650" s="849" t="s">
        <v>8061</v>
      </c>
      <c r="I650">
        <v>1</v>
      </c>
    </row>
    <row r="651" spans="4:9">
      <c r="D651" s="122">
        <v>42585</v>
      </c>
      <c r="E651" s="124" t="s">
        <v>357</v>
      </c>
      <c r="F651" s="1056" t="s">
        <v>11554</v>
      </c>
      <c r="G651" s="849" t="s">
        <v>8061</v>
      </c>
      <c r="H651">
        <v>1</v>
      </c>
    </row>
    <row r="652" spans="4:9">
      <c r="D652" s="122">
        <v>42588</v>
      </c>
      <c r="E652" s="124" t="s">
        <v>357</v>
      </c>
      <c r="F652" s="1056" t="s">
        <v>11556</v>
      </c>
      <c r="G652" s="849" t="s">
        <v>8061</v>
      </c>
      <c r="H652">
        <v>1</v>
      </c>
    </row>
    <row r="653" spans="4:9">
      <c r="D653" s="122">
        <v>42589</v>
      </c>
      <c r="E653" s="124" t="s">
        <v>357</v>
      </c>
      <c r="F653" s="1056" t="s">
        <v>11557</v>
      </c>
      <c r="G653" s="849" t="s">
        <v>8061</v>
      </c>
      <c r="H653">
        <v>1</v>
      </c>
    </row>
    <row r="654" spans="4:9">
      <c r="D654" s="122">
        <v>42597</v>
      </c>
      <c r="E654" s="124" t="s">
        <v>357</v>
      </c>
      <c r="F654" s="1615" t="s">
        <v>11559</v>
      </c>
      <c r="G654" s="849" t="s">
        <v>8061</v>
      </c>
      <c r="I654">
        <v>1</v>
      </c>
    </row>
    <row r="655" spans="4:9">
      <c r="D655" s="122">
        <v>42599</v>
      </c>
      <c r="E655" s="124" t="s">
        <v>357</v>
      </c>
      <c r="F655" s="1056" t="s">
        <v>11566</v>
      </c>
      <c r="G655" s="849" t="s">
        <v>8061</v>
      </c>
      <c r="H655">
        <v>1</v>
      </c>
    </row>
    <row r="656" spans="4:9">
      <c r="D656" s="122">
        <v>42599</v>
      </c>
      <c r="E656" s="124" t="s">
        <v>357</v>
      </c>
      <c r="F656" s="1056" t="s">
        <v>11567</v>
      </c>
      <c r="G656" s="849" t="s">
        <v>8061</v>
      </c>
      <c r="H656">
        <v>1</v>
      </c>
    </row>
    <row r="657" spans="4:9">
      <c r="D657" s="122">
        <v>42600</v>
      </c>
      <c r="E657" s="124" t="s">
        <v>357</v>
      </c>
      <c r="F657" s="1056" t="s">
        <v>11568</v>
      </c>
      <c r="G657" s="849" t="s">
        <v>8061</v>
      </c>
      <c r="I657">
        <v>1</v>
      </c>
    </row>
    <row r="658" spans="4:9">
      <c r="D658" s="122">
        <v>42608</v>
      </c>
      <c r="E658" s="124" t="s">
        <v>357</v>
      </c>
      <c r="F658" s="1056" t="s">
        <v>11570</v>
      </c>
      <c r="G658" s="849" t="s">
        <v>8061</v>
      </c>
      <c r="H658">
        <v>1</v>
      </c>
    </row>
    <row r="659" spans="4:9">
      <c r="D659" s="122">
        <v>42611</v>
      </c>
      <c r="E659" s="124" t="s">
        <v>357</v>
      </c>
      <c r="F659" s="1056" t="s">
        <v>11571</v>
      </c>
      <c r="G659" s="849" t="s">
        <v>8061</v>
      </c>
      <c r="I659">
        <v>1</v>
      </c>
    </row>
    <row r="660" spans="4:9">
      <c r="D660" s="122">
        <v>42622</v>
      </c>
      <c r="E660" s="124" t="s">
        <v>357</v>
      </c>
      <c r="F660" s="1056" t="s">
        <v>11573</v>
      </c>
      <c r="G660" s="849" t="s">
        <v>8061</v>
      </c>
      <c r="I660">
        <v>1</v>
      </c>
    </row>
    <row r="661" spans="4:9">
      <c r="D661" s="122">
        <v>42622</v>
      </c>
      <c r="E661" s="124" t="s">
        <v>357</v>
      </c>
      <c r="F661" s="1056" t="s">
        <v>11574</v>
      </c>
      <c r="G661" s="849" t="s">
        <v>8061</v>
      </c>
      <c r="I661">
        <v>1</v>
      </c>
    </row>
    <row r="662" spans="4:9">
      <c r="D662" s="122">
        <v>42622</v>
      </c>
      <c r="E662" s="124" t="s">
        <v>357</v>
      </c>
      <c r="F662" s="1056" t="s">
        <v>11575</v>
      </c>
      <c r="G662" s="849" t="s">
        <v>8061</v>
      </c>
      <c r="I662">
        <v>1</v>
      </c>
    </row>
    <row r="663" spans="4:9">
      <c r="D663" s="122">
        <v>42622</v>
      </c>
      <c r="E663" s="124" t="s">
        <v>357</v>
      </c>
      <c r="F663" s="1056" t="s">
        <v>11576</v>
      </c>
      <c r="G663" s="849" t="s">
        <v>8061</v>
      </c>
      <c r="H663">
        <v>1</v>
      </c>
    </row>
    <row r="664" spans="4:9">
      <c r="D664" s="122">
        <v>42628</v>
      </c>
      <c r="E664" s="124" t="s">
        <v>357</v>
      </c>
      <c r="F664" s="1056" t="s">
        <v>11577</v>
      </c>
      <c r="G664" s="849" t="s">
        <v>8061</v>
      </c>
      <c r="I664">
        <v>1</v>
      </c>
    </row>
    <row r="665" spans="4:9">
      <c r="D665" s="122">
        <v>42628</v>
      </c>
      <c r="E665" s="124" t="s">
        <v>357</v>
      </c>
      <c r="F665" s="1056" t="s">
        <v>11582</v>
      </c>
      <c r="G665" s="849" t="s">
        <v>8061</v>
      </c>
      <c r="I665">
        <v>1</v>
      </c>
    </row>
    <row r="666" spans="4:9">
      <c r="D666" s="122">
        <v>42644</v>
      </c>
      <c r="E666" s="124" t="s">
        <v>357</v>
      </c>
      <c r="F666" s="1056" t="s">
        <v>11617</v>
      </c>
      <c r="G666" s="849" t="s">
        <v>8061</v>
      </c>
      <c r="H666">
        <v>1</v>
      </c>
    </row>
    <row r="667" spans="4:9">
      <c r="D667" s="122">
        <v>42646</v>
      </c>
      <c r="E667" s="124" t="s">
        <v>357</v>
      </c>
      <c r="F667" s="1056" t="s">
        <v>11618</v>
      </c>
      <c r="G667" s="849" t="s">
        <v>8061</v>
      </c>
      <c r="I667">
        <v>1</v>
      </c>
    </row>
    <row r="668" spans="4:9" ht="25.5">
      <c r="D668" s="122">
        <v>42647</v>
      </c>
      <c r="E668" s="111" t="s">
        <v>582</v>
      </c>
      <c r="F668" s="1055" t="s">
        <v>11619</v>
      </c>
      <c r="G668" s="849" t="s">
        <v>556</v>
      </c>
      <c r="I668">
        <v>1</v>
      </c>
    </row>
    <row r="669" spans="4:9">
      <c r="F669" s="1056" t="s">
        <v>11620</v>
      </c>
    </row>
    <row r="670" spans="4:9">
      <c r="F670" s="1056" t="s">
        <v>11621</v>
      </c>
    </row>
    <row r="671" spans="4:9" ht="25.5">
      <c r="D671" s="122">
        <v>42647</v>
      </c>
      <c r="E671" s="111" t="s">
        <v>10438</v>
      </c>
      <c r="F671" s="1056" t="s">
        <v>11622</v>
      </c>
      <c r="G671" s="849" t="s">
        <v>10085</v>
      </c>
      <c r="I671">
        <v>1</v>
      </c>
    </row>
    <row r="672" spans="4:9">
      <c r="D672" s="122">
        <v>42648</v>
      </c>
      <c r="E672" s="124" t="s">
        <v>357</v>
      </c>
      <c r="F672" s="1056" t="s">
        <v>11623</v>
      </c>
      <c r="G672" s="849" t="s">
        <v>8061</v>
      </c>
      <c r="I672">
        <v>1</v>
      </c>
    </row>
    <row r="673" spans="4:9">
      <c r="D673" s="122">
        <v>42648</v>
      </c>
      <c r="E673" s="124" t="s">
        <v>357</v>
      </c>
      <c r="F673" s="1056" t="s">
        <v>11624</v>
      </c>
      <c r="G673" s="849" t="s">
        <v>8061</v>
      </c>
      <c r="I673">
        <v>1</v>
      </c>
    </row>
    <row r="674" spans="4:9" ht="25.5">
      <c r="D674" s="122">
        <v>42653</v>
      </c>
      <c r="E674" s="124" t="s">
        <v>582</v>
      </c>
      <c r="F674" s="1056" t="s">
        <v>11625</v>
      </c>
      <c r="G674" s="849" t="s">
        <v>556</v>
      </c>
      <c r="I674">
        <v>2</v>
      </c>
    </row>
    <row r="675" spans="4:9">
      <c r="D675" s="122">
        <v>42654</v>
      </c>
      <c r="E675" s="124" t="s">
        <v>357</v>
      </c>
      <c r="F675" s="1056" t="s">
        <v>11627</v>
      </c>
      <c r="G675" s="849" t="s">
        <v>8061</v>
      </c>
      <c r="H675" s="941"/>
      <c r="I675" s="941">
        <v>1</v>
      </c>
    </row>
    <row r="676" spans="4:9">
      <c r="D676" s="122">
        <v>42654</v>
      </c>
      <c r="E676" s="124" t="s">
        <v>357</v>
      </c>
      <c r="F676" s="1056" t="s">
        <v>11626</v>
      </c>
      <c r="G676" s="849" t="s">
        <v>8061</v>
      </c>
      <c r="H676" s="941"/>
      <c r="I676" s="941">
        <v>1</v>
      </c>
    </row>
    <row r="677" spans="4:9">
      <c r="D677" s="122">
        <v>42655</v>
      </c>
      <c r="E677" s="124" t="s">
        <v>357</v>
      </c>
      <c r="F677" s="1056" t="s">
        <v>11628</v>
      </c>
      <c r="G677" s="849" t="s">
        <v>8061</v>
      </c>
      <c r="H677">
        <v>1</v>
      </c>
    </row>
    <row r="678" spans="4:9">
      <c r="D678" s="122">
        <v>42655</v>
      </c>
      <c r="E678" s="124" t="s">
        <v>357</v>
      </c>
      <c r="F678" s="1056" t="s">
        <v>11629</v>
      </c>
      <c r="G678" s="849" t="s">
        <v>8061</v>
      </c>
      <c r="I678">
        <v>1</v>
      </c>
    </row>
    <row r="679" spans="4:9">
      <c r="D679" s="122">
        <v>42661</v>
      </c>
      <c r="E679" s="124" t="s">
        <v>357</v>
      </c>
      <c r="F679" s="1056" t="s">
        <v>11630</v>
      </c>
      <c r="G679" s="849" t="s">
        <v>8061</v>
      </c>
      <c r="I679">
        <v>1</v>
      </c>
    </row>
    <row r="680" spans="4:9">
      <c r="D680" s="122">
        <v>42662</v>
      </c>
      <c r="E680" s="124" t="s">
        <v>357</v>
      </c>
      <c r="F680" s="1056" t="s">
        <v>11631</v>
      </c>
      <c r="G680" s="849" t="s">
        <v>8061</v>
      </c>
      <c r="I680">
        <v>1</v>
      </c>
    </row>
    <row r="681" spans="4:9">
      <c r="D681" s="122">
        <v>42662</v>
      </c>
      <c r="E681" s="124" t="s">
        <v>357</v>
      </c>
      <c r="F681" s="1056" t="s">
        <v>11633</v>
      </c>
      <c r="G681" s="849" t="s">
        <v>8061</v>
      </c>
      <c r="I681">
        <v>1</v>
      </c>
    </row>
    <row r="682" spans="4:9">
      <c r="D682" s="122">
        <v>42663</v>
      </c>
      <c r="E682" s="124" t="s">
        <v>582</v>
      </c>
      <c r="F682" s="1055" t="s">
        <v>11634</v>
      </c>
      <c r="G682" s="849" t="s">
        <v>556</v>
      </c>
      <c r="I682">
        <v>1</v>
      </c>
    </row>
    <row r="683" spans="4:9">
      <c r="D683" s="122">
        <v>42664</v>
      </c>
      <c r="E683" s="124" t="s">
        <v>582</v>
      </c>
      <c r="F683" s="1056" t="s">
        <v>11635</v>
      </c>
      <c r="G683" s="849" t="s">
        <v>556</v>
      </c>
      <c r="I683">
        <v>1</v>
      </c>
    </row>
    <row r="684" spans="4:9">
      <c r="D684" s="122">
        <v>42670</v>
      </c>
      <c r="E684" s="124" t="s">
        <v>357</v>
      </c>
      <c r="F684" s="1056" t="s">
        <v>11636</v>
      </c>
      <c r="G684" s="849" t="s">
        <v>8061</v>
      </c>
      <c r="I684">
        <v>1</v>
      </c>
    </row>
    <row r="685" spans="4:9">
      <c r="D685" s="122">
        <v>42670</v>
      </c>
      <c r="E685" s="124" t="s">
        <v>357</v>
      </c>
      <c r="F685" s="1056" t="s">
        <v>11637</v>
      </c>
      <c r="G685" s="849" t="s">
        <v>8061</v>
      </c>
      <c r="I685">
        <v>1</v>
      </c>
    </row>
    <row r="686" spans="4:9">
      <c r="D686" s="122">
        <v>42681</v>
      </c>
      <c r="E686" s="124" t="s">
        <v>357</v>
      </c>
      <c r="F686" s="1056" t="s">
        <v>11639</v>
      </c>
      <c r="G686" s="849" t="s">
        <v>8061</v>
      </c>
      <c r="I686" s="941">
        <v>1</v>
      </c>
    </row>
    <row r="687" spans="4:9">
      <c r="D687" s="122">
        <v>42681</v>
      </c>
      <c r="E687" s="124" t="s">
        <v>357</v>
      </c>
      <c r="F687" s="1056" t="s">
        <v>11640</v>
      </c>
      <c r="G687" s="849" t="s">
        <v>8061</v>
      </c>
      <c r="I687" s="941">
        <v>1</v>
      </c>
    </row>
    <row r="688" spans="4:9">
      <c r="D688" s="122">
        <v>42682</v>
      </c>
      <c r="E688" s="124" t="s">
        <v>582</v>
      </c>
      <c r="F688" s="1056" t="s">
        <v>11641</v>
      </c>
      <c r="G688" s="849" t="s">
        <v>556</v>
      </c>
      <c r="I688">
        <v>1</v>
      </c>
    </row>
    <row r="689" spans="4:9">
      <c r="D689" s="122">
        <v>42689</v>
      </c>
      <c r="E689" s="124" t="s">
        <v>357</v>
      </c>
      <c r="F689" s="1056" t="s">
        <v>11645</v>
      </c>
      <c r="G689" s="849" t="s">
        <v>8061</v>
      </c>
      <c r="I689">
        <v>1</v>
      </c>
    </row>
    <row r="690" spans="4:9">
      <c r="D690" s="122">
        <v>42691</v>
      </c>
      <c r="E690" s="124" t="s">
        <v>15</v>
      </c>
      <c r="F690" s="1056" t="s">
        <v>11642</v>
      </c>
      <c r="G690" s="849" t="s">
        <v>8061</v>
      </c>
      <c r="H690" s="941"/>
      <c r="I690" s="941">
        <v>1</v>
      </c>
    </row>
    <row r="691" spans="4:9">
      <c r="D691" s="122">
        <v>42691</v>
      </c>
      <c r="E691" s="124" t="s">
        <v>357</v>
      </c>
      <c r="F691" s="1056" t="s">
        <v>11643</v>
      </c>
      <c r="G691" s="849" t="s">
        <v>8061</v>
      </c>
      <c r="H691" s="941"/>
      <c r="I691" s="941">
        <v>1</v>
      </c>
    </row>
    <row r="692" spans="4:9">
      <c r="D692" s="122">
        <v>42691</v>
      </c>
      <c r="E692" s="124" t="s">
        <v>357</v>
      </c>
      <c r="F692" s="1056" t="s">
        <v>11644</v>
      </c>
      <c r="G692" s="849" t="s">
        <v>8061</v>
      </c>
      <c r="H692" s="941"/>
      <c r="I692" s="941">
        <v>1</v>
      </c>
    </row>
    <row r="693" spans="4:9">
      <c r="D693" s="122">
        <v>42691</v>
      </c>
      <c r="E693" s="124" t="s">
        <v>357</v>
      </c>
      <c r="F693" s="1056" t="s">
        <v>11647</v>
      </c>
      <c r="G693" s="849" t="s">
        <v>8061</v>
      </c>
      <c r="I693" s="941">
        <v>1</v>
      </c>
    </row>
    <row r="694" spans="4:9">
      <c r="D694" s="122">
        <v>42715</v>
      </c>
      <c r="E694" s="124" t="s">
        <v>357</v>
      </c>
      <c r="F694" s="1055" t="s">
        <v>11660</v>
      </c>
      <c r="G694" s="849" t="s">
        <v>8061</v>
      </c>
      <c r="I694">
        <v>1</v>
      </c>
    </row>
    <row r="695" spans="4:9">
      <c r="D695" s="122">
        <v>42715</v>
      </c>
      <c r="E695" s="124" t="s">
        <v>357</v>
      </c>
      <c r="F695" s="1056" t="s">
        <v>11661</v>
      </c>
      <c r="G695" s="849" t="s">
        <v>8061</v>
      </c>
      <c r="I695">
        <v>1</v>
      </c>
    </row>
    <row r="696" spans="4:9">
      <c r="D696" s="122">
        <v>42715</v>
      </c>
      <c r="E696" s="124" t="s">
        <v>357</v>
      </c>
      <c r="F696" s="1056" t="s">
        <v>11664</v>
      </c>
      <c r="G696" s="849" t="s">
        <v>8061</v>
      </c>
      <c r="H696" s="941"/>
      <c r="I696" s="941">
        <v>1</v>
      </c>
    </row>
    <row r="697" spans="4:9">
      <c r="D697" s="122">
        <v>42715</v>
      </c>
      <c r="E697" s="124" t="s">
        <v>357</v>
      </c>
      <c r="F697" s="1056" t="s">
        <v>11665</v>
      </c>
      <c r="G697" s="849" t="s">
        <v>8061</v>
      </c>
      <c r="H697" s="941"/>
      <c r="I697" s="941">
        <v>1</v>
      </c>
    </row>
    <row r="698" spans="4:9">
      <c r="D698" s="122">
        <v>42716</v>
      </c>
      <c r="E698" s="124" t="s">
        <v>357</v>
      </c>
      <c r="F698" s="1056" t="s">
        <v>11666</v>
      </c>
      <c r="G698" s="849" t="s">
        <v>8061</v>
      </c>
      <c r="I698">
        <v>1</v>
      </c>
    </row>
    <row r="699" spans="4:9">
      <c r="D699" s="122">
        <v>42740</v>
      </c>
      <c r="E699" s="124" t="s">
        <v>357</v>
      </c>
      <c r="F699" s="1056" t="s">
        <v>11674</v>
      </c>
      <c r="G699" s="849" t="s">
        <v>8061</v>
      </c>
      <c r="H699">
        <v>1</v>
      </c>
    </row>
    <row r="700" spans="4:9">
      <c r="D700" s="122">
        <v>42740</v>
      </c>
      <c r="E700" s="124" t="s">
        <v>357</v>
      </c>
      <c r="F700" s="1056" t="s">
        <v>11675</v>
      </c>
      <c r="G700" s="849" t="s">
        <v>8061</v>
      </c>
      <c r="I700">
        <v>1</v>
      </c>
    </row>
    <row r="701" spans="4:9">
      <c r="D701" s="122">
        <v>42742</v>
      </c>
      <c r="E701" s="124" t="s">
        <v>357</v>
      </c>
      <c r="F701" s="1056" t="s">
        <v>11677</v>
      </c>
      <c r="G701" s="849" t="s">
        <v>8061</v>
      </c>
      <c r="I701">
        <v>1</v>
      </c>
    </row>
    <row r="702" spans="4:9">
      <c r="D702" s="122">
        <v>42744</v>
      </c>
      <c r="E702" s="124" t="s">
        <v>357</v>
      </c>
      <c r="F702" s="1056" t="s">
        <v>11678</v>
      </c>
      <c r="G702" s="849" t="s">
        <v>8061</v>
      </c>
      <c r="I702">
        <v>1</v>
      </c>
    </row>
    <row r="703" spans="4:9">
      <c r="D703" s="122">
        <v>42744</v>
      </c>
      <c r="E703" s="124" t="s">
        <v>357</v>
      </c>
      <c r="F703" s="1056" t="s">
        <v>11679</v>
      </c>
      <c r="G703" s="849" t="s">
        <v>8061</v>
      </c>
      <c r="I703">
        <v>1</v>
      </c>
    </row>
    <row r="704" spans="4:9">
      <c r="D704" s="122">
        <v>42750</v>
      </c>
      <c r="E704" s="124" t="s">
        <v>357</v>
      </c>
      <c r="F704" s="1056" t="s">
        <v>11680</v>
      </c>
      <c r="G704" s="849" t="s">
        <v>8061</v>
      </c>
      <c r="I704">
        <v>1</v>
      </c>
    </row>
    <row r="705" spans="4:9">
      <c r="D705" s="122">
        <v>42758</v>
      </c>
      <c r="E705" s="124" t="s">
        <v>357</v>
      </c>
      <c r="F705" s="1056" t="s">
        <v>11683</v>
      </c>
      <c r="G705" s="849" t="s">
        <v>8061</v>
      </c>
      <c r="I705">
        <v>1</v>
      </c>
    </row>
    <row r="706" spans="4:9">
      <c r="D706" s="122">
        <v>42759</v>
      </c>
      <c r="E706" s="124" t="s">
        <v>357</v>
      </c>
      <c r="F706" s="1056" t="s">
        <v>11684</v>
      </c>
      <c r="G706" s="849" t="s">
        <v>8061</v>
      </c>
      <c r="I706">
        <v>1</v>
      </c>
    </row>
    <row r="707" spans="4:9">
      <c r="D707" s="122">
        <v>42759</v>
      </c>
      <c r="E707" s="124" t="s">
        <v>357</v>
      </c>
      <c r="F707" s="1056" t="s">
        <v>11685</v>
      </c>
      <c r="G707" s="849" t="s">
        <v>8061</v>
      </c>
      <c r="I707">
        <v>1</v>
      </c>
    </row>
    <row r="708" spans="4:9">
      <c r="D708" s="1252">
        <v>42750</v>
      </c>
      <c r="E708" s="124" t="s">
        <v>357</v>
      </c>
      <c r="F708" s="1056" t="s">
        <v>11686</v>
      </c>
      <c r="G708" s="849" t="s">
        <v>8061</v>
      </c>
      <c r="H708" s="849"/>
      <c r="I708" s="849">
        <v>1</v>
      </c>
    </row>
    <row r="709" spans="4:9">
      <c r="D709" s="1252">
        <v>42750</v>
      </c>
      <c r="E709" s="124" t="s">
        <v>357</v>
      </c>
      <c r="F709" s="1056" t="s">
        <v>11687</v>
      </c>
      <c r="G709" s="849" t="s">
        <v>8061</v>
      </c>
      <c r="H709" s="849"/>
      <c r="I709" s="849">
        <v>1</v>
      </c>
    </row>
    <row r="710" spans="4:9">
      <c r="D710" s="122">
        <v>42759</v>
      </c>
      <c r="E710" s="124" t="s">
        <v>357</v>
      </c>
      <c r="F710" s="1056" t="s">
        <v>11688</v>
      </c>
      <c r="G710" s="849" t="s">
        <v>8061</v>
      </c>
      <c r="H710" s="941"/>
      <c r="I710" s="941">
        <v>1</v>
      </c>
    </row>
    <row r="711" spans="4:9">
      <c r="D711" s="122">
        <v>42761</v>
      </c>
      <c r="E711" s="124" t="s">
        <v>357</v>
      </c>
      <c r="F711" s="1056" t="s">
        <v>12312</v>
      </c>
      <c r="G711" s="849" t="s">
        <v>8061</v>
      </c>
      <c r="H711" s="941"/>
      <c r="I711" s="941">
        <v>1</v>
      </c>
    </row>
    <row r="712" spans="4:9">
      <c r="D712" s="122">
        <v>42773</v>
      </c>
      <c r="E712" s="124" t="s">
        <v>357</v>
      </c>
      <c r="F712" s="1056" t="s">
        <v>12314</v>
      </c>
      <c r="G712" s="849" t="s">
        <v>8061</v>
      </c>
      <c r="I712">
        <v>1</v>
      </c>
    </row>
    <row r="713" spans="4:9" ht="25.5">
      <c r="D713" s="122">
        <v>42773</v>
      </c>
      <c r="E713" s="124" t="s">
        <v>357</v>
      </c>
      <c r="F713" s="1056" t="s">
        <v>12315</v>
      </c>
      <c r="G713" s="849" t="s">
        <v>8061</v>
      </c>
      <c r="I713" s="849">
        <v>1</v>
      </c>
    </row>
    <row r="714" spans="4:9">
      <c r="D714" s="122">
        <v>42793</v>
      </c>
      <c r="E714" s="124" t="s">
        <v>357</v>
      </c>
      <c r="F714" s="1056" t="s">
        <v>12316</v>
      </c>
      <c r="G714" s="849" t="s">
        <v>8061</v>
      </c>
      <c r="I714" s="849">
        <v>1</v>
      </c>
    </row>
    <row r="715" spans="4:9">
      <c r="D715" s="122">
        <v>42814</v>
      </c>
      <c r="E715" s="124" t="s">
        <v>582</v>
      </c>
      <c r="F715" s="1056" t="s">
        <v>12320</v>
      </c>
      <c r="G715" s="849" t="s">
        <v>556</v>
      </c>
      <c r="I715" s="849">
        <v>1</v>
      </c>
    </row>
    <row r="716" spans="4:9" ht="25.5">
      <c r="D716" s="122">
        <v>42846</v>
      </c>
      <c r="E716" s="124" t="s">
        <v>12322</v>
      </c>
      <c r="F716" s="1056" t="s">
        <v>12323</v>
      </c>
      <c r="G716" s="849" t="s">
        <v>10085</v>
      </c>
      <c r="I716" s="849">
        <v>1</v>
      </c>
    </row>
    <row r="717" spans="4:9">
      <c r="D717" s="122">
        <v>42851</v>
      </c>
      <c r="E717" s="124" t="s">
        <v>12322</v>
      </c>
      <c r="F717" s="1056" t="s">
        <v>12329</v>
      </c>
      <c r="G717" s="849" t="s">
        <v>10085</v>
      </c>
      <c r="I717" s="849">
        <v>1</v>
      </c>
    </row>
    <row r="718" spans="4:9">
      <c r="D718" s="122">
        <v>42866</v>
      </c>
      <c r="E718" s="124" t="s">
        <v>357</v>
      </c>
      <c r="F718" s="1056" t="s">
        <v>12330</v>
      </c>
      <c r="G718" s="849" t="s">
        <v>8061</v>
      </c>
      <c r="I718" s="849">
        <v>1</v>
      </c>
    </row>
    <row r="719" spans="4:9">
      <c r="D719" s="122">
        <v>42907</v>
      </c>
      <c r="E719" s="124" t="s">
        <v>12322</v>
      </c>
      <c r="F719" s="1056" t="s">
        <v>12334</v>
      </c>
      <c r="G719" s="849" t="s">
        <v>10085</v>
      </c>
      <c r="I719" s="849">
        <v>1</v>
      </c>
    </row>
    <row r="720" spans="4:9">
      <c r="D720" s="122">
        <v>42936</v>
      </c>
      <c r="E720" s="124" t="s">
        <v>582</v>
      </c>
      <c r="F720" s="1056" t="s">
        <v>12335</v>
      </c>
      <c r="G720" s="849" t="s">
        <v>556</v>
      </c>
      <c r="I720" s="849">
        <v>1</v>
      </c>
    </row>
    <row r="721" spans="2:9">
      <c r="D721" s="122">
        <v>42948</v>
      </c>
      <c r="E721" s="124" t="s">
        <v>357</v>
      </c>
      <c r="F721" s="1056" t="s">
        <v>12338</v>
      </c>
      <c r="G721" s="849" t="s">
        <v>8061</v>
      </c>
      <c r="I721" s="849">
        <v>1</v>
      </c>
    </row>
    <row r="722" spans="2:9">
      <c r="D722" s="122">
        <v>42996</v>
      </c>
      <c r="E722" s="124" t="s">
        <v>582</v>
      </c>
      <c r="F722" s="1056" t="s">
        <v>12335</v>
      </c>
      <c r="G722" s="849" t="s">
        <v>556</v>
      </c>
      <c r="I722" s="849">
        <v>1</v>
      </c>
    </row>
    <row r="723" spans="2:9" ht="38.25">
      <c r="B723" s="122">
        <v>43074</v>
      </c>
      <c r="C723" s="122">
        <v>43074</v>
      </c>
      <c r="D723" s="122">
        <v>43074</v>
      </c>
      <c r="E723" s="124" t="s">
        <v>582</v>
      </c>
      <c r="F723" s="1056" t="s">
        <v>12347</v>
      </c>
      <c r="G723" s="849" t="s">
        <v>556</v>
      </c>
    </row>
    <row r="724" spans="2:9" ht="25.5">
      <c r="B724" s="122">
        <v>43081</v>
      </c>
      <c r="C724" s="122">
        <v>43081</v>
      </c>
      <c r="D724" s="122">
        <v>43081</v>
      </c>
      <c r="E724" s="124" t="s">
        <v>582</v>
      </c>
      <c r="F724" s="1056" t="s">
        <v>12355</v>
      </c>
      <c r="G724" s="849" t="s">
        <v>556</v>
      </c>
    </row>
    <row r="725" spans="2:9">
      <c r="D725" s="122">
        <v>43124</v>
      </c>
      <c r="E725" s="124" t="s">
        <v>357</v>
      </c>
      <c r="F725" s="1056" t="s">
        <v>12358</v>
      </c>
      <c r="G725" s="849" t="s">
        <v>8061</v>
      </c>
      <c r="I725">
        <v>1</v>
      </c>
    </row>
    <row r="726" spans="2:9">
      <c r="D726" s="122">
        <v>43124</v>
      </c>
      <c r="E726" s="124" t="s">
        <v>357</v>
      </c>
      <c r="F726" s="1056" t="s">
        <v>11496</v>
      </c>
      <c r="G726" s="849" t="s">
        <v>8061</v>
      </c>
      <c r="H726" s="941"/>
      <c r="I726" s="941">
        <v>1</v>
      </c>
    </row>
    <row r="727" spans="2:9" ht="38.25">
      <c r="D727" s="122">
        <v>43143</v>
      </c>
      <c r="E727" s="124" t="s">
        <v>582</v>
      </c>
      <c r="F727" s="1056" t="s">
        <v>12530</v>
      </c>
      <c r="G727" s="849" t="s">
        <v>556</v>
      </c>
      <c r="I727">
        <v>1</v>
      </c>
    </row>
    <row r="728" spans="2:9">
      <c r="B728" s="122">
        <v>43171</v>
      </c>
      <c r="C728" s="122">
        <v>43171</v>
      </c>
      <c r="D728" s="122">
        <v>43146</v>
      </c>
      <c r="E728" s="124" t="s">
        <v>210</v>
      </c>
      <c r="F728" s="1056" t="s">
        <v>12531</v>
      </c>
      <c r="G728" s="849" t="s">
        <v>10879</v>
      </c>
      <c r="I728">
        <v>1</v>
      </c>
    </row>
    <row r="729" spans="2:9">
      <c r="B729" s="122"/>
      <c r="C729" s="122"/>
      <c r="D729" s="122">
        <v>43243</v>
      </c>
      <c r="E729" s="124" t="s">
        <v>357</v>
      </c>
      <c r="F729" s="1056" t="s">
        <v>12584</v>
      </c>
      <c r="G729" s="849" t="s">
        <v>8061</v>
      </c>
      <c r="I729">
        <v>1</v>
      </c>
    </row>
    <row r="730" spans="2:9">
      <c r="D730" s="122">
        <v>43243</v>
      </c>
      <c r="E730" s="111" t="s">
        <v>357</v>
      </c>
      <c r="F730" s="1055" t="s">
        <v>12585</v>
      </c>
      <c r="G730" t="s">
        <v>8061</v>
      </c>
      <c r="I730">
        <v>1</v>
      </c>
    </row>
    <row r="731" spans="2:9">
      <c r="D731" s="122">
        <v>43255</v>
      </c>
      <c r="E731" s="124" t="s">
        <v>12588</v>
      </c>
      <c r="F731" s="1056" t="s">
        <v>12589</v>
      </c>
      <c r="G731" s="849" t="s">
        <v>12590</v>
      </c>
      <c r="I731">
        <v>1</v>
      </c>
    </row>
    <row r="732" spans="2:9">
      <c r="B732" s="122">
        <v>43258</v>
      </c>
      <c r="C732" s="122">
        <v>43258</v>
      </c>
      <c r="D732" s="122">
        <v>43258</v>
      </c>
      <c r="E732" s="124" t="s">
        <v>582</v>
      </c>
      <c r="F732" s="1056" t="s">
        <v>12591</v>
      </c>
      <c r="G732" s="849" t="s">
        <v>556</v>
      </c>
      <c r="I732">
        <v>1</v>
      </c>
    </row>
    <row r="733" spans="2:9">
      <c r="D733" s="122">
        <v>43263</v>
      </c>
      <c r="E733" s="124" t="s">
        <v>357</v>
      </c>
      <c r="F733" s="1056" t="s">
        <v>12593</v>
      </c>
      <c r="G733" s="849" t="s">
        <v>8061</v>
      </c>
      <c r="I733">
        <v>1</v>
      </c>
    </row>
    <row r="734" spans="2:9">
      <c r="D734" s="122">
        <v>43293</v>
      </c>
      <c r="E734" s="124" t="s">
        <v>357</v>
      </c>
      <c r="F734" s="1056" t="s">
        <v>12632</v>
      </c>
      <c r="G734" s="849" t="s">
        <v>8061</v>
      </c>
      <c r="I734">
        <v>1</v>
      </c>
    </row>
    <row r="735" spans="2:9">
      <c r="D735" s="122">
        <v>43313</v>
      </c>
      <c r="E735" s="124" t="s">
        <v>15</v>
      </c>
      <c r="F735" s="1056" t="s">
        <v>12659</v>
      </c>
      <c r="G735" s="849" t="s">
        <v>8061</v>
      </c>
      <c r="H735">
        <v>1</v>
      </c>
    </row>
    <row r="736" spans="2:9">
      <c r="D736" s="122">
        <v>43320</v>
      </c>
      <c r="E736" s="124" t="s">
        <v>357</v>
      </c>
      <c r="F736" s="1056" t="s">
        <v>12662</v>
      </c>
      <c r="G736" s="849" t="s">
        <v>8061</v>
      </c>
      <c r="I736">
        <v>1</v>
      </c>
    </row>
    <row r="737" spans="2:9">
      <c r="D737" s="122">
        <v>43336</v>
      </c>
      <c r="E737" s="124" t="s">
        <v>357</v>
      </c>
      <c r="F737" s="1056" t="s">
        <v>12664</v>
      </c>
      <c r="G737" s="849" t="s">
        <v>8061</v>
      </c>
      <c r="H737">
        <v>1</v>
      </c>
    </row>
    <row r="738" spans="2:9">
      <c r="D738" s="122">
        <v>43336</v>
      </c>
      <c r="E738" s="124" t="s">
        <v>357</v>
      </c>
      <c r="F738" s="1056" t="s">
        <v>12665</v>
      </c>
      <c r="G738" s="849" t="s">
        <v>8061</v>
      </c>
      <c r="H738">
        <v>1</v>
      </c>
    </row>
    <row r="739" spans="2:9">
      <c r="D739" s="122">
        <v>43336</v>
      </c>
      <c r="E739" s="124" t="s">
        <v>357</v>
      </c>
      <c r="F739" s="1056" t="s">
        <v>12666</v>
      </c>
      <c r="G739" s="849" t="s">
        <v>8061</v>
      </c>
      <c r="H739">
        <v>1</v>
      </c>
    </row>
    <row r="740" spans="2:9">
      <c r="D740" s="1760">
        <v>43336</v>
      </c>
      <c r="E740" s="1761" t="s">
        <v>357</v>
      </c>
      <c r="F740" s="1762" t="s">
        <v>12667</v>
      </c>
      <c r="G740" s="1238" t="s">
        <v>8061</v>
      </c>
      <c r="H740" s="1238">
        <v>1</v>
      </c>
    </row>
    <row r="741" spans="2:9">
      <c r="D741" s="122">
        <v>43347</v>
      </c>
      <c r="E741" s="124" t="s">
        <v>357</v>
      </c>
      <c r="F741" s="1056" t="s">
        <v>12668</v>
      </c>
      <c r="G741" s="849" t="s">
        <v>8061</v>
      </c>
      <c r="I741">
        <v>1</v>
      </c>
    </row>
    <row r="742" spans="2:9">
      <c r="D742" s="122">
        <v>43351</v>
      </c>
      <c r="E742" s="124" t="s">
        <v>357</v>
      </c>
      <c r="F742" s="1056" t="s">
        <v>12669</v>
      </c>
      <c r="G742" s="849" t="s">
        <v>8061</v>
      </c>
      <c r="H742">
        <v>1</v>
      </c>
    </row>
    <row r="743" spans="2:9">
      <c r="D743" s="122">
        <v>43351</v>
      </c>
      <c r="E743" s="124" t="s">
        <v>357</v>
      </c>
      <c r="F743" s="1056" t="s">
        <v>12670</v>
      </c>
      <c r="G743" s="849" t="s">
        <v>8061</v>
      </c>
      <c r="H743">
        <v>1</v>
      </c>
    </row>
    <row r="744" spans="2:9">
      <c r="D744" s="122">
        <v>43362</v>
      </c>
      <c r="E744" s="124" t="s">
        <v>357</v>
      </c>
      <c r="F744" s="1056" t="s">
        <v>12677</v>
      </c>
      <c r="G744" s="849" t="s">
        <v>8061</v>
      </c>
      <c r="I744">
        <v>1</v>
      </c>
    </row>
    <row r="745" spans="2:9">
      <c r="D745" s="122">
        <v>43363</v>
      </c>
      <c r="E745" s="124" t="s">
        <v>582</v>
      </c>
      <c r="F745" s="1056" t="s">
        <v>11641</v>
      </c>
      <c r="G745" s="849" t="s">
        <v>556</v>
      </c>
      <c r="I745">
        <v>1</v>
      </c>
    </row>
    <row r="746" spans="2:9" ht="25.5">
      <c r="D746" s="122">
        <v>43363</v>
      </c>
      <c r="E746" s="111" t="s">
        <v>582</v>
      </c>
      <c r="F746" s="1055" t="s">
        <v>12829</v>
      </c>
      <c r="G746" t="s">
        <v>556</v>
      </c>
      <c r="I746">
        <v>1</v>
      </c>
    </row>
    <row r="747" spans="2:9">
      <c r="B747" s="122">
        <v>43381</v>
      </c>
      <c r="C747" s="122">
        <v>43381</v>
      </c>
      <c r="D747" s="122">
        <v>43381</v>
      </c>
      <c r="E747" s="124" t="s">
        <v>582</v>
      </c>
      <c r="F747" s="1056" t="s">
        <v>11345</v>
      </c>
      <c r="G747" s="849" t="s">
        <v>556</v>
      </c>
      <c r="I747">
        <v>1</v>
      </c>
    </row>
  </sheetData>
  <sheetProtection formatColumns="0" formatRows="0"/>
  <sortState ref="D332:I339">
    <sortCondition ref="D332:D339"/>
  </sortState>
  <phoneticPr fontId="3" type="noConversion"/>
  <pageMargins left="0.75" right="0.75" top="1" bottom="1" header="0.5" footer="0.5"/>
  <pageSetup orientation="portrait" r:id="rId1"/>
  <headerFooter alignWithMargins="0">
    <oddFooter>&amp;CAT&amp;&amp;T Proprietary (Internal Use Only)</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50561" r:id="rId4" name="Button 1">
              <controlPr defaultSize="0" print="0" autoFill="0" autoPict="0" macro="[0]!simplifyCDT">
                <anchor moveWithCells="1" sizeWithCells="1">
                  <from>
                    <xdr:col>5</xdr:col>
                    <xdr:colOff>619125</xdr:colOff>
                    <xdr:row>0</xdr:row>
                    <xdr:rowOff>47625</xdr:rowOff>
                  </from>
                  <to>
                    <xdr:col>5</xdr:col>
                    <xdr:colOff>1657350</xdr:colOff>
                    <xdr:row>0</xdr:row>
                    <xdr:rowOff>276225</xdr:rowOff>
                  </to>
                </anchor>
              </controlPr>
            </control>
          </mc:Choice>
        </mc:AlternateContent>
        <mc:AlternateContent xmlns:mc="http://schemas.openxmlformats.org/markup-compatibility/2006">
          <mc:Choice Requires="x14">
            <control shapeId="450562" r:id="rId5" name="Button 2">
              <controlPr defaultSize="0" print="0" autoFill="0" autoPict="0" macro="[0]!unSimplifyCDT">
                <anchor moveWithCells="1" sizeWithCells="1">
                  <from>
                    <xdr:col>5</xdr:col>
                    <xdr:colOff>2000250</xdr:colOff>
                    <xdr:row>0</xdr:row>
                    <xdr:rowOff>47625</xdr:rowOff>
                  </from>
                  <to>
                    <xdr:col>5</xdr:col>
                    <xdr:colOff>3038475</xdr:colOff>
                    <xdr:row>0</xdr:row>
                    <xdr:rowOff>276225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wsSoap"/>
  <dimension ref="A1:J35"/>
  <sheetViews>
    <sheetView topLeftCell="A10" workbookViewId="0">
      <selection activeCell="D34" sqref="D34"/>
    </sheetView>
  </sheetViews>
  <sheetFormatPr defaultRowHeight="12.75"/>
  <cols>
    <col min="1" max="1" width="29.5703125" customWidth="1"/>
    <col min="2" max="2" width="68" customWidth="1"/>
    <col min="3" max="3" width="24.140625" customWidth="1"/>
    <col min="4" max="4" width="10" customWidth="1"/>
  </cols>
  <sheetData>
    <row r="1" spans="1:10">
      <c r="A1" s="16" t="s">
        <v>625</v>
      </c>
      <c r="B1" s="31" t="s">
        <v>503</v>
      </c>
      <c r="C1" s="8"/>
      <c r="D1" s="1"/>
      <c r="E1" s="1"/>
      <c r="F1" s="1"/>
      <c r="G1" s="1"/>
      <c r="H1" s="1"/>
      <c r="I1" s="1"/>
      <c r="J1" s="1"/>
    </row>
    <row r="2" spans="1:10">
      <c r="A2" s="2"/>
      <c r="B2" s="7"/>
      <c r="C2" s="2"/>
      <c r="D2" s="2"/>
      <c r="E2" s="1"/>
      <c r="F2" s="1"/>
      <c r="G2" s="1"/>
      <c r="H2" s="1"/>
      <c r="I2" s="1"/>
      <c r="J2" s="1"/>
    </row>
    <row r="3" spans="1:10">
      <c r="A3" s="22" t="s">
        <v>504</v>
      </c>
      <c r="B3" s="32" t="s">
        <v>291</v>
      </c>
      <c r="C3" s="33" t="s">
        <v>292</v>
      </c>
      <c r="D3" s="23" t="s">
        <v>293</v>
      </c>
      <c r="E3" s="8"/>
      <c r="F3" s="1"/>
      <c r="G3" s="1"/>
      <c r="H3" s="1"/>
      <c r="I3" s="1"/>
      <c r="J3" s="1"/>
    </row>
    <row r="4" spans="1:10">
      <c r="A4" s="18" t="s">
        <v>7986</v>
      </c>
      <c r="B4" s="20" t="s">
        <v>11177</v>
      </c>
      <c r="C4" s="11"/>
      <c r="D4" s="24">
        <v>0</v>
      </c>
      <c r="E4" s="8"/>
      <c r="F4" s="1"/>
      <c r="G4" s="65"/>
      <c r="H4" s="1"/>
      <c r="I4" s="1"/>
      <c r="J4" s="1"/>
    </row>
    <row r="5" spans="1:10">
      <c r="A5" s="15" t="s">
        <v>7987</v>
      </c>
      <c r="B5" s="16" t="s">
        <v>11178</v>
      </c>
      <c r="C5" s="10"/>
      <c r="D5" s="26">
        <f>C26</f>
        <v>0</v>
      </c>
      <c r="E5" s="8"/>
      <c r="F5" s="1"/>
      <c r="G5" s="1"/>
      <c r="H5" s="1"/>
      <c r="I5" s="1"/>
      <c r="J5" s="1"/>
    </row>
    <row r="6" spans="1:10">
      <c r="A6" s="15" t="s">
        <v>7989</v>
      </c>
      <c r="B6" s="16" t="s">
        <v>11179</v>
      </c>
      <c r="C6" s="10"/>
      <c r="D6" s="26">
        <v>0</v>
      </c>
      <c r="E6" s="8"/>
      <c r="F6" s="1"/>
      <c r="G6" s="1"/>
      <c r="H6" s="1"/>
      <c r="I6" s="1"/>
      <c r="J6" s="1"/>
    </row>
    <row r="7" spans="1:10">
      <c r="A7" s="14" t="s">
        <v>7990</v>
      </c>
      <c r="B7" s="16" t="s">
        <v>11180</v>
      </c>
      <c r="C7" s="10"/>
      <c r="D7" s="26">
        <v>0</v>
      </c>
      <c r="E7" s="8"/>
      <c r="F7" s="1"/>
      <c r="G7" s="1"/>
      <c r="H7" s="1"/>
      <c r="I7" s="1"/>
      <c r="J7" s="1"/>
    </row>
    <row r="8" spans="1:10">
      <c r="A8" s="14" t="s">
        <v>7991</v>
      </c>
      <c r="B8" s="16" t="s">
        <v>11181</v>
      </c>
      <c r="C8" s="10"/>
      <c r="D8" s="26">
        <f>C27</f>
        <v>0</v>
      </c>
      <c r="E8" s="8"/>
      <c r="F8" s="1"/>
      <c r="G8" s="1"/>
      <c r="H8" s="1"/>
      <c r="I8" s="1"/>
      <c r="J8" s="1"/>
    </row>
    <row r="9" spans="1:10">
      <c r="A9" s="15" t="s">
        <v>7985</v>
      </c>
      <c r="B9" s="16" t="s">
        <v>11182</v>
      </c>
      <c r="C9" s="10"/>
      <c r="D9" s="26">
        <f>C26</f>
        <v>0</v>
      </c>
      <c r="E9" s="8"/>
      <c r="F9" s="1"/>
      <c r="G9" s="1"/>
      <c r="H9" s="1"/>
      <c r="I9" s="1"/>
      <c r="J9" s="1"/>
    </row>
    <row r="10" spans="1:10">
      <c r="A10" s="8"/>
      <c r="B10" s="3"/>
      <c r="C10" s="10"/>
      <c r="D10" s="10"/>
      <c r="E10" s="8"/>
      <c r="F10" s="1"/>
      <c r="G10" s="1"/>
      <c r="H10" s="1"/>
      <c r="I10" s="1"/>
      <c r="J10" s="1"/>
    </row>
    <row r="11" spans="1:10">
      <c r="A11" s="1"/>
      <c r="B11" s="3"/>
      <c r="C11" s="10"/>
      <c r="D11" s="10"/>
      <c r="E11" s="8"/>
      <c r="F11" s="1"/>
      <c r="G11" s="1"/>
      <c r="H11" s="1"/>
      <c r="I11" s="1"/>
      <c r="J11" s="1"/>
    </row>
    <row r="12" spans="1:10">
      <c r="A12" s="1"/>
      <c r="B12" s="3"/>
      <c r="C12" s="10"/>
      <c r="D12" s="10"/>
      <c r="E12" s="8"/>
      <c r="F12" s="1"/>
      <c r="G12" s="1"/>
      <c r="H12" s="1"/>
      <c r="I12" s="1"/>
      <c r="J12" s="1"/>
    </row>
    <row r="13" spans="1:10">
      <c r="A13" s="15" t="s">
        <v>583</v>
      </c>
      <c r="B13" s="16" t="s">
        <v>11183</v>
      </c>
      <c r="C13" s="10"/>
      <c r="D13" s="26">
        <f>C26</f>
        <v>0</v>
      </c>
      <c r="E13" s="8"/>
      <c r="F13" s="1"/>
      <c r="G13" s="1"/>
      <c r="H13" s="1"/>
      <c r="I13" s="1"/>
      <c r="J13" s="1"/>
    </row>
    <row r="14" spans="1:10">
      <c r="A14" s="15" t="s">
        <v>202</v>
      </c>
      <c r="B14" s="16" t="s">
        <v>11184</v>
      </c>
      <c r="C14" s="10"/>
      <c r="D14" s="26">
        <f>C26</f>
        <v>0</v>
      </c>
      <c r="E14" s="8"/>
      <c r="F14" s="1"/>
      <c r="G14" s="1"/>
      <c r="H14" s="1"/>
      <c r="I14" s="1"/>
      <c r="J14" s="1"/>
    </row>
    <row r="15" spans="1:10">
      <c r="A15" s="14" t="s">
        <v>203</v>
      </c>
      <c r="B15" s="3"/>
      <c r="C15" s="10"/>
      <c r="D15" s="10"/>
      <c r="E15" s="8"/>
      <c r="F15" s="1"/>
      <c r="G15" s="1"/>
      <c r="H15" s="1"/>
      <c r="I15" s="1"/>
      <c r="J15" s="1"/>
    </row>
    <row r="16" spans="1:10">
      <c r="A16" s="14" t="s">
        <v>7983</v>
      </c>
      <c r="B16" s="16" t="s">
        <v>11185</v>
      </c>
      <c r="C16" s="10"/>
      <c r="D16" s="10"/>
      <c r="E16" s="8"/>
      <c r="F16" s="1"/>
      <c r="G16" s="1"/>
      <c r="H16" s="1"/>
      <c r="I16" s="1"/>
      <c r="J16" s="1"/>
    </row>
    <row r="17" spans="1:10">
      <c r="A17" s="14" t="s">
        <v>7984</v>
      </c>
      <c r="B17" s="16" t="s">
        <v>11186</v>
      </c>
      <c r="C17" s="10"/>
      <c r="D17" s="10"/>
      <c r="E17" s="8"/>
      <c r="F17" s="1"/>
      <c r="G17" s="1"/>
      <c r="H17" s="1"/>
      <c r="I17" s="1"/>
      <c r="J17" s="1"/>
    </row>
    <row r="18" spans="1:10">
      <c r="A18" s="14" t="s">
        <v>8003</v>
      </c>
      <c r="B18" s="16" t="s">
        <v>11187</v>
      </c>
      <c r="C18" s="10"/>
      <c r="D18" s="10"/>
      <c r="E18" s="8"/>
      <c r="F18" s="1"/>
      <c r="G18" s="1"/>
      <c r="H18" s="1"/>
      <c r="I18" s="1"/>
      <c r="J18" s="1"/>
    </row>
    <row r="19" spans="1:10">
      <c r="A19" s="14" t="s">
        <v>7982</v>
      </c>
      <c r="B19" s="16" t="s">
        <v>11188</v>
      </c>
      <c r="C19" s="26" t="str">
        <f>LEFT(returnvalue,10)</f>
        <v>2007-10-11</v>
      </c>
      <c r="D19" s="10"/>
      <c r="E19" s="8"/>
      <c r="F19" s="1"/>
      <c r="G19" s="1"/>
      <c r="H19" s="1"/>
      <c r="I19" s="1"/>
      <c r="J19" s="1"/>
    </row>
    <row r="20" spans="1:10">
      <c r="A20" s="1"/>
      <c r="B20" s="3"/>
      <c r="C20" s="10"/>
      <c r="D20" s="10"/>
      <c r="E20" s="8"/>
      <c r="F20" s="1"/>
      <c r="G20" s="1"/>
      <c r="H20" s="1"/>
      <c r="I20" s="1"/>
      <c r="J20" s="1"/>
    </row>
    <row r="21" spans="1:10">
      <c r="A21" s="15" t="s">
        <v>7988</v>
      </c>
      <c r="B21" s="16" t="s">
        <v>11189</v>
      </c>
      <c r="C21" s="10"/>
      <c r="D21" s="10"/>
      <c r="E21" s="8"/>
      <c r="F21" s="1"/>
      <c r="G21" s="1"/>
      <c r="H21" s="1"/>
      <c r="I21" s="1"/>
      <c r="J21" s="1"/>
    </row>
    <row r="22" spans="1:10">
      <c r="A22" s="9"/>
      <c r="B22" s="6"/>
      <c r="C22" s="12"/>
      <c r="D22" s="12"/>
      <c r="E22" s="8"/>
      <c r="F22" s="1"/>
      <c r="G22" s="1"/>
      <c r="H22" s="1"/>
      <c r="I22" s="1"/>
      <c r="J22" s="1"/>
    </row>
    <row r="23" spans="1:10">
      <c r="A23" s="4"/>
      <c r="B23" s="4"/>
      <c r="C23" s="4"/>
      <c r="D23" s="4"/>
      <c r="E23" s="1"/>
      <c r="F23" s="1"/>
      <c r="G23" s="1"/>
      <c r="H23" s="1"/>
      <c r="I23" s="1"/>
      <c r="J23" s="1"/>
    </row>
    <row r="24" spans="1:10">
      <c r="A24" s="25" t="s">
        <v>378</v>
      </c>
      <c r="B24" s="2"/>
      <c r="C24" s="2"/>
      <c r="D24" s="1"/>
      <c r="E24" s="1"/>
      <c r="F24" s="1"/>
      <c r="G24" s="1"/>
      <c r="H24" s="1"/>
      <c r="I24" s="1"/>
      <c r="J24" s="1"/>
    </row>
    <row r="25" spans="1:10">
      <c r="A25" s="22" t="s">
        <v>21</v>
      </c>
      <c r="B25" s="32" t="s">
        <v>22</v>
      </c>
      <c r="C25" s="33" t="s">
        <v>293</v>
      </c>
      <c r="D25" s="8"/>
      <c r="E25" s="1"/>
      <c r="F25" s="1"/>
      <c r="G25" s="1"/>
      <c r="H25" s="1"/>
      <c r="I25" s="1"/>
      <c r="J25" s="1"/>
    </row>
    <row r="26" spans="1:10">
      <c r="A26" s="34" t="s">
        <v>23</v>
      </c>
      <c r="B26" s="17" t="s">
        <v>11190</v>
      </c>
      <c r="C26" s="20">
        <v>0</v>
      </c>
      <c r="D26" s="8"/>
      <c r="E26" s="1"/>
      <c r="F26" s="1"/>
      <c r="G26" s="1"/>
      <c r="H26" s="1"/>
      <c r="I26" s="1"/>
      <c r="J26" s="1"/>
    </row>
    <row r="27" spans="1:10">
      <c r="A27" s="112" t="s">
        <v>23</v>
      </c>
      <c r="B27" s="1" t="s">
        <v>11191</v>
      </c>
      <c r="C27" s="3">
        <v>0</v>
      </c>
      <c r="D27" s="8"/>
      <c r="E27" s="1"/>
      <c r="F27" s="1"/>
      <c r="G27" s="1"/>
      <c r="H27" s="1"/>
      <c r="I27" s="1"/>
      <c r="J27" s="1"/>
    </row>
    <row r="28" spans="1:10">
      <c r="A28" s="9"/>
      <c r="B28" s="2"/>
      <c r="C28" s="6"/>
      <c r="D28" s="8"/>
      <c r="E28" s="1"/>
      <c r="F28" s="1"/>
      <c r="G28" s="1"/>
      <c r="H28" s="1"/>
      <c r="I28" s="1"/>
      <c r="J28" s="1"/>
    </row>
    <row r="29" spans="1:10">
      <c r="A29" s="4"/>
      <c r="B29" s="4"/>
      <c r="C29" s="4"/>
      <c r="D29" s="1"/>
      <c r="E29" s="1"/>
      <c r="F29" s="1"/>
      <c r="G29" s="1"/>
      <c r="H29" s="1"/>
      <c r="I29" s="1"/>
      <c r="J29" s="1"/>
    </row>
    <row r="30" spans="1:10">
      <c r="A30" s="1"/>
      <c r="B30" s="1"/>
      <c r="C30" s="1"/>
      <c r="D30" s="1"/>
      <c r="E30" s="1"/>
      <c r="F30" s="1"/>
      <c r="G30" s="1"/>
      <c r="H30" s="1"/>
      <c r="I30" s="1"/>
      <c r="J30" s="1"/>
    </row>
    <row r="31" spans="1:10">
      <c r="A31" s="14" t="s">
        <v>24</v>
      </c>
      <c r="B31" s="1"/>
      <c r="C31" s="1"/>
      <c r="D31" s="1"/>
      <c r="E31" s="1"/>
      <c r="F31" s="1"/>
      <c r="G31" s="1"/>
      <c r="H31" s="1"/>
      <c r="I31" s="1"/>
      <c r="J31" s="1"/>
    </row>
    <row r="32" spans="1:10">
      <c r="A32" s="35" t="s">
        <v>11668</v>
      </c>
      <c r="B32" s="5"/>
      <c r="C32" s="5"/>
      <c r="D32" s="5"/>
      <c r="E32" s="5"/>
      <c r="F32" s="5"/>
      <c r="G32" s="5"/>
      <c r="H32" s="5"/>
      <c r="I32" s="5"/>
      <c r="J32" s="5"/>
    </row>
    <row r="33" spans="1:10">
      <c r="A33" s="1"/>
      <c r="B33" s="2"/>
      <c r="C33" s="1"/>
      <c r="D33" s="1"/>
      <c r="E33" s="1"/>
      <c r="F33" s="1"/>
      <c r="G33" s="1"/>
      <c r="H33" s="1"/>
      <c r="I33" s="1"/>
      <c r="J33" s="1"/>
    </row>
    <row r="34" spans="1:10">
      <c r="A34" s="14" t="s">
        <v>59</v>
      </c>
      <c r="B34" s="1681" t="s">
        <v>12324</v>
      </c>
      <c r="D34" s="1"/>
      <c r="E34" s="1"/>
      <c r="F34" s="1"/>
    </row>
    <row r="35" spans="1:10">
      <c r="A35" s="1"/>
      <c r="B35" s="1"/>
      <c r="C35" s="1"/>
      <c r="D35" s="1"/>
      <c r="E35" s="1"/>
      <c r="F35" s="1"/>
    </row>
  </sheetData>
  <sheetProtection formatColumns="0" formatRows="0"/>
  <phoneticPr fontId="3" type="noConversion"/>
  <pageMargins left="0.75" right="0.75" top="1" bottom="1" header="0.5" footer="0.5"/>
  <pageSetup orientation="portrait" r:id="rId1"/>
  <headerFooter alignWithMargins="0">
    <oddFooter>&amp;CAT&amp;&amp;T Proprietary (Internal Use Only)</odd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wsScratchPad"/>
  <dimension ref="A1:AK3535"/>
  <sheetViews>
    <sheetView workbookViewId="0">
      <selection activeCell="H1" sqref="H1:H6"/>
    </sheetView>
  </sheetViews>
  <sheetFormatPr defaultRowHeight="12.75"/>
  <cols>
    <col min="5" max="5" width="26.140625" customWidth="1"/>
    <col min="6" max="6" width="27.28515625" customWidth="1"/>
    <col min="9" max="9" width="29.7109375" customWidth="1"/>
    <col min="11" max="11" width="31.140625" customWidth="1"/>
  </cols>
  <sheetData>
    <row r="1" spans="1:37">
      <c r="A1" s="682"/>
      <c r="B1" s="667">
        <v>24</v>
      </c>
      <c r="C1" s="667">
        <v>8</v>
      </c>
      <c r="D1" s="664"/>
      <c r="E1" s="664"/>
      <c r="F1" s="664"/>
      <c r="G1" s="663"/>
      <c r="H1" s="680"/>
      <c r="I1" s="680"/>
      <c r="J1" s="680"/>
      <c r="K1" s="680"/>
      <c r="L1" s="680"/>
      <c r="M1" s="680"/>
      <c r="N1" s="678"/>
      <c r="O1" s="678"/>
      <c r="P1" s="678"/>
      <c r="Q1" s="678"/>
      <c r="R1" s="678"/>
      <c r="S1" s="678"/>
      <c r="T1" s="678"/>
      <c r="U1" s="678"/>
      <c r="V1" s="678"/>
      <c r="W1" s="678"/>
      <c r="X1" s="678"/>
      <c r="Y1" s="678"/>
      <c r="Z1" s="678"/>
      <c r="AA1" s="678"/>
      <c r="AB1" s="678"/>
      <c r="AC1" s="678"/>
      <c r="AD1" s="678"/>
      <c r="AE1" s="678"/>
      <c r="AF1" s="678"/>
      <c r="AG1" s="678"/>
      <c r="AH1" s="678"/>
      <c r="AI1" s="678"/>
      <c r="AJ1" s="678"/>
      <c r="AK1" s="678"/>
    </row>
    <row r="2" spans="1:37">
      <c r="A2" s="1682" t="s">
        <v>482</v>
      </c>
      <c r="B2" s="663"/>
      <c r="C2" s="663"/>
      <c r="D2" s="664"/>
      <c r="E2" s="664"/>
      <c r="F2" s="664"/>
      <c r="G2" s="663"/>
      <c r="H2" s="680"/>
      <c r="I2" s="680"/>
      <c r="J2" s="680"/>
      <c r="K2" s="680"/>
      <c r="L2" s="680"/>
      <c r="M2" s="680"/>
      <c r="N2" s="678"/>
      <c r="O2" s="678"/>
      <c r="P2" s="678"/>
      <c r="Q2" s="678"/>
      <c r="R2" s="678"/>
      <c r="S2" s="678"/>
      <c r="T2" s="678"/>
      <c r="U2" s="678"/>
      <c r="V2" s="678"/>
      <c r="W2" s="678"/>
      <c r="X2" s="678"/>
      <c r="Y2" s="678"/>
      <c r="Z2" s="678"/>
      <c r="AA2" s="678"/>
      <c r="AB2" s="678"/>
      <c r="AC2" s="678"/>
      <c r="AD2" s="678"/>
      <c r="AE2" s="678"/>
      <c r="AF2" s="678"/>
      <c r="AG2" s="678"/>
      <c r="AH2" s="678"/>
      <c r="AI2" s="678"/>
      <c r="AJ2" s="678"/>
      <c r="AK2" s="678"/>
    </row>
    <row r="3" spans="1:37">
      <c r="A3" s="682" t="s">
        <v>533</v>
      </c>
      <c r="B3" s="663"/>
      <c r="C3" s="663"/>
      <c r="D3" s="664"/>
      <c r="E3" s="664"/>
      <c r="F3" s="664"/>
      <c r="G3" s="663"/>
      <c r="H3" s="680"/>
      <c r="I3" s="680"/>
      <c r="J3" s="680"/>
      <c r="K3" s="680"/>
      <c r="L3" s="680"/>
      <c r="M3" s="680"/>
      <c r="N3" s="678"/>
      <c r="O3" s="678"/>
      <c r="P3" s="678"/>
      <c r="Q3" s="678"/>
      <c r="R3" s="678"/>
      <c r="S3" s="678"/>
      <c r="T3" s="678"/>
      <c r="U3" s="678"/>
      <c r="V3" s="678"/>
      <c r="W3" s="678"/>
      <c r="X3" s="678"/>
      <c r="Y3" s="678"/>
      <c r="Z3" s="678"/>
      <c r="AA3" s="678"/>
      <c r="AB3" s="678"/>
      <c r="AC3" s="678"/>
      <c r="AD3" s="678"/>
      <c r="AE3" s="678"/>
      <c r="AF3" s="678"/>
      <c r="AG3" s="678"/>
      <c r="AH3" s="678"/>
      <c r="AI3" s="678"/>
      <c r="AJ3" s="678"/>
      <c r="AK3" s="678"/>
    </row>
    <row r="4" spans="1:37">
      <c r="A4" s="682" t="s">
        <v>54</v>
      </c>
      <c r="B4" s="663"/>
      <c r="C4" s="663"/>
      <c r="D4" s="664"/>
      <c r="E4" s="664"/>
      <c r="F4" s="664"/>
      <c r="G4" s="663"/>
      <c r="H4" s="680"/>
      <c r="I4" s="680"/>
      <c r="J4" s="680"/>
      <c r="K4" s="680"/>
      <c r="L4" s="680"/>
      <c r="M4" s="680"/>
      <c r="N4" s="678"/>
      <c r="O4" s="678"/>
      <c r="P4" s="678"/>
      <c r="Q4" s="678"/>
      <c r="R4" s="678"/>
      <c r="S4" s="678"/>
      <c r="T4" s="678"/>
      <c r="U4" s="678"/>
      <c r="V4" s="678"/>
      <c r="W4" s="678"/>
      <c r="X4" s="678"/>
      <c r="Y4" s="678"/>
      <c r="Z4" s="678"/>
      <c r="AA4" s="678"/>
      <c r="AB4" s="678"/>
      <c r="AC4" s="678"/>
      <c r="AD4" s="678"/>
      <c r="AE4" s="678"/>
      <c r="AF4" s="678"/>
      <c r="AG4" s="678"/>
      <c r="AH4" s="678"/>
      <c r="AI4" s="678"/>
      <c r="AJ4" s="678"/>
      <c r="AK4" s="678"/>
    </row>
    <row r="5" spans="1:37">
      <c r="A5" s="682" t="s">
        <v>12674</v>
      </c>
      <c r="B5" s="668"/>
      <c r="C5" s="663"/>
      <c r="D5" s="664"/>
      <c r="E5" s="664"/>
      <c r="F5" s="664"/>
      <c r="G5" s="663"/>
      <c r="H5" s="680"/>
      <c r="I5" s="680"/>
      <c r="J5" s="680"/>
      <c r="K5" s="680"/>
      <c r="L5" s="680"/>
      <c r="M5" s="680"/>
      <c r="N5" s="678"/>
      <c r="O5" s="678"/>
      <c r="P5" s="678"/>
      <c r="Q5" s="678"/>
      <c r="R5" s="678"/>
      <c r="S5" s="678"/>
      <c r="T5" s="678"/>
      <c r="U5" s="678"/>
      <c r="V5" s="678"/>
      <c r="W5" s="678"/>
      <c r="X5" s="678"/>
      <c r="Y5" s="678"/>
      <c r="Z5" s="678"/>
      <c r="AA5" s="678"/>
      <c r="AB5" s="678"/>
      <c r="AC5" s="678"/>
      <c r="AD5" s="678"/>
      <c r="AE5" s="678"/>
      <c r="AF5" s="678"/>
      <c r="AG5" s="678"/>
      <c r="AH5" s="678"/>
      <c r="AI5" s="678"/>
      <c r="AJ5" s="678"/>
      <c r="AK5" s="678"/>
    </row>
    <row r="6" spans="1:37">
      <c r="A6" s="682" t="s">
        <v>12675</v>
      </c>
      <c r="B6" s="664"/>
      <c r="C6" s="664"/>
      <c r="D6" s="664"/>
      <c r="E6" s="664"/>
      <c r="F6" s="664"/>
      <c r="G6" s="665"/>
      <c r="H6" s="680"/>
      <c r="I6" s="680"/>
      <c r="J6" s="680"/>
      <c r="K6" s="680"/>
      <c r="L6" s="680"/>
      <c r="M6" s="680"/>
      <c r="N6" s="664"/>
      <c r="O6" s="664"/>
      <c r="P6" s="664"/>
      <c r="Q6" s="664"/>
      <c r="R6" s="664"/>
      <c r="S6" s="664"/>
      <c r="T6" s="664"/>
      <c r="U6" s="664"/>
      <c r="V6" s="664"/>
      <c r="W6" s="664"/>
      <c r="X6" s="664"/>
      <c r="Y6" s="664"/>
      <c r="Z6" s="664"/>
      <c r="AA6" s="664"/>
      <c r="AB6" s="664"/>
      <c r="AC6" s="664"/>
      <c r="AD6" s="664"/>
      <c r="AE6" s="664"/>
      <c r="AF6" s="664"/>
      <c r="AG6" s="654"/>
    </row>
    <row r="7" spans="1:37">
      <c r="A7" s="682" t="s">
        <v>12676</v>
      </c>
      <c r="B7" s="664"/>
      <c r="C7" s="664"/>
      <c r="D7" s="664"/>
      <c r="E7" s="664"/>
      <c r="F7" s="664"/>
      <c r="G7" s="665"/>
      <c r="H7" s="680"/>
      <c r="I7" s="680"/>
      <c r="J7" s="680"/>
      <c r="K7" s="680"/>
      <c r="L7" s="680"/>
      <c r="M7" s="680"/>
      <c r="N7" s="664"/>
      <c r="O7" s="664"/>
      <c r="P7" s="664"/>
      <c r="Q7" s="664"/>
      <c r="R7" s="664"/>
      <c r="S7" s="664"/>
      <c r="T7" s="664"/>
      <c r="U7" s="664"/>
      <c r="V7" s="664"/>
      <c r="W7" s="664"/>
      <c r="X7" s="664"/>
      <c r="Y7" s="664"/>
      <c r="Z7" s="664"/>
      <c r="AA7" s="664"/>
      <c r="AB7" s="664"/>
      <c r="AC7" s="664"/>
      <c r="AD7" s="664"/>
      <c r="AE7" s="664"/>
      <c r="AF7" s="664"/>
      <c r="AG7" s="654"/>
    </row>
    <row r="8" spans="1:37">
      <c r="A8" s="682" t="s">
        <v>448</v>
      </c>
      <c r="B8" s="664"/>
      <c r="C8" s="664"/>
      <c r="D8" s="664"/>
      <c r="E8" s="664"/>
      <c r="F8" s="664"/>
      <c r="G8" s="665"/>
      <c r="H8" s="680"/>
      <c r="I8" s="680"/>
      <c r="J8" s="680"/>
      <c r="K8" s="680"/>
      <c r="L8" s="680"/>
      <c r="M8" s="680"/>
      <c r="N8" s="664"/>
      <c r="O8" s="664"/>
      <c r="P8" s="664"/>
      <c r="Q8" s="664"/>
      <c r="R8" s="664"/>
      <c r="S8" s="664"/>
      <c r="T8" s="664"/>
      <c r="U8" s="664"/>
      <c r="V8" s="664"/>
      <c r="W8" s="664"/>
      <c r="X8" s="664"/>
      <c r="Y8" s="664"/>
      <c r="Z8" s="664"/>
      <c r="AA8" s="664"/>
      <c r="AB8" s="664"/>
      <c r="AC8" s="664"/>
      <c r="AD8" s="664"/>
      <c r="AE8" s="664"/>
      <c r="AF8" s="664"/>
      <c r="AG8" s="654"/>
    </row>
    <row r="9" spans="1:37">
      <c r="A9" s="682" t="s">
        <v>4</v>
      </c>
      <c r="B9" s="664"/>
      <c r="C9" s="664"/>
      <c r="D9" s="664"/>
      <c r="E9" s="664"/>
      <c r="F9" s="664"/>
      <c r="G9" s="665"/>
      <c r="H9" s="680"/>
      <c r="I9" s="680"/>
      <c r="J9" s="680"/>
      <c r="K9" s="680"/>
      <c r="L9" s="680"/>
      <c r="M9" s="680"/>
      <c r="N9" s="664"/>
      <c r="O9" s="664"/>
      <c r="P9" s="664"/>
      <c r="Q9" s="159"/>
      <c r="R9" s="159"/>
      <c r="S9" s="159"/>
      <c r="T9" s="664"/>
      <c r="U9" s="159"/>
      <c r="V9" s="164"/>
      <c r="W9" s="159"/>
      <c r="X9" s="664"/>
      <c r="Y9" s="159"/>
      <c r="Z9" s="159"/>
      <c r="AA9" s="664"/>
      <c r="AB9" s="664"/>
      <c r="AC9" s="664"/>
      <c r="AD9" s="664"/>
    </row>
    <row r="10" spans="1:37">
      <c r="A10" s="682" t="s">
        <v>373</v>
      </c>
      <c r="B10" s="664"/>
      <c r="C10" s="664"/>
      <c r="D10" s="664"/>
      <c r="E10" s="664"/>
      <c r="F10" s="664"/>
      <c r="G10" s="665"/>
      <c r="H10" s="680"/>
      <c r="I10" s="680"/>
      <c r="J10" s="680"/>
      <c r="K10" s="680"/>
      <c r="L10" s="680"/>
      <c r="M10" s="680"/>
      <c r="N10" s="664"/>
      <c r="O10" s="664"/>
      <c r="P10" s="664"/>
      <c r="Q10" s="664"/>
      <c r="R10" s="664"/>
      <c r="S10" s="664"/>
      <c r="T10" s="664"/>
      <c r="U10" s="664"/>
      <c r="V10" s="664"/>
      <c r="W10" s="664"/>
      <c r="X10" s="664"/>
      <c r="Y10" s="159"/>
      <c r="Z10" s="159"/>
      <c r="AA10" s="664"/>
      <c r="AB10" s="664"/>
      <c r="AC10" s="664"/>
      <c r="AD10" s="664"/>
    </row>
    <row r="11" spans="1:37">
      <c r="A11" s="682" t="s">
        <v>492</v>
      </c>
      <c r="B11" s="664"/>
      <c r="C11" s="664"/>
      <c r="D11" s="664"/>
      <c r="E11" s="664"/>
      <c r="F11" s="664"/>
      <c r="G11" s="665"/>
      <c r="H11" s="679"/>
      <c r="I11" s="680"/>
      <c r="J11" s="680"/>
      <c r="K11" s="680"/>
      <c r="L11" s="680"/>
      <c r="M11" s="680"/>
      <c r="N11" s="664"/>
      <c r="O11" s="664"/>
      <c r="P11" s="664"/>
      <c r="Q11" s="664"/>
      <c r="R11" s="664"/>
      <c r="S11" s="664"/>
      <c r="T11" s="664"/>
      <c r="U11" s="664"/>
      <c r="V11" s="664"/>
      <c r="W11" s="664"/>
      <c r="X11" s="664"/>
      <c r="Y11" s="159"/>
      <c r="Z11" s="159"/>
      <c r="AA11" s="664"/>
      <c r="AB11" s="664"/>
      <c r="AC11" s="664"/>
      <c r="AD11" s="664"/>
    </row>
    <row r="12" spans="1:37">
      <c r="A12" s="682" t="s">
        <v>494</v>
      </c>
      <c r="B12" s="664"/>
      <c r="C12" s="664"/>
      <c r="D12" s="664"/>
      <c r="E12" s="664"/>
      <c r="F12" s="664"/>
      <c r="G12" s="665"/>
      <c r="H12" s="665"/>
      <c r="I12" s="665"/>
      <c r="J12" s="664"/>
      <c r="K12" s="664"/>
      <c r="L12" s="664"/>
      <c r="M12" s="664"/>
      <c r="N12" s="664"/>
      <c r="O12" s="664"/>
      <c r="P12" s="664"/>
      <c r="Q12" s="664"/>
      <c r="R12" s="664"/>
      <c r="S12" s="664"/>
      <c r="T12" s="664"/>
      <c r="U12" s="664"/>
      <c r="V12" s="664"/>
      <c r="W12" s="664"/>
      <c r="X12" s="664"/>
      <c r="Y12" s="159"/>
      <c r="Z12" s="159"/>
      <c r="AA12" s="664"/>
      <c r="AB12" s="664"/>
      <c r="AC12" s="664"/>
      <c r="AD12" s="664"/>
    </row>
    <row r="13" spans="1:37">
      <c r="A13" s="682" t="s">
        <v>310</v>
      </c>
      <c r="B13" s="664"/>
      <c r="C13" s="664"/>
      <c r="D13" s="664"/>
      <c r="E13" s="664"/>
      <c r="F13" s="664"/>
      <c r="G13" s="665"/>
      <c r="H13" s="665"/>
      <c r="I13" s="665"/>
      <c r="J13" s="664"/>
      <c r="K13" s="664"/>
      <c r="L13" s="664"/>
      <c r="M13" s="664"/>
      <c r="N13" s="664"/>
      <c r="O13" s="664"/>
      <c r="P13" s="664"/>
      <c r="Q13" s="664"/>
      <c r="R13" s="664"/>
      <c r="S13" s="664"/>
      <c r="T13" s="664"/>
      <c r="U13" s="664"/>
      <c r="V13" s="664"/>
      <c r="W13" s="664"/>
      <c r="X13" s="664"/>
      <c r="Y13" s="159"/>
      <c r="Z13" s="159"/>
      <c r="AA13" s="664"/>
      <c r="AB13" s="664"/>
      <c r="AC13" s="664"/>
      <c r="AD13" s="664"/>
    </row>
    <row r="14" spans="1:37">
      <c r="A14" s="682" t="s">
        <v>311</v>
      </c>
      <c r="B14" s="664"/>
      <c r="C14" s="664"/>
      <c r="D14" s="664"/>
      <c r="E14" s="664"/>
      <c r="F14" s="664"/>
      <c r="G14" s="665"/>
      <c r="H14" s="665"/>
      <c r="I14" s="665"/>
      <c r="J14" s="664"/>
      <c r="K14" s="664"/>
      <c r="L14" s="664"/>
      <c r="M14" s="664"/>
      <c r="N14" s="664"/>
      <c r="O14" s="664"/>
      <c r="P14" s="664"/>
      <c r="Q14" s="664"/>
      <c r="R14" s="664"/>
      <c r="S14" s="664"/>
      <c r="T14" s="664"/>
      <c r="U14" s="664"/>
      <c r="V14" s="664"/>
      <c r="W14" s="664"/>
      <c r="X14" s="664"/>
      <c r="Y14" s="159"/>
      <c r="Z14" s="159"/>
      <c r="AA14" s="664"/>
      <c r="AB14" s="664"/>
      <c r="AC14" s="664"/>
      <c r="AD14" s="664"/>
    </row>
    <row r="15" spans="1:37">
      <c r="A15" s="682" t="s">
        <v>567</v>
      </c>
      <c r="B15" s="664"/>
      <c r="C15" s="664"/>
      <c r="D15" s="664"/>
      <c r="E15" s="664"/>
      <c r="F15" s="664"/>
      <c r="G15" s="665"/>
      <c r="H15" s="665"/>
      <c r="I15" s="665"/>
      <c r="J15" s="664"/>
      <c r="K15" s="664"/>
      <c r="L15" s="664"/>
      <c r="M15" s="664"/>
      <c r="N15" s="664"/>
      <c r="O15" s="664"/>
      <c r="P15" s="664"/>
      <c r="Q15" s="664"/>
      <c r="R15" s="664"/>
      <c r="S15" s="664"/>
      <c r="T15" s="664"/>
      <c r="U15" s="664"/>
      <c r="V15" s="664"/>
      <c r="W15" s="664"/>
      <c r="X15" s="664"/>
      <c r="Y15" s="159"/>
      <c r="Z15" s="159"/>
      <c r="AA15" s="664"/>
      <c r="AB15" s="664"/>
      <c r="AC15" s="664"/>
      <c r="AD15" s="664"/>
    </row>
    <row r="16" spans="1:37">
      <c r="A16" s="682" t="s">
        <v>571</v>
      </c>
      <c r="B16" s="664"/>
      <c r="C16" s="664"/>
      <c r="D16" s="664"/>
      <c r="E16" s="664"/>
      <c r="F16" s="664"/>
      <c r="G16" s="665"/>
      <c r="H16" s="665"/>
      <c r="I16" s="665"/>
      <c r="J16" s="664"/>
      <c r="K16" s="664"/>
      <c r="L16" s="664"/>
      <c r="M16" s="664"/>
      <c r="N16" s="664"/>
      <c r="O16" s="664"/>
      <c r="P16" s="664"/>
      <c r="Q16" s="664"/>
      <c r="R16" s="664"/>
      <c r="S16" s="664"/>
      <c r="T16" s="664"/>
      <c r="U16" s="664"/>
      <c r="V16" s="664"/>
      <c r="W16" s="664"/>
      <c r="X16" s="664"/>
      <c r="Y16" s="159"/>
      <c r="Z16" s="159"/>
      <c r="AA16" s="664"/>
      <c r="AB16" s="664"/>
      <c r="AC16" s="664"/>
      <c r="AD16" s="664"/>
    </row>
    <row r="17" spans="1:30">
      <c r="A17" s="682" t="s">
        <v>574</v>
      </c>
      <c r="B17" s="664"/>
      <c r="C17" s="664"/>
      <c r="D17" s="664"/>
      <c r="E17" s="664"/>
      <c r="F17" s="664"/>
      <c r="G17" s="665"/>
      <c r="H17" s="665"/>
      <c r="I17" s="665"/>
      <c r="J17" s="664"/>
      <c r="K17" s="664"/>
      <c r="L17" s="664"/>
      <c r="M17" s="664"/>
      <c r="N17" s="664"/>
      <c r="O17" s="664"/>
      <c r="P17" s="664"/>
      <c r="Q17" s="664"/>
      <c r="R17" s="664"/>
      <c r="S17" s="664"/>
      <c r="T17" s="664"/>
      <c r="U17" s="664"/>
      <c r="V17" s="664"/>
      <c r="W17" s="664"/>
      <c r="X17" s="664"/>
      <c r="Y17" s="159"/>
      <c r="Z17" s="159"/>
      <c r="AA17" s="664"/>
      <c r="AB17" s="664"/>
      <c r="AC17" s="664"/>
      <c r="AD17" s="664"/>
    </row>
    <row r="18" spans="1:30">
      <c r="A18" s="682" t="s">
        <v>289</v>
      </c>
      <c r="B18" s="664"/>
      <c r="C18" s="664"/>
      <c r="D18" s="664"/>
      <c r="E18" s="664"/>
      <c r="F18" s="664"/>
      <c r="G18" s="665"/>
      <c r="H18" s="665"/>
      <c r="I18" s="665"/>
      <c r="J18" s="664"/>
      <c r="K18" s="664"/>
      <c r="L18" s="664"/>
      <c r="M18" s="664"/>
      <c r="N18" s="664"/>
      <c r="O18" s="664"/>
      <c r="P18" s="664"/>
      <c r="Q18" s="664"/>
      <c r="R18" s="664"/>
      <c r="S18" s="664"/>
      <c r="T18" s="664"/>
      <c r="U18" s="664"/>
      <c r="V18" s="664"/>
      <c r="W18" s="664"/>
      <c r="X18" s="664"/>
      <c r="Y18" s="159"/>
      <c r="Z18" s="159"/>
      <c r="AA18" s="664"/>
      <c r="AB18" s="664"/>
      <c r="AC18" s="664"/>
      <c r="AD18" s="664"/>
    </row>
    <row r="19" spans="1:30">
      <c r="A19" s="682" t="s">
        <v>508</v>
      </c>
      <c r="B19" s="664"/>
      <c r="C19" s="664"/>
      <c r="D19" s="664"/>
      <c r="E19" s="664"/>
      <c r="F19" s="664"/>
      <c r="G19" s="665"/>
      <c r="H19" s="665"/>
      <c r="I19" s="665"/>
      <c r="J19" s="666"/>
      <c r="K19" s="664"/>
      <c r="L19" s="665"/>
      <c r="M19" s="664"/>
      <c r="N19" s="664"/>
      <c r="O19" s="664"/>
      <c r="P19" s="664"/>
      <c r="Q19" s="664"/>
      <c r="R19" s="664"/>
      <c r="S19" s="664"/>
      <c r="T19" s="664"/>
      <c r="U19" s="664"/>
      <c r="V19" s="664"/>
      <c r="W19" s="664"/>
      <c r="X19" s="664"/>
      <c r="Y19" s="159"/>
      <c r="Z19" s="159"/>
      <c r="AA19" s="664"/>
      <c r="AB19" s="664"/>
      <c r="AC19" s="664"/>
      <c r="AD19" s="664"/>
    </row>
    <row r="20" spans="1:30">
      <c r="A20" s="682" t="s">
        <v>190</v>
      </c>
      <c r="B20" s="664"/>
      <c r="C20" s="664"/>
      <c r="D20" s="664"/>
      <c r="E20" s="664"/>
      <c r="F20" s="664"/>
      <c r="G20" s="665"/>
      <c r="H20" s="665"/>
      <c r="I20" s="665"/>
      <c r="J20" s="664"/>
      <c r="K20" s="664"/>
      <c r="L20" s="664"/>
      <c r="M20" s="664"/>
      <c r="N20" s="664"/>
      <c r="O20" s="664"/>
      <c r="P20" s="664"/>
      <c r="Q20" s="664"/>
      <c r="R20" s="664"/>
      <c r="S20" s="664"/>
      <c r="T20" s="664"/>
      <c r="U20" s="664"/>
      <c r="V20" s="664"/>
      <c r="W20" s="664"/>
      <c r="X20" s="664"/>
      <c r="Y20" s="159"/>
      <c r="Z20" s="159"/>
      <c r="AA20" s="664"/>
      <c r="AB20" s="664"/>
      <c r="AC20" s="664"/>
      <c r="AD20" s="664"/>
    </row>
    <row r="21" spans="1:30">
      <c r="A21" s="682" t="s">
        <v>226</v>
      </c>
      <c r="B21" s="664"/>
      <c r="C21" s="664"/>
      <c r="D21" s="664"/>
      <c r="E21" s="664"/>
      <c r="F21" s="664"/>
      <c r="G21" s="665"/>
      <c r="H21" s="665"/>
      <c r="I21" s="665"/>
      <c r="J21" s="664"/>
      <c r="K21" s="664"/>
      <c r="L21" s="664"/>
      <c r="M21" s="664"/>
      <c r="N21" s="664"/>
      <c r="O21" s="664"/>
      <c r="P21" s="664"/>
      <c r="Q21" s="664"/>
      <c r="R21" s="664"/>
      <c r="S21" s="664"/>
      <c r="T21" s="664"/>
      <c r="U21" s="664"/>
      <c r="V21" s="664"/>
      <c r="W21" s="664"/>
      <c r="X21" s="664"/>
      <c r="Y21" s="159"/>
      <c r="Z21" s="159"/>
      <c r="AA21" s="664"/>
      <c r="AB21" s="664"/>
      <c r="AC21" s="664"/>
      <c r="AD21" s="664"/>
    </row>
    <row r="22" spans="1:30">
      <c r="A22" s="682" t="s">
        <v>196</v>
      </c>
      <c r="B22" s="664"/>
      <c r="C22" s="664"/>
      <c r="D22" s="664"/>
      <c r="E22" s="664"/>
      <c r="F22" s="664"/>
      <c r="G22" s="665"/>
      <c r="H22" s="665"/>
      <c r="I22" s="665"/>
      <c r="J22" s="664"/>
      <c r="K22" s="664"/>
      <c r="L22" s="664"/>
      <c r="M22" s="664"/>
      <c r="N22" s="664"/>
      <c r="O22" s="664"/>
      <c r="P22" s="664"/>
      <c r="Q22" s="664"/>
      <c r="R22" s="664"/>
      <c r="S22" s="664"/>
      <c r="T22" s="664"/>
      <c r="U22" s="664"/>
      <c r="V22" s="664"/>
      <c r="W22" s="664"/>
      <c r="X22" s="664"/>
      <c r="Y22" s="664"/>
      <c r="Z22" s="664"/>
      <c r="AA22" s="664"/>
      <c r="AB22" s="664"/>
      <c r="AC22" s="664"/>
      <c r="AD22" s="664"/>
    </row>
    <row r="23" spans="1:30">
      <c r="A23" s="682" t="s">
        <v>559</v>
      </c>
      <c r="B23" s="664"/>
      <c r="C23" s="664"/>
      <c r="D23" s="664"/>
      <c r="E23" s="664"/>
      <c r="F23" s="664"/>
      <c r="G23" s="665"/>
      <c r="H23" s="665"/>
      <c r="I23" s="665"/>
      <c r="J23" s="664"/>
      <c r="K23" s="664"/>
      <c r="L23" s="664"/>
      <c r="M23" s="664"/>
      <c r="N23" s="664"/>
      <c r="O23" s="664"/>
      <c r="P23" s="664"/>
      <c r="Q23" s="664"/>
      <c r="R23" s="664"/>
      <c r="S23" s="664"/>
      <c r="T23" s="664"/>
      <c r="U23" s="664"/>
      <c r="V23" s="664"/>
      <c r="W23" s="664"/>
      <c r="X23" s="664"/>
      <c r="Y23" s="664"/>
      <c r="Z23" s="664"/>
      <c r="AA23" s="664"/>
      <c r="AB23" s="664"/>
      <c r="AC23" s="664"/>
      <c r="AD23" s="664"/>
    </row>
    <row r="24" spans="1:30">
      <c r="A24" s="682" t="s">
        <v>530</v>
      </c>
      <c r="B24" s="664"/>
      <c r="C24" s="664"/>
      <c r="D24" s="664"/>
      <c r="E24" s="664"/>
      <c r="F24" s="664"/>
      <c r="G24" s="665"/>
      <c r="H24" s="665"/>
      <c r="I24" s="665"/>
      <c r="J24" s="664"/>
      <c r="K24" s="664"/>
      <c r="L24" s="664"/>
      <c r="M24" s="664"/>
      <c r="N24" s="664"/>
      <c r="O24" s="664"/>
      <c r="P24" s="664"/>
      <c r="Q24" s="664"/>
      <c r="R24" s="664"/>
      <c r="S24" s="664"/>
      <c r="T24" s="664"/>
      <c r="U24" s="664"/>
      <c r="V24" s="664"/>
      <c r="W24" s="664"/>
      <c r="X24" s="664"/>
      <c r="Y24" s="664"/>
      <c r="Z24" s="664"/>
      <c r="AA24" s="664"/>
      <c r="AB24" s="664"/>
      <c r="AC24" s="664"/>
      <c r="AD24" s="664"/>
    </row>
    <row r="25" spans="1:30">
      <c r="A25" s="682" t="s">
        <v>245</v>
      </c>
      <c r="B25" s="664"/>
      <c r="C25" s="664"/>
      <c r="D25" s="664"/>
      <c r="E25" s="664"/>
      <c r="F25" s="664"/>
      <c r="G25" s="665"/>
      <c r="H25" s="665"/>
      <c r="I25" s="665"/>
      <c r="J25" s="664"/>
      <c r="K25" s="664"/>
      <c r="L25" s="664"/>
      <c r="M25" s="664"/>
      <c r="N25" s="664"/>
      <c r="O25" s="664"/>
      <c r="P25" s="664"/>
      <c r="Q25" s="664"/>
      <c r="R25" s="664"/>
      <c r="S25" s="664"/>
      <c r="T25" s="664"/>
      <c r="U25" s="664"/>
      <c r="V25" s="664"/>
      <c r="W25" s="664"/>
      <c r="X25" s="664"/>
      <c r="Y25" s="664"/>
      <c r="Z25" s="664"/>
      <c r="AA25" s="664"/>
      <c r="AB25" s="664"/>
      <c r="AC25" s="664"/>
      <c r="AD25" s="664"/>
    </row>
    <row r="26" spans="1:30">
      <c r="A26" s="682"/>
      <c r="B26" s="664"/>
      <c r="C26" s="664"/>
      <c r="D26" s="664"/>
      <c r="E26" s="664"/>
      <c r="F26" s="664"/>
      <c r="G26" s="665"/>
      <c r="H26" s="665"/>
      <c r="I26" s="665"/>
      <c r="J26" s="664"/>
      <c r="K26" s="664"/>
      <c r="L26" s="664"/>
      <c r="M26" s="664"/>
      <c r="N26" s="664"/>
      <c r="O26" s="664"/>
      <c r="P26" s="664"/>
      <c r="Q26" s="664"/>
      <c r="R26" s="664"/>
      <c r="S26" s="664"/>
      <c r="T26" s="664"/>
      <c r="U26" s="664"/>
      <c r="V26" s="664"/>
      <c r="W26" s="664"/>
      <c r="X26" s="664"/>
      <c r="Y26" s="664"/>
      <c r="Z26" s="664"/>
      <c r="AA26" s="664"/>
      <c r="AB26" s="664"/>
      <c r="AC26" s="664"/>
      <c r="AD26" s="664"/>
    </row>
    <row r="27" spans="1:30">
      <c r="A27" s="682"/>
      <c r="B27" s="664"/>
      <c r="C27" s="664"/>
      <c r="D27" s="664"/>
      <c r="E27" s="664"/>
      <c r="F27" s="664"/>
      <c r="G27" s="665"/>
      <c r="H27" s="665"/>
      <c r="I27" s="665"/>
      <c r="J27" s="664"/>
      <c r="K27" s="664"/>
      <c r="L27" s="664"/>
      <c r="M27" s="664"/>
      <c r="N27" s="664"/>
      <c r="O27" s="664"/>
      <c r="P27" s="664"/>
      <c r="Q27" s="664"/>
      <c r="R27" s="664"/>
      <c r="S27" s="664"/>
      <c r="T27" s="664"/>
      <c r="U27" s="664"/>
      <c r="V27" s="664"/>
      <c r="W27" s="664"/>
      <c r="X27" s="664"/>
      <c r="Y27" s="664"/>
      <c r="Z27" s="664"/>
      <c r="AA27" s="664"/>
      <c r="AB27" s="664"/>
      <c r="AC27" s="664"/>
      <c r="AD27" s="664"/>
    </row>
    <row r="28" spans="1:30">
      <c r="A28" s="682"/>
      <c r="B28" s="664"/>
      <c r="C28" s="664"/>
      <c r="D28" s="664"/>
      <c r="E28" s="664"/>
      <c r="F28" s="664"/>
      <c r="G28" s="665"/>
      <c r="H28" s="665"/>
      <c r="I28" s="665"/>
      <c r="J28" s="664"/>
      <c r="K28" s="664"/>
      <c r="L28" s="664"/>
      <c r="M28" s="664"/>
      <c r="N28" s="664"/>
      <c r="O28" s="664"/>
      <c r="P28" s="664"/>
      <c r="Q28" s="664"/>
      <c r="R28" s="664"/>
      <c r="S28" s="664"/>
      <c r="T28" s="664"/>
      <c r="U28" s="664"/>
      <c r="V28" s="664"/>
      <c r="W28" s="664"/>
      <c r="X28" s="664"/>
      <c r="Y28" s="664"/>
      <c r="Z28" s="664"/>
      <c r="AA28" s="664"/>
      <c r="AB28" s="664"/>
      <c r="AC28" s="664"/>
      <c r="AD28" s="664"/>
    </row>
    <row r="29" spans="1:30">
      <c r="A29" s="682"/>
      <c r="B29" s="664"/>
      <c r="C29" s="664"/>
      <c r="D29" s="664"/>
      <c r="E29" s="664"/>
      <c r="F29" s="664"/>
      <c r="G29" s="665"/>
      <c r="H29" s="665"/>
      <c r="I29" s="665"/>
      <c r="J29" s="664"/>
      <c r="K29" s="664"/>
      <c r="L29" s="664"/>
      <c r="M29" s="664"/>
      <c r="N29" s="664"/>
      <c r="O29" s="664"/>
      <c r="P29" s="664"/>
      <c r="Q29" s="664"/>
      <c r="R29" s="664"/>
      <c r="S29" s="664"/>
      <c r="T29" s="664"/>
      <c r="U29" s="664"/>
      <c r="V29" s="664"/>
      <c r="W29" s="664"/>
      <c r="X29" s="664"/>
      <c r="Y29" s="664"/>
      <c r="Z29" s="664"/>
      <c r="AA29" s="664"/>
      <c r="AB29" s="664"/>
      <c r="AC29" s="664"/>
      <c r="AD29" s="664"/>
    </row>
    <row r="30" spans="1:30">
      <c r="A30" s="682"/>
      <c r="B30" s="664"/>
      <c r="C30" s="664"/>
      <c r="D30" s="664"/>
      <c r="E30" s="664"/>
      <c r="F30" s="664"/>
      <c r="G30" s="665"/>
      <c r="H30" s="665"/>
      <c r="I30" s="665"/>
      <c r="J30" s="664"/>
      <c r="K30" s="664"/>
      <c r="L30" s="664"/>
      <c r="M30" s="664"/>
      <c r="N30" s="664"/>
      <c r="O30" s="664"/>
      <c r="P30" s="664"/>
      <c r="Q30" s="664"/>
      <c r="R30" s="664"/>
      <c r="S30" s="664"/>
      <c r="T30" s="664"/>
      <c r="U30" s="664"/>
      <c r="V30" s="664"/>
      <c r="W30" s="664"/>
      <c r="X30" s="664"/>
      <c r="Y30" s="664"/>
      <c r="Z30" s="664"/>
      <c r="AA30" s="664"/>
      <c r="AB30" s="664"/>
      <c r="AC30" s="664"/>
      <c r="AD30" s="664"/>
    </row>
    <row r="31" spans="1:30">
      <c r="A31" s="682"/>
      <c r="B31" s="664"/>
      <c r="C31" s="664"/>
      <c r="D31" s="664"/>
      <c r="E31" s="664"/>
      <c r="F31" s="664"/>
      <c r="G31" s="665"/>
      <c r="H31" s="665"/>
      <c r="I31" s="665"/>
      <c r="J31" s="664"/>
      <c r="K31" s="664"/>
      <c r="L31" s="664"/>
      <c r="M31" s="664"/>
      <c r="N31" s="664"/>
      <c r="O31" s="664"/>
      <c r="P31" s="664"/>
      <c r="Q31" s="664"/>
      <c r="R31" s="664"/>
      <c r="S31" s="664"/>
      <c r="T31" s="664"/>
      <c r="U31" s="664"/>
      <c r="V31" s="664"/>
      <c r="W31" s="664"/>
      <c r="X31" s="664"/>
      <c r="Y31" s="664"/>
      <c r="Z31" s="664"/>
      <c r="AA31" s="664"/>
      <c r="AB31" s="664"/>
      <c r="AC31" s="664"/>
      <c r="AD31" s="664"/>
    </row>
    <row r="32" spans="1:30">
      <c r="A32" s="682"/>
      <c r="B32" s="664"/>
      <c r="C32" s="664"/>
      <c r="D32" s="664"/>
      <c r="E32" s="664"/>
      <c r="F32" s="664"/>
      <c r="G32" s="665"/>
      <c r="H32" s="665"/>
      <c r="I32" s="665"/>
      <c r="J32" s="664"/>
      <c r="K32" s="664"/>
      <c r="L32" s="664"/>
      <c r="M32" s="664"/>
      <c r="N32" s="664"/>
      <c r="O32" s="664"/>
      <c r="P32" s="664"/>
      <c r="Q32" s="664"/>
      <c r="R32" s="664"/>
      <c r="S32" s="664"/>
      <c r="T32" s="664"/>
      <c r="U32" s="664"/>
      <c r="V32" s="664"/>
      <c r="W32" s="664"/>
      <c r="X32" s="664"/>
      <c r="Y32" s="664"/>
      <c r="Z32" s="664"/>
      <c r="AA32" s="664"/>
      <c r="AB32" s="664"/>
      <c r="AC32" s="664"/>
      <c r="AD32" s="664"/>
    </row>
    <row r="33" spans="1:30">
      <c r="A33" s="682"/>
      <c r="B33" s="664"/>
      <c r="C33" s="664"/>
      <c r="D33" s="664"/>
      <c r="E33" s="664"/>
      <c r="F33" s="664"/>
      <c r="G33" s="665"/>
      <c r="H33" s="665"/>
      <c r="I33" s="665"/>
      <c r="J33" s="664"/>
      <c r="K33" s="664"/>
      <c r="L33" s="664"/>
      <c r="M33" s="664"/>
      <c r="N33" s="664"/>
      <c r="O33" s="664"/>
      <c r="P33" s="664"/>
      <c r="Q33" s="664"/>
      <c r="R33" s="664"/>
      <c r="S33" s="664"/>
      <c r="T33" s="664"/>
      <c r="U33" s="664"/>
      <c r="V33" s="664"/>
      <c r="W33" s="664"/>
      <c r="X33" s="664"/>
      <c r="Y33" s="664"/>
      <c r="Z33" s="664"/>
      <c r="AA33" s="664"/>
      <c r="AB33" s="664"/>
      <c r="AC33" s="664"/>
      <c r="AD33" s="664"/>
    </row>
    <row r="34" spans="1:30">
      <c r="A34" s="682"/>
      <c r="B34" s="664"/>
      <c r="C34" s="664"/>
      <c r="D34" s="664"/>
      <c r="E34" s="664"/>
      <c r="F34" s="664"/>
      <c r="G34" s="665"/>
      <c r="H34" s="665"/>
      <c r="I34" s="665"/>
      <c r="J34" s="664"/>
      <c r="K34" s="664"/>
      <c r="L34" s="664"/>
      <c r="M34" s="664"/>
      <c r="N34" s="664"/>
      <c r="O34" s="664"/>
      <c r="P34" s="664"/>
      <c r="Q34" s="664"/>
      <c r="R34" s="664"/>
      <c r="S34" s="664"/>
      <c r="T34" s="664"/>
      <c r="U34" s="664"/>
      <c r="V34" s="664"/>
      <c r="W34" s="664"/>
      <c r="X34" s="664"/>
      <c r="Y34" s="664"/>
      <c r="Z34" s="664"/>
      <c r="AA34" s="664"/>
      <c r="AB34" s="664"/>
      <c r="AC34" s="664"/>
      <c r="AD34" s="664"/>
    </row>
    <row r="35" spans="1:30">
      <c r="A35" s="682"/>
      <c r="B35" s="664"/>
      <c r="C35" s="664"/>
      <c r="D35" s="664"/>
      <c r="E35" s="664"/>
      <c r="F35" s="664"/>
      <c r="G35" s="665"/>
      <c r="H35" s="665"/>
      <c r="I35" s="665"/>
      <c r="J35" s="664"/>
      <c r="K35" s="664"/>
      <c r="L35" s="664"/>
      <c r="M35" s="664"/>
      <c r="N35" s="664"/>
      <c r="O35" s="664"/>
      <c r="P35" s="664"/>
      <c r="Q35" s="664"/>
      <c r="R35" s="664"/>
      <c r="S35" s="664"/>
      <c r="T35" s="664"/>
      <c r="U35" s="664"/>
      <c r="V35" s="664"/>
      <c r="W35" s="664"/>
      <c r="X35" s="664"/>
      <c r="Y35" s="664"/>
      <c r="Z35" s="664"/>
      <c r="AA35" s="664"/>
      <c r="AB35" s="664"/>
      <c r="AC35" s="664"/>
      <c r="AD35" s="664"/>
    </row>
    <row r="36" spans="1:30">
      <c r="A36" s="682"/>
      <c r="B36" s="664"/>
      <c r="C36" s="664"/>
      <c r="D36" s="664"/>
      <c r="E36" s="664"/>
      <c r="F36" s="664"/>
      <c r="G36" s="665"/>
      <c r="H36" s="665"/>
      <c r="I36" s="665"/>
      <c r="J36" s="664"/>
      <c r="K36" s="664"/>
      <c r="L36" s="664"/>
      <c r="M36" s="664"/>
      <c r="N36" s="664"/>
      <c r="O36" s="664"/>
      <c r="P36" s="664"/>
      <c r="Q36" s="664"/>
      <c r="R36" s="664"/>
      <c r="S36" s="664"/>
      <c r="T36" s="664"/>
      <c r="U36" s="664"/>
      <c r="V36" s="664"/>
      <c r="W36" s="664"/>
      <c r="X36" s="664"/>
      <c r="Y36" s="664"/>
      <c r="Z36" s="664"/>
      <c r="AA36" s="664"/>
      <c r="AB36" s="664"/>
      <c r="AC36" s="664"/>
      <c r="AD36" s="664"/>
    </row>
    <row r="37" spans="1:30">
      <c r="A37" s="682"/>
      <c r="B37" s="664"/>
      <c r="C37" s="664"/>
      <c r="D37" s="664"/>
      <c r="E37" s="664"/>
      <c r="F37" s="664"/>
      <c r="G37" s="665"/>
      <c r="H37" s="665"/>
      <c r="I37" s="665"/>
      <c r="J37" s="664"/>
      <c r="K37" s="664"/>
      <c r="L37" s="664"/>
      <c r="M37" s="664"/>
      <c r="N37" s="664"/>
      <c r="O37" s="664"/>
      <c r="P37" s="664"/>
      <c r="Q37" s="664"/>
      <c r="R37" s="664"/>
      <c r="S37" s="664"/>
      <c r="T37" s="664"/>
      <c r="U37" s="664"/>
      <c r="V37" s="664"/>
      <c r="W37" s="664"/>
      <c r="X37" s="664"/>
      <c r="Y37" s="664"/>
      <c r="Z37" s="664"/>
      <c r="AA37" s="664"/>
      <c r="AB37" s="664"/>
      <c r="AC37" s="664"/>
      <c r="AD37" s="664"/>
    </row>
    <row r="38" spans="1:30">
      <c r="A38" s="682"/>
      <c r="B38" s="664"/>
      <c r="C38" s="664"/>
      <c r="D38" s="664"/>
      <c r="E38" s="664"/>
      <c r="F38" s="664"/>
      <c r="G38" s="665"/>
      <c r="H38" s="665"/>
      <c r="I38" s="665"/>
      <c r="J38" s="664"/>
      <c r="K38" s="664"/>
      <c r="L38" s="664"/>
      <c r="M38" s="664"/>
      <c r="N38" s="664"/>
      <c r="O38" s="664"/>
      <c r="P38" s="664"/>
      <c r="Q38" s="664"/>
      <c r="R38" s="664"/>
      <c r="S38" s="664"/>
      <c r="T38" s="664"/>
      <c r="U38" s="664"/>
      <c r="V38" s="664"/>
      <c r="W38" s="664"/>
      <c r="X38" s="664"/>
      <c r="Y38" s="664"/>
      <c r="Z38" s="664"/>
      <c r="AA38" s="664"/>
      <c r="AB38" s="664"/>
      <c r="AC38" s="664"/>
      <c r="AD38" s="664"/>
    </row>
    <row r="39" spans="1:30">
      <c r="A39" s="682"/>
      <c r="B39" s="664"/>
      <c r="C39" s="664"/>
      <c r="D39" s="664"/>
      <c r="E39" s="664"/>
      <c r="F39" s="664"/>
      <c r="G39" s="665"/>
      <c r="H39" s="665"/>
      <c r="I39" s="665"/>
      <c r="J39" s="664"/>
      <c r="K39" s="664"/>
      <c r="L39" s="664"/>
      <c r="M39" s="664"/>
      <c r="N39" s="664"/>
      <c r="O39" s="664"/>
      <c r="P39" s="664"/>
      <c r="Q39" s="664"/>
      <c r="R39" s="664"/>
      <c r="S39" s="664"/>
      <c r="T39" s="664"/>
      <c r="U39" s="664"/>
      <c r="V39" s="664"/>
      <c r="W39" s="664"/>
      <c r="X39" s="664"/>
      <c r="Y39" s="664"/>
      <c r="Z39" s="664"/>
      <c r="AA39" s="664"/>
      <c r="AB39" s="664"/>
      <c r="AC39" s="664"/>
      <c r="AD39" s="664"/>
    </row>
    <row r="40" spans="1:30">
      <c r="A40" s="682"/>
      <c r="B40" s="664"/>
      <c r="C40" s="664"/>
      <c r="D40" s="664"/>
      <c r="E40" s="664"/>
      <c r="F40" s="664"/>
      <c r="G40" s="665"/>
      <c r="H40" s="665"/>
      <c r="I40" s="665"/>
      <c r="J40" s="664"/>
      <c r="K40" s="664"/>
      <c r="L40" s="664"/>
      <c r="M40" s="664"/>
      <c r="N40" s="664"/>
      <c r="O40" s="664"/>
      <c r="P40" s="664"/>
      <c r="Q40" s="664"/>
      <c r="R40" s="664"/>
      <c r="S40" s="664"/>
      <c r="T40" s="664"/>
      <c r="U40" s="664"/>
      <c r="V40" s="664"/>
      <c r="W40" s="664"/>
      <c r="X40" s="664"/>
      <c r="Y40" s="664"/>
      <c r="Z40" s="664"/>
      <c r="AA40" s="664"/>
      <c r="AB40" s="664"/>
      <c r="AC40" s="664"/>
      <c r="AD40" s="664"/>
    </row>
    <row r="41" spans="1:30">
      <c r="A41" s="682"/>
      <c r="B41" s="664"/>
      <c r="C41" s="664"/>
      <c r="D41" s="664"/>
      <c r="E41" s="664"/>
      <c r="F41" s="664"/>
      <c r="G41" s="665"/>
      <c r="H41" s="665"/>
      <c r="I41" s="665"/>
      <c r="J41" s="664"/>
      <c r="K41" s="664"/>
      <c r="L41" s="664"/>
      <c r="M41" s="664"/>
      <c r="N41" s="664"/>
      <c r="O41" s="664"/>
      <c r="P41" s="664"/>
      <c r="Q41" s="664"/>
      <c r="R41" s="664"/>
      <c r="S41" s="664"/>
      <c r="T41" s="664"/>
      <c r="U41" s="664"/>
      <c r="V41" s="664"/>
      <c r="W41" s="664"/>
      <c r="X41" s="664"/>
      <c r="Y41" s="664"/>
      <c r="Z41" s="664"/>
      <c r="AA41" s="664"/>
      <c r="AB41" s="664"/>
      <c r="AC41" s="664"/>
      <c r="AD41" s="664"/>
    </row>
    <row r="42" spans="1:30">
      <c r="A42" s="682"/>
      <c r="B42" s="664"/>
      <c r="C42" s="664"/>
      <c r="D42" s="664"/>
      <c r="E42" s="664"/>
      <c r="F42" s="664"/>
      <c r="G42" s="665"/>
      <c r="H42" s="665"/>
      <c r="I42" s="665"/>
      <c r="J42" s="664"/>
      <c r="K42" s="664"/>
      <c r="L42" s="664"/>
      <c r="M42" s="664"/>
      <c r="N42" s="664"/>
      <c r="O42" s="664"/>
      <c r="P42" s="664"/>
      <c r="Q42" s="664"/>
      <c r="R42" s="664"/>
      <c r="S42" s="664"/>
      <c r="T42" s="664"/>
      <c r="U42" s="664"/>
      <c r="V42" s="664"/>
      <c r="W42" s="664"/>
      <c r="X42" s="664"/>
      <c r="Y42" s="664"/>
      <c r="Z42" s="664"/>
      <c r="AA42" s="664"/>
      <c r="AB42" s="664"/>
      <c r="AC42" s="664"/>
      <c r="AD42" s="664"/>
    </row>
    <row r="43" spans="1:30">
      <c r="A43" s="682"/>
      <c r="B43" s="664"/>
      <c r="C43" s="664"/>
      <c r="D43" s="664"/>
      <c r="E43" s="664"/>
      <c r="F43" s="664"/>
      <c r="G43" s="665"/>
      <c r="H43" s="665"/>
      <c r="I43" s="665"/>
      <c r="J43" s="664"/>
      <c r="K43" s="664"/>
      <c r="L43" s="664"/>
      <c r="M43" s="664"/>
      <c r="N43" s="664"/>
      <c r="O43" s="664"/>
      <c r="P43" s="664"/>
      <c r="Q43" s="664"/>
      <c r="R43" s="664"/>
      <c r="S43" s="664"/>
      <c r="T43" s="664"/>
      <c r="U43" s="664"/>
      <c r="V43" s="664"/>
      <c r="W43" s="664"/>
      <c r="X43" s="664"/>
      <c r="Y43" s="664"/>
      <c r="Z43" s="664"/>
      <c r="AA43" s="664"/>
      <c r="AB43" s="664"/>
      <c r="AC43" s="664"/>
      <c r="AD43" s="664"/>
    </row>
    <row r="44" spans="1:30">
      <c r="A44" s="682"/>
      <c r="B44" s="664"/>
      <c r="C44" s="664"/>
      <c r="D44" s="664"/>
      <c r="E44" s="664"/>
      <c r="F44" s="664"/>
      <c r="G44" s="665"/>
      <c r="H44" s="665"/>
      <c r="I44" s="665"/>
      <c r="J44" s="664"/>
      <c r="K44" s="664"/>
      <c r="L44" s="664"/>
      <c r="M44" s="664"/>
      <c r="N44" s="664"/>
      <c r="O44" s="664"/>
      <c r="P44" s="664"/>
      <c r="Q44" s="664"/>
      <c r="R44" s="664"/>
      <c r="S44" s="664"/>
      <c r="T44" s="664"/>
      <c r="U44" s="664"/>
      <c r="V44" s="664"/>
      <c r="W44" s="664"/>
      <c r="X44" s="664"/>
      <c r="Y44" s="664"/>
      <c r="Z44" s="664"/>
      <c r="AA44" s="664"/>
      <c r="AB44" s="664"/>
      <c r="AC44" s="664"/>
      <c r="AD44" s="664"/>
    </row>
    <row r="45" spans="1:30">
      <c r="A45" s="682"/>
      <c r="B45" s="664"/>
      <c r="C45" s="664"/>
      <c r="D45" s="664"/>
      <c r="E45" s="664"/>
      <c r="F45" s="664"/>
      <c r="G45" s="665"/>
      <c r="H45" s="665"/>
      <c r="I45" s="665"/>
      <c r="J45" s="664"/>
      <c r="K45" s="664"/>
      <c r="L45" s="664"/>
      <c r="M45" s="664"/>
      <c r="N45" s="664"/>
      <c r="O45" s="664"/>
      <c r="P45" s="664"/>
      <c r="Q45" s="664"/>
      <c r="R45" s="664"/>
      <c r="S45" s="664"/>
      <c r="T45" s="664"/>
      <c r="U45" s="664"/>
      <c r="V45" s="664"/>
      <c r="W45" s="664"/>
      <c r="X45" s="664"/>
      <c r="Y45" s="664"/>
      <c r="Z45" s="664"/>
      <c r="AA45" s="664"/>
      <c r="AB45" s="664"/>
      <c r="AC45" s="664"/>
      <c r="AD45" s="664"/>
    </row>
    <row r="46" spans="1:30">
      <c r="A46" s="682"/>
      <c r="B46" s="664"/>
      <c r="C46" s="664"/>
      <c r="D46" s="664"/>
      <c r="E46" s="664"/>
      <c r="F46" s="664"/>
      <c r="G46" s="665"/>
      <c r="H46" s="665"/>
      <c r="I46" s="665"/>
      <c r="J46" s="664"/>
      <c r="K46" s="664"/>
      <c r="L46" s="664"/>
      <c r="M46" s="664"/>
      <c r="N46" s="664"/>
      <c r="O46" s="664"/>
      <c r="P46" s="664"/>
      <c r="Q46" s="664"/>
      <c r="R46" s="664"/>
      <c r="S46" s="664"/>
      <c r="T46" s="664"/>
      <c r="U46" s="664"/>
      <c r="V46" s="664"/>
      <c r="W46" s="664"/>
      <c r="X46" s="664"/>
      <c r="Y46" s="664"/>
      <c r="Z46" s="664"/>
      <c r="AA46" s="664"/>
      <c r="AB46" s="664"/>
      <c r="AC46" s="664"/>
      <c r="AD46" s="664"/>
    </row>
    <row r="47" spans="1:30">
      <c r="A47" s="682"/>
      <c r="B47" s="664"/>
      <c r="C47" s="664"/>
      <c r="D47" s="664"/>
      <c r="E47" s="664"/>
      <c r="F47" s="664"/>
      <c r="G47" s="665"/>
      <c r="H47" s="665"/>
      <c r="I47" s="665"/>
      <c r="J47" s="664"/>
      <c r="K47" s="664"/>
      <c r="L47" s="664"/>
      <c r="M47" s="664"/>
      <c r="N47" s="664"/>
      <c r="O47" s="664"/>
      <c r="P47" s="664"/>
      <c r="Q47" s="664"/>
      <c r="R47" s="664"/>
      <c r="S47" s="664"/>
      <c r="T47" s="664"/>
      <c r="U47" s="664"/>
      <c r="V47" s="664"/>
      <c r="W47" s="664"/>
      <c r="X47" s="664"/>
      <c r="Y47" s="664"/>
      <c r="Z47" s="664"/>
      <c r="AA47" s="664"/>
      <c r="AB47" s="664"/>
      <c r="AC47" s="664"/>
      <c r="AD47" s="664"/>
    </row>
    <row r="48" spans="1:30">
      <c r="A48" s="682"/>
      <c r="B48" s="664"/>
      <c r="C48" s="664"/>
      <c r="D48" s="664"/>
      <c r="E48" s="664"/>
      <c r="F48" s="664"/>
      <c r="G48" s="665"/>
      <c r="H48" s="665"/>
      <c r="I48" s="665"/>
      <c r="J48" s="664"/>
      <c r="K48" s="664"/>
      <c r="L48" s="664"/>
      <c r="M48" s="664"/>
      <c r="N48" s="664"/>
      <c r="O48" s="664"/>
      <c r="P48" s="664"/>
      <c r="Q48" s="664"/>
      <c r="R48" s="664"/>
      <c r="S48" s="664"/>
      <c r="T48" s="664"/>
      <c r="U48" s="664"/>
      <c r="V48" s="664"/>
      <c r="W48" s="664"/>
      <c r="X48" s="664"/>
      <c r="Y48" s="664"/>
      <c r="Z48" s="664"/>
      <c r="AA48" s="664"/>
      <c r="AB48" s="664"/>
      <c r="AC48" s="664"/>
      <c r="AD48" s="664"/>
    </row>
    <row r="49" spans="1:30">
      <c r="A49" s="682"/>
      <c r="B49" s="664"/>
      <c r="C49" s="664"/>
      <c r="D49" s="664"/>
      <c r="E49" s="664"/>
      <c r="F49" s="664"/>
      <c r="G49" s="665"/>
      <c r="H49" s="665"/>
      <c r="I49" s="665"/>
      <c r="J49" s="664"/>
      <c r="K49" s="664"/>
      <c r="L49" s="664"/>
      <c r="M49" s="664"/>
      <c r="N49" s="664"/>
      <c r="O49" s="664"/>
      <c r="P49" s="664"/>
      <c r="Q49" s="664"/>
      <c r="R49" s="664"/>
      <c r="S49" s="664"/>
      <c r="T49" s="664"/>
      <c r="U49" s="664"/>
      <c r="V49" s="664"/>
      <c r="W49" s="664"/>
      <c r="X49" s="664"/>
      <c r="Y49" s="664"/>
      <c r="Z49" s="664"/>
      <c r="AA49" s="664"/>
      <c r="AB49" s="664"/>
      <c r="AC49" s="664"/>
      <c r="AD49" s="664"/>
    </row>
    <row r="50" spans="1:30">
      <c r="A50" s="682"/>
      <c r="B50" s="664"/>
      <c r="C50" s="664"/>
      <c r="D50" s="664"/>
      <c r="E50" s="664"/>
      <c r="F50" s="664"/>
      <c r="G50" s="665"/>
      <c r="H50" s="665"/>
      <c r="I50" s="665"/>
      <c r="J50" s="664"/>
      <c r="K50" s="664"/>
      <c r="L50" s="664"/>
      <c r="M50" s="664"/>
      <c r="N50" s="664"/>
      <c r="O50" s="664"/>
      <c r="P50" s="664"/>
      <c r="Q50" s="664"/>
      <c r="R50" s="664"/>
      <c r="S50" s="664"/>
      <c r="T50" s="664"/>
      <c r="U50" s="664"/>
      <c r="V50" s="664"/>
      <c r="W50" s="664"/>
      <c r="X50" s="664"/>
      <c r="Y50" s="664"/>
      <c r="Z50" s="664"/>
      <c r="AA50" s="664"/>
      <c r="AB50" s="664"/>
      <c r="AC50" s="664"/>
      <c r="AD50" s="664"/>
    </row>
    <row r="51" spans="1:30">
      <c r="A51" s="682"/>
      <c r="B51" s="664"/>
      <c r="C51" s="664"/>
      <c r="D51" s="664"/>
      <c r="E51" s="664"/>
      <c r="F51" s="664"/>
      <c r="G51" s="665"/>
      <c r="H51" s="665"/>
      <c r="I51" s="665"/>
      <c r="J51" s="664"/>
      <c r="K51" s="664"/>
      <c r="L51" s="664"/>
      <c r="M51" s="664"/>
      <c r="N51" s="664"/>
      <c r="O51" s="664"/>
      <c r="P51" s="664"/>
      <c r="Q51" s="664"/>
      <c r="R51" s="664"/>
      <c r="S51" s="664"/>
      <c r="T51" s="664"/>
      <c r="U51" s="664"/>
      <c r="V51" s="664"/>
      <c r="W51" s="664"/>
      <c r="X51" s="664"/>
      <c r="Y51" s="664"/>
      <c r="Z51" s="664"/>
      <c r="AA51" s="664"/>
      <c r="AB51" s="664"/>
      <c r="AC51" s="664"/>
      <c r="AD51" s="664"/>
    </row>
    <row r="52" spans="1:30">
      <c r="A52" s="682"/>
      <c r="B52" s="664"/>
      <c r="C52" s="664"/>
      <c r="D52" s="664"/>
      <c r="E52" s="664"/>
      <c r="F52" s="664"/>
      <c r="G52" s="665"/>
      <c r="H52" s="665"/>
      <c r="I52" s="665"/>
      <c r="J52" s="664"/>
      <c r="K52" s="664"/>
      <c r="L52" s="664"/>
      <c r="M52" s="664"/>
      <c r="N52" s="664"/>
      <c r="O52" s="664"/>
      <c r="P52" s="664"/>
      <c r="Q52" s="664"/>
      <c r="R52" s="664"/>
      <c r="S52" s="664"/>
      <c r="T52" s="664"/>
      <c r="U52" s="664"/>
      <c r="V52" s="664"/>
      <c r="W52" s="664"/>
      <c r="X52" s="664"/>
      <c r="Y52" s="664"/>
      <c r="Z52" s="664"/>
      <c r="AA52" s="664"/>
      <c r="AB52" s="664"/>
      <c r="AC52" s="664"/>
      <c r="AD52" s="664"/>
    </row>
    <row r="53" spans="1:30">
      <c r="A53" s="682"/>
      <c r="B53" s="664"/>
      <c r="C53" s="664"/>
      <c r="D53" s="664"/>
      <c r="E53" s="664"/>
      <c r="F53" s="664"/>
      <c r="G53" s="664"/>
      <c r="H53" s="664"/>
      <c r="I53" s="664"/>
      <c r="J53" s="664"/>
      <c r="K53" s="664"/>
      <c r="L53" s="664"/>
      <c r="M53" s="664"/>
      <c r="N53" s="664"/>
      <c r="O53" s="664"/>
      <c r="P53" s="664"/>
      <c r="Q53" s="664"/>
      <c r="R53" s="664"/>
      <c r="S53" s="664"/>
      <c r="T53" s="664"/>
      <c r="U53" s="664"/>
      <c r="V53" s="664"/>
      <c r="W53" s="664"/>
      <c r="X53" s="664"/>
      <c r="Y53" s="664"/>
      <c r="Z53" s="664"/>
      <c r="AA53" s="664"/>
      <c r="AB53" s="664"/>
      <c r="AC53" s="664"/>
      <c r="AD53" s="664"/>
    </row>
    <row r="54" spans="1:30">
      <c r="A54" s="682"/>
      <c r="B54" s="664"/>
      <c r="C54" s="664"/>
      <c r="D54" s="664"/>
      <c r="E54" s="664"/>
      <c r="F54" s="664"/>
      <c r="G54" s="664"/>
      <c r="H54" s="664"/>
      <c r="I54" s="664"/>
      <c r="J54" s="664"/>
      <c r="K54" s="664"/>
      <c r="L54" s="664"/>
      <c r="M54" s="664"/>
      <c r="N54" s="664"/>
      <c r="O54" s="664"/>
      <c r="P54" s="664"/>
      <c r="Q54" s="664"/>
      <c r="R54" s="664"/>
      <c r="S54" s="664"/>
      <c r="T54" s="664"/>
      <c r="U54" s="664"/>
      <c r="V54" s="664"/>
      <c r="W54" s="664"/>
      <c r="X54" s="664"/>
      <c r="Y54" s="664"/>
      <c r="Z54" s="664"/>
      <c r="AA54" s="664"/>
      <c r="AB54" s="664"/>
      <c r="AC54" s="664"/>
      <c r="AD54" s="664"/>
    </row>
    <row r="55" spans="1:30">
      <c r="A55" s="682"/>
      <c r="B55" s="664"/>
      <c r="C55" s="664"/>
      <c r="D55" s="664"/>
      <c r="E55" s="664"/>
      <c r="F55" s="664"/>
      <c r="G55" s="664"/>
      <c r="H55" s="664"/>
      <c r="I55" s="664"/>
      <c r="J55" s="664"/>
      <c r="K55" s="664"/>
      <c r="L55" s="664"/>
      <c r="M55" s="664"/>
      <c r="N55" s="664"/>
      <c r="O55" s="664"/>
      <c r="P55" s="664"/>
      <c r="Q55" s="664"/>
      <c r="R55" s="664"/>
      <c r="S55" s="664"/>
      <c r="T55" s="664"/>
      <c r="U55" s="664"/>
      <c r="V55" s="664"/>
      <c r="W55" s="664"/>
      <c r="X55" s="664"/>
      <c r="Y55" s="664"/>
      <c r="Z55" s="664"/>
      <c r="AA55" s="664"/>
      <c r="AB55" s="664"/>
      <c r="AC55" s="664"/>
      <c r="AD55" s="664"/>
    </row>
    <row r="56" spans="1:30">
      <c r="A56" s="682"/>
      <c r="B56" s="664"/>
      <c r="C56" s="664"/>
      <c r="D56" s="664"/>
      <c r="E56" s="664"/>
      <c r="F56" s="664"/>
      <c r="G56" s="664"/>
      <c r="H56" s="664"/>
      <c r="I56" s="664"/>
      <c r="J56" s="664"/>
      <c r="K56" s="664"/>
      <c r="L56" s="664"/>
      <c r="M56" s="664"/>
      <c r="N56" s="664"/>
      <c r="O56" s="664"/>
      <c r="P56" s="664"/>
      <c r="Q56" s="664"/>
      <c r="R56" s="664"/>
      <c r="S56" s="664"/>
      <c r="T56" s="664"/>
      <c r="U56" s="664"/>
      <c r="V56" s="664"/>
      <c r="W56" s="664"/>
      <c r="X56" s="664"/>
      <c r="Y56" s="664"/>
      <c r="Z56" s="664"/>
      <c r="AA56" s="664"/>
      <c r="AB56" s="664"/>
      <c r="AC56" s="664"/>
      <c r="AD56" s="664"/>
    </row>
    <row r="57" spans="1:30">
      <c r="A57" s="682"/>
      <c r="B57" s="664"/>
      <c r="C57" s="664"/>
      <c r="D57" s="664"/>
      <c r="E57" s="664"/>
      <c r="F57" s="664"/>
      <c r="G57" s="664"/>
      <c r="H57" s="664"/>
      <c r="I57" s="664"/>
      <c r="J57" s="664"/>
      <c r="K57" s="664"/>
      <c r="L57" s="664"/>
      <c r="M57" s="664"/>
      <c r="N57" s="664"/>
      <c r="O57" s="664"/>
      <c r="P57" s="664"/>
      <c r="Q57" s="664"/>
      <c r="R57" s="664"/>
      <c r="S57" s="664"/>
      <c r="T57" s="664"/>
      <c r="U57" s="664"/>
      <c r="V57" s="664"/>
      <c r="W57" s="664"/>
      <c r="X57" s="664"/>
      <c r="Y57" s="664"/>
      <c r="Z57" s="664"/>
      <c r="AA57" s="664"/>
      <c r="AB57" s="664"/>
      <c r="AC57" s="664"/>
      <c r="AD57" s="664"/>
    </row>
    <row r="58" spans="1:30">
      <c r="A58" s="682"/>
      <c r="B58" s="664"/>
      <c r="C58" s="664"/>
      <c r="D58" s="664"/>
      <c r="E58" s="664"/>
      <c r="F58" s="664"/>
      <c r="G58" s="664"/>
      <c r="H58" s="664"/>
      <c r="I58" s="664"/>
      <c r="J58" s="664"/>
      <c r="K58" s="664"/>
      <c r="L58" s="664"/>
      <c r="M58" s="664"/>
      <c r="N58" s="664"/>
      <c r="O58" s="664"/>
      <c r="P58" s="664"/>
      <c r="Q58" s="664"/>
      <c r="R58" s="664"/>
      <c r="S58" s="664"/>
      <c r="T58" s="664"/>
      <c r="U58" s="664"/>
      <c r="V58" s="664"/>
      <c r="W58" s="664"/>
      <c r="X58" s="664"/>
      <c r="Y58" s="664"/>
      <c r="Z58" s="664"/>
      <c r="AA58" s="664"/>
      <c r="AB58" s="664"/>
      <c r="AC58" s="664"/>
      <c r="AD58" s="664"/>
    </row>
    <row r="59" spans="1:30">
      <c r="A59" s="682"/>
      <c r="B59" s="664"/>
      <c r="C59" s="664"/>
      <c r="D59" s="664"/>
      <c r="E59" s="664"/>
      <c r="F59" s="664"/>
      <c r="G59" s="664"/>
      <c r="H59" s="664"/>
      <c r="I59" s="664"/>
      <c r="J59" s="664"/>
      <c r="K59" s="664"/>
      <c r="L59" s="664"/>
      <c r="M59" s="664"/>
      <c r="N59" s="664"/>
      <c r="O59" s="664"/>
      <c r="P59" s="664"/>
      <c r="Q59" s="664"/>
      <c r="R59" s="664"/>
      <c r="S59" s="664"/>
      <c r="T59" s="664"/>
      <c r="U59" s="664"/>
      <c r="V59" s="664"/>
      <c r="W59" s="664"/>
      <c r="X59" s="664"/>
      <c r="Y59" s="664"/>
      <c r="Z59" s="664"/>
      <c r="AA59" s="664"/>
      <c r="AB59" s="664"/>
      <c r="AC59" s="664"/>
      <c r="AD59" s="664"/>
    </row>
    <row r="60" spans="1:30">
      <c r="A60" s="682"/>
      <c r="B60" s="664"/>
      <c r="C60" s="664"/>
      <c r="D60" s="664"/>
      <c r="E60" s="664"/>
      <c r="F60" s="664"/>
      <c r="G60" s="664"/>
      <c r="H60" s="664"/>
      <c r="I60" s="664"/>
      <c r="J60" s="664"/>
      <c r="K60" s="664"/>
      <c r="L60" s="664"/>
      <c r="M60" s="664"/>
      <c r="N60" s="664"/>
      <c r="O60" s="664"/>
      <c r="P60" s="664"/>
      <c r="Q60" s="664"/>
      <c r="R60" s="664"/>
      <c r="S60" s="664"/>
      <c r="T60" s="664"/>
      <c r="U60" s="664"/>
      <c r="V60" s="664"/>
      <c r="W60" s="664"/>
      <c r="X60" s="664"/>
      <c r="Y60" s="664"/>
      <c r="Z60" s="664"/>
      <c r="AA60" s="664"/>
      <c r="AB60" s="664"/>
      <c r="AC60" s="664"/>
      <c r="AD60" s="664"/>
    </row>
    <row r="61" spans="1:30">
      <c r="A61" s="682"/>
      <c r="B61" s="664"/>
      <c r="C61" s="664"/>
      <c r="D61" s="664"/>
      <c r="E61" s="664"/>
      <c r="F61" s="664"/>
      <c r="G61" s="664"/>
      <c r="H61" s="664"/>
      <c r="I61" s="664"/>
      <c r="J61" s="664"/>
      <c r="K61" s="664"/>
      <c r="L61" s="664"/>
      <c r="M61" s="664"/>
      <c r="N61" s="664"/>
      <c r="O61" s="664"/>
      <c r="P61" s="664"/>
      <c r="Q61" s="664"/>
      <c r="R61" s="664"/>
      <c r="S61" s="664"/>
      <c r="T61" s="664"/>
      <c r="U61" s="664"/>
      <c r="V61" s="664"/>
      <c r="W61" s="664"/>
      <c r="X61" s="664"/>
      <c r="Y61" s="664"/>
      <c r="Z61" s="664"/>
      <c r="AA61" s="664"/>
      <c r="AB61" s="664"/>
      <c r="AC61" s="664"/>
      <c r="AD61" s="664"/>
    </row>
    <row r="62" spans="1:30">
      <c r="A62" s="682"/>
      <c r="B62" s="664"/>
      <c r="C62" s="664"/>
      <c r="D62" s="664"/>
      <c r="E62" s="664"/>
      <c r="F62" s="664"/>
      <c r="G62" s="664"/>
      <c r="H62" s="664"/>
      <c r="I62" s="664"/>
      <c r="J62" s="664"/>
      <c r="K62" s="664"/>
      <c r="L62" s="664"/>
      <c r="M62" s="664"/>
      <c r="N62" s="664"/>
      <c r="O62" s="664"/>
      <c r="P62" s="664"/>
      <c r="Q62" s="664"/>
      <c r="R62" s="664"/>
      <c r="S62" s="664"/>
      <c r="T62" s="664"/>
      <c r="U62" s="664"/>
      <c r="V62" s="664"/>
      <c r="W62" s="664"/>
      <c r="X62" s="664"/>
      <c r="Y62" s="664"/>
      <c r="Z62" s="664"/>
      <c r="AA62" s="664"/>
      <c r="AB62" s="664"/>
      <c r="AC62" s="664"/>
      <c r="AD62" s="664"/>
    </row>
    <row r="63" spans="1:30">
      <c r="A63" s="682"/>
      <c r="B63" s="664"/>
      <c r="C63" s="664"/>
      <c r="D63" s="664"/>
      <c r="E63" s="664"/>
      <c r="F63" s="664"/>
      <c r="G63" s="664"/>
      <c r="H63" s="664"/>
      <c r="I63" s="664"/>
      <c r="J63" s="664"/>
      <c r="K63" s="664"/>
      <c r="L63" s="664"/>
      <c r="M63" s="664"/>
      <c r="N63" s="664"/>
      <c r="O63" s="664"/>
      <c r="P63" s="664"/>
      <c r="Q63" s="664"/>
      <c r="R63" s="664"/>
      <c r="S63" s="664"/>
      <c r="T63" s="664"/>
      <c r="U63" s="664"/>
      <c r="V63" s="664"/>
      <c r="W63" s="664"/>
      <c r="X63" s="664"/>
      <c r="Y63" s="664"/>
      <c r="Z63" s="664"/>
      <c r="AA63" s="664"/>
      <c r="AB63" s="664"/>
      <c r="AC63" s="664"/>
      <c r="AD63" s="664"/>
    </row>
    <row r="64" spans="1:30">
      <c r="A64" s="682"/>
      <c r="B64" s="664"/>
      <c r="C64" s="664"/>
      <c r="D64" s="664"/>
      <c r="E64" s="664"/>
      <c r="F64" s="664"/>
      <c r="G64" s="664"/>
      <c r="H64" s="664"/>
      <c r="I64" s="664"/>
      <c r="J64" s="664"/>
      <c r="K64" s="664"/>
      <c r="L64" s="664"/>
      <c r="M64" s="664"/>
      <c r="N64" s="664"/>
      <c r="O64" s="664"/>
      <c r="P64" s="664"/>
      <c r="Q64" s="664"/>
      <c r="R64" s="664"/>
      <c r="S64" s="664"/>
      <c r="T64" s="664"/>
      <c r="U64" s="664"/>
      <c r="V64" s="664"/>
      <c r="W64" s="664"/>
      <c r="X64" s="664"/>
      <c r="Y64" s="664"/>
      <c r="Z64" s="664"/>
      <c r="AA64" s="664"/>
      <c r="AB64" s="664"/>
      <c r="AC64" s="664"/>
      <c r="AD64" s="664"/>
    </row>
    <row r="65" spans="1:30">
      <c r="A65" s="682"/>
      <c r="B65" s="664"/>
      <c r="C65" s="664"/>
      <c r="D65" s="664"/>
      <c r="E65" s="664"/>
      <c r="F65" s="664"/>
      <c r="G65" s="664"/>
      <c r="H65" s="664"/>
      <c r="I65" s="664"/>
      <c r="J65" s="664"/>
      <c r="K65" s="664"/>
      <c r="L65" s="664"/>
      <c r="M65" s="664"/>
      <c r="N65" s="664"/>
      <c r="O65" s="664"/>
      <c r="P65" s="664"/>
      <c r="Q65" s="664"/>
      <c r="R65" s="664"/>
      <c r="S65" s="664"/>
      <c r="T65" s="664"/>
      <c r="U65" s="664"/>
      <c r="V65" s="664"/>
      <c r="W65" s="664"/>
      <c r="X65" s="664"/>
      <c r="Y65" s="664"/>
      <c r="Z65" s="664"/>
      <c r="AA65" s="664"/>
      <c r="AB65" s="664"/>
      <c r="AC65" s="664"/>
      <c r="AD65" s="664"/>
    </row>
    <row r="66" spans="1:30">
      <c r="A66" s="682"/>
      <c r="B66" s="664"/>
      <c r="C66" s="664"/>
      <c r="D66" s="664"/>
      <c r="E66" s="664"/>
      <c r="F66" s="664"/>
      <c r="G66" s="664"/>
      <c r="H66" s="664"/>
      <c r="I66" s="664"/>
      <c r="J66" s="664"/>
      <c r="K66" s="664"/>
      <c r="L66" s="664"/>
      <c r="M66" s="664"/>
      <c r="N66" s="664"/>
      <c r="O66" s="664"/>
      <c r="P66" s="664"/>
      <c r="Q66" s="664"/>
      <c r="R66" s="664"/>
      <c r="S66" s="664"/>
      <c r="T66" s="664"/>
      <c r="U66" s="664"/>
      <c r="V66" s="664"/>
      <c r="W66" s="664"/>
      <c r="X66" s="664"/>
      <c r="Y66" s="664"/>
      <c r="Z66" s="664"/>
      <c r="AA66" s="664"/>
      <c r="AB66" s="664"/>
      <c r="AC66" s="664"/>
      <c r="AD66" s="664"/>
    </row>
    <row r="67" spans="1:30">
      <c r="A67" s="682"/>
      <c r="B67" s="664"/>
      <c r="C67" s="664"/>
      <c r="D67" s="664"/>
      <c r="E67" s="664"/>
      <c r="F67" s="664"/>
      <c r="G67" s="664"/>
      <c r="H67" s="664"/>
      <c r="I67" s="664"/>
      <c r="J67" s="664"/>
      <c r="K67" s="664"/>
      <c r="L67" s="664"/>
      <c r="M67" s="664"/>
      <c r="N67" s="664"/>
      <c r="O67" s="664"/>
      <c r="P67" s="664"/>
      <c r="Q67" s="664"/>
      <c r="R67" s="664"/>
      <c r="S67" s="664"/>
      <c r="T67" s="664"/>
      <c r="U67" s="664"/>
      <c r="V67" s="664"/>
      <c r="W67" s="664"/>
      <c r="X67" s="664"/>
      <c r="Y67" s="664"/>
      <c r="Z67" s="664"/>
      <c r="AA67" s="664"/>
      <c r="AB67" s="664"/>
      <c r="AC67" s="664"/>
      <c r="AD67" s="664"/>
    </row>
    <row r="68" spans="1:30">
      <c r="A68" s="682"/>
      <c r="B68" s="664"/>
      <c r="C68" s="664"/>
      <c r="D68" s="664"/>
      <c r="E68" s="664"/>
      <c r="F68" s="664"/>
      <c r="G68" s="664"/>
      <c r="H68" s="664"/>
      <c r="I68" s="664"/>
      <c r="J68" s="664"/>
      <c r="K68" s="664"/>
      <c r="L68" s="664"/>
      <c r="M68" s="664"/>
      <c r="N68" s="664"/>
      <c r="O68" s="664"/>
      <c r="P68" s="664"/>
      <c r="Q68" s="664"/>
      <c r="R68" s="664"/>
      <c r="S68" s="664"/>
      <c r="T68" s="664"/>
      <c r="U68" s="664"/>
      <c r="V68" s="664"/>
      <c r="W68" s="664"/>
      <c r="X68" s="664"/>
      <c r="Y68" s="664"/>
      <c r="Z68" s="664"/>
      <c r="AA68" s="664"/>
      <c r="AB68" s="664"/>
      <c r="AC68" s="664"/>
      <c r="AD68" s="664"/>
    </row>
    <row r="69" spans="1:30">
      <c r="A69" s="682"/>
      <c r="B69" s="664"/>
      <c r="C69" s="664"/>
      <c r="D69" s="664"/>
      <c r="E69" s="664"/>
      <c r="F69" s="664"/>
      <c r="G69" s="664"/>
      <c r="H69" s="664"/>
      <c r="I69" s="664"/>
      <c r="J69" s="664"/>
      <c r="K69" s="664"/>
      <c r="L69" s="664"/>
      <c r="M69" s="664"/>
      <c r="N69" s="664"/>
      <c r="O69" s="664"/>
      <c r="P69" s="664"/>
      <c r="Q69" s="664"/>
      <c r="R69" s="664"/>
      <c r="S69" s="664"/>
      <c r="T69" s="664"/>
      <c r="U69" s="664"/>
      <c r="V69" s="664"/>
      <c r="W69" s="664"/>
      <c r="X69" s="664"/>
      <c r="Y69" s="664"/>
      <c r="Z69" s="664"/>
      <c r="AA69" s="664"/>
      <c r="AB69" s="664"/>
      <c r="AC69" s="664"/>
      <c r="AD69" s="664"/>
    </row>
    <row r="70" spans="1:30">
      <c r="A70" s="682"/>
      <c r="B70" s="664"/>
      <c r="C70" s="664"/>
      <c r="D70" s="664"/>
      <c r="E70" s="664"/>
      <c r="F70" s="664"/>
      <c r="G70" s="664"/>
      <c r="H70" s="664"/>
      <c r="I70" s="664"/>
      <c r="J70" s="664"/>
      <c r="K70" s="664"/>
      <c r="L70" s="664"/>
      <c r="M70" s="664"/>
      <c r="N70" s="664"/>
      <c r="O70" s="664"/>
      <c r="P70" s="664"/>
      <c r="Q70" s="664"/>
      <c r="R70" s="664"/>
      <c r="S70" s="664"/>
      <c r="T70" s="664"/>
      <c r="U70" s="664"/>
      <c r="V70" s="664"/>
      <c r="W70" s="664"/>
      <c r="X70" s="664"/>
      <c r="Y70" s="664"/>
      <c r="Z70" s="664"/>
      <c r="AA70" s="664"/>
      <c r="AB70" s="664"/>
      <c r="AC70" s="664"/>
      <c r="AD70" s="664"/>
    </row>
    <row r="71" spans="1:30">
      <c r="A71" s="682"/>
      <c r="B71" s="664"/>
      <c r="C71" s="664"/>
      <c r="D71" s="664"/>
      <c r="E71" s="664"/>
      <c r="F71" s="664"/>
      <c r="G71" s="664"/>
      <c r="H71" s="664"/>
      <c r="I71" s="664"/>
      <c r="J71" s="664"/>
      <c r="K71" s="664"/>
      <c r="L71" s="664"/>
      <c r="M71" s="664"/>
      <c r="N71" s="664"/>
      <c r="O71" s="664"/>
      <c r="P71" s="664"/>
      <c r="Q71" s="664"/>
      <c r="R71" s="664"/>
      <c r="S71" s="664"/>
      <c r="T71" s="664"/>
      <c r="U71" s="664"/>
      <c r="V71" s="664"/>
      <c r="W71" s="664"/>
      <c r="X71" s="664"/>
      <c r="Y71" s="664"/>
      <c r="Z71" s="664"/>
      <c r="AA71" s="664"/>
      <c r="AB71" s="664"/>
      <c r="AC71" s="664"/>
      <c r="AD71" s="664"/>
    </row>
    <row r="72" spans="1:30">
      <c r="A72" s="682"/>
      <c r="B72" s="664"/>
      <c r="C72" s="664"/>
      <c r="D72" s="664"/>
      <c r="E72" s="664"/>
      <c r="F72" s="664"/>
      <c r="G72" s="664"/>
      <c r="H72" s="664"/>
      <c r="I72" s="664"/>
      <c r="J72" s="664"/>
      <c r="K72" s="664"/>
      <c r="L72" s="664"/>
      <c r="M72" s="664"/>
      <c r="N72" s="664"/>
      <c r="O72" s="664"/>
      <c r="P72" s="664"/>
      <c r="Q72" s="664"/>
      <c r="R72" s="664"/>
      <c r="S72" s="664"/>
      <c r="T72" s="664"/>
      <c r="U72" s="664"/>
      <c r="V72" s="664"/>
      <c r="W72" s="664"/>
      <c r="X72" s="664"/>
      <c r="Y72" s="664"/>
      <c r="Z72" s="664"/>
      <c r="AA72" s="664"/>
      <c r="AB72" s="664"/>
      <c r="AC72" s="664"/>
      <c r="AD72" s="664"/>
    </row>
    <row r="73" spans="1:30">
      <c r="A73" s="682"/>
      <c r="B73" s="664"/>
      <c r="C73" s="664"/>
      <c r="D73" s="664"/>
      <c r="E73" s="664"/>
      <c r="F73" s="664"/>
      <c r="G73" s="664"/>
      <c r="H73" s="664"/>
      <c r="I73" s="664"/>
      <c r="J73" s="664"/>
      <c r="K73" s="664"/>
      <c r="L73" s="664"/>
      <c r="M73" s="664"/>
      <c r="N73" s="664"/>
      <c r="O73" s="664"/>
      <c r="P73" s="664"/>
      <c r="Q73" s="664"/>
      <c r="R73" s="664"/>
      <c r="S73" s="664"/>
      <c r="T73" s="664"/>
      <c r="U73" s="664"/>
      <c r="V73" s="664"/>
      <c r="W73" s="664"/>
      <c r="X73" s="664"/>
      <c r="Y73" s="664"/>
      <c r="Z73" s="664"/>
      <c r="AA73" s="664"/>
      <c r="AB73" s="664"/>
      <c r="AC73" s="664"/>
      <c r="AD73" s="664"/>
    </row>
    <row r="74" spans="1:30">
      <c r="A74" s="682"/>
      <c r="B74" s="664"/>
      <c r="C74" s="664"/>
      <c r="D74" s="664"/>
      <c r="E74" s="664"/>
      <c r="F74" s="664"/>
      <c r="G74" s="664"/>
      <c r="H74" s="664"/>
      <c r="I74" s="664"/>
      <c r="J74" s="664"/>
      <c r="K74" s="664"/>
      <c r="L74" s="664"/>
      <c r="M74" s="664"/>
      <c r="N74" s="664"/>
      <c r="O74" s="664"/>
      <c r="P74" s="664"/>
      <c r="Q74" s="664"/>
      <c r="R74" s="664"/>
      <c r="S74" s="664"/>
      <c r="T74" s="664"/>
      <c r="U74" s="664"/>
      <c r="V74" s="664"/>
      <c r="W74" s="664"/>
      <c r="X74" s="664"/>
      <c r="Y74" s="664"/>
      <c r="Z74" s="664"/>
      <c r="AA74" s="664"/>
      <c r="AB74" s="664"/>
      <c r="AC74" s="664"/>
      <c r="AD74" s="664"/>
    </row>
    <row r="75" spans="1:30">
      <c r="A75" s="682"/>
      <c r="B75" s="664"/>
      <c r="C75" s="664"/>
      <c r="D75" s="664"/>
      <c r="E75" s="664"/>
      <c r="F75" s="664"/>
      <c r="G75" s="664"/>
      <c r="H75" s="664"/>
      <c r="I75" s="664"/>
      <c r="J75" s="664"/>
      <c r="K75" s="664"/>
      <c r="L75" s="664"/>
      <c r="M75" s="664"/>
      <c r="N75" s="664"/>
      <c r="O75" s="664"/>
      <c r="P75" s="664"/>
      <c r="Q75" s="664"/>
      <c r="R75" s="664"/>
      <c r="S75" s="664"/>
      <c r="T75" s="664"/>
      <c r="U75" s="664"/>
      <c r="V75" s="664"/>
      <c r="W75" s="664"/>
      <c r="X75" s="664"/>
      <c r="Y75" s="664"/>
      <c r="Z75" s="664"/>
      <c r="AA75" s="664"/>
      <c r="AB75" s="664"/>
      <c r="AC75" s="664"/>
      <c r="AD75" s="664"/>
    </row>
    <row r="76" spans="1:30">
      <c r="A76" s="682"/>
      <c r="B76" s="664"/>
      <c r="C76" s="664"/>
      <c r="D76" s="664"/>
      <c r="E76" s="664"/>
      <c r="F76" s="664"/>
      <c r="G76" s="664"/>
      <c r="H76" s="664"/>
      <c r="I76" s="664"/>
      <c r="J76" s="664"/>
      <c r="K76" s="664"/>
      <c r="L76" s="664"/>
      <c r="M76" s="664"/>
      <c r="N76" s="664"/>
      <c r="O76" s="664"/>
      <c r="P76" s="664"/>
      <c r="Q76" s="664"/>
      <c r="R76" s="664"/>
      <c r="S76" s="664"/>
      <c r="T76" s="664"/>
      <c r="U76" s="664"/>
      <c r="V76" s="664"/>
      <c r="W76" s="664"/>
      <c r="X76" s="664"/>
      <c r="Y76" s="664"/>
      <c r="Z76" s="664"/>
      <c r="AA76" s="664"/>
      <c r="AB76" s="664"/>
      <c r="AC76" s="664"/>
      <c r="AD76" s="664"/>
    </row>
    <row r="77" spans="1:30">
      <c r="A77" s="682"/>
      <c r="B77" s="664"/>
      <c r="C77" s="664"/>
      <c r="D77" s="664"/>
      <c r="E77" s="664"/>
      <c r="F77" s="664"/>
      <c r="G77" s="664"/>
      <c r="H77" s="664"/>
      <c r="I77" s="664"/>
      <c r="J77" s="664"/>
      <c r="K77" s="664"/>
      <c r="L77" s="664"/>
      <c r="M77" s="664"/>
      <c r="N77" s="664"/>
      <c r="O77" s="664"/>
      <c r="P77" s="664"/>
      <c r="Q77" s="664"/>
      <c r="R77" s="664"/>
      <c r="S77" s="664"/>
      <c r="T77" s="664"/>
      <c r="U77" s="664"/>
      <c r="V77" s="664"/>
      <c r="W77" s="664"/>
      <c r="X77" s="664"/>
      <c r="Y77" s="664"/>
      <c r="Z77" s="664"/>
      <c r="AA77" s="664"/>
      <c r="AB77" s="664"/>
      <c r="AC77" s="664"/>
      <c r="AD77" s="664"/>
    </row>
    <row r="78" spans="1:30">
      <c r="A78" s="682"/>
      <c r="B78" s="664"/>
      <c r="C78" s="664"/>
      <c r="D78" s="664"/>
      <c r="E78" s="664"/>
      <c r="F78" s="664"/>
      <c r="G78" s="664"/>
      <c r="H78" s="664"/>
      <c r="I78" s="664"/>
      <c r="J78" s="664"/>
      <c r="K78" s="664"/>
      <c r="L78" s="664"/>
      <c r="M78" s="664"/>
      <c r="N78" s="664"/>
      <c r="O78" s="664"/>
      <c r="P78" s="664"/>
      <c r="Q78" s="664"/>
      <c r="R78" s="664"/>
      <c r="S78" s="664"/>
      <c r="T78" s="664"/>
      <c r="U78" s="664"/>
      <c r="V78" s="664"/>
      <c r="W78" s="664"/>
      <c r="X78" s="664"/>
      <c r="Y78" s="664"/>
      <c r="Z78" s="664"/>
      <c r="AA78" s="664"/>
      <c r="AB78" s="664"/>
      <c r="AC78" s="664"/>
      <c r="AD78" s="664"/>
    </row>
    <row r="79" spans="1:30">
      <c r="A79" s="682"/>
      <c r="B79" s="664"/>
      <c r="C79" s="664"/>
      <c r="D79" s="664"/>
      <c r="E79" s="664"/>
      <c r="F79" s="664"/>
      <c r="G79" s="664"/>
      <c r="H79" s="664"/>
      <c r="I79" s="664"/>
      <c r="J79" s="664"/>
      <c r="K79" s="664"/>
      <c r="L79" s="664"/>
      <c r="M79" s="664"/>
      <c r="N79" s="664"/>
      <c r="O79" s="664"/>
      <c r="P79" s="664"/>
      <c r="Q79" s="664"/>
      <c r="R79" s="664"/>
      <c r="S79" s="664"/>
      <c r="T79" s="664"/>
      <c r="U79" s="664"/>
      <c r="V79" s="664"/>
      <c r="W79" s="664"/>
      <c r="X79" s="664"/>
      <c r="Y79" s="664"/>
      <c r="Z79" s="664"/>
      <c r="AA79" s="664"/>
      <c r="AB79" s="664"/>
      <c r="AC79" s="664"/>
      <c r="AD79" s="664"/>
    </row>
    <row r="80" spans="1:30">
      <c r="A80" s="682"/>
      <c r="B80" s="664"/>
      <c r="C80" s="664"/>
      <c r="D80" s="664"/>
      <c r="E80" s="664"/>
      <c r="F80" s="664"/>
      <c r="G80" s="664"/>
      <c r="H80" s="664"/>
      <c r="I80" s="664"/>
      <c r="J80" s="664"/>
      <c r="K80" s="664"/>
      <c r="L80" s="664"/>
      <c r="M80" s="664"/>
      <c r="N80" s="664"/>
      <c r="O80" s="664"/>
      <c r="P80" s="664"/>
      <c r="Q80" s="664"/>
      <c r="R80" s="664"/>
      <c r="S80" s="664"/>
      <c r="T80" s="664"/>
      <c r="U80" s="664"/>
      <c r="V80" s="664"/>
      <c r="W80" s="664"/>
      <c r="X80" s="664"/>
      <c r="Y80" s="664"/>
      <c r="Z80" s="664"/>
      <c r="AA80" s="664"/>
      <c r="AB80" s="664"/>
      <c r="AC80" s="664"/>
      <c r="AD80" s="664"/>
    </row>
    <row r="81" spans="1:30">
      <c r="A81" s="682"/>
      <c r="B81" s="664"/>
      <c r="C81" s="664"/>
      <c r="D81" s="664"/>
      <c r="E81" s="664"/>
      <c r="F81" s="664"/>
      <c r="G81" s="664"/>
      <c r="H81" s="664"/>
      <c r="I81" s="664"/>
      <c r="J81" s="664"/>
      <c r="K81" s="664"/>
      <c r="L81" s="664"/>
      <c r="M81" s="664"/>
      <c r="N81" s="664"/>
      <c r="O81" s="664"/>
      <c r="P81" s="664"/>
      <c r="Q81" s="664"/>
      <c r="R81" s="664"/>
      <c r="S81" s="664"/>
      <c r="T81" s="664"/>
      <c r="U81" s="664"/>
      <c r="V81" s="664"/>
      <c r="W81" s="664"/>
      <c r="X81" s="664"/>
      <c r="Y81" s="664"/>
      <c r="Z81" s="664"/>
      <c r="AA81" s="664"/>
      <c r="AB81" s="664"/>
      <c r="AC81" s="664"/>
      <c r="AD81" s="664"/>
    </row>
    <row r="82" spans="1:30">
      <c r="A82" s="682"/>
      <c r="B82" s="664"/>
      <c r="C82" s="664"/>
      <c r="D82" s="664"/>
      <c r="E82" s="664"/>
      <c r="F82" s="664"/>
      <c r="G82" s="664"/>
      <c r="H82" s="664"/>
      <c r="I82" s="664"/>
      <c r="J82" s="664"/>
      <c r="K82" s="664"/>
      <c r="L82" s="664"/>
      <c r="M82" s="664"/>
      <c r="N82" s="664"/>
      <c r="O82" s="664"/>
      <c r="P82" s="664"/>
      <c r="Q82" s="664"/>
      <c r="R82" s="664"/>
      <c r="S82" s="664"/>
      <c r="T82" s="664"/>
      <c r="U82" s="664"/>
      <c r="V82" s="664"/>
      <c r="W82" s="664"/>
      <c r="X82" s="664"/>
      <c r="Y82" s="664"/>
      <c r="Z82" s="664"/>
      <c r="AA82" s="664"/>
      <c r="AB82" s="664"/>
      <c r="AC82" s="664"/>
      <c r="AD82" s="664"/>
    </row>
    <row r="83" spans="1:30">
      <c r="A83" s="682"/>
      <c r="B83" s="664"/>
      <c r="C83" s="664"/>
      <c r="D83" s="664"/>
      <c r="E83" s="664"/>
      <c r="F83" s="664"/>
      <c r="G83" s="664"/>
      <c r="H83" s="664"/>
      <c r="I83" s="664"/>
      <c r="J83" s="664"/>
      <c r="K83" s="664"/>
      <c r="L83" s="664"/>
      <c r="M83" s="664"/>
      <c r="N83" s="664"/>
      <c r="O83" s="664"/>
      <c r="P83" s="664"/>
      <c r="Q83" s="664"/>
      <c r="R83" s="664"/>
      <c r="S83" s="664"/>
      <c r="T83" s="664"/>
      <c r="U83" s="664"/>
      <c r="V83" s="664"/>
      <c r="W83" s="664"/>
      <c r="X83" s="664"/>
      <c r="Y83" s="664"/>
      <c r="Z83" s="664"/>
      <c r="AA83" s="664"/>
      <c r="AB83" s="664"/>
      <c r="AC83" s="664"/>
      <c r="AD83" s="664"/>
    </row>
    <row r="84" spans="1:30">
      <c r="A84" s="682"/>
      <c r="B84" s="664"/>
      <c r="C84" s="664"/>
      <c r="D84" s="664"/>
      <c r="E84" s="664"/>
      <c r="F84" s="664"/>
      <c r="G84" s="664"/>
      <c r="H84" s="664"/>
      <c r="I84" s="664"/>
      <c r="J84" s="664"/>
      <c r="K84" s="664"/>
      <c r="L84" s="664"/>
      <c r="M84" s="664"/>
      <c r="N84" s="664"/>
      <c r="O84" s="664"/>
      <c r="P84" s="664"/>
      <c r="Q84" s="664"/>
      <c r="R84" s="664"/>
      <c r="S84" s="664"/>
      <c r="T84" s="664"/>
      <c r="U84" s="664"/>
      <c r="V84" s="664"/>
      <c r="W84" s="664"/>
      <c r="X84" s="664"/>
      <c r="Y84" s="664"/>
      <c r="Z84" s="664"/>
      <c r="AA84" s="664"/>
      <c r="AB84" s="664"/>
      <c r="AC84" s="664"/>
      <c r="AD84" s="664"/>
    </row>
    <row r="85" spans="1:30">
      <c r="A85" s="682"/>
      <c r="B85" s="664"/>
      <c r="C85" s="664"/>
      <c r="D85" s="664"/>
      <c r="E85" s="664"/>
      <c r="F85" s="664"/>
      <c r="G85" s="664"/>
      <c r="H85" s="664"/>
      <c r="I85" s="664"/>
      <c r="J85" s="664"/>
      <c r="K85" s="664"/>
      <c r="L85" s="664"/>
      <c r="M85" s="664"/>
      <c r="N85" s="664"/>
      <c r="O85" s="664"/>
      <c r="P85" s="664"/>
      <c r="Q85" s="664"/>
      <c r="R85" s="664"/>
      <c r="S85" s="664"/>
      <c r="T85" s="664"/>
      <c r="U85" s="664"/>
      <c r="V85" s="664"/>
      <c r="W85" s="664"/>
      <c r="X85" s="664"/>
      <c r="Y85" s="664"/>
      <c r="Z85" s="664"/>
      <c r="AA85" s="664"/>
      <c r="AB85" s="664"/>
      <c r="AC85" s="664"/>
      <c r="AD85" s="664"/>
    </row>
    <row r="86" spans="1:30">
      <c r="A86" s="682"/>
      <c r="B86" s="664"/>
      <c r="C86" s="664"/>
      <c r="D86" s="664"/>
      <c r="E86" s="664"/>
      <c r="F86" s="664"/>
      <c r="G86" s="664"/>
      <c r="H86" s="664"/>
      <c r="I86" s="664"/>
      <c r="J86" s="664"/>
      <c r="K86" s="664"/>
      <c r="L86" s="664"/>
      <c r="M86" s="664"/>
      <c r="N86" s="664"/>
      <c r="O86" s="664"/>
      <c r="P86" s="664"/>
      <c r="Q86" s="664"/>
      <c r="R86" s="664"/>
      <c r="S86" s="664"/>
      <c r="T86" s="664"/>
      <c r="U86" s="664"/>
      <c r="V86" s="664"/>
      <c r="W86" s="664"/>
      <c r="X86" s="664"/>
      <c r="Y86" s="664"/>
      <c r="Z86" s="664"/>
      <c r="AA86" s="664"/>
      <c r="AB86" s="664"/>
      <c r="AC86" s="664"/>
      <c r="AD86" s="664"/>
    </row>
    <row r="87" spans="1:30">
      <c r="A87" s="682"/>
      <c r="B87" s="664"/>
      <c r="C87" s="664"/>
      <c r="D87" s="664"/>
      <c r="E87" s="664"/>
      <c r="F87" s="664"/>
      <c r="G87" s="664"/>
      <c r="H87" s="664"/>
      <c r="I87" s="664"/>
      <c r="J87" s="664"/>
      <c r="K87" s="664"/>
      <c r="L87" s="664"/>
      <c r="M87" s="664"/>
      <c r="N87" s="664"/>
      <c r="O87" s="664"/>
      <c r="P87" s="664"/>
      <c r="Q87" s="664"/>
      <c r="R87" s="664"/>
      <c r="S87" s="664"/>
      <c r="T87" s="664"/>
      <c r="U87" s="664"/>
      <c r="V87" s="664"/>
      <c r="W87" s="664"/>
      <c r="X87" s="664"/>
      <c r="Y87" s="664"/>
      <c r="Z87" s="664"/>
      <c r="AA87" s="664"/>
      <c r="AB87" s="664"/>
      <c r="AC87" s="664"/>
      <c r="AD87" s="664"/>
    </row>
    <row r="88" spans="1:30">
      <c r="A88" s="682"/>
      <c r="B88" s="664"/>
      <c r="C88" s="664"/>
      <c r="D88" s="664"/>
      <c r="E88" s="664"/>
      <c r="F88" s="664"/>
      <c r="G88" s="664"/>
      <c r="H88" s="664"/>
      <c r="I88" s="664"/>
      <c r="J88" s="664"/>
      <c r="K88" s="664"/>
      <c r="L88" s="664"/>
      <c r="M88" s="664"/>
      <c r="N88" s="664"/>
      <c r="O88" s="664"/>
      <c r="P88" s="664"/>
      <c r="Q88" s="664"/>
      <c r="R88" s="664"/>
      <c r="S88" s="664"/>
      <c r="T88" s="664"/>
      <c r="U88" s="664"/>
      <c r="V88" s="664"/>
      <c r="W88" s="664"/>
      <c r="X88" s="664"/>
      <c r="Y88" s="664"/>
      <c r="Z88" s="664"/>
      <c r="AA88" s="664"/>
      <c r="AB88" s="664"/>
      <c r="AC88" s="664"/>
      <c r="AD88" s="664"/>
    </row>
    <row r="89" spans="1:30">
      <c r="A89" s="682"/>
      <c r="B89" s="664"/>
      <c r="C89" s="664"/>
      <c r="D89" s="664"/>
      <c r="E89" s="664"/>
      <c r="F89" s="664"/>
      <c r="G89" s="664"/>
      <c r="H89" s="664"/>
      <c r="I89" s="664"/>
      <c r="J89" s="664"/>
      <c r="K89" s="664"/>
      <c r="L89" s="664"/>
      <c r="M89" s="664"/>
      <c r="N89" s="664"/>
      <c r="O89" s="664"/>
      <c r="P89" s="664"/>
      <c r="Q89" s="664"/>
      <c r="R89" s="664"/>
      <c r="S89" s="664"/>
      <c r="T89" s="664"/>
      <c r="U89" s="664"/>
      <c r="V89" s="664"/>
      <c r="W89" s="664"/>
      <c r="X89" s="664"/>
      <c r="Y89" s="664"/>
      <c r="Z89" s="664"/>
      <c r="AA89" s="664"/>
      <c r="AB89" s="664"/>
      <c r="AC89" s="664"/>
      <c r="AD89" s="664"/>
    </row>
    <row r="90" spans="1:30">
      <c r="A90" s="682"/>
      <c r="B90" s="664"/>
      <c r="C90" s="664"/>
      <c r="D90" s="664"/>
      <c r="E90" s="664"/>
      <c r="F90" s="664"/>
      <c r="G90" s="664"/>
      <c r="H90" s="664"/>
      <c r="I90" s="664"/>
      <c r="J90" s="664"/>
      <c r="K90" s="664"/>
      <c r="L90" s="664"/>
      <c r="M90" s="664"/>
      <c r="N90" s="664"/>
      <c r="O90" s="664"/>
      <c r="P90" s="664"/>
      <c r="Q90" s="664"/>
      <c r="R90" s="664"/>
      <c r="S90" s="664"/>
      <c r="T90" s="664"/>
      <c r="U90" s="664"/>
      <c r="V90" s="664"/>
      <c r="W90" s="664"/>
      <c r="X90" s="664"/>
      <c r="Y90" s="664"/>
      <c r="Z90" s="664"/>
      <c r="AA90" s="664"/>
      <c r="AB90" s="664"/>
      <c r="AC90" s="664"/>
      <c r="AD90" s="664"/>
    </row>
    <row r="91" spans="1:30">
      <c r="A91" s="682"/>
      <c r="B91" s="664"/>
      <c r="C91" s="664"/>
      <c r="D91" s="664"/>
      <c r="E91" s="664"/>
      <c r="F91" s="664"/>
      <c r="G91" s="664"/>
      <c r="H91" s="664"/>
      <c r="I91" s="664"/>
      <c r="J91" s="664"/>
      <c r="K91" s="664"/>
      <c r="L91" s="664"/>
      <c r="M91" s="664"/>
      <c r="N91" s="664"/>
      <c r="O91" s="664"/>
      <c r="P91" s="664"/>
      <c r="Q91" s="664"/>
      <c r="R91" s="664"/>
      <c r="S91" s="664"/>
      <c r="T91" s="664"/>
      <c r="U91" s="664"/>
      <c r="V91" s="664"/>
      <c r="W91" s="664"/>
      <c r="X91" s="664"/>
      <c r="Y91" s="664"/>
      <c r="Z91" s="664"/>
      <c r="AA91" s="664"/>
      <c r="AB91" s="664"/>
      <c r="AC91" s="664"/>
      <c r="AD91" s="664"/>
    </row>
    <row r="92" spans="1:30">
      <c r="A92" s="682"/>
      <c r="B92" s="664"/>
      <c r="C92" s="664"/>
      <c r="D92" s="664"/>
      <c r="E92" s="664"/>
      <c r="F92" s="664"/>
      <c r="G92" s="664"/>
      <c r="H92" s="664"/>
      <c r="I92" s="664"/>
      <c r="J92" s="664"/>
      <c r="K92" s="664"/>
      <c r="L92" s="664"/>
      <c r="M92" s="664"/>
      <c r="N92" s="664"/>
      <c r="O92" s="664"/>
      <c r="P92" s="664"/>
      <c r="Q92" s="664"/>
      <c r="R92" s="664"/>
      <c r="S92" s="664"/>
      <c r="T92" s="664"/>
      <c r="U92" s="664"/>
      <c r="V92" s="664"/>
      <c r="W92" s="664"/>
      <c r="X92" s="664"/>
      <c r="Y92" s="664"/>
      <c r="Z92" s="664"/>
      <c r="AA92" s="664"/>
      <c r="AB92" s="664"/>
      <c r="AC92" s="664"/>
      <c r="AD92" s="664"/>
    </row>
    <row r="93" spans="1:30">
      <c r="A93" s="682"/>
      <c r="B93" s="664"/>
      <c r="C93" s="664"/>
      <c r="D93" s="664"/>
      <c r="E93" s="664"/>
      <c r="F93" s="664"/>
      <c r="G93" s="664"/>
      <c r="H93" s="664"/>
      <c r="I93" s="664"/>
      <c r="J93" s="664"/>
      <c r="K93" s="664"/>
      <c r="L93" s="664"/>
      <c r="M93" s="664"/>
      <c r="N93" s="664"/>
      <c r="O93" s="664"/>
      <c r="P93" s="664"/>
      <c r="Q93" s="664"/>
      <c r="R93" s="664"/>
      <c r="S93" s="664"/>
      <c r="T93" s="664"/>
      <c r="U93" s="664"/>
      <c r="V93" s="664"/>
      <c r="W93" s="664"/>
      <c r="X93" s="664"/>
      <c r="Y93" s="664"/>
      <c r="Z93" s="664"/>
      <c r="AA93" s="664"/>
      <c r="AB93" s="664"/>
      <c r="AC93" s="664"/>
      <c r="AD93" s="664"/>
    </row>
    <row r="94" spans="1:30">
      <c r="A94" s="682"/>
      <c r="B94" s="664"/>
      <c r="C94" s="664"/>
      <c r="D94" s="664"/>
      <c r="E94" s="664"/>
      <c r="F94" s="664"/>
      <c r="G94" s="664"/>
      <c r="H94" s="664"/>
      <c r="I94" s="664"/>
      <c r="J94" s="664"/>
      <c r="K94" s="664"/>
      <c r="L94" s="664"/>
      <c r="M94" s="664"/>
      <c r="N94" s="664"/>
      <c r="O94" s="664"/>
      <c r="P94" s="664"/>
      <c r="Q94" s="664"/>
      <c r="R94" s="664"/>
      <c r="S94" s="664"/>
      <c r="T94" s="664"/>
      <c r="U94" s="664"/>
      <c r="V94" s="664"/>
      <c r="W94" s="664"/>
      <c r="X94" s="664"/>
      <c r="Y94" s="664"/>
      <c r="Z94" s="664"/>
      <c r="AA94" s="664"/>
      <c r="AB94" s="664"/>
      <c r="AC94" s="664"/>
      <c r="AD94" s="664"/>
    </row>
    <row r="95" spans="1:30">
      <c r="A95" s="682"/>
      <c r="B95" s="664"/>
      <c r="C95" s="664"/>
      <c r="D95" s="664"/>
      <c r="E95" s="664"/>
      <c r="F95" s="664"/>
      <c r="G95" s="664"/>
      <c r="H95" s="664"/>
      <c r="I95" s="664"/>
      <c r="J95" s="664"/>
      <c r="K95" s="664"/>
      <c r="L95" s="664"/>
      <c r="M95" s="664"/>
      <c r="N95" s="664"/>
      <c r="O95" s="664"/>
      <c r="P95" s="664"/>
      <c r="Q95" s="664"/>
      <c r="R95" s="664"/>
      <c r="S95" s="664"/>
      <c r="T95" s="664"/>
      <c r="U95" s="664"/>
      <c r="V95" s="664"/>
      <c r="W95" s="664"/>
      <c r="X95" s="664"/>
      <c r="Y95" s="664"/>
      <c r="Z95" s="664"/>
      <c r="AA95" s="664"/>
      <c r="AB95" s="664"/>
      <c r="AC95" s="664"/>
      <c r="AD95" s="664"/>
    </row>
    <row r="96" spans="1:30">
      <c r="A96" s="682"/>
      <c r="B96" s="664"/>
      <c r="C96" s="664"/>
      <c r="D96" s="664"/>
      <c r="E96" s="664"/>
      <c r="F96" s="664"/>
      <c r="G96" s="664"/>
      <c r="H96" s="664"/>
      <c r="I96" s="664"/>
      <c r="J96" s="664"/>
      <c r="K96" s="664"/>
      <c r="L96" s="664"/>
      <c r="M96" s="664"/>
      <c r="N96" s="664"/>
      <c r="O96" s="664"/>
      <c r="P96" s="664"/>
      <c r="Q96" s="664"/>
      <c r="R96" s="664"/>
      <c r="S96" s="664"/>
      <c r="T96" s="664"/>
      <c r="U96" s="664"/>
      <c r="V96" s="664"/>
      <c r="W96" s="664"/>
      <c r="X96" s="664"/>
      <c r="Y96" s="664"/>
      <c r="Z96" s="664"/>
      <c r="AA96" s="664"/>
      <c r="AB96" s="664"/>
      <c r="AC96" s="664"/>
      <c r="AD96" s="664"/>
    </row>
    <row r="97" spans="1:30">
      <c r="A97" s="682"/>
      <c r="B97" s="664"/>
      <c r="C97" s="664"/>
      <c r="D97" s="664"/>
      <c r="E97" s="664"/>
      <c r="F97" s="664"/>
      <c r="G97" s="664"/>
      <c r="H97" s="664"/>
      <c r="I97" s="664"/>
      <c r="J97" s="664"/>
      <c r="K97" s="664"/>
      <c r="L97" s="664"/>
      <c r="M97" s="664"/>
      <c r="N97" s="664"/>
      <c r="O97" s="664"/>
      <c r="P97" s="664"/>
      <c r="Q97" s="664"/>
      <c r="R97" s="664"/>
      <c r="S97" s="664"/>
      <c r="T97" s="664"/>
      <c r="U97" s="664"/>
      <c r="V97" s="664"/>
      <c r="W97" s="664"/>
      <c r="X97" s="664"/>
      <c r="Y97" s="664"/>
      <c r="Z97" s="664"/>
      <c r="AA97" s="664"/>
      <c r="AB97" s="664"/>
      <c r="AC97" s="664"/>
      <c r="AD97" s="664"/>
    </row>
    <row r="98" spans="1:30">
      <c r="A98" s="682"/>
      <c r="B98" s="664"/>
      <c r="C98" s="664"/>
      <c r="D98" s="664"/>
      <c r="E98" s="664"/>
      <c r="F98" s="664"/>
      <c r="G98" s="664"/>
      <c r="H98" s="664"/>
      <c r="I98" s="664"/>
      <c r="J98" s="664"/>
      <c r="K98" s="664"/>
      <c r="L98" s="664"/>
      <c r="M98" s="664"/>
      <c r="N98" s="664"/>
      <c r="O98" s="664"/>
      <c r="P98" s="664"/>
      <c r="Q98" s="664"/>
      <c r="R98" s="664"/>
      <c r="S98" s="664"/>
      <c r="T98" s="664"/>
      <c r="U98" s="664"/>
      <c r="V98" s="664"/>
      <c r="W98" s="664"/>
      <c r="X98" s="664"/>
      <c r="Y98" s="664"/>
      <c r="Z98" s="664"/>
      <c r="AA98" s="664"/>
      <c r="AB98" s="664"/>
      <c r="AC98" s="664"/>
      <c r="AD98" s="664"/>
    </row>
    <row r="99" spans="1:30">
      <c r="A99" s="682"/>
      <c r="B99" s="664"/>
      <c r="C99" s="664"/>
      <c r="D99" s="664"/>
      <c r="E99" s="664"/>
      <c r="F99" s="664"/>
      <c r="G99" s="664"/>
      <c r="H99" s="664"/>
      <c r="I99" s="664"/>
      <c r="J99" s="664"/>
      <c r="K99" s="664"/>
      <c r="L99" s="664"/>
      <c r="M99" s="664"/>
      <c r="N99" s="664"/>
      <c r="O99" s="664"/>
      <c r="P99" s="664"/>
      <c r="Q99" s="664"/>
      <c r="R99" s="664"/>
      <c r="S99" s="664"/>
      <c r="T99" s="664"/>
      <c r="U99" s="664"/>
      <c r="V99" s="664"/>
      <c r="W99" s="664"/>
      <c r="X99" s="664"/>
      <c r="Y99" s="664"/>
      <c r="Z99" s="664"/>
      <c r="AA99" s="664"/>
      <c r="AB99" s="664"/>
      <c r="AC99" s="664"/>
      <c r="AD99" s="664"/>
    </row>
    <row r="100" spans="1:30">
      <c r="A100" s="682"/>
      <c r="B100" s="664"/>
      <c r="C100" s="664"/>
      <c r="D100" s="664"/>
      <c r="E100" s="664"/>
      <c r="F100" s="664"/>
      <c r="G100" s="664"/>
      <c r="H100" s="664"/>
      <c r="I100" s="664"/>
      <c r="J100" s="664"/>
      <c r="K100" s="664"/>
      <c r="L100" s="664"/>
      <c r="M100" s="664"/>
      <c r="N100" s="664"/>
      <c r="O100" s="664"/>
      <c r="P100" s="664"/>
      <c r="Q100" s="664"/>
      <c r="R100" s="664"/>
      <c r="S100" s="664"/>
      <c r="T100" s="664"/>
      <c r="U100" s="664"/>
      <c r="V100" s="664"/>
      <c r="W100" s="664"/>
      <c r="X100" s="664"/>
      <c r="Y100" s="664"/>
      <c r="Z100" s="664"/>
      <c r="AA100" s="664"/>
      <c r="AB100" s="664"/>
      <c r="AC100" s="664"/>
      <c r="AD100" s="664"/>
    </row>
    <row r="101" spans="1:30">
      <c r="A101" s="682"/>
      <c r="B101" s="664"/>
      <c r="C101" s="664"/>
      <c r="D101" s="664"/>
      <c r="E101" s="664"/>
      <c r="F101" s="664"/>
      <c r="G101" s="664"/>
      <c r="H101" s="664"/>
      <c r="I101" s="664"/>
      <c r="J101" s="664"/>
      <c r="K101" s="664"/>
      <c r="L101" s="664"/>
      <c r="M101" s="664"/>
      <c r="N101" s="664"/>
      <c r="O101" s="664"/>
      <c r="P101" s="664"/>
      <c r="Q101" s="664"/>
      <c r="R101" s="664"/>
      <c r="S101" s="664"/>
      <c r="T101" s="664"/>
      <c r="U101" s="664"/>
      <c r="V101" s="664"/>
      <c r="W101" s="664"/>
      <c r="X101" s="664"/>
      <c r="Y101" s="664"/>
      <c r="Z101" s="664"/>
      <c r="AA101" s="664"/>
      <c r="AB101" s="664"/>
      <c r="AC101" s="664"/>
      <c r="AD101" s="664"/>
    </row>
    <row r="102" spans="1:30">
      <c r="A102" s="682"/>
      <c r="B102" s="664"/>
      <c r="C102" s="664"/>
      <c r="D102" s="664"/>
      <c r="E102" s="664"/>
      <c r="F102" s="664"/>
      <c r="G102" s="664"/>
      <c r="H102" s="664"/>
      <c r="I102" s="664"/>
      <c r="J102" s="664"/>
      <c r="K102" s="664"/>
      <c r="L102" s="664"/>
      <c r="M102" s="664"/>
      <c r="N102" s="664"/>
      <c r="O102" s="664"/>
      <c r="P102" s="664"/>
      <c r="Q102" s="664"/>
      <c r="R102" s="664"/>
      <c r="S102" s="664"/>
      <c r="T102" s="664"/>
      <c r="U102" s="664"/>
      <c r="V102" s="664"/>
      <c r="W102" s="664"/>
      <c r="X102" s="664"/>
      <c r="Y102" s="664"/>
      <c r="Z102" s="664"/>
      <c r="AA102" s="664"/>
      <c r="AB102" s="664"/>
      <c r="AC102" s="664"/>
      <c r="AD102" s="664"/>
    </row>
    <row r="103" spans="1:30">
      <c r="A103" s="682"/>
      <c r="B103" s="664"/>
      <c r="C103" s="664"/>
      <c r="D103" s="664"/>
      <c r="E103" s="664"/>
      <c r="F103" s="664"/>
      <c r="G103" s="664"/>
      <c r="H103" s="664"/>
      <c r="I103" s="664"/>
      <c r="J103" s="664"/>
      <c r="K103" s="664"/>
      <c r="L103" s="664"/>
      <c r="M103" s="664"/>
      <c r="N103" s="664"/>
      <c r="O103" s="664"/>
      <c r="P103" s="664"/>
      <c r="Q103" s="664"/>
      <c r="R103" s="664"/>
      <c r="S103" s="664"/>
      <c r="T103" s="664"/>
      <c r="U103" s="664"/>
      <c r="V103" s="664"/>
      <c r="W103" s="664"/>
      <c r="X103" s="664"/>
      <c r="Y103" s="664"/>
      <c r="Z103" s="664"/>
      <c r="AA103" s="664"/>
      <c r="AB103" s="664"/>
      <c r="AC103" s="664"/>
      <c r="AD103" s="664"/>
    </row>
    <row r="104" spans="1:30">
      <c r="A104" s="682"/>
      <c r="B104" s="664"/>
      <c r="C104" s="664"/>
      <c r="D104" s="664"/>
      <c r="E104" s="664"/>
      <c r="F104" s="664"/>
      <c r="G104" s="664"/>
      <c r="H104" s="664"/>
      <c r="I104" s="664"/>
      <c r="J104" s="664"/>
      <c r="K104" s="664"/>
      <c r="L104" s="664"/>
      <c r="M104" s="664"/>
      <c r="N104" s="664"/>
      <c r="O104" s="664"/>
      <c r="P104" s="664"/>
      <c r="Q104" s="664"/>
      <c r="R104" s="664"/>
      <c r="S104" s="664"/>
      <c r="T104" s="664"/>
      <c r="U104" s="664"/>
      <c r="V104" s="664"/>
      <c r="W104" s="664"/>
      <c r="X104" s="664"/>
      <c r="Y104" s="664"/>
      <c r="Z104" s="664"/>
      <c r="AA104" s="664"/>
      <c r="AB104" s="664"/>
      <c r="AC104" s="664"/>
      <c r="AD104" s="664"/>
    </row>
    <row r="105" spans="1:30">
      <c r="A105" s="682"/>
      <c r="B105" s="664"/>
      <c r="C105" s="664"/>
      <c r="D105" s="664"/>
      <c r="E105" s="664"/>
      <c r="F105" s="664"/>
      <c r="G105" s="664"/>
      <c r="H105" s="664"/>
      <c r="I105" s="664"/>
      <c r="J105" s="664"/>
      <c r="K105" s="664"/>
      <c r="L105" s="664"/>
      <c r="M105" s="664"/>
      <c r="N105" s="664"/>
      <c r="O105" s="664"/>
      <c r="P105" s="664"/>
      <c r="Q105" s="664"/>
      <c r="R105" s="664"/>
      <c r="S105" s="664"/>
      <c r="T105" s="664"/>
      <c r="U105" s="664"/>
      <c r="V105" s="664"/>
      <c r="W105" s="664"/>
      <c r="X105" s="664"/>
      <c r="Y105" s="664"/>
      <c r="Z105" s="664"/>
      <c r="AA105" s="664"/>
      <c r="AB105" s="664"/>
      <c r="AC105" s="664"/>
      <c r="AD105" s="664"/>
    </row>
    <row r="106" spans="1:30">
      <c r="A106" s="682"/>
      <c r="B106" s="664"/>
      <c r="C106" s="664"/>
      <c r="D106" s="664"/>
      <c r="E106" s="664"/>
      <c r="F106" s="664"/>
      <c r="G106" s="664"/>
      <c r="H106" s="664"/>
      <c r="I106" s="664"/>
      <c r="J106" s="664"/>
      <c r="K106" s="664"/>
      <c r="L106" s="664"/>
      <c r="M106" s="664"/>
      <c r="N106" s="664"/>
      <c r="O106" s="664"/>
      <c r="P106" s="664"/>
      <c r="Q106" s="664"/>
      <c r="R106" s="664"/>
      <c r="S106" s="664"/>
      <c r="T106" s="664"/>
      <c r="U106" s="664"/>
      <c r="V106" s="664"/>
      <c r="W106" s="664"/>
      <c r="X106" s="664"/>
      <c r="Y106" s="664"/>
      <c r="Z106" s="664"/>
      <c r="AA106" s="664"/>
      <c r="AB106" s="664"/>
      <c r="AC106" s="664"/>
      <c r="AD106" s="664"/>
    </row>
    <row r="107" spans="1:30">
      <c r="A107" s="682"/>
      <c r="B107" s="664"/>
      <c r="C107" s="664"/>
      <c r="D107" s="664"/>
      <c r="E107" s="664"/>
      <c r="F107" s="664"/>
      <c r="G107" s="664"/>
      <c r="H107" s="664"/>
      <c r="I107" s="664"/>
      <c r="J107" s="664"/>
      <c r="K107" s="664"/>
      <c r="L107" s="664"/>
      <c r="M107" s="664"/>
      <c r="N107" s="664"/>
      <c r="O107" s="664"/>
      <c r="P107" s="664"/>
      <c r="Q107" s="664"/>
      <c r="R107" s="664"/>
      <c r="S107" s="664"/>
      <c r="T107" s="664"/>
      <c r="U107" s="664"/>
      <c r="V107" s="664"/>
      <c r="W107" s="664"/>
      <c r="X107" s="664"/>
      <c r="Y107" s="664"/>
      <c r="Z107" s="664"/>
      <c r="AA107" s="664"/>
      <c r="AB107" s="664"/>
      <c r="AC107" s="664"/>
      <c r="AD107" s="664"/>
    </row>
    <row r="108" spans="1:30">
      <c r="A108" s="682"/>
      <c r="B108" s="664"/>
      <c r="C108" s="664"/>
      <c r="D108" s="664"/>
      <c r="E108" s="664"/>
      <c r="F108" s="664"/>
      <c r="G108" s="664"/>
      <c r="H108" s="664"/>
      <c r="I108" s="664"/>
      <c r="J108" s="664"/>
      <c r="K108" s="664"/>
      <c r="L108" s="664"/>
      <c r="M108" s="664"/>
      <c r="N108" s="664"/>
      <c r="O108" s="664"/>
      <c r="P108" s="664"/>
      <c r="Q108" s="664"/>
      <c r="R108" s="664"/>
      <c r="S108" s="664"/>
      <c r="T108" s="664"/>
      <c r="U108" s="664"/>
      <c r="V108" s="664"/>
      <c r="W108" s="664"/>
      <c r="X108" s="664"/>
      <c r="Y108" s="664"/>
      <c r="Z108" s="664"/>
      <c r="AA108" s="664"/>
      <c r="AB108" s="664"/>
      <c r="AC108" s="664"/>
      <c r="AD108" s="664"/>
    </row>
    <row r="109" spans="1:30">
      <c r="A109" s="682"/>
      <c r="B109" s="664"/>
      <c r="C109" s="664"/>
      <c r="D109" s="664"/>
      <c r="E109" s="664"/>
      <c r="F109" s="664"/>
      <c r="G109" s="664"/>
      <c r="H109" s="664"/>
      <c r="I109" s="664"/>
      <c r="J109" s="664"/>
      <c r="K109" s="664"/>
      <c r="L109" s="664"/>
      <c r="M109" s="664"/>
      <c r="N109" s="664"/>
      <c r="O109" s="664"/>
      <c r="P109" s="664"/>
      <c r="Q109" s="664"/>
      <c r="R109" s="664"/>
      <c r="S109" s="664"/>
      <c r="T109" s="664"/>
      <c r="U109" s="664"/>
      <c r="V109" s="664"/>
      <c r="W109" s="664"/>
      <c r="X109" s="664"/>
      <c r="Y109" s="664"/>
      <c r="Z109" s="664"/>
      <c r="AA109" s="664"/>
      <c r="AB109" s="664"/>
      <c r="AC109" s="664"/>
      <c r="AD109" s="664"/>
    </row>
    <row r="110" spans="1:30">
      <c r="A110" s="682"/>
      <c r="B110" s="664"/>
      <c r="C110" s="664"/>
      <c r="D110" s="664"/>
      <c r="E110" s="664"/>
      <c r="F110" s="664"/>
      <c r="G110" s="664"/>
      <c r="H110" s="664"/>
      <c r="I110" s="664"/>
      <c r="J110" s="664"/>
      <c r="K110" s="664"/>
      <c r="L110" s="664"/>
      <c r="M110" s="664"/>
      <c r="N110" s="664"/>
      <c r="O110" s="664"/>
      <c r="P110" s="664"/>
      <c r="Q110" s="664"/>
      <c r="R110" s="664"/>
      <c r="S110" s="664"/>
      <c r="T110" s="664"/>
      <c r="U110" s="664"/>
      <c r="V110" s="664"/>
      <c r="W110" s="664"/>
      <c r="X110" s="664"/>
      <c r="Y110" s="664"/>
      <c r="Z110" s="664"/>
      <c r="AA110" s="664"/>
      <c r="AB110" s="664"/>
      <c r="AC110" s="664"/>
      <c r="AD110" s="664"/>
    </row>
    <row r="111" spans="1:30">
      <c r="A111" s="682"/>
      <c r="B111" s="664"/>
      <c r="C111" s="664"/>
      <c r="D111" s="664"/>
      <c r="E111" s="664"/>
      <c r="F111" s="664"/>
      <c r="G111" s="664"/>
      <c r="H111" s="664"/>
      <c r="I111" s="664"/>
      <c r="J111" s="664"/>
      <c r="K111" s="664"/>
      <c r="L111" s="664"/>
      <c r="M111" s="664"/>
      <c r="N111" s="664"/>
      <c r="O111" s="664"/>
      <c r="P111" s="664"/>
      <c r="Q111" s="664"/>
      <c r="R111" s="664"/>
      <c r="S111" s="664"/>
      <c r="T111" s="664"/>
      <c r="U111" s="664"/>
      <c r="V111" s="664"/>
      <c r="W111" s="664"/>
      <c r="X111" s="664"/>
      <c r="Y111" s="664"/>
      <c r="Z111" s="664"/>
      <c r="AA111" s="664"/>
      <c r="AB111" s="664"/>
      <c r="AC111" s="664"/>
      <c r="AD111" s="664"/>
    </row>
    <row r="112" spans="1:30">
      <c r="A112" s="682"/>
      <c r="B112" s="664"/>
      <c r="C112" s="664"/>
      <c r="D112" s="664"/>
      <c r="E112" s="664"/>
      <c r="F112" s="664"/>
      <c r="G112" s="664"/>
      <c r="H112" s="664"/>
      <c r="I112" s="664"/>
      <c r="J112" s="664"/>
      <c r="K112" s="664"/>
      <c r="L112" s="664"/>
      <c r="M112" s="664"/>
      <c r="N112" s="664"/>
      <c r="O112" s="664"/>
      <c r="P112" s="664"/>
      <c r="Q112" s="664"/>
      <c r="R112" s="664"/>
      <c r="S112" s="664"/>
      <c r="T112" s="664"/>
      <c r="U112" s="664"/>
      <c r="V112" s="664"/>
      <c r="W112" s="664"/>
      <c r="X112" s="664"/>
      <c r="Y112" s="664"/>
      <c r="Z112" s="664"/>
      <c r="AA112" s="664"/>
      <c r="AB112" s="664"/>
      <c r="AC112" s="664"/>
      <c r="AD112" s="664"/>
    </row>
    <row r="113" spans="1:30">
      <c r="A113" s="682"/>
      <c r="B113" s="664"/>
      <c r="C113" s="664"/>
      <c r="D113" s="664"/>
      <c r="E113" s="664"/>
      <c r="F113" s="664"/>
      <c r="G113" s="664"/>
      <c r="H113" s="664"/>
      <c r="I113" s="664"/>
      <c r="J113" s="664"/>
      <c r="K113" s="664"/>
      <c r="L113" s="664"/>
      <c r="M113" s="664"/>
      <c r="N113" s="664"/>
      <c r="O113" s="664"/>
      <c r="P113" s="664"/>
      <c r="Q113" s="664"/>
      <c r="R113" s="664"/>
      <c r="S113" s="664"/>
      <c r="T113" s="664"/>
      <c r="U113" s="664"/>
      <c r="V113" s="664"/>
      <c r="W113" s="664"/>
      <c r="X113" s="664"/>
      <c r="Y113" s="664"/>
      <c r="Z113" s="664"/>
      <c r="AA113" s="664"/>
      <c r="AB113" s="664"/>
      <c r="AC113" s="664"/>
      <c r="AD113" s="664"/>
    </row>
    <row r="114" spans="1:30">
      <c r="A114" s="682"/>
      <c r="B114" s="664"/>
      <c r="C114" s="664"/>
      <c r="D114" s="664"/>
      <c r="E114" s="664"/>
      <c r="F114" s="664"/>
      <c r="G114" s="664"/>
      <c r="H114" s="664"/>
      <c r="I114" s="664"/>
      <c r="J114" s="664"/>
      <c r="K114" s="664"/>
      <c r="L114" s="664"/>
      <c r="M114" s="664"/>
      <c r="N114" s="664"/>
      <c r="O114" s="664"/>
      <c r="P114" s="664"/>
      <c r="Q114" s="664"/>
      <c r="R114" s="664"/>
      <c r="S114" s="664"/>
      <c r="T114" s="664"/>
      <c r="U114" s="664"/>
      <c r="V114" s="664"/>
      <c r="W114" s="664"/>
      <c r="X114" s="664"/>
      <c r="Y114" s="664"/>
      <c r="Z114" s="664"/>
      <c r="AA114" s="664"/>
      <c r="AB114" s="664"/>
      <c r="AC114" s="664"/>
      <c r="AD114" s="664"/>
    </row>
    <row r="115" spans="1:30">
      <c r="A115" s="682"/>
      <c r="B115" s="664"/>
      <c r="C115" s="664"/>
      <c r="D115" s="664"/>
      <c r="E115" s="664"/>
      <c r="F115" s="664"/>
      <c r="G115" s="664"/>
      <c r="H115" s="664"/>
      <c r="I115" s="664"/>
      <c r="J115" s="664"/>
      <c r="K115" s="664"/>
      <c r="L115" s="664"/>
      <c r="M115" s="664"/>
      <c r="N115" s="664"/>
      <c r="O115" s="664"/>
      <c r="P115" s="664"/>
      <c r="Q115" s="664"/>
      <c r="R115" s="664"/>
      <c r="S115" s="664"/>
      <c r="T115" s="664"/>
      <c r="U115" s="664"/>
      <c r="V115" s="664"/>
      <c r="W115" s="664"/>
      <c r="X115" s="664"/>
      <c r="Y115" s="664"/>
      <c r="Z115" s="664"/>
      <c r="AA115" s="664"/>
      <c r="AB115" s="664"/>
      <c r="AC115" s="664"/>
      <c r="AD115" s="664"/>
    </row>
    <row r="116" spans="1:30">
      <c r="A116" s="682"/>
      <c r="B116" s="664"/>
      <c r="C116" s="664"/>
      <c r="D116" s="664"/>
      <c r="E116" s="664"/>
      <c r="F116" s="664"/>
      <c r="G116" s="664"/>
      <c r="H116" s="664"/>
      <c r="I116" s="664"/>
      <c r="J116" s="664"/>
      <c r="K116" s="664"/>
      <c r="L116" s="664"/>
      <c r="M116" s="664"/>
      <c r="N116" s="664"/>
      <c r="O116" s="664"/>
      <c r="P116" s="664"/>
      <c r="Q116" s="664"/>
      <c r="R116" s="664"/>
      <c r="S116" s="664"/>
      <c r="T116" s="664"/>
      <c r="U116" s="664"/>
      <c r="V116" s="664"/>
      <c r="W116" s="664"/>
      <c r="X116" s="664"/>
      <c r="Y116" s="664"/>
      <c r="Z116" s="664"/>
      <c r="AA116" s="664"/>
      <c r="AB116" s="664"/>
      <c r="AC116" s="664"/>
      <c r="AD116" s="664"/>
    </row>
    <row r="117" spans="1:30">
      <c r="A117" s="682"/>
      <c r="B117" s="664"/>
      <c r="C117" s="664"/>
      <c r="D117" s="664"/>
      <c r="E117" s="664"/>
      <c r="F117" s="664"/>
      <c r="G117" s="664"/>
      <c r="H117" s="664"/>
      <c r="I117" s="664"/>
      <c r="J117" s="664"/>
      <c r="K117" s="664"/>
      <c r="L117" s="664"/>
      <c r="M117" s="664"/>
      <c r="N117" s="664"/>
      <c r="O117" s="664"/>
      <c r="P117" s="664"/>
      <c r="Q117" s="664"/>
      <c r="R117" s="664"/>
      <c r="S117" s="664"/>
      <c r="T117" s="664"/>
      <c r="U117" s="664"/>
      <c r="V117" s="664"/>
      <c r="W117" s="664"/>
      <c r="X117" s="664"/>
      <c r="Y117" s="664"/>
      <c r="Z117" s="664"/>
      <c r="AA117" s="664"/>
      <c r="AB117" s="664"/>
      <c r="AC117" s="664"/>
      <c r="AD117" s="664"/>
    </row>
    <row r="118" spans="1:30">
      <c r="A118" s="682"/>
      <c r="B118" s="664"/>
      <c r="C118" s="664"/>
      <c r="D118" s="664"/>
      <c r="E118" s="664"/>
      <c r="F118" s="664"/>
      <c r="G118" s="664"/>
      <c r="H118" s="664"/>
      <c r="I118" s="664"/>
      <c r="J118" s="664"/>
      <c r="K118" s="664"/>
      <c r="L118" s="664"/>
      <c r="M118" s="664"/>
      <c r="N118" s="664"/>
      <c r="O118" s="664"/>
      <c r="P118" s="664"/>
      <c r="Q118" s="664"/>
      <c r="R118" s="664"/>
      <c r="S118" s="664"/>
      <c r="T118" s="664"/>
      <c r="U118" s="664"/>
      <c r="V118" s="664"/>
      <c r="W118" s="664"/>
      <c r="X118" s="664"/>
      <c r="Y118" s="664"/>
      <c r="Z118" s="664"/>
      <c r="AA118" s="664"/>
      <c r="AB118" s="664"/>
      <c r="AC118" s="664"/>
      <c r="AD118" s="664"/>
    </row>
    <row r="119" spans="1:30">
      <c r="A119" s="682"/>
      <c r="B119" s="664"/>
      <c r="C119" s="664"/>
      <c r="D119" s="664"/>
      <c r="E119" s="664"/>
      <c r="F119" s="664"/>
      <c r="G119" s="664"/>
      <c r="H119" s="664"/>
      <c r="I119" s="664"/>
      <c r="J119" s="664"/>
      <c r="K119" s="664"/>
      <c r="L119" s="664"/>
      <c r="M119" s="664"/>
      <c r="N119" s="664"/>
      <c r="O119" s="664"/>
      <c r="P119" s="664"/>
      <c r="Q119" s="664"/>
      <c r="R119" s="664"/>
      <c r="S119" s="664"/>
      <c r="T119" s="664"/>
      <c r="U119" s="664"/>
      <c r="V119" s="664"/>
      <c r="W119" s="664"/>
      <c r="X119" s="664"/>
      <c r="Y119" s="664"/>
      <c r="Z119" s="664"/>
      <c r="AA119" s="664"/>
      <c r="AB119" s="664"/>
      <c r="AC119" s="664"/>
      <c r="AD119" s="664"/>
    </row>
    <row r="120" spans="1:30">
      <c r="A120" s="682"/>
      <c r="B120" s="664"/>
      <c r="C120" s="664"/>
      <c r="D120" s="664"/>
      <c r="E120" s="664"/>
      <c r="F120" s="664"/>
      <c r="G120" s="664"/>
      <c r="H120" s="664"/>
      <c r="I120" s="664"/>
      <c r="J120" s="664"/>
      <c r="K120" s="664"/>
      <c r="L120" s="664"/>
      <c r="M120" s="664"/>
      <c r="N120" s="664"/>
      <c r="O120" s="664"/>
      <c r="P120" s="664"/>
      <c r="Q120" s="664"/>
      <c r="R120" s="664"/>
      <c r="S120" s="664"/>
      <c r="T120" s="664"/>
      <c r="U120" s="664"/>
      <c r="V120" s="664"/>
      <c r="W120" s="664"/>
      <c r="X120" s="664"/>
      <c r="Y120" s="664"/>
      <c r="Z120" s="664"/>
      <c r="AA120" s="664"/>
      <c r="AB120" s="664"/>
      <c r="AC120" s="664"/>
      <c r="AD120" s="664"/>
    </row>
    <row r="121" spans="1:30">
      <c r="A121" s="682"/>
      <c r="B121" s="664"/>
      <c r="C121" s="664"/>
      <c r="D121" s="664"/>
      <c r="E121" s="664"/>
      <c r="F121" s="664"/>
      <c r="G121" s="664"/>
      <c r="H121" s="664"/>
      <c r="I121" s="664"/>
      <c r="J121" s="664"/>
      <c r="K121" s="664"/>
      <c r="L121" s="664"/>
      <c r="M121" s="664"/>
      <c r="N121" s="664"/>
      <c r="O121" s="664"/>
      <c r="P121" s="664"/>
      <c r="Q121" s="664"/>
      <c r="R121" s="664"/>
      <c r="S121" s="664"/>
      <c r="T121" s="664"/>
      <c r="U121" s="664"/>
      <c r="V121" s="664"/>
      <c r="W121" s="664"/>
      <c r="X121" s="664"/>
      <c r="Y121" s="664"/>
      <c r="Z121" s="664"/>
      <c r="AA121" s="664"/>
      <c r="AB121" s="664"/>
      <c r="AC121" s="664"/>
      <c r="AD121" s="664"/>
    </row>
    <row r="122" spans="1:30">
      <c r="A122" s="682"/>
      <c r="B122" s="664"/>
      <c r="C122" s="664"/>
      <c r="D122" s="664"/>
      <c r="E122" s="664"/>
      <c r="F122" s="664"/>
      <c r="G122" s="664"/>
      <c r="H122" s="664"/>
      <c r="I122" s="664"/>
      <c r="J122" s="664"/>
      <c r="K122" s="664"/>
      <c r="L122" s="664"/>
      <c r="M122" s="664"/>
      <c r="N122" s="664"/>
      <c r="O122" s="664"/>
      <c r="P122" s="664"/>
      <c r="Q122" s="664"/>
      <c r="R122" s="664"/>
      <c r="S122" s="664"/>
      <c r="T122" s="664"/>
      <c r="U122" s="664"/>
      <c r="V122" s="664"/>
      <c r="W122" s="664"/>
      <c r="X122" s="664"/>
      <c r="Y122" s="664"/>
      <c r="Z122" s="664"/>
      <c r="AA122" s="664"/>
      <c r="AB122" s="664"/>
      <c r="AC122" s="664"/>
      <c r="AD122" s="664"/>
    </row>
    <row r="123" spans="1:30">
      <c r="A123" s="682"/>
      <c r="B123" s="664"/>
      <c r="C123" s="664"/>
      <c r="D123" s="664"/>
      <c r="E123" s="664"/>
      <c r="F123" s="664"/>
      <c r="G123" s="664"/>
      <c r="H123" s="664"/>
      <c r="I123" s="664"/>
      <c r="J123" s="664"/>
      <c r="K123" s="664"/>
      <c r="L123" s="664"/>
      <c r="M123" s="664"/>
      <c r="N123" s="664"/>
      <c r="O123" s="664"/>
      <c r="P123" s="664"/>
      <c r="Q123" s="664"/>
      <c r="R123" s="664"/>
      <c r="S123" s="664"/>
      <c r="T123" s="664"/>
      <c r="U123" s="664"/>
      <c r="V123" s="664"/>
      <c r="W123" s="664"/>
      <c r="X123" s="664"/>
      <c r="Y123" s="664"/>
      <c r="Z123" s="664"/>
      <c r="AA123" s="664"/>
      <c r="AB123" s="664"/>
      <c r="AC123" s="664"/>
      <c r="AD123" s="664"/>
    </row>
    <row r="124" spans="1:30">
      <c r="A124" s="682"/>
      <c r="B124" s="664"/>
      <c r="C124" s="664"/>
      <c r="D124" s="664"/>
      <c r="E124" s="664"/>
      <c r="F124" s="664"/>
      <c r="G124" s="664"/>
      <c r="H124" s="664"/>
      <c r="I124" s="664"/>
      <c r="J124" s="664"/>
      <c r="K124" s="664"/>
      <c r="L124" s="664"/>
      <c r="M124" s="664"/>
      <c r="N124" s="664"/>
      <c r="O124" s="664"/>
      <c r="P124" s="664"/>
      <c r="Q124" s="664"/>
      <c r="R124" s="664"/>
      <c r="S124" s="664"/>
      <c r="T124" s="664"/>
      <c r="U124" s="664"/>
      <c r="V124" s="664"/>
      <c r="W124" s="664"/>
      <c r="X124" s="664"/>
      <c r="Y124" s="664"/>
      <c r="Z124" s="664"/>
      <c r="AA124" s="664"/>
      <c r="AB124" s="664"/>
      <c r="AC124" s="664"/>
      <c r="AD124" s="664"/>
    </row>
    <row r="125" spans="1:30">
      <c r="A125" s="682"/>
      <c r="B125" s="664"/>
      <c r="C125" s="664"/>
      <c r="D125" s="664"/>
      <c r="E125" s="664"/>
      <c r="F125" s="664"/>
      <c r="G125" s="664"/>
      <c r="H125" s="664"/>
      <c r="I125" s="664"/>
      <c r="J125" s="664"/>
      <c r="K125" s="664"/>
      <c r="L125" s="664"/>
      <c r="M125" s="664"/>
      <c r="N125" s="664"/>
      <c r="O125" s="664"/>
      <c r="P125" s="664"/>
      <c r="Q125" s="664"/>
      <c r="R125" s="664"/>
      <c r="S125" s="664"/>
      <c r="T125" s="664"/>
      <c r="U125" s="664"/>
      <c r="V125" s="664"/>
      <c r="W125" s="664"/>
      <c r="X125" s="664"/>
      <c r="Y125" s="664"/>
      <c r="Z125" s="664"/>
      <c r="AA125" s="664"/>
      <c r="AB125" s="664"/>
      <c r="AC125" s="664"/>
      <c r="AD125" s="664"/>
    </row>
    <row r="126" spans="1:30">
      <c r="A126" s="682"/>
      <c r="B126" s="664"/>
      <c r="C126" s="664"/>
      <c r="D126" s="664"/>
      <c r="E126" s="664"/>
      <c r="F126" s="664"/>
      <c r="G126" s="664"/>
      <c r="H126" s="664"/>
      <c r="I126" s="664"/>
      <c r="J126" s="664"/>
      <c r="K126" s="664"/>
      <c r="L126" s="664"/>
      <c r="M126" s="664"/>
      <c r="N126" s="664"/>
      <c r="O126" s="664"/>
      <c r="P126" s="664"/>
      <c r="Q126" s="664"/>
      <c r="R126" s="664"/>
      <c r="S126" s="664"/>
      <c r="T126" s="664"/>
      <c r="U126" s="664"/>
      <c r="V126" s="664"/>
      <c r="W126" s="664"/>
      <c r="X126" s="664"/>
      <c r="Y126" s="664"/>
      <c r="Z126" s="664"/>
      <c r="AA126" s="664"/>
      <c r="AB126" s="664"/>
      <c r="AC126" s="664"/>
      <c r="AD126" s="664"/>
    </row>
    <row r="127" spans="1:30">
      <c r="A127" s="682"/>
      <c r="B127" s="664"/>
      <c r="C127" s="664"/>
      <c r="D127" s="664"/>
      <c r="E127" s="664"/>
      <c r="F127" s="664"/>
      <c r="G127" s="664"/>
      <c r="H127" s="664"/>
      <c r="I127" s="664"/>
      <c r="J127" s="664"/>
      <c r="K127" s="664"/>
      <c r="L127" s="664"/>
      <c r="M127" s="664"/>
      <c r="N127" s="664"/>
      <c r="O127" s="664"/>
      <c r="P127" s="664"/>
      <c r="Q127" s="664"/>
      <c r="R127" s="664"/>
      <c r="S127" s="664"/>
      <c r="T127" s="664"/>
      <c r="U127" s="664"/>
      <c r="V127" s="664"/>
      <c r="W127" s="664"/>
      <c r="X127" s="664"/>
      <c r="Y127" s="664"/>
      <c r="Z127" s="664"/>
      <c r="AA127" s="664"/>
      <c r="AB127" s="664"/>
      <c r="AC127" s="664"/>
      <c r="AD127" s="664"/>
    </row>
    <row r="128" spans="1:30">
      <c r="A128" s="682"/>
      <c r="B128" s="664"/>
      <c r="C128" s="664"/>
      <c r="D128" s="664"/>
      <c r="E128" s="664"/>
      <c r="F128" s="664"/>
      <c r="G128" s="664"/>
      <c r="H128" s="664"/>
      <c r="I128" s="664"/>
      <c r="J128" s="664"/>
      <c r="K128" s="664"/>
      <c r="L128" s="664"/>
      <c r="M128" s="664"/>
      <c r="N128" s="664"/>
      <c r="O128" s="664"/>
      <c r="P128" s="664"/>
      <c r="Q128" s="664"/>
      <c r="R128" s="664"/>
      <c r="S128" s="664"/>
      <c r="T128" s="664"/>
      <c r="U128" s="664"/>
      <c r="V128" s="664"/>
      <c r="W128" s="664"/>
      <c r="X128" s="664"/>
      <c r="Y128" s="664"/>
      <c r="Z128" s="664"/>
      <c r="AA128" s="664"/>
      <c r="AB128" s="664"/>
      <c r="AC128" s="664"/>
      <c r="AD128" s="664"/>
    </row>
    <row r="129" spans="1:30">
      <c r="A129" s="682"/>
      <c r="B129" s="664"/>
      <c r="C129" s="664"/>
      <c r="D129" s="664"/>
      <c r="E129" s="664"/>
      <c r="F129" s="664"/>
      <c r="G129" s="664"/>
      <c r="H129" s="664"/>
      <c r="I129" s="664"/>
      <c r="J129" s="664"/>
      <c r="K129" s="664"/>
      <c r="L129" s="664"/>
      <c r="M129" s="664"/>
      <c r="N129" s="664"/>
      <c r="O129" s="664"/>
      <c r="P129" s="664"/>
      <c r="Q129" s="664"/>
      <c r="R129" s="664"/>
      <c r="S129" s="664"/>
      <c r="T129" s="664"/>
      <c r="U129" s="664"/>
      <c r="V129" s="664"/>
      <c r="W129" s="664"/>
      <c r="X129" s="664"/>
      <c r="Y129" s="664"/>
      <c r="Z129" s="664"/>
      <c r="AA129" s="664"/>
      <c r="AB129" s="664"/>
      <c r="AC129" s="664"/>
      <c r="AD129" s="664"/>
    </row>
    <row r="130" spans="1:30">
      <c r="A130" s="682"/>
      <c r="B130" s="664"/>
      <c r="C130" s="664"/>
      <c r="D130" s="664"/>
      <c r="E130" s="664"/>
      <c r="F130" s="664"/>
      <c r="G130" s="664"/>
      <c r="H130" s="664"/>
      <c r="I130" s="664"/>
      <c r="J130" s="664"/>
      <c r="K130" s="664"/>
      <c r="L130" s="664"/>
      <c r="M130" s="664"/>
      <c r="N130" s="664"/>
      <c r="O130" s="664"/>
      <c r="P130" s="664"/>
      <c r="Q130" s="664"/>
      <c r="R130" s="664"/>
      <c r="S130" s="664"/>
      <c r="T130" s="664"/>
      <c r="U130" s="664"/>
      <c r="V130" s="664"/>
      <c r="W130" s="664"/>
      <c r="X130" s="664"/>
      <c r="Y130" s="664"/>
      <c r="Z130" s="664"/>
      <c r="AA130" s="664"/>
      <c r="AB130" s="664"/>
      <c r="AC130" s="664"/>
      <c r="AD130" s="664"/>
    </row>
    <row r="131" spans="1:30">
      <c r="A131" s="682"/>
      <c r="B131" s="664"/>
      <c r="C131" s="664"/>
      <c r="D131" s="664"/>
      <c r="E131" s="664"/>
      <c r="F131" s="664"/>
      <c r="G131" s="664"/>
      <c r="H131" s="664"/>
      <c r="I131" s="664"/>
      <c r="J131" s="664"/>
      <c r="K131" s="664"/>
      <c r="L131" s="664"/>
      <c r="M131" s="664"/>
      <c r="N131" s="664"/>
      <c r="O131" s="664"/>
      <c r="P131" s="664"/>
      <c r="Q131" s="664"/>
      <c r="R131" s="664"/>
      <c r="S131" s="664"/>
      <c r="T131" s="664"/>
      <c r="U131" s="664"/>
      <c r="V131" s="664"/>
      <c r="W131" s="664"/>
      <c r="X131" s="664"/>
      <c r="Y131" s="664"/>
      <c r="Z131" s="664"/>
      <c r="AA131" s="664"/>
      <c r="AB131" s="664"/>
      <c r="AC131" s="664"/>
      <c r="AD131" s="664"/>
    </row>
    <row r="132" spans="1:30">
      <c r="A132" s="682"/>
      <c r="B132" s="664"/>
      <c r="C132" s="664"/>
      <c r="D132" s="664"/>
      <c r="E132" s="664"/>
      <c r="F132" s="664"/>
      <c r="G132" s="664"/>
      <c r="H132" s="664"/>
      <c r="I132" s="664"/>
      <c r="J132" s="664"/>
      <c r="K132" s="664"/>
      <c r="L132" s="664"/>
      <c r="M132" s="664"/>
      <c r="N132" s="664"/>
      <c r="O132" s="664"/>
      <c r="P132" s="664"/>
      <c r="Q132" s="664"/>
      <c r="R132" s="664"/>
      <c r="S132" s="664"/>
      <c r="T132" s="664"/>
      <c r="U132" s="664"/>
      <c r="V132" s="664"/>
      <c r="W132" s="664"/>
      <c r="X132" s="664"/>
      <c r="Y132" s="664"/>
      <c r="Z132" s="664"/>
      <c r="AA132" s="664"/>
      <c r="AB132" s="664"/>
      <c r="AC132" s="664"/>
      <c r="AD132" s="664"/>
    </row>
    <row r="133" spans="1:30">
      <c r="A133" s="682"/>
      <c r="B133" s="664"/>
      <c r="C133" s="664"/>
      <c r="D133" s="664"/>
      <c r="E133" s="664"/>
      <c r="F133" s="664"/>
      <c r="G133" s="664"/>
      <c r="H133" s="664"/>
      <c r="I133" s="664"/>
      <c r="J133" s="664"/>
      <c r="K133" s="664"/>
      <c r="L133" s="664"/>
      <c r="M133" s="664"/>
      <c r="N133" s="664"/>
      <c r="O133" s="664"/>
      <c r="P133" s="664"/>
      <c r="Q133" s="664"/>
      <c r="R133" s="664"/>
      <c r="S133" s="664"/>
      <c r="T133" s="664"/>
      <c r="U133" s="664"/>
      <c r="V133" s="664"/>
      <c r="W133" s="664"/>
      <c r="X133" s="664"/>
      <c r="Y133" s="664"/>
      <c r="Z133" s="664"/>
      <c r="AA133" s="664"/>
      <c r="AB133" s="664"/>
      <c r="AC133" s="664"/>
      <c r="AD133" s="664"/>
    </row>
    <row r="134" spans="1:30">
      <c r="A134" s="682"/>
      <c r="B134" s="664"/>
      <c r="C134" s="664"/>
      <c r="D134" s="664"/>
      <c r="E134" s="664"/>
      <c r="F134" s="664"/>
      <c r="G134" s="664"/>
      <c r="H134" s="664"/>
      <c r="I134" s="664"/>
      <c r="J134" s="664"/>
      <c r="K134" s="664"/>
      <c r="L134" s="664"/>
      <c r="M134" s="664"/>
      <c r="N134" s="664"/>
      <c r="O134" s="664"/>
      <c r="P134" s="664"/>
      <c r="Q134" s="664"/>
      <c r="R134" s="664"/>
      <c r="S134" s="664"/>
      <c r="T134" s="664"/>
      <c r="U134" s="664"/>
      <c r="V134" s="664"/>
      <c r="W134" s="664"/>
      <c r="X134" s="664"/>
      <c r="Y134" s="664"/>
      <c r="Z134" s="664"/>
      <c r="AA134" s="664"/>
      <c r="AB134" s="664"/>
      <c r="AC134" s="664"/>
      <c r="AD134" s="664"/>
    </row>
    <row r="135" spans="1:30">
      <c r="A135" s="682"/>
      <c r="B135" s="664"/>
      <c r="C135" s="664"/>
      <c r="D135" s="664"/>
      <c r="E135" s="664"/>
      <c r="F135" s="664"/>
      <c r="G135" s="664"/>
      <c r="H135" s="664"/>
      <c r="I135" s="664"/>
      <c r="J135" s="664"/>
      <c r="K135" s="664"/>
      <c r="L135" s="664"/>
      <c r="M135" s="664"/>
      <c r="N135" s="664"/>
      <c r="O135" s="664"/>
      <c r="P135" s="664"/>
      <c r="Q135" s="664"/>
      <c r="R135" s="664"/>
      <c r="S135" s="664"/>
      <c r="T135" s="664"/>
      <c r="U135" s="664"/>
      <c r="V135" s="664"/>
      <c r="W135" s="664"/>
      <c r="X135" s="664"/>
      <c r="Y135" s="664"/>
      <c r="Z135" s="664"/>
      <c r="AA135" s="664"/>
      <c r="AB135" s="664"/>
      <c r="AC135" s="664"/>
      <c r="AD135" s="664"/>
    </row>
    <row r="136" spans="1:30">
      <c r="A136" s="682"/>
      <c r="B136" s="664"/>
      <c r="C136" s="664"/>
      <c r="D136" s="664"/>
      <c r="E136" s="664"/>
      <c r="F136" s="664"/>
      <c r="G136" s="664"/>
      <c r="H136" s="664"/>
      <c r="I136" s="664"/>
      <c r="J136" s="664"/>
      <c r="K136" s="664"/>
      <c r="L136" s="664"/>
      <c r="M136" s="664"/>
      <c r="N136" s="664"/>
      <c r="O136" s="664"/>
      <c r="P136" s="664"/>
      <c r="Q136" s="664"/>
      <c r="R136" s="664"/>
      <c r="S136" s="664"/>
      <c r="T136" s="664"/>
      <c r="U136" s="664"/>
      <c r="V136" s="664"/>
      <c r="W136" s="664"/>
      <c r="X136" s="664"/>
      <c r="Y136" s="664"/>
      <c r="Z136" s="664"/>
      <c r="AA136" s="664"/>
      <c r="AB136" s="664"/>
      <c r="AC136" s="664"/>
      <c r="AD136" s="664"/>
    </row>
    <row r="137" spans="1:30">
      <c r="A137" s="682"/>
      <c r="B137" s="664"/>
      <c r="C137" s="664"/>
      <c r="D137" s="664"/>
      <c r="E137" s="664"/>
      <c r="F137" s="664"/>
      <c r="G137" s="664"/>
      <c r="H137" s="664"/>
      <c r="I137" s="664"/>
      <c r="J137" s="664"/>
      <c r="K137" s="664"/>
      <c r="L137" s="664"/>
      <c r="M137" s="664"/>
      <c r="N137" s="664"/>
      <c r="O137" s="664"/>
      <c r="P137" s="664"/>
      <c r="Q137" s="664"/>
      <c r="R137" s="664"/>
      <c r="S137" s="664"/>
      <c r="T137" s="664"/>
      <c r="U137" s="664"/>
      <c r="V137" s="664"/>
      <c r="W137" s="664"/>
      <c r="X137" s="664"/>
      <c r="Y137" s="664"/>
      <c r="Z137" s="664"/>
      <c r="AA137" s="664"/>
      <c r="AB137" s="664"/>
      <c r="AC137" s="664"/>
      <c r="AD137" s="664"/>
    </row>
    <row r="138" spans="1:30">
      <c r="A138" s="682"/>
      <c r="B138" s="664"/>
      <c r="C138" s="664"/>
      <c r="D138" s="664"/>
      <c r="E138" s="664"/>
      <c r="F138" s="664"/>
      <c r="G138" s="664"/>
      <c r="H138" s="664"/>
      <c r="I138" s="664"/>
      <c r="J138" s="664"/>
      <c r="K138" s="664"/>
      <c r="L138" s="664"/>
      <c r="M138" s="664"/>
      <c r="N138" s="664"/>
      <c r="O138" s="664"/>
      <c r="P138" s="664"/>
      <c r="Q138" s="664"/>
      <c r="R138" s="664"/>
      <c r="S138" s="664"/>
      <c r="T138" s="664"/>
      <c r="U138" s="664"/>
      <c r="V138" s="664"/>
      <c r="W138" s="664"/>
      <c r="X138" s="664"/>
      <c r="Y138" s="664"/>
      <c r="Z138" s="664"/>
      <c r="AA138" s="664"/>
      <c r="AB138" s="664"/>
      <c r="AC138" s="664"/>
      <c r="AD138" s="664"/>
    </row>
    <row r="139" spans="1:30">
      <c r="A139" s="682"/>
      <c r="B139" s="664"/>
      <c r="C139" s="664"/>
      <c r="D139" s="664"/>
      <c r="E139" s="664"/>
      <c r="F139" s="664"/>
      <c r="G139" s="664"/>
      <c r="H139" s="664"/>
      <c r="I139" s="664"/>
      <c r="J139" s="664"/>
      <c r="K139" s="664"/>
      <c r="L139" s="664"/>
      <c r="M139" s="664"/>
      <c r="N139" s="664"/>
      <c r="O139" s="664"/>
      <c r="P139" s="664"/>
      <c r="Q139" s="664"/>
      <c r="R139" s="664"/>
      <c r="S139" s="664"/>
      <c r="T139" s="664"/>
      <c r="U139" s="664"/>
      <c r="V139" s="664"/>
      <c r="W139" s="664"/>
      <c r="X139" s="664"/>
      <c r="Y139" s="664"/>
      <c r="Z139" s="664"/>
      <c r="AA139" s="664"/>
      <c r="AB139" s="664"/>
      <c r="AC139" s="664"/>
      <c r="AD139" s="664"/>
    </row>
    <row r="140" spans="1:30">
      <c r="A140" s="682"/>
      <c r="B140" s="664"/>
      <c r="C140" s="664"/>
      <c r="D140" s="664"/>
      <c r="E140" s="664"/>
      <c r="F140" s="664"/>
      <c r="G140" s="664"/>
      <c r="H140" s="664"/>
      <c r="I140" s="664"/>
      <c r="J140" s="664"/>
      <c r="K140" s="664"/>
      <c r="L140" s="664"/>
      <c r="M140" s="664"/>
      <c r="N140" s="664"/>
      <c r="O140" s="664"/>
      <c r="P140" s="664"/>
      <c r="Q140" s="664"/>
      <c r="R140" s="664"/>
      <c r="S140" s="664"/>
      <c r="T140" s="664"/>
      <c r="U140" s="664"/>
      <c r="V140" s="664"/>
      <c r="W140" s="664"/>
      <c r="X140" s="664"/>
      <c r="Y140" s="664"/>
      <c r="Z140" s="664"/>
      <c r="AA140" s="664"/>
      <c r="AB140" s="664"/>
      <c r="AC140" s="664"/>
      <c r="AD140" s="664"/>
    </row>
    <row r="141" spans="1:30">
      <c r="A141" s="682"/>
      <c r="B141" s="664"/>
      <c r="C141" s="664"/>
      <c r="D141" s="664"/>
      <c r="E141" s="664"/>
      <c r="F141" s="664"/>
      <c r="G141" s="664"/>
      <c r="H141" s="664"/>
      <c r="I141" s="664"/>
      <c r="J141" s="664"/>
      <c r="K141" s="664"/>
      <c r="L141" s="664"/>
      <c r="M141" s="664"/>
      <c r="N141" s="664"/>
      <c r="O141" s="664"/>
      <c r="P141" s="664"/>
      <c r="Q141" s="664"/>
      <c r="R141" s="664"/>
      <c r="S141" s="664"/>
      <c r="T141" s="664"/>
      <c r="U141" s="664"/>
      <c r="V141" s="664"/>
      <c r="W141" s="664"/>
      <c r="X141" s="664"/>
      <c r="Y141" s="664"/>
      <c r="Z141" s="664"/>
      <c r="AA141" s="664"/>
      <c r="AB141" s="664"/>
      <c r="AC141" s="664"/>
      <c r="AD141" s="664"/>
    </row>
    <row r="142" spans="1:30">
      <c r="A142" s="682"/>
      <c r="B142" s="664"/>
      <c r="C142" s="664"/>
      <c r="D142" s="664"/>
      <c r="E142" s="664"/>
      <c r="F142" s="664"/>
      <c r="G142" s="664"/>
      <c r="H142" s="664"/>
      <c r="I142" s="664"/>
      <c r="J142" s="664"/>
      <c r="K142" s="664"/>
      <c r="L142" s="664"/>
      <c r="M142" s="664"/>
      <c r="N142" s="664"/>
      <c r="O142" s="664"/>
      <c r="P142" s="664"/>
      <c r="Q142" s="664"/>
      <c r="R142" s="664"/>
      <c r="S142" s="664"/>
      <c r="T142" s="664"/>
      <c r="U142" s="664"/>
      <c r="V142" s="664"/>
      <c r="W142" s="664"/>
      <c r="X142" s="664"/>
      <c r="Y142" s="664"/>
      <c r="Z142" s="664"/>
      <c r="AA142" s="664"/>
      <c r="AB142" s="664"/>
      <c r="AC142" s="664"/>
      <c r="AD142" s="664"/>
    </row>
    <row r="143" spans="1:30">
      <c r="A143" s="682"/>
      <c r="B143" s="664"/>
      <c r="C143" s="664"/>
      <c r="D143" s="664"/>
      <c r="E143" s="664"/>
      <c r="F143" s="664"/>
      <c r="G143" s="664"/>
      <c r="H143" s="664"/>
      <c r="I143" s="664"/>
      <c r="J143" s="664"/>
      <c r="K143" s="664"/>
      <c r="L143" s="664"/>
      <c r="M143" s="664"/>
      <c r="N143" s="664"/>
      <c r="O143" s="664"/>
      <c r="P143" s="664"/>
      <c r="Q143" s="664"/>
      <c r="R143" s="664"/>
      <c r="S143" s="664"/>
      <c r="T143" s="664"/>
      <c r="U143" s="664"/>
      <c r="V143" s="664"/>
      <c r="W143" s="664"/>
      <c r="X143" s="664"/>
      <c r="Y143" s="664"/>
      <c r="Z143" s="664"/>
      <c r="AA143" s="664"/>
      <c r="AB143" s="664"/>
      <c r="AC143" s="664"/>
      <c r="AD143" s="664"/>
    </row>
    <row r="144" spans="1:30">
      <c r="A144" s="682"/>
      <c r="B144" s="664"/>
      <c r="C144" s="664"/>
      <c r="D144" s="664"/>
      <c r="E144" s="664"/>
      <c r="F144" s="664"/>
      <c r="G144" s="664"/>
      <c r="H144" s="664"/>
      <c r="I144" s="664"/>
      <c r="J144" s="664"/>
      <c r="K144" s="664"/>
      <c r="L144" s="664"/>
      <c r="M144" s="664"/>
      <c r="N144" s="664"/>
      <c r="O144" s="664"/>
      <c r="P144" s="664"/>
      <c r="Q144" s="664"/>
      <c r="R144" s="664"/>
      <c r="S144" s="664"/>
      <c r="T144" s="664"/>
      <c r="U144" s="664"/>
      <c r="V144" s="664"/>
      <c r="W144" s="664"/>
      <c r="X144" s="664"/>
      <c r="Y144" s="664"/>
      <c r="Z144" s="664"/>
      <c r="AA144" s="664"/>
      <c r="AB144" s="664"/>
      <c r="AC144" s="664"/>
      <c r="AD144" s="664"/>
    </row>
    <row r="145" spans="1:30">
      <c r="A145" s="682"/>
      <c r="B145" s="664"/>
      <c r="C145" s="664"/>
      <c r="D145" s="664"/>
      <c r="E145" s="664"/>
      <c r="F145" s="664"/>
      <c r="G145" s="664"/>
      <c r="H145" s="664"/>
      <c r="I145" s="664"/>
      <c r="J145" s="664"/>
      <c r="K145" s="664"/>
      <c r="L145" s="664"/>
      <c r="M145" s="664"/>
      <c r="N145" s="664"/>
      <c r="O145" s="664"/>
      <c r="P145" s="664"/>
      <c r="Q145" s="664"/>
      <c r="R145" s="664"/>
      <c r="S145" s="664"/>
      <c r="T145" s="664"/>
      <c r="U145" s="664"/>
      <c r="V145" s="664"/>
      <c r="W145" s="664"/>
      <c r="X145" s="664"/>
      <c r="Y145" s="664"/>
      <c r="Z145" s="664"/>
      <c r="AA145" s="664"/>
      <c r="AB145" s="664"/>
      <c r="AC145" s="664"/>
      <c r="AD145" s="664"/>
    </row>
    <row r="146" spans="1:30">
      <c r="A146" s="682"/>
      <c r="B146" s="664"/>
      <c r="C146" s="664"/>
      <c r="D146" s="664"/>
      <c r="E146" s="664"/>
      <c r="F146" s="664"/>
      <c r="G146" s="664"/>
      <c r="H146" s="664"/>
      <c r="I146" s="664"/>
      <c r="J146" s="664"/>
      <c r="K146" s="664"/>
      <c r="L146" s="664"/>
      <c r="M146" s="664"/>
      <c r="N146" s="664"/>
      <c r="O146" s="664"/>
      <c r="P146" s="664"/>
      <c r="Q146" s="664"/>
      <c r="R146" s="664"/>
      <c r="S146" s="664"/>
      <c r="T146" s="664"/>
      <c r="U146" s="664"/>
      <c r="V146" s="664"/>
      <c r="W146" s="664"/>
      <c r="X146" s="664"/>
      <c r="Y146" s="664"/>
      <c r="Z146" s="664"/>
      <c r="AA146" s="664"/>
      <c r="AB146" s="664"/>
      <c r="AC146" s="664"/>
      <c r="AD146" s="664"/>
    </row>
    <row r="147" spans="1:30">
      <c r="A147" s="682"/>
      <c r="B147" s="664"/>
      <c r="C147" s="664"/>
      <c r="D147" s="664"/>
      <c r="E147" s="664"/>
      <c r="F147" s="664"/>
      <c r="G147" s="664"/>
      <c r="H147" s="664"/>
      <c r="I147" s="664"/>
      <c r="J147" s="664"/>
      <c r="K147" s="664"/>
      <c r="L147" s="664"/>
      <c r="M147" s="664"/>
      <c r="N147" s="664"/>
      <c r="O147" s="664"/>
      <c r="P147" s="664"/>
      <c r="Q147" s="664"/>
      <c r="R147" s="664"/>
      <c r="S147" s="664"/>
      <c r="T147" s="664"/>
      <c r="U147" s="664"/>
      <c r="V147" s="664"/>
      <c r="W147" s="664"/>
      <c r="X147" s="664"/>
      <c r="Y147" s="664"/>
      <c r="Z147" s="664"/>
      <c r="AA147" s="664"/>
      <c r="AB147" s="664"/>
      <c r="AC147" s="664"/>
      <c r="AD147" s="664"/>
    </row>
    <row r="148" spans="1:30">
      <c r="A148" s="682"/>
      <c r="B148" s="664"/>
      <c r="C148" s="664"/>
      <c r="D148" s="664"/>
      <c r="E148" s="664"/>
      <c r="F148" s="664"/>
      <c r="G148" s="664"/>
      <c r="H148" s="664"/>
      <c r="I148" s="664"/>
      <c r="J148" s="664"/>
      <c r="K148" s="664"/>
      <c r="L148" s="664"/>
      <c r="M148" s="664"/>
      <c r="N148" s="664"/>
      <c r="O148" s="664"/>
      <c r="P148" s="664"/>
      <c r="Q148" s="664"/>
      <c r="R148" s="664"/>
      <c r="S148" s="664"/>
      <c r="T148" s="664"/>
      <c r="U148" s="664"/>
      <c r="V148" s="664"/>
      <c r="W148" s="664"/>
      <c r="X148" s="664"/>
      <c r="Y148" s="664"/>
      <c r="Z148" s="664"/>
      <c r="AA148" s="664"/>
      <c r="AB148" s="664"/>
      <c r="AC148" s="664"/>
      <c r="AD148" s="664"/>
    </row>
    <row r="149" spans="1:30">
      <c r="A149" s="682"/>
      <c r="B149" s="664"/>
      <c r="C149" s="664"/>
      <c r="D149" s="664"/>
      <c r="E149" s="664"/>
      <c r="F149" s="664"/>
      <c r="G149" s="664"/>
      <c r="H149" s="664"/>
      <c r="I149" s="664"/>
      <c r="J149" s="664"/>
      <c r="K149" s="664"/>
      <c r="L149" s="664"/>
      <c r="M149" s="664"/>
      <c r="N149" s="664"/>
      <c r="O149" s="664"/>
      <c r="P149" s="664"/>
      <c r="Q149" s="664"/>
      <c r="R149" s="664"/>
      <c r="S149" s="664"/>
      <c r="T149" s="664"/>
      <c r="U149" s="664"/>
      <c r="V149" s="664"/>
      <c r="W149" s="664"/>
      <c r="X149" s="664"/>
      <c r="Y149" s="664"/>
      <c r="Z149" s="664"/>
      <c r="AA149" s="664"/>
      <c r="AB149" s="664"/>
      <c r="AC149" s="664"/>
      <c r="AD149" s="664"/>
    </row>
    <row r="150" spans="1:30">
      <c r="A150" s="682"/>
      <c r="B150" s="664"/>
      <c r="C150" s="664"/>
      <c r="D150" s="664"/>
      <c r="E150" s="664"/>
      <c r="F150" s="664"/>
      <c r="G150" s="664"/>
      <c r="H150" s="664"/>
      <c r="I150" s="664"/>
      <c r="J150" s="664"/>
      <c r="K150" s="664"/>
      <c r="L150" s="664"/>
      <c r="M150" s="664"/>
      <c r="N150" s="664"/>
      <c r="O150" s="664"/>
      <c r="P150" s="664"/>
      <c r="Q150" s="664"/>
      <c r="R150" s="664"/>
      <c r="S150" s="664"/>
      <c r="T150" s="664"/>
      <c r="U150" s="664"/>
      <c r="V150" s="664"/>
      <c r="W150" s="664"/>
      <c r="X150" s="664"/>
      <c r="Y150" s="664"/>
      <c r="Z150" s="664"/>
      <c r="AA150" s="664"/>
      <c r="AB150" s="664"/>
      <c r="AC150" s="664"/>
      <c r="AD150" s="664"/>
    </row>
    <row r="151" spans="1:30">
      <c r="A151" s="682"/>
      <c r="B151" s="664"/>
      <c r="C151" s="664"/>
      <c r="D151" s="664"/>
      <c r="E151" s="664"/>
      <c r="F151" s="664"/>
      <c r="G151" s="664"/>
      <c r="H151" s="664"/>
      <c r="I151" s="664"/>
      <c r="J151" s="664"/>
      <c r="K151" s="664"/>
      <c r="L151" s="664"/>
      <c r="M151" s="664"/>
      <c r="N151" s="664"/>
      <c r="O151" s="664"/>
      <c r="P151" s="664"/>
      <c r="Q151" s="664"/>
      <c r="R151" s="664"/>
      <c r="S151" s="664"/>
      <c r="T151" s="664"/>
      <c r="U151" s="664"/>
      <c r="V151" s="664"/>
      <c r="W151" s="664"/>
      <c r="X151" s="664"/>
      <c r="Y151" s="664"/>
      <c r="Z151" s="664"/>
      <c r="AA151" s="664"/>
      <c r="AB151" s="664"/>
      <c r="AC151" s="664"/>
      <c r="AD151" s="664"/>
    </row>
    <row r="152" spans="1:30">
      <c r="A152" s="682"/>
      <c r="B152" s="664"/>
      <c r="C152" s="664"/>
      <c r="D152" s="664"/>
      <c r="E152" s="664"/>
      <c r="F152" s="664"/>
      <c r="G152" s="664"/>
      <c r="H152" s="664"/>
      <c r="I152" s="664"/>
      <c r="J152" s="664"/>
      <c r="K152" s="664"/>
      <c r="L152" s="664"/>
      <c r="M152" s="664"/>
      <c r="N152" s="664"/>
      <c r="O152" s="664"/>
      <c r="P152" s="664"/>
      <c r="Q152" s="664"/>
      <c r="R152" s="664"/>
      <c r="S152" s="664"/>
      <c r="T152" s="664"/>
      <c r="U152" s="664"/>
      <c r="V152" s="664"/>
      <c r="W152" s="664"/>
      <c r="X152" s="664"/>
      <c r="Y152" s="664"/>
      <c r="Z152" s="664"/>
      <c r="AA152" s="664"/>
      <c r="AB152" s="664"/>
      <c r="AC152" s="664"/>
      <c r="AD152" s="664"/>
    </row>
    <row r="153" spans="1:30">
      <c r="A153" s="682"/>
      <c r="B153" s="664"/>
      <c r="C153" s="664"/>
      <c r="D153" s="664"/>
      <c r="E153" s="664"/>
      <c r="F153" s="664"/>
      <c r="G153" s="664"/>
      <c r="H153" s="664"/>
      <c r="I153" s="664"/>
      <c r="J153" s="664"/>
      <c r="K153" s="664"/>
      <c r="L153" s="664"/>
      <c r="M153" s="664"/>
      <c r="N153" s="664"/>
      <c r="O153" s="664"/>
      <c r="P153" s="664"/>
      <c r="Q153" s="664"/>
      <c r="R153" s="664"/>
      <c r="S153" s="664"/>
      <c r="T153" s="664"/>
      <c r="U153" s="664"/>
      <c r="V153" s="664"/>
      <c r="W153" s="664"/>
      <c r="X153" s="664"/>
      <c r="Y153" s="664"/>
      <c r="Z153" s="664"/>
      <c r="AA153" s="664"/>
      <c r="AB153" s="664"/>
      <c r="AC153" s="664"/>
      <c r="AD153" s="664"/>
    </row>
    <row r="154" spans="1:30">
      <c r="A154" s="682"/>
      <c r="B154" s="664"/>
      <c r="C154" s="664"/>
      <c r="D154" s="664"/>
      <c r="E154" s="664"/>
      <c r="F154" s="664"/>
      <c r="G154" s="664"/>
      <c r="H154" s="664"/>
      <c r="I154" s="664"/>
      <c r="J154" s="664"/>
      <c r="K154" s="664"/>
      <c r="L154" s="664"/>
      <c r="M154" s="664"/>
      <c r="N154" s="664"/>
      <c r="O154" s="664"/>
      <c r="P154" s="664"/>
      <c r="Q154" s="664"/>
      <c r="R154" s="664"/>
      <c r="S154" s="664"/>
      <c r="T154" s="664"/>
      <c r="U154" s="664"/>
      <c r="V154" s="664"/>
      <c r="W154" s="664"/>
      <c r="X154" s="664"/>
      <c r="Y154" s="664"/>
      <c r="Z154" s="664"/>
      <c r="AA154" s="664"/>
      <c r="AB154" s="664"/>
      <c r="AC154" s="664"/>
      <c r="AD154" s="664"/>
    </row>
    <row r="155" spans="1:30">
      <c r="A155" s="682"/>
      <c r="B155" s="664"/>
      <c r="C155" s="664"/>
      <c r="D155" s="664"/>
      <c r="E155" s="664"/>
      <c r="F155" s="664"/>
      <c r="G155" s="664"/>
      <c r="H155" s="664"/>
      <c r="I155" s="664"/>
      <c r="J155" s="664"/>
      <c r="K155" s="664"/>
      <c r="L155" s="664"/>
      <c r="M155" s="664"/>
      <c r="N155" s="664"/>
      <c r="O155" s="664"/>
      <c r="P155" s="664"/>
      <c r="Q155" s="664"/>
      <c r="R155" s="664"/>
      <c r="S155" s="664"/>
      <c r="T155" s="664"/>
      <c r="U155" s="664"/>
      <c r="V155" s="664"/>
      <c r="W155" s="664"/>
      <c r="X155" s="664"/>
      <c r="Y155" s="664"/>
      <c r="Z155" s="664"/>
      <c r="AA155" s="664"/>
      <c r="AB155" s="664"/>
      <c r="AC155" s="664"/>
      <c r="AD155" s="664"/>
    </row>
    <row r="156" spans="1:30">
      <c r="A156" s="682"/>
      <c r="B156" s="664"/>
      <c r="C156" s="664"/>
      <c r="D156" s="664"/>
      <c r="E156" s="664"/>
      <c r="F156" s="664"/>
      <c r="G156" s="664"/>
      <c r="H156" s="664"/>
      <c r="I156" s="664"/>
      <c r="J156" s="664"/>
      <c r="K156" s="664"/>
      <c r="L156" s="664"/>
      <c r="M156" s="664"/>
      <c r="N156" s="664"/>
      <c r="O156" s="664"/>
      <c r="P156" s="664"/>
      <c r="Q156" s="664"/>
      <c r="R156" s="664"/>
      <c r="S156" s="664"/>
      <c r="T156" s="664"/>
      <c r="U156" s="664"/>
      <c r="V156" s="664"/>
      <c r="W156" s="664"/>
      <c r="X156" s="664"/>
      <c r="Y156" s="664"/>
      <c r="Z156" s="664"/>
      <c r="AA156" s="664"/>
      <c r="AB156" s="664"/>
      <c r="AC156" s="664"/>
      <c r="AD156" s="664"/>
    </row>
    <row r="157" spans="1:30">
      <c r="A157" s="682"/>
      <c r="B157" s="664"/>
      <c r="C157" s="664"/>
      <c r="D157" s="664"/>
      <c r="E157" s="664"/>
      <c r="F157" s="664"/>
      <c r="G157" s="664"/>
      <c r="H157" s="664"/>
      <c r="I157" s="664"/>
      <c r="J157" s="664"/>
      <c r="K157" s="664"/>
      <c r="L157" s="664"/>
      <c r="M157" s="664"/>
      <c r="N157" s="664"/>
      <c r="O157" s="664"/>
      <c r="P157" s="664"/>
      <c r="Q157" s="664"/>
      <c r="R157" s="664"/>
      <c r="S157" s="664"/>
      <c r="T157" s="664"/>
      <c r="U157" s="664"/>
      <c r="V157" s="664"/>
      <c r="W157" s="664"/>
      <c r="X157" s="664"/>
      <c r="Y157" s="664"/>
      <c r="Z157" s="664"/>
      <c r="AA157" s="664"/>
      <c r="AB157" s="664"/>
      <c r="AC157" s="664"/>
      <c r="AD157" s="664"/>
    </row>
    <row r="158" spans="1:30">
      <c r="A158" s="682"/>
      <c r="B158" s="664"/>
      <c r="C158" s="664"/>
      <c r="D158" s="664"/>
      <c r="E158" s="664"/>
      <c r="F158" s="664"/>
      <c r="G158" s="664"/>
      <c r="H158" s="664"/>
      <c r="I158" s="664"/>
      <c r="J158" s="664"/>
      <c r="K158" s="664"/>
      <c r="L158" s="664"/>
      <c r="M158" s="664"/>
      <c r="N158" s="664"/>
      <c r="O158" s="664"/>
      <c r="P158" s="664"/>
      <c r="Q158" s="664"/>
      <c r="R158" s="664"/>
      <c r="S158" s="664"/>
      <c r="T158" s="664"/>
      <c r="U158" s="664"/>
      <c r="V158" s="664"/>
      <c r="W158" s="664"/>
      <c r="X158" s="664"/>
      <c r="Y158" s="664"/>
      <c r="Z158" s="664"/>
      <c r="AA158" s="664"/>
      <c r="AB158" s="664"/>
      <c r="AC158" s="664"/>
      <c r="AD158" s="664"/>
    </row>
    <row r="159" spans="1:30">
      <c r="A159" s="682"/>
      <c r="B159" s="664"/>
      <c r="C159" s="664"/>
      <c r="D159" s="664"/>
      <c r="E159" s="664"/>
      <c r="F159" s="664"/>
      <c r="G159" s="664"/>
      <c r="H159" s="664"/>
      <c r="I159" s="664"/>
      <c r="J159" s="664"/>
      <c r="K159" s="664"/>
      <c r="L159" s="664"/>
      <c r="M159" s="664"/>
      <c r="N159" s="664"/>
      <c r="O159" s="664"/>
      <c r="P159" s="664"/>
      <c r="Q159" s="664"/>
      <c r="R159" s="664"/>
      <c r="S159" s="664"/>
      <c r="T159" s="664"/>
      <c r="U159" s="664"/>
      <c r="V159" s="664"/>
      <c r="W159" s="664"/>
      <c r="X159" s="664"/>
      <c r="Y159" s="664"/>
      <c r="Z159" s="664"/>
      <c r="AA159" s="664"/>
      <c r="AB159" s="664"/>
      <c r="AC159" s="664"/>
      <c r="AD159" s="664"/>
    </row>
    <row r="160" spans="1:30">
      <c r="A160" s="682"/>
      <c r="B160" s="664"/>
      <c r="C160" s="664"/>
      <c r="D160" s="664"/>
      <c r="E160" s="664"/>
      <c r="F160" s="664"/>
      <c r="G160" s="664"/>
      <c r="H160" s="664"/>
      <c r="I160" s="664"/>
      <c r="J160" s="664"/>
      <c r="K160" s="664"/>
      <c r="L160" s="664"/>
      <c r="M160" s="664"/>
      <c r="N160" s="664"/>
      <c r="O160" s="664"/>
      <c r="P160" s="664"/>
      <c r="Q160" s="664"/>
      <c r="R160" s="664"/>
      <c r="S160" s="664"/>
      <c r="T160" s="664"/>
      <c r="U160" s="664"/>
      <c r="V160" s="664"/>
      <c r="W160" s="664"/>
      <c r="X160" s="664"/>
      <c r="Y160" s="664"/>
      <c r="Z160" s="664"/>
      <c r="AA160" s="664"/>
      <c r="AB160" s="664"/>
      <c r="AC160" s="664"/>
      <c r="AD160" s="664"/>
    </row>
    <row r="161" spans="1:30">
      <c r="A161" s="682"/>
      <c r="B161" s="664"/>
      <c r="C161" s="664"/>
      <c r="D161" s="664"/>
      <c r="E161" s="664"/>
      <c r="F161" s="664"/>
      <c r="G161" s="664"/>
      <c r="H161" s="664"/>
      <c r="I161" s="664"/>
      <c r="J161" s="664"/>
      <c r="K161" s="664"/>
      <c r="L161" s="664"/>
      <c r="M161" s="664"/>
      <c r="N161" s="664"/>
      <c r="O161" s="664"/>
      <c r="P161" s="664"/>
      <c r="Q161" s="664"/>
      <c r="R161" s="664"/>
      <c r="S161" s="664"/>
      <c r="T161" s="664"/>
      <c r="U161" s="664"/>
      <c r="V161" s="664"/>
      <c r="W161" s="664"/>
      <c r="X161" s="664"/>
      <c r="Y161" s="664"/>
      <c r="Z161" s="664"/>
      <c r="AA161" s="664"/>
      <c r="AB161" s="664"/>
      <c r="AC161" s="664"/>
      <c r="AD161" s="664"/>
    </row>
    <row r="162" spans="1:30">
      <c r="A162" s="682"/>
      <c r="B162" s="664"/>
      <c r="C162" s="664"/>
      <c r="D162" s="664"/>
      <c r="E162" s="664"/>
      <c r="F162" s="664"/>
      <c r="G162" s="664"/>
      <c r="H162" s="664"/>
      <c r="I162" s="664"/>
      <c r="J162" s="664"/>
      <c r="K162" s="664"/>
      <c r="L162" s="664"/>
      <c r="M162" s="664"/>
      <c r="N162" s="664"/>
      <c r="O162" s="664"/>
      <c r="P162" s="664"/>
      <c r="Q162" s="664"/>
      <c r="R162" s="664"/>
      <c r="S162" s="664"/>
      <c r="T162" s="664"/>
      <c r="U162" s="664"/>
      <c r="V162" s="664"/>
      <c r="W162" s="664"/>
      <c r="X162" s="664"/>
      <c r="Y162" s="664"/>
      <c r="Z162" s="664"/>
      <c r="AA162" s="664"/>
      <c r="AB162" s="664"/>
      <c r="AC162" s="664"/>
      <c r="AD162" s="664"/>
    </row>
    <row r="163" spans="1:30">
      <c r="A163" s="682"/>
      <c r="B163" s="664"/>
      <c r="C163" s="664"/>
      <c r="D163" s="664"/>
      <c r="E163" s="664"/>
      <c r="F163" s="664"/>
      <c r="G163" s="664"/>
      <c r="H163" s="664"/>
      <c r="I163" s="664"/>
      <c r="J163" s="664"/>
      <c r="K163" s="664"/>
      <c r="L163" s="664"/>
      <c r="M163" s="664"/>
      <c r="N163" s="664"/>
      <c r="O163" s="664"/>
      <c r="P163" s="664"/>
      <c r="Q163" s="664"/>
      <c r="R163" s="664"/>
      <c r="S163" s="664"/>
      <c r="T163" s="664"/>
      <c r="U163" s="664"/>
      <c r="V163" s="664"/>
      <c r="W163" s="664"/>
      <c r="X163" s="664"/>
      <c r="Y163" s="664"/>
      <c r="Z163" s="664"/>
      <c r="AA163" s="664"/>
      <c r="AB163" s="664"/>
      <c r="AC163" s="664"/>
      <c r="AD163" s="664"/>
    </row>
    <row r="164" spans="1:30">
      <c r="A164" s="682"/>
      <c r="B164" s="664"/>
      <c r="C164" s="664"/>
      <c r="D164" s="664"/>
      <c r="E164" s="664"/>
      <c r="F164" s="664"/>
      <c r="G164" s="664"/>
      <c r="H164" s="664"/>
      <c r="I164" s="664"/>
      <c r="J164" s="664"/>
      <c r="K164" s="664"/>
      <c r="L164" s="664"/>
      <c r="M164" s="664"/>
      <c r="N164" s="664"/>
      <c r="O164" s="664"/>
      <c r="P164" s="664"/>
      <c r="Q164" s="664"/>
      <c r="R164" s="664"/>
      <c r="S164" s="664"/>
      <c r="T164" s="664"/>
      <c r="U164" s="664"/>
      <c r="V164" s="664"/>
      <c r="W164" s="664"/>
      <c r="X164" s="664"/>
      <c r="Y164" s="664"/>
      <c r="Z164" s="664"/>
      <c r="AA164" s="664"/>
      <c r="AB164" s="664"/>
      <c r="AC164" s="664"/>
      <c r="AD164" s="664"/>
    </row>
    <row r="165" spans="1:30">
      <c r="A165" s="682"/>
      <c r="B165" s="664"/>
      <c r="C165" s="664"/>
      <c r="D165" s="664"/>
      <c r="E165" s="664"/>
      <c r="F165" s="664"/>
      <c r="G165" s="664"/>
      <c r="H165" s="664"/>
      <c r="I165" s="664"/>
      <c r="J165" s="664"/>
      <c r="K165" s="664"/>
      <c r="L165" s="664"/>
      <c r="M165" s="664"/>
      <c r="N165" s="664"/>
      <c r="O165" s="664"/>
      <c r="P165" s="664"/>
      <c r="Q165" s="664"/>
      <c r="R165" s="664"/>
      <c r="S165" s="664"/>
      <c r="T165" s="664"/>
      <c r="U165" s="664"/>
      <c r="V165" s="664"/>
      <c r="W165" s="664"/>
      <c r="X165" s="664"/>
      <c r="Y165" s="664"/>
      <c r="Z165" s="664"/>
      <c r="AA165" s="664"/>
      <c r="AB165" s="664"/>
      <c r="AC165" s="664"/>
      <c r="AD165" s="664"/>
    </row>
    <row r="166" spans="1:30">
      <c r="A166" s="682"/>
      <c r="B166" s="664"/>
      <c r="C166" s="664"/>
      <c r="D166" s="664"/>
      <c r="E166" s="664"/>
      <c r="F166" s="664"/>
      <c r="G166" s="664"/>
      <c r="H166" s="664"/>
      <c r="I166" s="664"/>
      <c r="J166" s="664"/>
      <c r="K166" s="664"/>
      <c r="L166" s="664"/>
      <c r="M166" s="664"/>
      <c r="N166" s="664"/>
      <c r="O166" s="664"/>
      <c r="P166" s="664"/>
      <c r="Q166" s="664"/>
      <c r="R166" s="664"/>
      <c r="S166" s="664"/>
      <c r="T166" s="664"/>
      <c r="U166" s="664"/>
      <c r="V166" s="664"/>
      <c r="W166" s="664"/>
      <c r="X166" s="664"/>
      <c r="Y166" s="664"/>
      <c r="Z166" s="664"/>
      <c r="AA166" s="664"/>
      <c r="AB166" s="664"/>
      <c r="AC166" s="664"/>
      <c r="AD166" s="664"/>
    </row>
    <row r="167" spans="1:30">
      <c r="A167" s="682"/>
      <c r="B167" s="664"/>
      <c r="C167" s="664"/>
      <c r="D167" s="664"/>
      <c r="E167" s="664"/>
      <c r="F167" s="664"/>
      <c r="G167" s="664"/>
      <c r="H167" s="664"/>
      <c r="I167" s="664"/>
      <c r="J167" s="664"/>
      <c r="K167" s="664"/>
      <c r="L167" s="664"/>
      <c r="M167" s="664"/>
      <c r="N167" s="664"/>
      <c r="O167" s="664"/>
      <c r="P167" s="664"/>
      <c r="Q167" s="664"/>
      <c r="R167" s="664"/>
      <c r="S167" s="664"/>
      <c r="T167" s="664"/>
      <c r="U167" s="664"/>
      <c r="V167" s="664"/>
      <c r="W167" s="664"/>
      <c r="X167" s="664"/>
      <c r="Y167" s="664"/>
      <c r="Z167" s="664"/>
      <c r="AA167" s="664"/>
      <c r="AB167" s="664"/>
      <c r="AC167" s="664"/>
      <c r="AD167" s="664"/>
    </row>
    <row r="168" spans="1:30">
      <c r="A168" s="682"/>
      <c r="B168" s="664"/>
      <c r="C168" s="664"/>
      <c r="D168" s="664"/>
      <c r="E168" s="664"/>
      <c r="F168" s="664"/>
      <c r="G168" s="664"/>
      <c r="H168" s="664"/>
      <c r="I168" s="664"/>
      <c r="J168" s="664"/>
      <c r="K168" s="664"/>
      <c r="L168" s="664"/>
      <c r="M168" s="664"/>
      <c r="N168" s="664"/>
      <c r="O168" s="664"/>
      <c r="P168" s="664"/>
      <c r="Q168" s="664"/>
      <c r="R168" s="664"/>
      <c r="S168" s="664"/>
      <c r="T168" s="664"/>
      <c r="U168" s="664"/>
      <c r="V168" s="664"/>
      <c r="W168" s="664"/>
      <c r="X168" s="664"/>
      <c r="Y168" s="664"/>
      <c r="Z168" s="664"/>
      <c r="AA168" s="664"/>
      <c r="AB168" s="664"/>
      <c r="AC168" s="664"/>
      <c r="AD168" s="664"/>
    </row>
    <row r="169" spans="1:30">
      <c r="A169" s="682"/>
      <c r="B169" s="664"/>
      <c r="C169" s="664"/>
      <c r="D169" s="664"/>
      <c r="E169" s="664"/>
      <c r="F169" s="664"/>
      <c r="G169" s="664"/>
      <c r="H169" s="664"/>
      <c r="I169" s="664"/>
      <c r="J169" s="664"/>
      <c r="K169" s="664"/>
      <c r="L169" s="664"/>
      <c r="M169" s="664"/>
      <c r="N169" s="664"/>
      <c r="O169" s="664"/>
      <c r="P169" s="664"/>
      <c r="Q169" s="664"/>
      <c r="R169" s="664"/>
      <c r="S169" s="664"/>
      <c r="T169" s="664"/>
      <c r="U169" s="664"/>
      <c r="V169" s="664"/>
      <c r="W169" s="664"/>
      <c r="X169" s="664"/>
      <c r="Y169" s="664"/>
      <c r="Z169" s="664"/>
      <c r="AA169" s="664"/>
      <c r="AB169" s="664"/>
      <c r="AC169" s="664"/>
      <c r="AD169" s="664"/>
    </row>
    <row r="170" spans="1:30">
      <c r="A170" s="682"/>
      <c r="B170" s="664"/>
      <c r="C170" s="664"/>
      <c r="D170" s="664"/>
      <c r="E170" s="664"/>
      <c r="F170" s="664"/>
      <c r="G170" s="664"/>
      <c r="H170" s="664"/>
      <c r="I170" s="664"/>
      <c r="J170" s="664"/>
      <c r="K170" s="664"/>
      <c r="L170" s="664"/>
      <c r="M170" s="664"/>
      <c r="N170" s="664"/>
      <c r="O170" s="664"/>
      <c r="P170" s="664"/>
      <c r="Q170" s="664"/>
      <c r="R170" s="664"/>
      <c r="S170" s="664"/>
      <c r="T170" s="664"/>
      <c r="U170" s="664"/>
      <c r="V170" s="664"/>
      <c r="W170" s="664"/>
      <c r="X170" s="664"/>
      <c r="Y170" s="664"/>
      <c r="Z170" s="664"/>
      <c r="AA170" s="664"/>
      <c r="AB170" s="664"/>
      <c r="AC170" s="664"/>
      <c r="AD170" s="664"/>
    </row>
    <row r="171" spans="1:30">
      <c r="A171" s="682"/>
      <c r="B171" s="664"/>
      <c r="C171" s="664"/>
      <c r="D171" s="664"/>
      <c r="E171" s="664"/>
      <c r="F171" s="664"/>
      <c r="G171" s="664"/>
      <c r="H171" s="664"/>
      <c r="I171" s="664"/>
      <c r="J171" s="664"/>
      <c r="K171" s="664"/>
      <c r="L171" s="664"/>
      <c r="M171" s="664"/>
      <c r="N171" s="664"/>
      <c r="O171" s="664"/>
      <c r="P171" s="664"/>
      <c r="Q171" s="664"/>
      <c r="R171" s="664"/>
      <c r="S171" s="664"/>
      <c r="T171" s="664"/>
      <c r="U171" s="664"/>
      <c r="V171" s="664"/>
      <c r="W171" s="664"/>
      <c r="X171" s="664"/>
      <c r="Y171" s="664"/>
      <c r="Z171" s="664"/>
      <c r="AA171" s="664"/>
      <c r="AB171" s="664"/>
      <c r="AC171" s="664"/>
      <c r="AD171" s="664"/>
    </row>
    <row r="172" spans="1:30">
      <c r="A172" s="682"/>
      <c r="B172" s="664"/>
      <c r="C172" s="664"/>
      <c r="D172" s="664"/>
      <c r="E172" s="664"/>
      <c r="F172" s="664"/>
      <c r="G172" s="664"/>
      <c r="H172" s="664"/>
      <c r="I172" s="664"/>
      <c r="J172" s="664"/>
      <c r="K172" s="664"/>
      <c r="L172" s="664"/>
      <c r="M172" s="664"/>
      <c r="N172" s="664"/>
      <c r="O172" s="664"/>
      <c r="P172" s="664"/>
      <c r="Q172" s="664"/>
      <c r="R172" s="664"/>
      <c r="S172" s="664"/>
      <c r="T172" s="664"/>
      <c r="U172" s="664"/>
      <c r="V172" s="664"/>
      <c r="W172" s="664"/>
      <c r="X172" s="664"/>
      <c r="Y172" s="664"/>
      <c r="Z172" s="664"/>
      <c r="AA172" s="664"/>
      <c r="AB172" s="664"/>
      <c r="AC172" s="664"/>
      <c r="AD172" s="664"/>
    </row>
    <row r="173" spans="1:30">
      <c r="A173" s="682"/>
      <c r="B173" s="664"/>
      <c r="C173" s="664"/>
      <c r="D173" s="664"/>
      <c r="E173" s="664"/>
      <c r="F173" s="664"/>
      <c r="G173" s="664"/>
      <c r="H173" s="664"/>
      <c r="I173" s="664"/>
      <c r="J173" s="664"/>
      <c r="K173" s="664"/>
      <c r="L173" s="664"/>
      <c r="M173" s="664"/>
      <c r="N173" s="664"/>
      <c r="O173" s="664"/>
      <c r="P173" s="664"/>
      <c r="Q173" s="664"/>
      <c r="R173" s="664"/>
      <c r="S173" s="664"/>
      <c r="T173" s="664"/>
      <c r="U173" s="664"/>
      <c r="V173" s="664"/>
      <c r="W173" s="664"/>
      <c r="X173" s="664"/>
      <c r="Y173" s="664"/>
      <c r="Z173" s="664"/>
      <c r="AA173" s="664"/>
      <c r="AB173" s="664"/>
      <c r="AC173" s="664"/>
      <c r="AD173" s="664"/>
    </row>
    <row r="174" spans="1:30">
      <c r="A174" s="682"/>
      <c r="B174" s="664"/>
      <c r="C174" s="664"/>
      <c r="D174" s="664"/>
      <c r="E174" s="664"/>
      <c r="F174" s="664"/>
      <c r="G174" s="664"/>
      <c r="H174" s="664"/>
      <c r="I174" s="664"/>
      <c r="J174" s="664"/>
      <c r="K174" s="664"/>
      <c r="L174" s="664"/>
      <c r="M174" s="664"/>
      <c r="N174" s="664"/>
      <c r="O174" s="664"/>
      <c r="P174" s="664"/>
      <c r="Q174" s="664"/>
      <c r="R174" s="664"/>
      <c r="S174" s="664"/>
      <c r="T174" s="664"/>
      <c r="U174" s="664"/>
      <c r="V174" s="664"/>
      <c r="W174" s="664"/>
      <c r="X174" s="664"/>
      <c r="Y174" s="664"/>
      <c r="Z174" s="664"/>
      <c r="AA174" s="664"/>
      <c r="AB174" s="664"/>
      <c r="AC174" s="664"/>
      <c r="AD174" s="664"/>
    </row>
    <row r="175" spans="1:30">
      <c r="A175" s="682"/>
      <c r="B175" s="664"/>
      <c r="C175" s="664"/>
      <c r="D175" s="664"/>
      <c r="E175" s="664"/>
      <c r="F175" s="664"/>
      <c r="G175" s="664"/>
      <c r="H175" s="664"/>
      <c r="I175" s="664"/>
      <c r="J175" s="664"/>
      <c r="K175" s="664"/>
      <c r="L175" s="664"/>
      <c r="M175" s="664"/>
      <c r="N175" s="664"/>
      <c r="O175" s="664"/>
      <c r="P175" s="664"/>
      <c r="Q175" s="664"/>
      <c r="R175" s="664"/>
      <c r="S175" s="664"/>
      <c r="T175" s="664"/>
      <c r="U175" s="664"/>
      <c r="V175" s="664"/>
      <c r="W175" s="664"/>
      <c r="X175" s="664"/>
      <c r="Y175" s="664"/>
      <c r="Z175" s="664"/>
      <c r="AA175" s="664"/>
      <c r="AB175" s="664"/>
      <c r="AC175" s="664"/>
      <c r="AD175" s="664"/>
    </row>
    <row r="176" spans="1:30">
      <c r="A176" s="682"/>
      <c r="B176" s="664"/>
      <c r="C176" s="664"/>
      <c r="D176" s="664"/>
      <c r="E176" s="664"/>
      <c r="F176" s="664"/>
      <c r="G176" s="664"/>
      <c r="H176" s="664"/>
      <c r="I176" s="664"/>
      <c r="J176" s="664"/>
      <c r="K176" s="664"/>
      <c r="L176" s="664"/>
      <c r="M176" s="664"/>
      <c r="N176" s="664"/>
      <c r="O176" s="664"/>
      <c r="P176" s="664"/>
      <c r="Q176" s="664"/>
      <c r="R176" s="664"/>
      <c r="S176" s="664"/>
      <c r="T176" s="664"/>
      <c r="U176" s="664"/>
      <c r="V176" s="664"/>
      <c r="W176" s="664"/>
      <c r="X176" s="664"/>
      <c r="Y176" s="664"/>
      <c r="Z176" s="664"/>
      <c r="AA176" s="664"/>
      <c r="AB176" s="664"/>
      <c r="AC176" s="664"/>
      <c r="AD176" s="664"/>
    </row>
    <row r="177" spans="1:30">
      <c r="A177" s="682"/>
      <c r="B177" s="664"/>
      <c r="C177" s="664"/>
      <c r="D177" s="664"/>
      <c r="E177" s="664"/>
      <c r="F177" s="664"/>
      <c r="G177" s="664"/>
      <c r="H177" s="664"/>
      <c r="I177" s="664"/>
      <c r="J177" s="664"/>
      <c r="K177" s="664"/>
      <c r="L177" s="664"/>
      <c r="M177" s="664"/>
      <c r="N177" s="664"/>
      <c r="O177" s="664"/>
      <c r="P177" s="664"/>
      <c r="Q177" s="664"/>
      <c r="R177" s="664"/>
      <c r="S177" s="664"/>
      <c r="T177" s="664"/>
      <c r="U177" s="664"/>
      <c r="V177" s="664"/>
      <c r="W177" s="664"/>
      <c r="X177" s="664"/>
      <c r="Y177" s="664"/>
      <c r="Z177" s="664"/>
      <c r="AA177" s="664"/>
      <c r="AB177" s="664"/>
      <c r="AC177" s="664"/>
      <c r="AD177" s="664"/>
    </row>
    <row r="178" spans="1:30">
      <c r="A178" s="682"/>
      <c r="B178" s="664"/>
      <c r="C178" s="664"/>
      <c r="D178" s="664"/>
      <c r="E178" s="664"/>
      <c r="F178" s="664"/>
      <c r="G178" s="664"/>
      <c r="H178" s="664"/>
      <c r="I178" s="664"/>
      <c r="J178" s="664"/>
      <c r="K178" s="664"/>
      <c r="L178" s="664"/>
      <c r="M178" s="664"/>
      <c r="N178" s="664"/>
      <c r="O178" s="664"/>
      <c r="P178" s="664"/>
      <c r="Q178" s="664"/>
      <c r="R178" s="664"/>
      <c r="S178" s="664"/>
      <c r="T178" s="664"/>
      <c r="U178" s="664"/>
      <c r="V178" s="664"/>
      <c r="W178" s="664"/>
      <c r="X178" s="664"/>
      <c r="Y178" s="664"/>
      <c r="Z178" s="664"/>
      <c r="AA178" s="664"/>
      <c r="AB178" s="664"/>
      <c r="AC178" s="664"/>
      <c r="AD178" s="664"/>
    </row>
    <row r="179" spans="1:30">
      <c r="A179" s="682"/>
      <c r="B179" s="664"/>
      <c r="C179" s="664"/>
      <c r="D179" s="664"/>
      <c r="E179" s="664"/>
      <c r="F179" s="664"/>
      <c r="G179" s="664"/>
      <c r="H179" s="664"/>
      <c r="I179" s="664"/>
      <c r="J179" s="664"/>
      <c r="K179" s="664"/>
      <c r="L179" s="664"/>
      <c r="M179" s="664"/>
      <c r="N179" s="664"/>
      <c r="O179" s="664"/>
      <c r="P179" s="664"/>
      <c r="Q179" s="664"/>
      <c r="R179" s="664"/>
      <c r="S179" s="664"/>
      <c r="T179" s="664"/>
      <c r="U179" s="664"/>
      <c r="V179" s="664"/>
      <c r="W179" s="664"/>
      <c r="X179" s="664"/>
      <c r="Y179" s="664"/>
      <c r="Z179" s="664"/>
      <c r="AA179" s="664"/>
      <c r="AB179" s="664"/>
      <c r="AC179" s="664"/>
      <c r="AD179" s="664"/>
    </row>
    <row r="180" spans="1:30">
      <c r="A180" s="682"/>
      <c r="B180" s="664"/>
      <c r="C180" s="664"/>
      <c r="D180" s="664"/>
      <c r="E180" s="664"/>
      <c r="F180" s="664"/>
      <c r="G180" s="664"/>
      <c r="H180" s="664"/>
      <c r="I180" s="664"/>
      <c r="J180" s="664"/>
      <c r="K180" s="664"/>
      <c r="L180" s="664"/>
      <c r="M180" s="664"/>
      <c r="N180" s="664"/>
      <c r="O180" s="664"/>
      <c r="P180" s="664"/>
      <c r="Q180" s="664"/>
      <c r="R180" s="664"/>
      <c r="S180" s="664"/>
      <c r="T180" s="664"/>
      <c r="U180" s="664"/>
      <c r="V180" s="664"/>
      <c r="W180" s="664"/>
      <c r="X180" s="664"/>
      <c r="Y180" s="664"/>
      <c r="Z180" s="664"/>
      <c r="AA180" s="664"/>
      <c r="AB180" s="664"/>
      <c r="AC180" s="664"/>
      <c r="AD180" s="664"/>
    </row>
    <row r="181" spans="1:30">
      <c r="A181" s="682"/>
      <c r="B181" s="664"/>
      <c r="C181" s="664"/>
      <c r="D181" s="664"/>
      <c r="E181" s="664"/>
      <c r="F181" s="664"/>
      <c r="G181" s="664"/>
      <c r="H181" s="664"/>
      <c r="I181" s="664"/>
      <c r="J181" s="664"/>
      <c r="K181" s="664"/>
      <c r="L181" s="664"/>
      <c r="M181" s="664"/>
      <c r="N181" s="664"/>
      <c r="O181" s="664"/>
      <c r="P181" s="664"/>
      <c r="Q181" s="664"/>
      <c r="R181" s="664"/>
      <c r="S181" s="664"/>
      <c r="T181" s="664"/>
      <c r="U181" s="664"/>
      <c r="V181" s="664"/>
      <c r="W181" s="664"/>
      <c r="X181" s="664"/>
      <c r="Y181" s="664"/>
      <c r="Z181" s="664"/>
      <c r="AA181" s="664"/>
      <c r="AB181" s="664"/>
      <c r="AC181" s="664"/>
      <c r="AD181" s="664"/>
    </row>
    <row r="182" spans="1:30">
      <c r="A182" s="682"/>
      <c r="B182" s="664"/>
      <c r="C182" s="664"/>
      <c r="D182" s="664"/>
      <c r="E182" s="664"/>
      <c r="F182" s="664"/>
      <c r="G182" s="664"/>
      <c r="H182" s="664"/>
      <c r="I182" s="664"/>
      <c r="J182" s="664"/>
      <c r="K182" s="664"/>
      <c r="L182" s="664"/>
      <c r="M182" s="664"/>
      <c r="N182" s="664"/>
      <c r="O182" s="664"/>
      <c r="P182" s="664"/>
      <c r="Q182" s="664"/>
      <c r="R182" s="664"/>
      <c r="S182" s="664"/>
      <c r="T182" s="664"/>
      <c r="U182" s="664"/>
      <c r="V182" s="664"/>
      <c r="W182" s="664"/>
      <c r="X182" s="664"/>
      <c r="Y182" s="664"/>
      <c r="Z182" s="664"/>
      <c r="AA182" s="664"/>
      <c r="AB182" s="664"/>
      <c r="AC182" s="664"/>
      <c r="AD182" s="664"/>
    </row>
    <row r="183" spans="1:30">
      <c r="A183" s="682"/>
      <c r="B183" s="664"/>
      <c r="C183" s="664"/>
      <c r="D183" s="664"/>
      <c r="E183" s="664"/>
      <c r="F183" s="664"/>
      <c r="G183" s="664"/>
      <c r="H183" s="664"/>
      <c r="I183" s="664"/>
      <c r="J183" s="664"/>
      <c r="K183" s="664"/>
      <c r="L183" s="664"/>
      <c r="M183" s="664"/>
      <c r="N183" s="664"/>
      <c r="O183" s="664"/>
      <c r="P183" s="664"/>
      <c r="Q183" s="664"/>
      <c r="R183" s="664"/>
      <c r="S183" s="664"/>
      <c r="T183" s="664"/>
      <c r="U183" s="664"/>
      <c r="V183" s="664"/>
      <c r="W183" s="664"/>
      <c r="X183" s="664"/>
      <c r="Y183" s="664"/>
      <c r="Z183" s="664"/>
      <c r="AA183" s="664"/>
      <c r="AB183" s="664"/>
      <c r="AC183" s="664"/>
      <c r="AD183" s="664"/>
    </row>
    <row r="184" spans="1:30">
      <c r="A184" s="682"/>
      <c r="B184" s="664"/>
      <c r="C184" s="664"/>
      <c r="D184" s="664"/>
      <c r="E184" s="664"/>
      <c r="F184" s="664"/>
      <c r="G184" s="664"/>
      <c r="H184" s="664"/>
      <c r="I184" s="664"/>
      <c r="J184" s="664"/>
      <c r="K184" s="664"/>
      <c r="L184" s="664"/>
      <c r="M184" s="664"/>
      <c r="N184" s="664"/>
      <c r="O184" s="664"/>
      <c r="P184" s="664"/>
      <c r="Q184" s="664"/>
      <c r="R184" s="664"/>
      <c r="S184" s="664"/>
      <c r="T184" s="664"/>
      <c r="U184" s="664"/>
      <c r="V184" s="664"/>
      <c r="W184" s="664"/>
      <c r="X184" s="664"/>
      <c r="Y184" s="664"/>
      <c r="Z184" s="664"/>
      <c r="AA184" s="664"/>
      <c r="AB184" s="664"/>
      <c r="AC184" s="664"/>
      <c r="AD184" s="664"/>
    </row>
    <row r="185" spans="1:30">
      <c r="A185" s="682"/>
      <c r="B185" s="664"/>
      <c r="C185" s="664"/>
      <c r="D185" s="664"/>
      <c r="E185" s="664"/>
      <c r="F185" s="664"/>
      <c r="G185" s="664"/>
      <c r="H185" s="664"/>
      <c r="I185" s="664"/>
      <c r="J185" s="664"/>
      <c r="K185" s="664"/>
      <c r="L185" s="664"/>
      <c r="M185" s="664"/>
      <c r="N185" s="664"/>
      <c r="O185" s="664"/>
      <c r="P185" s="664"/>
      <c r="Q185" s="664"/>
      <c r="R185" s="664"/>
      <c r="S185" s="664"/>
      <c r="T185" s="664"/>
      <c r="U185" s="664"/>
      <c r="V185" s="664"/>
      <c r="W185" s="664"/>
      <c r="X185" s="664"/>
      <c r="Y185" s="664"/>
      <c r="Z185" s="664"/>
      <c r="AA185" s="664"/>
      <c r="AB185" s="664"/>
      <c r="AC185" s="664"/>
      <c r="AD185" s="664"/>
    </row>
    <row r="186" spans="1:30">
      <c r="A186" s="682"/>
      <c r="B186" s="664"/>
      <c r="C186" s="664"/>
      <c r="D186" s="664"/>
      <c r="E186" s="664"/>
      <c r="F186" s="664"/>
      <c r="G186" s="664"/>
      <c r="H186" s="664"/>
      <c r="I186" s="664"/>
      <c r="J186" s="664"/>
      <c r="K186" s="664"/>
      <c r="L186" s="664"/>
      <c r="M186" s="664"/>
      <c r="N186" s="664"/>
      <c r="O186" s="664"/>
      <c r="P186" s="664"/>
      <c r="Q186" s="664"/>
      <c r="R186" s="664"/>
      <c r="S186" s="664"/>
      <c r="T186" s="664"/>
      <c r="U186" s="664"/>
      <c r="V186" s="664"/>
      <c r="W186" s="664"/>
      <c r="X186" s="664"/>
      <c r="Y186" s="664"/>
      <c r="Z186" s="664"/>
      <c r="AA186" s="664"/>
      <c r="AB186" s="664"/>
      <c r="AC186" s="664"/>
      <c r="AD186" s="664"/>
    </row>
    <row r="187" spans="1:30">
      <c r="A187" s="682"/>
      <c r="B187" s="664"/>
      <c r="C187" s="664"/>
      <c r="D187" s="664"/>
      <c r="E187" s="664"/>
      <c r="F187" s="664"/>
      <c r="G187" s="664"/>
      <c r="H187" s="664"/>
      <c r="I187" s="664"/>
      <c r="J187" s="664"/>
      <c r="K187" s="664"/>
      <c r="L187" s="664"/>
      <c r="M187" s="664"/>
      <c r="N187" s="664"/>
      <c r="O187" s="664"/>
      <c r="P187" s="664"/>
      <c r="Q187" s="664"/>
      <c r="R187" s="664"/>
      <c r="S187" s="664"/>
      <c r="T187" s="664"/>
      <c r="U187" s="664"/>
      <c r="V187" s="664"/>
      <c r="W187" s="664"/>
      <c r="X187" s="664"/>
      <c r="Y187" s="664"/>
      <c r="Z187" s="664"/>
      <c r="AA187" s="664"/>
      <c r="AB187" s="664"/>
      <c r="AC187" s="664"/>
      <c r="AD187" s="664"/>
    </row>
    <row r="188" spans="1:30">
      <c r="A188" s="682"/>
      <c r="B188" s="664"/>
      <c r="C188" s="664"/>
      <c r="D188" s="664"/>
      <c r="E188" s="664"/>
      <c r="F188" s="664"/>
      <c r="G188" s="664"/>
      <c r="H188" s="664"/>
      <c r="I188" s="664"/>
      <c r="J188" s="664"/>
      <c r="K188" s="664"/>
      <c r="L188" s="664"/>
      <c r="M188" s="664"/>
      <c r="N188" s="664"/>
      <c r="O188" s="664"/>
      <c r="P188" s="664"/>
      <c r="Q188" s="664"/>
      <c r="R188" s="664"/>
      <c r="S188" s="664"/>
      <c r="T188" s="664"/>
      <c r="U188" s="664"/>
      <c r="V188" s="664"/>
      <c r="W188" s="664"/>
      <c r="X188" s="664"/>
      <c r="Y188" s="664"/>
      <c r="Z188" s="664"/>
      <c r="AA188" s="664"/>
      <c r="AB188" s="664"/>
      <c r="AC188" s="664"/>
      <c r="AD188" s="664"/>
    </row>
    <row r="189" spans="1:30">
      <c r="A189" s="682"/>
      <c r="B189" s="664"/>
      <c r="C189" s="664"/>
      <c r="D189" s="664"/>
      <c r="E189" s="664"/>
      <c r="F189" s="664"/>
      <c r="G189" s="664"/>
      <c r="H189" s="664"/>
      <c r="I189" s="664"/>
      <c r="J189" s="664"/>
      <c r="K189" s="664"/>
      <c r="L189" s="664"/>
      <c r="M189" s="664"/>
      <c r="N189" s="664"/>
      <c r="O189" s="664"/>
      <c r="P189" s="664"/>
      <c r="Q189" s="664"/>
      <c r="R189" s="664"/>
      <c r="S189" s="664"/>
      <c r="T189" s="664"/>
      <c r="U189" s="664"/>
      <c r="V189" s="664"/>
      <c r="W189" s="664"/>
      <c r="X189" s="664"/>
      <c r="Y189" s="664"/>
      <c r="Z189" s="664"/>
      <c r="AA189" s="664"/>
      <c r="AB189" s="664"/>
      <c r="AC189" s="664"/>
      <c r="AD189" s="664"/>
    </row>
    <row r="190" spans="1:30">
      <c r="A190" s="682"/>
      <c r="B190" s="664"/>
      <c r="C190" s="664"/>
      <c r="D190" s="664"/>
      <c r="E190" s="664"/>
      <c r="F190" s="664"/>
      <c r="G190" s="664"/>
      <c r="H190" s="664"/>
      <c r="I190" s="664"/>
      <c r="J190" s="664"/>
      <c r="K190" s="664"/>
      <c r="L190" s="664"/>
      <c r="M190" s="664"/>
      <c r="N190" s="664"/>
      <c r="O190" s="664"/>
      <c r="P190" s="664"/>
      <c r="Q190" s="664"/>
      <c r="R190" s="664"/>
      <c r="S190" s="664"/>
      <c r="T190" s="664"/>
      <c r="U190" s="664"/>
      <c r="V190" s="664"/>
      <c r="W190" s="664"/>
      <c r="X190" s="664"/>
      <c r="Y190" s="664"/>
      <c r="Z190" s="664"/>
      <c r="AA190" s="664"/>
      <c r="AB190" s="664"/>
      <c r="AC190" s="664"/>
      <c r="AD190" s="664"/>
    </row>
    <row r="191" spans="1:30">
      <c r="A191" s="682"/>
      <c r="B191" s="664"/>
      <c r="C191" s="664"/>
      <c r="D191" s="664"/>
      <c r="E191" s="664"/>
      <c r="F191" s="664"/>
      <c r="G191" s="664"/>
      <c r="H191" s="664"/>
      <c r="I191" s="664"/>
      <c r="J191" s="664"/>
      <c r="K191" s="664"/>
      <c r="L191" s="664"/>
      <c r="M191" s="664"/>
      <c r="N191" s="664"/>
      <c r="O191" s="664"/>
      <c r="P191" s="664"/>
      <c r="Q191" s="664"/>
      <c r="R191" s="664"/>
      <c r="S191" s="664"/>
      <c r="T191" s="664"/>
      <c r="U191" s="664"/>
      <c r="V191" s="664"/>
      <c r="W191" s="664"/>
      <c r="X191" s="664"/>
      <c r="Y191" s="664"/>
      <c r="Z191" s="664"/>
      <c r="AA191" s="664"/>
      <c r="AB191" s="664"/>
      <c r="AC191" s="664"/>
      <c r="AD191" s="664"/>
    </row>
    <row r="192" spans="1:30">
      <c r="A192" s="682"/>
      <c r="B192" s="664"/>
      <c r="C192" s="664"/>
      <c r="D192" s="664"/>
      <c r="E192" s="664"/>
      <c r="F192" s="664"/>
      <c r="G192" s="664"/>
      <c r="H192" s="664"/>
      <c r="I192" s="664"/>
      <c r="J192" s="664"/>
      <c r="K192" s="664"/>
      <c r="L192" s="664"/>
      <c r="M192" s="664"/>
      <c r="N192" s="664"/>
      <c r="O192" s="664"/>
      <c r="P192" s="664"/>
      <c r="Q192" s="664"/>
      <c r="R192" s="664"/>
      <c r="S192" s="664"/>
      <c r="T192" s="664"/>
      <c r="U192" s="664"/>
      <c r="V192" s="664"/>
      <c r="W192" s="664"/>
      <c r="X192" s="664"/>
      <c r="Y192" s="664"/>
      <c r="Z192" s="664"/>
      <c r="AA192" s="664"/>
      <c r="AB192" s="664"/>
      <c r="AC192" s="664"/>
      <c r="AD192" s="664"/>
    </row>
    <row r="193" spans="1:30">
      <c r="A193" s="682"/>
      <c r="B193" s="664"/>
      <c r="C193" s="664"/>
      <c r="D193" s="664"/>
      <c r="E193" s="664"/>
      <c r="F193" s="664"/>
      <c r="G193" s="664"/>
      <c r="H193" s="664"/>
      <c r="I193" s="664"/>
      <c r="J193" s="664"/>
      <c r="K193" s="664"/>
      <c r="L193" s="664"/>
      <c r="M193" s="664"/>
      <c r="N193" s="664"/>
      <c r="O193" s="664"/>
      <c r="P193" s="664"/>
      <c r="Q193" s="664"/>
      <c r="R193" s="664"/>
      <c r="S193" s="664"/>
      <c r="T193" s="664"/>
      <c r="U193" s="664"/>
      <c r="V193" s="664"/>
      <c r="W193" s="664"/>
      <c r="X193" s="664"/>
      <c r="Y193" s="664"/>
      <c r="Z193" s="664"/>
      <c r="AA193" s="664"/>
      <c r="AB193" s="664"/>
      <c r="AC193" s="664"/>
      <c r="AD193" s="664"/>
    </row>
    <row r="194" spans="1:30">
      <c r="A194" s="682"/>
      <c r="B194" s="664"/>
      <c r="C194" s="664"/>
      <c r="D194" s="664"/>
      <c r="E194" s="664"/>
      <c r="F194" s="664"/>
      <c r="G194" s="664"/>
      <c r="H194" s="664"/>
      <c r="I194" s="664"/>
      <c r="J194" s="664"/>
      <c r="K194" s="664"/>
      <c r="L194" s="664"/>
      <c r="M194" s="664"/>
      <c r="N194" s="664"/>
      <c r="O194" s="664"/>
      <c r="P194" s="664"/>
      <c r="Q194" s="664"/>
      <c r="R194" s="664"/>
      <c r="S194" s="664"/>
      <c r="T194" s="664"/>
      <c r="U194" s="664"/>
      <c r="V194" s="664"/>
      <c r="W194" s="664"/>
      <c r="X194" s="664"/>
      <c r="Y194" s="664"/>
      <c r="Z194" s="664"/>
      <c r="AA194" s="664"/>
      <c r="AB194" s="664"/>
      <c r="AC194" s="664"/>
      <c r="AD194" s="664"/>
    </row>
    <row r="195" spans="1:30">
      <c r="A195" s="682"/>
      <c r="B195" s="664"/>
      <c r="C195" s="664"/>
      <c r="D195" s="664"/>
      <c r="E195" s="664"/>
      <c r="F195" s="664"/>
      <c r="G195" s="664"/>
      <c r="H195" s="664"/>
      <c r="I195" s="664"/>
      <c r="J195" s="664"/>
      <c r="K195" s="664"/>
      <c r="L195" s="664"/>
      <c r="M195" s="664"/>
      <c r="N195" s="664"/>
      <c r="O195" s="664"/>
      <c r="P195" s="664"/>
      <c r="Q195" s="664"/>
      <c r="R195" s="664"/>
      <c r="S195" s="664"/>
      <c r="T195" s="664"/>
      <c r="U195" s="664"/>
      <c r="V195" s="664"/>
      <c r="W195" s="664"/>
      <c r="X195" s="664"/>
      <c r="Y195" s="664"/>
      <c r="Z195" s="664"/>
      <c r="AA195" s="664"/>
      <c r="AB195" s="664"/>
      <c r="AC195" s="664"/>
      <c r="AD195" s="664"/>
    </row>
    <row r="196" spans="1:30">
      <c r="A196" s="682"/>
      <c r="B196" s="664"/>
      <c r="C196" s="664"/>
      <c r="D196" s="664"/>
      <c r="E196" s="664"/>
      <c r="F196" s="664"/>
      <c r="G196" s="664"/>
      <c r="H196" s="664"/>
      <c r="I196" s="664"/>
      <c r="J196" s="664"/>
      <c r="K196" s="664"/>
      <c r="L196" s="664"/>
      <c r="M196" s="664"/>
      <c r="N196" s="664"/>
      <c r="O196" s="664"/>
      <c r="P196" s="664"/>
      <c r="Q196" s="664"/>
      <c r="R196" s="664"/>
      <c r="S196" s="664"/>
      <c r="T196" s="664"/>
      <c r="U196" s="664"/>
      <c r="V196" s="664"/>
      <c r="W196" s="664"/>
      <c r="X196" s="664"/>
      <c r="Y196" s="664"/>
      <c r="Z196" s="664"/>
      <c r="AA196" s="664"/>
      <c r="AB196" s="664"/>
      <c r="AC196" s="664"/>
      <c r="AD196" s="664"/>
    </row>
    <row r="197" spans="1:30">
      <c r="A197" s="682"/>
      <c r="B197" s="664"/>
      <c r="C197" s="664"/>
      <c r="D197" s="664"/>
      <c r="E197" s="664"/>
      <c r="F197" s="664"/>
      <c r="G197" s="664"/>
      <c r="H197" s="664"/>
      <c r="I197" s="664"/>
      <c r="J197" s="664"/>
      <c r="K197" s="664"/>
      <c r="L197" s="664"/>
      <c r="M197" s="664"/>
      <c r="N197" s="664"/>
      <c r="O197" s="664"/>
      <c r="P197" s="664"/>
      <c r="Q197" s="664"/>
      <c r="R197" s="664"/>
      <c r="S197" s="664"/>
      <c r="T197" s="664"/>
      <c r="U197" s="664"/>
      <c r="V197" s="664"/>
      <c r="W197" s="664"/>
      <c r="X197" s="664"/>
      <c r="Y197" s="664"/>
      <c r="Z197" s="664"/>
      <c r="AA197" s="664"/>
      <c r="AB197" s="664"/>
      <c r="AC197" s="664"/>
      <c r="AD197" s="664"/>
    </row>
    <row r="198" spans="1:30">
      <c r="A198" s="682"/>
      <c r="B198" s="664"/>
      <c r="C198" s="664"/>
      <c r="D198" s="664"/>
      <c r="E198" s="664"/>
      <c r="F198" s="664"/>
      <c r="G198" s="664"/>
      <c r="H198" s="664"/>
      <c r="I198" s="664"/>
      <c r="J198" s="664"/>
      <c r="K198" s="664"/>
      <c r="L198" s="664"/>
      <c r="M198" s="664"/>
      <c r="N198" s="664"/>
      <c r="O198" s="664"/>
      <c r="P198" s="664"/>
      <c r="Q198" s="664"/>
      <c r="R198" s="664"/>
      <c r="S198" s="664"/>
      <c r="T198" s="664"/>
      <c r="U198" s="664"/>
      <c r="V198" s="664"/>
      <c r="W198" s="664"/>
      <c r="X198" s="664"/>
      <c r="Y198" s="664"/>
      <c r="Z198" s="664"/>
      <c r="AA198" s="664"/>
      <c r="AB198" s="664"/>
      <c r="AC198" s="664"/>
      <c r="AD198" s="664"/>
    </row>
    <row r="199" spans="1:30">
      <c r="A199" s="682"/>
      <c r="B199" s="664"/>
      <c r="C199" s="664"/>
      <c r="D199" s="664"/>
      <c r="E199" s="664"/>
      <c r="F199" s="664"/>
      <c r="G199" s="664"/>
      <c r="H199" s="664"/>
      <c r="I199" s="664"/>
      <c r="J199" s="664"/>
      <c r="K199" s="664"/>
      <c r="L199" s="664"/>
      <c r="M199" s="664"/>
      <c r="N199" s="664"/>
      <c r="O199" s="664"/>
      <c r="P199" s="664"/>
      <c r="Q199" s="664"/>
      <c r="R199" s="664"/>
      <c r="S199" s="664"/>
      <c r="T199" s="664"/>
      <c r="U199" s="664"/>
      <c r="V199" s="664"/>
      <c r="W199" s="664"/>
      <c r="X199" s="664"/>
      <c r="Y199" s="664"/>
      <c r="Z199" s="664"/>
      <c r="AA199" s="664"/>
      <c r="AB199" s="664"/>
      <c r="AC199" s="664"/>
      <c r="AD199" s="664"/>
    </row>
    <row r="200" spans="1:30">
      <c r="A200" s="682"/>
      <c r="B200" s="664"/>
      <c r="C200" s="664"/>
      <c r="D200" s="664"/>
      <c r="E200" s="664"/>
      <c r="F200" s="664"/>
      <c r="G200" s="664"/>
      <c r="H200" s="664"/>
      <c r="I200" s="664"/>
      <c r="J200" s="664"/>
      <c r="K200" s="664"/>
      <c r="L200" s="664"/>
      <c r="M200" s="664"/>
      <c r="N200" s="664"/>
      <c r="O200" s="664"/>
      <c r="P200" s="664"/>
      <c r="Q200" s="664"/>
      <c r="R200" s="664"/>
      <c r="S200" s="664"/>
      <c r="T200" s="664"/>
      <c r="U200" s="664"/>
      <c r="V200" s="664"/>
      <c r="W200" s="664"/>
      <c r="X200" s="664"/>
      <c r="Y200" s="664"/>
      <c r="Z200" s="664"/>
      <c r="AA200" s="664"/>
      <c r="AB200" s="664"/>
      <c r="AC200" s="664"/>
      <c r="AD200" s="664"/>
    </row>
    <row r="201" spans="1:30">
      <c r="A201" s="682"/>
      <c r="B201" s="664"/>
      <c r="C201" s="664"/>
      <c r="D201" s="664"/>
      <c r="E201" s="664"/>
      <c r="F201" s="664"/>
      <c r="G201" s="664"/>
      <c r="H201" s="664"/>
      <c r="I201" s="664"/>
      <c r="J201" s="664"/>
      <c r="K201" s="664"/>
      <c r="L201" s="664"/>
      <c r="M201" s="664"/>
      <c r="N201" s="664"/>
      <c r="O201" s="664"/>
      <c r="P201" s="664"/>
      <c r="Q201" s="664"/>
      <c r="R201" s="664"/>
      <c r="S201" s="664"/>
      <c r="T201" s="664"/>
      <c r="U201" s="664"/>
      <c r="V201" s="664"/>
      <c r="W201" s="664"/>
      <c r="X201" s="664"/>
      <c r="Y201" s="664"/>
      <c r="Z201" s="664"/>
      <c r="AA201" s="664"/>
      <c r="AB201" s="664"/>
      <c r="AC201" s="664"/>
      <c r="AD201" s="664"/>
    </row>
    <row r="202" spans="1:30">
      <c r="A202" s="682"/>
      <c r="B202" s="664"/>
      <c r="C202" s="664"/>
      <c r="D202" s="664"/>
      <c r="E202" s="664"/>
      <c r="F202" s="664"/>
      <c r="G202" s="664"/>
      <c r="H202" s="664"/>
      <c r="I202" s="664"/>
      <c r="J202" s="664"/>
      <c r="K202" s="664"/>
      <c r="L202" s="664"/>
      <c r="M202" s="664"/>
      <c r="N202" s="664"/>
      <c r="O202" s="664"/>
      <c r="P202" s="664"/>
      <c r="Q202" s="664"/>
      <c r="R202" s="664"/>
      <c r="S202" s="664"/>
      <c r="T202" s="664"/>
      <c r="U202" s="664"/>
      <c r="V202" s="664"/>
      <c r="W202" s="664"/>
      <c r="X202" s="664"/>
      <c r="Y202" s="664"/>
      <c r="Z202" s="664"/>
      <c r="AA202" s="664"/>
      <c r="AB202" s="664"/>
      <c r="AC202" s="664"/>
      <c r="AD202" s="664"/>
    </row>
    <row r="203" spans="1:30">
      <c r="A203" s="682"/>
      <c r="B203" s="664"/>
      <c r="C203" s="664"/>
      <c r="D203" s="664"/>
      <c r="E203" s="664"/>
      <c r="F203" s="664"/>
      <c r="G203" s="664"/>
      <c r="H203" s="664"/>
      <c r="I203" s="664"/>
      <c r="J203" s="664"/>
      <c r="K203" s="664"/>
      <c r="L203" s="664"/>
      <c r="M203" s="664"/>
      <c r="N203" s="664"/>
      <c r="O203" s="664"/>
      <c r="P203" s="664"/>
      <c r="Q203" s="664"/>
      <c r="R203" s="664"/>
      <c r="S203" s="664"/>
      <c r="T203" s="664"/>
      <c r="U203" s="664"/>
      <c r="V203" s="664"/>
      <c r="W203" s="664"/>
      <c r="X203" s="664"/>
      <c r="Y203" s="664"/>
      <c r="Z203" s="664"/>
      <c r="AA203" s="664"/>
      <c r="AB203" s="664"/>
      <c r="AC203" s="664"/>
      <c r="AD203" s="664"/>
    </row>
    <row r="204" spans="1:30">
      <c r="A204" s="682"/>
      <c r="B204" s="664"/>
      <c r="C204" s="664"/>
      <c r="D204" s="664"/>
      <c r="E204" s="664"/>
      <c r="F204" s="664"/>
      <c r="G204" s="664"/>
      <c r="H204" s="664"/>
      <c r="I204" s="664"/>
      <c r="J204" s="664"/>
      <c r="K204" s="664"/>
      <c r="L204" s="664"/>
      <c r="M204" s="664"/>
      <c r="N204" s="664"/>
      <c r="O204" s="664"/>
      <c r="P204" s="664"/>
      <c r="Q204" s="664"/>
      <c r="R204" s="664"/>
      <c r="S204" s="664"/>
      <c r="T204" s="664"/>
      <c r="U204" s="664"/>
      <c r="V204" s="664"/>
      <c r="W204" s="664"/>
      <c r="X204" s="664"/>
      <c r="Y204" s="664"/>
      <c r="Z204" s="664"/>
      <c r="AA204" s="664"/>
      <c r="AB204" s="664"/>
      <c r="AC204" s="664"/>
      <c r="AD204" s="664"/>
    </row>
    <row r="205" spans="1:30">
      <c r="A205" s="682"/>
      <c r="B205" s="664"/>
      <c r="C205" s="664"/>
      <c r="D205" s="664"/>
      <c r="E205" s="664"/>
      <c r="F205" s="664"/>
      <c r="G205" s="664"/>
      <c r="H205" s="664"/>
      <c r="I205" s="664"/>
      <c r="J205" s="664"/>
      <c r="K205" s="664"/>
      <c r="L205" s="664"/>
      <c r="M205" s="664"/>
      <c r="N205" s="664"/>
      <c r="O205" s="664"/>
      <c r="P205" s="664"/>
      <c r="Q205" s="664"/>
      <c r="R205" s="664"/>
      <c r="S205" s="664"/>
      <c r="T205" s="664"/>
      <c r="U205" s="664"/>
      <c r="V205" s="664"/>
      <c r="W205" s="664"/>
      <c r="X205" s="664"/>
      <c r="Y205" s="664"/>
      <c r="Z205" s="664"/>
      <c r="AA205" s="664"/>
      <c r="AB205" s="664"/>
      <c r="AC205" s="664"/>
      <c r="AD205" s="664"/>
    </row>
    <row r="206" spans="1:30">
      <c r="A206" s="682"/>
      <c r="B206" s="664"/>
      <c r="C206" s="664"/>
      <c r="D206" s="664"/>
      <c r="E206" s="664"/>
      <c r="F206" s="664"/>
      <c r="G206" s="664"/>
      <c r="H206" s="664"/>
      <c r="I206" s="664"/>
      <c r="J206" s="664"/>
      <c r="K206" s="664"/>
      <c r="L206" s="664"/>
      <c r="M206" s="664"/>
      <c r="N206" s="664"/>
      <c r="O206" s="664"/>
      <c r="P206" s="664"/>
      <c r="Q206" s="664"/>
      <c r="R206" s="664"/>
      <c r="S206" s="664"/>
      <c r="T206" s="664"/>
      <c r="U206" s="664"/>
      <c r="V206" s="664"/>
      <c r="W206" s="664"/>
      <c r="X206" s="664"/>
      <c r="Y206" s="664"/>
      <c r="Z206" s="664"/>
      <c r="AA206" s="664"/>
      <c r="AB206" s="664"/>
      <c r="AC206" s="664"/>
      <c r="AD206" s="664"/>
    </row>
    <row r="207" spans="1:30">
      <c r="A207" s="682"/>
      <c r="B207" s="664"/>
      <c r="C207" s="664"/>
      <c r="D207" s="664"/>
      <c r="E207" s="664"/>
      <c r="F207" s="664"/>
      <c r="G207" s="664"/>
      <c r="H207" s="664"/>
      <c r="I207" s="664"/>
      <c r="J207" s="664"/>
      <c r="K207" s="664"/>
      <c r="L207" s="664"/>
      <c r="M207" s="664"/>
      <c r="N207" s="664"/>
      <c r="O207" s="664"/>
      <c r="P207" s="664"/>
      <c r="Q207" s="664"/>
      <c r="R207" s="664"/>
      <c r="S207" s="664"/>
      <c r="T207" s="664"/>
      <c r="U207" s="664"/>
      <c r="V207" s="664"/>
      <c r="W207" s="664"/>
      <c r="X207" s="664"/>
      <c r="Y207" s="664"/>
      <c r="Z207" s="664"/>
      <c r="AA207" s="664"/>
      <c r="AB207" s="664"/>
      <c r="AC207" s="664"/>
      <c r="AD207" s="664"/>
    </row>
    <row r="208" spans="1:30">
      <c r="A208" s="682"/>
      <c r="B208" s="664"/>
      <c r="C208" s="664"/>
      <c r="D208" s="664"/>
      <c r="E208" s="664"/>
      <c r="F208" s="664"/>
      <c r="G208" s="664"/>
      <c r="H208" s="664"/>
      <c r="I208" s="664"/>
      <c r="J208" s="664"/>
      <c r="K208" s="664"/>
      <c r="L208" s="664"/>
      <c r="M208" s="664"/>
      <c r="N208" s="664"/>
      <c r="O208" s="664"/>
      <c r="P208" s="664"/>
      <c r="Q208" s="664"/>
      <c r="R208" s="664"/>
      <c r="S208" s="664"/>
      <c r="T208" s="664"/>
      <c r="U208" s="664"/>
      <c r="V208" s="664"/>
      <c r="W208" s="664"/>
      <c r="X208" s="664"/>
      <c r="Y208" s="664"/>
      <c r="Z208" s="664"/>
      <c r="AA208" s="664"/>
      <c r="AB208" s="664"/>
      <c r="AC208" s="664"/>
      <c r="AD208" s="664"/>
    </row>
    <row r="209" spans="1:30">
      <c r="A209" s="682"/>
      <c r="B209" s="664"/>
      <c r="C209" s="664"/>
      <c r="D209" s="664"/>
      <c r="E209" s="664"/>
      <c r="F209" s="664"/>
      <c r="G209" s="664"/>
      <c r="H209" s="664"/>
      <c r="I209" s="664"/>
      <c r="J209" s="664"/>
      <c r="K209" s="664"/>
      <c r="L209" s="664"/>
      <c r="M209" s="664"/>
      <c r="N209" s="664"/>
      <c r="O209" s="664"/>
      <c r="P209" s="664"/>
      <c r="Q209" s="664"/>
      <c r="R209" s="664"/>
      <c r="S209" s="664"/>
      <c r="T209" s="664"/>
      <c r="U209" s="664"/>
      <c r="V209" s="664"/>
      <c r="W209" s="664"/>
      <c r="X209" s="664"/>
      <c r="Y209" s="664"/>
      <c r="Z209" s="664"/>
      <c r="AA209" s="664"/>
      <c r="AB209" s="664"/>
      <c r="AC209" s="664"/>
      <c r="AD209" s="664"/>
    </row>
    <row r="210" spans="1:30">
      <c r="A210" s="682"/>
      <c r="B210" s="664"/>
      <c r="C210" s="664"/>
      <c r="D210" s="664"/>
      <c r="E210" s="664"/>
      <c r="F210" s="664"/>
      <c r="G210" s="664"/>
      <c r="H210" s="664"/>
      <c r="I210" s="664"/>
      <c r="J210" s="664"/>
      <c r="K210" s="664"/>
      <c r="L210" s="664"/>
      <c r="M210" s="664"/>
      <c r="N210" s="664"/>
      <c r="O210" s="664"/>
      <c r="P210" s="664"/>
      <c r="Q210" s="664"/>
      <c r="R210" s="664"/>
      <c r="S210" s="664"/>
      <c r="T210" s="664"/>
      <c r="U210" s="664"/>
      <c r="V210" s="664"/>
      <c r="W210" s="664"/>
      <c r="X210" s="664"/>
      <c r="Y210" s="664"/>
      <c r="Z210" s="664"/>
      <c r="AA210" s="664"/>
      <c r="AB210" s="664"/>
      <c r="AC210" s="664"/>
      <c r="AD210" s="664"/>
    </row>
    <row r="211" spans="1:30">
      <c r="A211" s="682"/>
      <c r="B211" s="664"/>
      <c r="C211" s="664"/>
      <c r="D211" s="664"/>
      <c r="E211" s="664"/>
      <c r="F211" s="664"/>
      <c r="G211" s="664"/>
      <c r="H211" s="664"/>
      <c r="I211" s="664"/>
      <c r="J211" s="664"/>
      <c r="K211" s="664"/>
      <c r="L211" s="664"/>
      <c r="M211" s="664"/>
      <c r="N211" s="664"/>
      <c r="O211" s="664"/>
      <c r="P211" s="664"/>
      <c r="Q211" s="664"/>
      <c r="R211" s="664"/>
      <c r="S211" s="664"/>
      <c r="T211" s="664"/>
      <c r="U211" s="664"/>
      <c r="V211" s="664"/>
      <c r="W211" s="664"/>
      <c r="X211" s="664"/>
      <c r="Y211" s="664"/>
      <c r="Z211" s="664"/>
      <c r="AA211" s="664"/>
      <c r="AB211" s="664"/>
      <c r="AC211" s="664"/>
      <c r="AD211" s="664"/>
    </row>
    <row r="212" spans="1:30">
      <c r="A212" s="682"/>
      <c r="B212" s="664"/>
      <c r="C212" s="664"/>
      <c r="D212" s="664"/>
      <c r="E212" s="664"/>
      <c r="F212" s="664"/>
      <c r="G212" s="664"/>
      <c r="H212" s="664"/>
      <c r="I212" s="664"/>
      <c r="J212" s="664"/>
      <c r="K212" s="664"/>
      <c r="L212" s="664"/>
      <c r="M212" s="664"/>
      <c r="N212" s="664"/>
      <c r="O212" s="664"/>
      <c r="P212" s="664"/>
      <c r="Q212" s="664"/>
      <c r="R212" s="664"/>
      <c r="S212" s="664"/>
      <c r="T212" s="664"/>
      <c r="U212" s="664"/>
      <c r="V212" s="664"/>
      <c r="W212" s="664"/>
      <c r="X212" s="664"/>
      <c r="Y212" s="664"/>
      <c r="Z212" s="664"/>
      <c r="AA212" s="664"/>
      <c r="AB212" s="664"/>
      <c r="AC212" s="664"/>
      <c r="AD212" s="664"/>
    </row>
    <row r="213" spans="1:30">
      <c r="A213" s="682"/>
      <c r="B213" s="664"/>
      <c r="C213" s="664"/>
      <c r="D213" s="664"/>
      <c r="E213" s="664"/>
      <c r="F213" s="664"/>
      <c r="G213" s="664"/>
      <c r="H213" s="664"/>
      <c r="I213" s="664"/>
      <c r="J213" s="664"/>
      <c r="K213" s="664"/>
      <c r="L213" s="664"/>
      <c r="M213" s="664"/>
      <c r="N213" s="664"/>
      <c r="O213" s="664"/>
      <c r="P213" s="664"/>
      <c r="Q213" s="664"/>
      <c r="R213" s="664"/>
      <c r="S213" s="664"/>
      <c r="T213" s="664"/>
      <c r="U213" s="664"/>
      <c r="V213" s="664"/>
      <c r="W213" s="664"/>
      <c r="X213" s="664"/>
      <c r="Y213" s="664"/>
      <c r="Z213" s="664"/>
      <c r="AA213" s="664"/>
      <c r="AB213" s="664"/>
      <c r="AC213" s="664"/>
      <c r="AD213" s="664"/>
    </row>
    <row r="214" spans="1:30">
      <c r="A214" s="682"/>
      <c r="B214" s="664"/>
      <c r="C214" s="664"/>
      <c r="D214" s="664"/>
      <c r="E214" s="664"/>
      <c r="F214" s="664"/>
      <c r="G214" s="664"/>
      <c r="H214" s="664"/>
      <c r="I214" s="664"/>
      <c r="J214" s="664"/>
      <c r="K214" s="664"/>
      <c r="L214" s="664"/>
      <c r="M214" s="664"/>
      <c r="N214" s="664"/>
      <c r="O214" s="664"/>
      <c r="P214" s="664"/>
      <c r="Q214" s="664"/>
      <c r="R214" s="664"/>
      <c r="S214" s="664"/>
      <c r="T214" s="664"/>
      <c r="U214" s="664"/>
      <c r="V214" s="664"/>
      <c r="W214" s="664"/>
      <c r="X214" s="664"/>
      <c r="Y214" s="664"/>
      <c r="Z214" s="664"/>
      <c r="AA214" s="664"/>
      <c r="AB214" s="664"/>
      <c r="AC214" s="664"/>
      <c r="AD214" s="664"/>
    </row>
    <row r="215" spans="1:30">
      <c r="A215" s="682"/>
      <c r="B215" s="664"/>
      <c r="C215" s="664"/>
      <c r="D215" s="664"/>
      <c r="E215" s="664"/>
      <c r="F215" s="664"/>
      <c r="G215" s="664"/>
      <c r="H215" s="664"/>
      <c r="I215" s="664"/>
      <c r="J215" s="664"/>
      <c r="K215" s="664"/>
      <c r="L215" s="664"/>
      <c r="M215" s="664"/>
      <c r="N215" s="664"/>
      <c r="O215" s="664"/>
      <c r="P215" s="664"/>
      <c r="Q215" s="664"/>
      <c r="R215" s="664"/>
      <c r="S215" s="664"/>
      <c r="T215" s="664"/>
      <c r="U215" s="664"/>
      <c r="V215" s="664"/>
      <c r="W215" s="664"/>
      <c r="X215" s="664"/>
      <c r="Y215" s="664"/>
      <c r="Z215" s="664"/>
      <c r="AA215" s="664"/>
      <c r="AB215" s="664"/>
      <c r="AC215" s="664"/>
      <c r="AD215" s="664"/>
    </row>
    <row r="216" spans="1:30">
      <c r="A216" s="682"/>
      <c r="B216" s="664"/>
      <c r="C216" s="664"/>
      <c r="D216" s="664"/>
      <c r="E216" s="664"/>
      <c r="F216" s="664"/>
      <c r="G216" s="664"/>
      <c r="H216" s="664"/>
      <c r="I216" s="664"/>
      <c r="J216" s="664"/>
      <c r="K216" s="664"/>
      <c r="L216" s="664"/>
      <c r="M216" s="664"/>
      <c r="N216" s="664"/>
      <c r="O216" s="664"/>
      <c r="P216" s="664"/>
      <c r="Q216" s="664"/>
      <c r="R216" s="664"/>
      <c r="S216" s="664"/>
      <c r="T216" s="664"/>
      <c r="U216" s="664"/>
      <c r="V216" s="664"/>
      <c r="W216" s="664"/>
      <c r="X216" s="664"/>
      <c r="Y216" s="664"/>
      <c r="Z216" s="664"/>
      <c r="AA216" s="664"/>
      <c r="AB216" s="664"/>
      <c r="AC216" s="664"/>
      <c r="AD216" s="664"/>
    </row>
    <row r="217" spans="1:30">
      <c r="A217" s="682"/>
      <c r="B217" s="664"/>
      <c r="C217" s="664"/>
      <c r="D217" s="664"/>
      <c r="E217" s="664"/>
      <c r="F217" s="664"/>
      <c r="G217" s="664"/>
      <c r="H217" s="664"/>
      <c r="I217" s="664"/>
      <c r="J217" s="664"/>
      <c r="K217" s="664"/>
      <c r="L217" s="664"/>
      <c r="M217" s="664"/>
      <c r="N217" s="664"/>
      <c r="O217" s="664"/>
      <c r="P217" s="664"/>
      <c r="Q217" s="664"/>
      <c r="R217" s="664"/>
      <c r="S217" s="664"/>
      <c r="T217" s="664"/>
      <c r="U217" s="664"/>
      <c r="V217" s="664"/>
      <c r="W217" s="664"/>
      <c r="X217" s="664"/>
      <c r="Y217" s="664"/>
      <c r="Z217" s="664"/>
      <c r="AA217" s="664"/>
      <c r="AB217" s="664"/>
      <c r="AC217" s="664"/>
      <c r="AD217" s="664"/>
    </row>
    <row r="218" spans="1:30">
      <c r="A218" s="682"/>
      <c r="B218" s="664"/>
      <c r="C218" s="664"/>
      <c r="D218" s="664"/>
      <c r="E218" s="664"/>
      <c r="F218" s="664"/>
      <c r="G218" s="664"/>
      <c r="H218" s="664"/>
      <c r="I218" s="664"/>
      <c r="J218" s="664"/>
      <c r="K218" s="664"/>
      <c r="L218" s="664"/>
      <c r="M218" s="664"/>
      <c r="N218" s="664"/>
      <c r="O218" s="664"/>
      <c r="P218" s="664"/>
      <c r="Q218" s="664"/>
      <c r="R218" s="664"/>
      <c r="S218" s="664"/>
      <c r="T218" s="664"/>
      <c r="U218" s="664"/>
      <c r="V218" s="664"/>
      <c r="W218" s="664"/>
      <c r="X218" s="664"/>
      <c r="Y218" s="664"/>
      <c r="Z218" s="664"/>
      <c r="AA218" s="664"/>
      <c r="AB218" s="664"/>
      <c r="AC218" s="664"/>
      <c r="AD218" s="664"/>
    </row>
    <row r="219" spans="1:30">
      <c r="A219" s="682"/>
      <c r="B219" s="664"/>
      <c r="C219" s="664"/>
      <c r="D219" s="664"/>
      <c r="E219" s="664"/>
      <c r="F219" s="664"/>
      <c r="G219" s="664"/>
      <c r="H219" s="664"/>
      <c r="I219" s="664"/>
      <c r="J219" s="664"/>
      <c r="K219" s="664"/>
      <c r="L219" s="664"/>
      <c r="M219" s="664"/>
      <c r="N219" s="664"/>
      <c r="O219" s="664"/>
      <c r="P219" s="664"/>
      <c r="Q219" s="664"/>
      <c r="R219" s="664"/>
      <c r="S219" s="664"/>
      <c r="T219" s="664"/>
      <c r="U219" s="664"/>
      <c r="V219" s="664"/>
      <c r="W219" s="664"/>
      <c r="X219" s="664"/>
      <c r="Y219" s="664"/>
      <c r="Z219" s="664"/>
      <c r="AA219" s="664"/>
      <c r="AB219" s="664"/>
      <c r="AC219" s="664"/>
      <c r="AD219" s="664"/>
    </row>
    <row r="220" spans="1:30">
      <c r="A220" s="682"/>
      <c r="B220" s="664"/>
      <c r="C220" s="664"/>
      <c r="D220" s="664"/>
      <c r="E220" s="664"/>
      <c r="F220" s="664"/>
      <c r="G220" s="664"/>
      <c r="H220" s="664"/>
      <c r="I220" s="664"/>
      <c r="J220" s="664"/>
      <c r="K220" s="664"/>
      <c r="L220" s="664"/>
      <c r="M220" s="664"/>
      <c r="N220" s="664"/>
      <c r="O220" s="664"/>
      <c r="P220" s="664"/>
      <c r="Q220" s="664"/>
      <c r="R220" s="664"/>
      <c r="S220" s="664"/>
      <c r="T220" s="664"/>
      <c r="U220" s="664"/>
      <c r="V220" s="664"/>
      <c r="W220" s="664"/>
      <c r="X220" s="664"/>
      <c r="Y220" s="664"/>
      <c r="Z220" s="664"/>
      <c r="AA220" s="664"/>
      <c r="AB220" s="664"/>
      <c r="AC220" s="664"/>
      <c r="AD220" s="664"/>
    </row>
    <row r="221" spans="1:30">
      <c r="A221" s="682"/>
      <c r="B221" s="664"/>
      <c r="C221" s="664"/>
      <c r="D221" s="664"/>
      <c r="E221" s="664"/>
      <c r="F221" s="664"/>
      <c r="G221" s="664"/>
      <c r="H221" s="664"/>
      <c r="I221" s="664"/>
      <c r="J221" s="664"/>
      <c r="K221" s="664"/>
      <c r="L221" s="664"/>
      <c r="M221" s="664"/>
      <c r="N221" s="664"/>
      <c r="O221" s="664"/>
      <c r="P221" s="664"/>
      <c r="Q221" s="664"/>
      <c r="R221" s="664"/>
      <c r="S221" s="664"/>
      <c r="T221" s="664"/>
      <c r="U221" s="664"/>
      <c r="V221" s="664"/>
      <c r="W221" s="664"/>
      <c r="X221" s="664"/>
      <c r="Y221" s="664"/>
      <c r="Z221" s="664"/>
      <c r="AA221" s="664"/>
      <c r="AB221" s="664"/>
      <c r="AC221" s="664"/>
      <c r="AD221" s="664"/>
    </row>
    <row r="222" spans="1:30">
      <c r="A222" s="682"/>
      <c r="B222" s="664"/>
      <c r="C222" s="664"/>
      <c r="D222" s="664"/>
      <c r="E222" s="664"/>
      <c r="F222" s="664"/>
      <c r="G222" s="664"/>
      <c r="H222" s="664"/>
      <c r="I222" s="664"/>
      <c r="J222" s="664"/>
      <c r="K222" s="664"/>
      <c r="L222" s="664"/>
      <c r="M222" s="664"/>
      <c r="N222" s="664"/>
      <c r="O222" s="664"/>
      <c r="P222" s="664"/>
      <c r="Q222" s="664"/>
      <c r="R222" s="664"/>
      <c r="S222" s="664"/>
      <c r="T222" s="664"/>
      <c r="U222" s="664"/>
      <c r="V222" s="664"/>
      <c r="W222" s="664"/>
      <c r="X222" s="664"/>
      <c r="Y222" s="664"/>
      <c r="Z222" s="664"/>
      <c r="AA222" s="664"/>
      <c r="AB222" s="664"/>
      <c r="AC222" s="664"/>
      <c r="AD222" s="664"/>
    </row>
    <row r="223" spans="1:30">
      <c r="A223" s="682"/>
      <c r="B223" s="664"/>
      <c r="C223" s="664"/>
      <c r="D223" s="664"/>
      <c r="E223" s="664"/>
      <c r="F223" s="664"/>
      <c r="G223" s="664"/>
      <c r="H223" s="664"/>
      <c r="I223" s="664"/>
      <c r="J223" s="664"/>
      <c r="K223" s="664"/>
      <c r="L223" s="664"/>
      <c r="M223" s="664"/>
      <c r="N223" s="664"/>
      <c r="O223" s="664"/>
      <c r="P223" s="664"/>
      <c r="Q223" s="664"/>
      <c r="R223" s="664"/>
      <c r="S223" s="664"/>
      <c r="T223" s="664"/>
      <c r="U223" s="664"/>
      <c r="V223" s="664"/>
      <c r="W223" s="664"/>
      <c r="X223" s="664"/>
      <c r="Y223" s="664"/>
      <c r="Z223" s="664"/>
      <c r="AA223" s="664"/>
      <c r="AB223" s="664"/>
      <c r="AC223" s="664"/>
      <c r="AD223" s="664"/>
    </row>
    <row r="224" spans="1:30">
      <c r="A224" s="682"/>
      <c r="B224" s="664"/>
      <c r="C224" s="664"/>
      <c r="D224" s="664"/>
      <c r="E224" s="664"/>
      <c r="F224" s="664"/>
      <c r="G224" s="664"/>
      <c r="H224" s="664"/>
      <c r="I224" s="664"/>
      <c r="J224" s="664"/>
      <c r="K224" s="664"/>
      <c r="L224" s="664"/>
      <c r="M224" s="664"/>
      <c r="N224" s="664"/>
      <c r="O224" s="664"/>
      <c r="P224" s="664"/>
      <c r="Q224" s="664"/>
      <c r="R224" s="664"/>
      <c r="S224" s="664"/>
      <c r="T224" s="664"/>
      <c r="U224" s="664"/>
      <c r="V224" s="664"/>
      <c r="W224" s="664"/>
      <c r="X224" s="664"/>
      <c r="Y224" s="664"/>
      <c r="Z224" s="664"/>
      <c r="AA224" s="664"/>
      <c r="AB224" s="664"/>
      <c r="AC224" s="664"/>
      <c r="AD224" s="664"/>
    </row>
    <row r="225" spans="1:30">
      <c r="A225" s="682"/>
      <c r="B225" s="664"/>
      <c r="C225" s="664"/>
      <c r="D225" s="664"/>
      <c r="E225" s="664"/>
      <c r="F225" s="664"/>
      <c r="G225" s="664"/>
      <c r="H225" s="664"/>
      <c r="I225" s="664"/>
      <c r="J225" s="664"/>
      <c r="K225" s="664"/>
      <c r="L225" s="664"/>
      <c r="M225" s="664"/>
      <c r="N225" s="664"/>
      <c r="O225" s="664"/>
      <c r="P225" s="664"/>
      <c r="Q225" s="664"/>
      <c r="R225" s="664"/>
      <c r="S225" s="664"/>
      <c r="T225" s="664"/>
      <c r="U225" s="664"/>
      <c r="V225" s="664"/>
      <c r="W225" s="664"/>
      <c r="X225" s="664"/>
      <c r="Y225" s="664"/>
      <c r="Z225" s="664"/>
      <c r="AA225" s="664"/>
      <c r="AB225" s="664"/>
      <c r="AC225" s="664"/>
      <c r="AD225" s="664"/>
    </row>
    <row r="226" spans="1:30">
      <c r="A226" s="682"/>
      <c r="B226" s="664"/>
      <c r="C226" s="664"/>
      <c r="D226" s="664"/>
      <c r="E226" s="664"/>
      <c r="F226" s="664"/>
      <c r="G226" s="664"/>
      <c r="H226" s="664"/>
      <c r="I226" s="664"/>
      <c r="J226" s="664"/>
      <c r="K226" s="664"/>
      <c r="L226" s="664"/>
      <c r="M226" s="664"/>
      <c r="N226" s="664"/>
      <c r="O226" s="664"/>
      <c r="P226" s="664"/>
      <c r="Q226" s="664"/>
      <c r="R226" s="664"/>
      <c r="S226" s="664"/>
      <c r="T226" s="664"/>
      <c r="U226" s="664"/>
      <c r="V226" s="664"/>
      <c r="W226" s="664"/>
      <c r="X226" s="664"/>
      <c r="Y226" s="664"/>
      <c r="Z226" s="664"/>
      <c r="AA226" s="664"/>
      <c r="AB226" s="664"/>
      <c r="AC226" s="664"/>
      <c r="AD226" s="664"/>
    </row>
    <row r="227" spans="1:30">
      <c r="A227" s="682"/>
      <c r="B227" s="664"/>
      <c r="C227" s="664"/>
      <c r="D227" s="664"/>
      <c r="E227" s="664"/>
      <c r="F227" s="664"/>
      <c r="G227" s="664"/>
      <c r="H227" s="664"/>
      <c r="I227" s="664"/>
      <c r="J227" s="664"/>
      <c r="K227" s="664"/>
      <c r="L227" s="664"/>
      <c r="M227" s="664"/>
      <c r="N227" s="664"/>
      <c r="O227" s="664"/>
      <c r="P227" s="664"/>
      <c r="Q227" s="664"/>
      <c r="R227" s="664"/>
      <c r="S227" s="664"/>
      <c r="T227" s="664"/>
      <c r="U227" s="664"/>
      <c r="V227" s="664"/>
      <c r="W227" s="664"/>
      <c r="X227" s="664"/>
      <c r="Y227" s="664"/>
      <c r="Z227" s="664"/>
      <c r="AA227" s="664"/>
      <c r="AB227" s="664"/>
      <c r="AC227" s="664"/>
      <c r="AD227" s="664"/>
    </row>
    <row r="228" spans="1:30">
      <c r="A228" s="682"/>
      <c r="B228" s="664"/>
      <c r="C228" s="664"/>
      <c r="D228" s="664"/>
      <c r="E228" s="664"/>
      <c r="F228" s="664"/>
      <c r="G228" s="664"/>
      <c r="H228" s="664"/>
      <c r="I228" s="664"/>
      <c r="J228" s="664"/>
      <c r="K228" s="664"/>
      <c r="L228" s="664"/>
      <c r="M228" s="664"/>
      <c r="N228" s="664"/>
      <c r="O228" s="664"/>
      <c r="P228" s="664"/>
      <c r="Q228" s="664"/>
      <c r="R228" s="664"/>
      <c r="S228" s="664"/>
      <c r="T228" s="664"/>
      <c r="U228" s="664"/>
      <c r="V228" s="664"/>
      <c r="W228" s="664"/>
      <c r="X228" s="664"/>
      <c r="Y228" s="664"/>
      <c r="Z228" s="664"/>
      <c r="AA228" s="664"/>
      <c r="AB228" s="664"/>
      <c r="AC228" s="664"/>
      <c r="AD228" s="664"/>
    </row>
    <row r="229" spans="1:30">
      <c r="A229" s="682"/>
      <c r="B229" s="664"/>
      <c r="C229" s="664"/>
      <c r="D229" s="664"/>
      <c r="E229" s="664"/>
      <c r="F229" s="664"/>
      <c r="G229" s="664"/>
      <c r="H229" s="664"/>
      <c r="I229" s="664"/>
      <c r="J229" s="664"/>
      <c r="K229" s="664"/>
      <c r="L229" s="664"/>
      <c r="M229" s="664"/>
      <c r="N229" s="664"/>
      <c r="O229" s="664"/>
      <c r="P229" s="664"/>
      <c r="Q229" s="664"/>
      <c r="R229" s="664"/>
      <c r="S229" s="664"/>
      <c r="T229" s="664"/>
      <c r="U229" s="664"/>
      <c r="V229" s="664"/>
      <c r="W229" s="664"/>
      <c r="X229" s="664"/>
      <c r="Y229" s="664"/>
      <c r="Z229" s="664"/>
      <c r="AA229" s="664"/>
      <c r="AB229" s="664"/>
      <c r="AC229" s="664"/>
      <c r="AD229" s="664"/>
    </row>
    <row r="230" spans="1:30">
      <c r="A230" s="682"/>
      <c r="B230" s="664"/>
      <c r="C230" s="664"/>
      <c r="D230" s="664"/>
      <c r="E230" s="664"/>
      <c r="F230" s="664"/>
      <c r="G230" s="664"/>
      <c r="H230" s="664"/>
      <c r="I230" s="664"/>
      <c r="J230" s="664"/>
      <c r="K230" s="664"/>
      <c r="L230" s="664"/>
      <c r="M230" s="664"/>
      <c r="N230" s="664"/>
      <c r="O230" s="664"/>
      <c r="P230" s="664"/>
      <c r="Q230" s="664"/>
      <c r="R230" s="664"/>
      <c r="S230" s="664"/>
      <c r="T230" s="664"/>
      <c r="U230" s="664"/>
      <c r="V230" s="664"/>
      <c r="W230" s="664"/>
      <c r="X230" s="664"/>
      <c r="Y230" s="664"/>
      <c r="Z230" s="664"/>
      <c r="AA230" s="664"/>
      <c r="AB230" s="664"/>
      <c r="AC230" s="664"/>
      <c r="AD230" s="664"/>
    </row>
    <row r="231" spans="1:30">
      <c r="A231" s="1550"/>
      <c r="B231" s="664"/>
      <c r="C231" s="664"/>
      <c r="D231" s="664"/>
      <c r="E231" s="664"/>
      <c r="F231" s="664"/>
      <c r="G231" s="664"/>
      <c r="H231" s="664"/>
      <c r="I231" s="664"/>
      <c r="J231" s="664"/>
      <c r="K231" s="664"/>
      <c r="L231" s="664"/>
      <c r="M231" s="664"/>
      <c r="N231" s="664"/>
      <c r="O231" s="664"/>
      <c r="P231" s="664"/>
      <c r="Q231" s="664"/>
      <c r="R231" s="664"/>
      <c r="S231" s="664"/>
      <c r="T231" s="664"/>
      <c r="U231" s="664"/>
      <c r="V231" s="664"/>
      <c r="W231" s="664"/>
      <c r="X231" s="664"/>
      <c r="Y231" s="664"/>
      <c r="Z231" s="664"/>
      <c r="AA231" s="664"/>
      <c r="AB231" s="664"/>
      <c r="AC231" s="664"/>
      <c r="AD231" s="664"/>
    </row>
    <row r="232" spans="1:30">
      <c r="A232" s="1550"/>
      <c r="B232" s="664"/>
      <c r="C232" s="664"/>
      <c r="D232" s="664"/>
      <c r="E232" s="664"/>
      <c r="F232" s="664"/>
      <c r="G232" s="664"/>
      <c r="H232" s="664"/>
      <c r="I232" s="664"/>
      <c r="J232" s="664"/>
      <c r="K232" s="664"/>
      <c r="L232" s="664"/>
      <c r="M232" s="664"/>
      <c r="N232" s="664"/>
      <c r="O232" s="664"/>
      <c r="P232" s="664"/>
      <c r="Q232" s="664"/>
      <c r="R232" s="664"/>
      <c r="S232" s="664"/>
      <c r="T232" s="664"/>
      <c r="U232" s="664"/>
      <c r="V232" s="664"/>
      <c r="W232" s="664"/>
      <c r="X232" s="664"/>
      <c r="Y232" s="664"/>
      <c r="Z232" s="664"/>
      <c r="AA232" s="664"/>
      <c r="AB232" s="664"/>
      <c r="AC232" s="664"/>
      <c r="AD232" s="664"/>
    </row>
    <row r="233" spans="1:30">
      <c r="A233" s="1550"/>
      <c r="B233" s="664"/>
      <c r="C233" s="664"/>
      <c r="D233" s="664"/>
      <c r="E233" s="664"/>
      <c r="F233" s="664"/>
      <c r="G233" s="664"/>
      <c r="H233" s="664"/>
      <c r="I233" s="664"/>
      <c r="J233" s="664"/>
      <c r="K233" s="664"/>
      <c r="L233" s="664"/>
      <c r="M233" s="664"/>
      <c r="N233" s="664"/>
      <c r="O233" s="664"/>
      <c r="P233" s="664"/>
      <c r="Q233" s="664"/>
      <c r="R233" s="664"/>
      <c r="S233" s="664"/>
      <c r="T233" s="664"/>
      <c r="U233" s="664"/>
      <c r="V233" s="664"/>
      <c r="W233" s="664"/>
      <c r="X233" s="664"/>
      <c r="Y233" s="664"/>
      <c r="Z233" s="664"/>
      <c r="AA233" s="664"/>
      <c r="AB233" s="664"/>
      <c r="AC233" s="664"/>
      <c r="AD233" s="664"/>
    </row>
    <row r="234" spans="1:30">
      <c r="A234" s="1550"/>
      <c r="B234" s="664"/>
      <c r="C234" s="664"/>
      <c r="D234" s="664"/>
      <c r="E234" s="664"/>
      <c r="F234" s="664"/>
      <c r="G234" s="664"/>
      <c r="H234" s="664"/>
      <c r="I234" s="664"/>
      <c r="J234" s="664"/>
      <c r="K234" s="664"/>
      <c r="L234" s="664"/>
      <c r="M234" s="664"/>
      <c r="N234" s="664"/>
      <c r="O234" s="664"/>
      <c r="P234" s="664"/>
      <c r="Q234" s="664"/>
      <c r="R234" s="664"/>
      <c r="S234" s="664"/>
      <c r="T234" s="664"/>
      <c r="U234" s="664"/>
      <c r="V234" s="664"/>
      <c r="W234" s="664"/>
      <c r="X234" s="664"/>
      <c r="Y234" s="664"/>
      <c r="Z234" s="664"/>
      <c r="AA234" s="664"/>
      <c r="AB234" s="664"/>
      <c r="AC234" s="664"/>
      <c r="AD234" s="664"/>
    </row>
    <row r="235" spans="1:30">
      <c r="A235" s="1550"/>
      <c r="B235" s="664"/>
      <c r="C235" s="664"/>
      <c r="D235" s="664"/>
      <c r="E235" s="664"/>
      <c r="F235" s="664"/>
      <c r="G235" s="664"/>
      <c r="H235" s="664"/>
      <c r="I235" s="664"/>
      <c r="J235" s="664"/>
      <c r="K235" s="664"/>
      <c r="L235" s="664"/>
      <c r="M235" s="664"/>
      <c r="N235" s="664"/>
      <c r="O235" s="664"/>
      <c r="P235" s="664"/>
      <c r="Q235" s="664"/>
      <c r="R235" s="664"/>
      <c r="S235" s="664"/>
      <c r="T235" s="664"/>
      <c r="U235" s="664"/>
      <c r="V235" s="664"/>
      <c r="W235" s="664"/>
      <c r="X235" s="664"/>
      <c r="Y235" s="664"/>
      <c r="Z235" s="664"/>
      <c r="AA235" s="664"/>
      <c r="AB235" s="664"/>
      <c r="AC235" s="664"/>
      <c r="AD235" s="664"/>
    </row>
    <row r="236" spans="1:30">
      <c r="A236" s="1550"/>
      <c r="B236" s="664"/>
      <c r="C236" s="664"/>
      <c r="D236" s="664"/>
      <c r="E236" s="664"/>
      <c r="F236" s="664"/>
      <c r="G236" s="664"/>
      <c r="H236" s="664"/>
      <c r="I236" s="664"/>
      <c r="J236" s="664"/>
      <c r="K236" s="664"/>
      <c r="L236" s="664"/>
      <c r="M236" s="664"/>
      <c r="N236" s="664"/>
      <c r="O236" s="664"/>
      <c r="P236" s="664"/>
      <c r="Q236" s="664"/>
      <c r="R236" s="664"/>
      <c r="S236" s="664"/>
      <c r="T236" s="664"/>
      <c r="U236" s="664"/>
      <c r="V236" s="664"/>
      <c r="W236" s="664"/>
      <c r="X236" s="664"/>
      <c r="Y236" s="664"/>
      <c r="Z236" s="664"/>
      <c r="AA236" s="664"/>
      <c r="AB236" s="664"/>
      <c r="AC236" s="664"/>
      <c r="AD236" s="664"/>
    </row>
    <row r="237" spans="1:30">
      <c r="A237" s="1550"/>
      <c r="B237" s="664"/>
      <c r="C237" s="664"/>
      <c r="D237" s="664"/>
      <c r="E237" s="664"/>
      <c r="F237" s="664"/>
      <c r="G237" s="664"/>
      <c r="H237" s="664"/>
      <c r="I237" s="664"/>
      <c r="J237" s="664"/>
      <c r="K237" s="664"/>
      <c r="L237" s="664"/>
      <c r="M237" s="664"/>
      <c r="N237" s="664"/>
      <c r="O237" s="664"/>
      <c r="P237" s="664"/>
      <c r="Q237" s="664"/>
      <c r="R237" s="664"/>
      <c r="S237" s="664"/>
      <c r="T237" s="664"/>
      <c r="U237" s="664"/>
      <c r="V237" s="664"/>
      <c r="W237" s="664"/>
      <c r="X237" s="664"/>
      <c r="Y237" s="664"/>
      <c r="Z237" s="664"/>
      <c r="AA237" s="664"/>
      <c r="AB237" s="664"/>
      <c r="AC237" s="664"/>
      <c r="AD237" s="664"/>
    </row>
    <row r="238" spans="1:30">
      <c r="A238" s="1550"/>
      <c r="B238" s="664"/>
      <c r="C238" s="664"/>
      <c r="D238" s="664"/>
      <c r="E238" s="664"/>
      <c r="F238" s="664"/>
      <c r="G238" s="664"/>
      <c r="H238" s="664"/>
      <c r="I238" s="664"/>
      <c r="J238" s="664"/>
      <c r="K238" s="664"/>
      <c r="L238" s="664"/>
      <c r="M238" s="664"/>
      <c r="N238" s="664"/>
      <c r="O238" s="664"/>
      <c r="P238" s="664"/>
      <c r="Q238" s="664"/>
      <c r="R238" s="664"/>
      <c r="S238" s="664"/>
      <c r="T238" s="664"/>
      <c r="U238" s="664"/>
      <c r="V238" s="664"/>
      <c r="W238" s="664"/>
      <c r="X238" s="664"/>
      <c r="Y238" s="664"/>
      <c r="Z238" s="664"/>
      <c r="AA238" s="664"/>
      <c r="AB238" s="664"/>
      <c r="AC238" s="664"/>
      <c r="AD238" s="664"/>
    </row>
    <row r="239" spans="1:30">
      <c r="A239" s="1550"/>
      <c r="B239" s="664"/>
      <c r="C239" s="664"/>
      <c r="D239" s="664"/>
      <c r="E239" s="664"/>
      <c r="F239" s="664"/>
      <c r="G239" s="664"/>
      <c r="H239" s="664"/>
      <c r="I239" s="664"/>
      <c r="J239" s="664"/>
      <c r="K239" s="664"/>
      <c r="L239" s="664"/>
      <c r="M239" s="664"/>
      <c r="N239" s="664"/>
      <c r="O239" s="664"/>
      <c r="P239" s="664"/>
      <c r="Q239" s="664"/>
      <c r="R239" s="664"/>
      <c r="S239" s="664"/>
      <c r="T239" s="664"/>
      <c r="U239" s="664"/>
      <c r="V239" s="664"/>
      <c r="W239" s="664"/>
      <c r="X239" s="664"/>
      <c r="Y239" s="664"/>
      <c r="Z239" s="664"/>
      <c r="AA239" s="664"/>
      <c r="AB239" s="664"/>
      <c r="AC239" s="664"/>
      <c r="AD239" s="664"/>
    </row>
    <row r="240" spans="1:30">
      <c r="A240" s="1550"/>
      <c r="B240" s="664"/>
      <c r="C240" s="664"/>
      <c r="D240" s="664"/>
      <c r="E240" s="664"/>
      <c r="F240" s="664"/>
      <c r="G240" s="664"/>
      <c r="H240" s="664"/>
      <c r="I240" s="664"/>
      <c r="J240" s="664"/>
      <c r="K240" s="664"/>
      <c r="L240" s="664"/>
      <c r="M240" s="664"/>
      <c r="N240" s="664"/>
      <c r="O240" s="664"/>
      <c r="P240" s="664"/>
      <c r="Q240" s="664"/>
      <c r="R240" s="664"/>
      <c r="S240" s="664"/>
      <c r="T240" s="664"/>
      <c r="U240" s="664"/>
      <c r="V240" s="664"/>
      <c r="W240" s="664"/>
      <c r="X240" s="664"/>
      <c r="Y240" s="664"/>
      <c r="Z240" s="664"/>
      <c r="AA240" s="664"/>
      <c r="AB240" s="664"/>
      <c r="AC240" s="664"/>
      <c r="AD240" s="664"/>
    </row>
    <row r="241" spans="1:30">
      <c r="A241" s="1550"/>
      <c r="B241" s="664"/>
      <c r="C241" s="664"/>
      <c r="D241" s="664"/>
      <c r="E241" s="664"/>
      <c r="F241" s="664"/>
      <c r="G241" s="664"/>
      <c r="H241" s="664"/>
      <c r="I241" s="664"/>
      <c r="J241" s="664"/>
      <c r="K241" s="664"/>
      <c r="L241" s="664"/>
      <c r="M241" s="664"/>
      <c r="N241" s="664"/>
      <c r="O241" s="664"/>
      <c r="P241" s="664"/>
      <c r="Q241" s="664"/>
      <c r="R241" s="664"/>
      <c r="S241" s="664"/>
      <c r="T241" s="664"/>
      <c r="U241" s="664"/>
      <c r="V241" s="664"/>
      <c r="W241" s="664"/>
      <c r="X241" s="664"/>
      <c r="Y241" s="664"/>
      <c r="Z241" s="664"/>
      <c r="AA241" s="664"/>
      <c r="AB241" s="664"/>
      <c r="AC241" s="664"/>
      <c r="AD241" s="664"/>
    </row>
    <row r="242" spans="1:30">
      <c r="A242" s="1550"/>
      <c r="B242" s="664"/>
      <c r="C242" s="664"/>
      <c r="D242" s="664"/>
      <c r="E242" s="664"/>
      <c r="F242" s="664"/>
      <c r="G242" s="664"/>
      <c r="H242" s="664"/>
      <c r="I242" s="664"/>
      <c r="J242" s="664"/>
      <c r="K242" s="664"/>
      <c r="L242" s="664"/>
      <c r="M242" s="664"/>
      <c r="N242" s="664"/>
      <c r="O242" s="664"/>
      <c r="P242" s="664"/>
      <c r="Q242" s="664"/>
      <c r="R242" s="664"/>
      <c r="S242" s="664"/>
      <c r="T242" s="664"/>
      <c r="U242" s="664"/>
      <c r="V242" s="664"/>
      <c r="W242" s="664"/>
      <c r="X242" s="664"/>
      <c r="Y242" s="664"/>
      <c r="Z242" s="664"/>
      <c r="AA242" s="664"/>
      <c r="AB242" s="664"/>
      <c r="AC242" s="664"/>
      <c r="AD242" s="664"/>
    </row>
    <row r="243" spans="1:30">
      <c r="A243" s="1550"/>
      <c r="B243" s="664"/>
      <c r="C243" s="664"/>
      <c r="D243" s="664"/>
      <c r="E243" s="664"/>
      <c r="F243" s="664"/>
      <c r="G243" s="664"/>
      <c r="H243" s="664"/>
      <c r="I243" s="664"/>
      <c r="J243" s="664"/>
      <c r="K243" s="664"/>
      <c r="L243" s="664"/>
      <c r="M243" s="664"/>
      <c r="N243" s="664"/>
      <c r="O243" s="664"/>
      <c r="P243" s="664"/>
      <c r="Q243" s="664"/>
      <c r="R243" s="664"/>
      <c r="S243" s="664"/>
      <c r="T243" s="664"/>
      <c r="U243" s="664"/>
      <c r="V243" s="664"/>
      <c r="W243" s="664"/>
      <c r="X243" s="664"/>
      <c r="Y243" s="664"/>
      <c r="Z243" s="664"/>
      <c r="AA243" s="664"/>
      <c r="AB243" s="664"/>
      <c r="AC243" s="664"/>
      <c r="AD243" s="664"/>
    </row>
    <row r="244" spans="1:30">
      <c r="A244" s="1550"/>
      <c r="B244" s="664"/>
      <c r="C244" s="664"/>
      <c r="D244" s="664"/>
      <c r="E244" s="664"/>
      <c r="F244" s="664"/>
      <c r="G244" s="664"/>
      <c r="H244" s="664"/>
      <c r="I244" s="664"/>
      <c r="J244" s="664"/>
      <c r="K244" s="664"/>
      <c r="L244" s="664"/>
      <c r="M244" s="664"/>
      <c r="N244" s="664"/>
      <c r="O244" s="664"/>
      <c r="P244" s="664"/>
      <c r="Q244" s="664"/>
      <c r="R244" s="664"/>
      <c r="S244" s="664"/>
      <c r="T244" s="664"/>
      <c r="U244" s="664"/>
      <c r="V244" s="664"/>
      <c r="W244" s="664"/>
      <c r="X244" s="664"/>
      <c r="Y244" s="664"/>
      <c r="Z244" s="664"/>
      <c r="AA244" s="664"/>
      <c r="AB244" s="664"/>
      <c r="AC244" s="664"/>
      <c r="AD244" s="664"/>
    </row>
    <row r="245" spans="1:30">
      <c r="A245" s="1550"/>
      <c r="B245" s="664"/>
      <c r="C245" s="664"/>
      <c r="D245" s="664"/>
      <c r="E245" s="664"/>
      <c r="F245" s="664"/>
      <c r="G245" s="664"/>
      <c r="H245" s="664"/>
      <c r="I245" s="664"/>
      <c r="J245" s="664"/>
      <c r="K245" s="664"/>
      <c r="L245" s="664"/>
      <c r="M245" s="664"/>
      <c r="N245" s="664"/>
      <c r="O245" s="664"/>
      <c r="P245" s="664"/>
      <c r="Q245" s="664"/>
      <c r="R245" s="664"/>
      <c r="S245" s="664"/>
      <c r="T245" s="664"/>
      <c r="U245" s="664"/>
      <c r="V245" s="664"/>
      <c r="W245" s="664"/>
      <c r="X245" s="664"/>
      <c r="Y245" s="664"/>
      <c r="Z245" s="664"/>
      <c r="AA245" s="664"/>
      <c r="AB245" s="664"/>
      <c r="AC245" s="664"/>
      <c r="AD245" s="664"/>
    </row>
    <row r="246" spans="1:30">
      <c r="A246" s="1550"/>
      <c r="B246" s="664"/>
      <c r="C246" s="664"/>
      <c r="D246" s="664"/>
      <c r="E246" s="664"/>
      <c r="F246" s="664"/>
      <c r="G246" s="664"/>
      <c r="H246" s="664"/>
      <c r="I246" s="664"/>
      <c r="J246" s="664"/>
      <c r="K246" s="664"/>
      <c r="L246" s="664"/>
      <c r="M246" s="664"/>
      <c r="N246" s="664"/>
      <c r="O246" s="664"/>
      <c r="P246" s="664"/>
      <c r="Q246" s="664"/>
      <c r="R246" s="664"/>
      <c r="S246" s="664"/>
      <c r="T246" s="664"/>
      <c r="U246" s="664"/>
      <c r="V246" s="664"/>
      <c r="W246" s="664"/>
      <c r="X246" s="664"/>
      <c r="Y246" s="664"/>
      <c r="Z246" s="664"/>
      <c r="AA246" s="664"/>
      <c r="AB246" s="664"/>
      <c r="AC246" s="664"/>
      <c r="AD246" s="664"/>
    </row>
    <row r="247" spans="1:30">
      <c r="A247" s="1550"/>
      <c r="B247" s="664"/>
      <c r="C247" s="664"/>
      <c r="D247" s="664"/>
      <c r="E247" s="664"/>
      <c r="F247" s="664"/>
      <c r="G247" s="664"/>
      <c r="H247" s="664"/>
      <c r="I247" s="664"/>
      <c r="J247" s="664"/>
      <c r="K247" s="664"/>
      <c r="L247" s="664"/>
      <c r="M247" s="664"/>
      <c r="N247" s="664"/>
      <c r="O247" s="664"/>
      <c r="P247" s="664"/>
      <c r="Q247" s="664"/>
      <c r="R247" s="664"/>
      <c r="S247" s="664"/>
      <c r="T247" s="664"/>
      <c r="U247" s="664"/>
      <c r="V247" s="664"/>
      <c r="W247" s="664"/>
      <c r="X247" s="664"/>
      <c r="Y247" s="664"/>
      <c r="Z247" s="664"/>
      <c r="AA247" s="664"/>
      <c r="AB247" s="664"/>
      <c r="AC247" s="664"/>
      <c r="AD247" s="664"/>
    </row>
    <row r="248" spans="1:30">
      <c r="A248" s="1550"/>
      <c r="B248" s="664"/>
      <c r="C248" s="664"/>
      <c r="D248" s="664"/>
      <c r="E248" s="664"/>
      <c r="F248" s="664"/>
      <c r="G248" s="664"/>
      <c r="H248" s="664"/>
      <c r="I248" s="664"/>
      <c r="J248" s="664"/>
      <c r="K248" s="664"/>
      <c r="L248" s="664"/>
      <c r="M248" s="664"/>
      <c r="N248" s="664"/>
      <c r="O248" s="664"/>
      <c r="P248" s="664"/>
      <c r="Q248" s="664"/>
      <c r="R248" s="664"/>
      <c r="S248" s="664"/>
      <c r="T248" s="664"/>
      <c r="U248" s="664"/>
      <c r="V248" s="664"/>
      <c r="W248" s="664"/>
      <c r="X248" s="664"/>
      <c r="Y248" s="664"/>
      <c r="Z248" s="664"/>
      <c r="AA248" s="664"/>
      <c r="AB248" s="664"/>
      <c r="AC248" s="664"/>
      <c r="AD248" s="664"/>
    </row>
    <row r="249" spans="1:30">
      <c r="A249" s="1550"/>
      <c r="B249" s="664"/>
      <c r="C249" s="664"/>
      <c r="D249" s="664"/>
      <c r="E249" s="664"/>
      <c r="F249" s="664"/>
      <c r="G249" s="664"/>
      <c r="H249" s="664"/>
      <c r="I249" s="664"/>
      <c r="J249" s="664"/>
      <c r="K249" s="664"/>
      <c r="L249" s="664"/>
      <c r="M249" s="664"/>
      <c r="N249" s="664"/>
      <c r="O249" s="664"/>
      <c r="P249" s="664"/>
      <c r="Q249" s="664"/>
      <c r="R249" s="664"/>
      <c r="S249" s="664"/>
      <c r="T249" s="664"/>
      <c r="U249" s="664"/>
      <c r="V249" s="664"/>
      <c r="W249" s="664"/>
      <c r="X249" s="664"/>
      <c r="Y249" s="664"/>
      <c r="Z249" s="664"/>
      <c r="AA249" s="664"/>
      <c r="AB249" s="664"/>
      <c r="AC249" s="664"/>
      <c r="AD249" s="664"/>
    </row>
    <row r="250" spans="1:30">
      <c r="A250" s="1550"/>
      <c r="B250" s="664"/>
      <c r="C250" s="664"/>
      <c r="D250" s="664"/>
      <c r="E250" s="664"/>
      <c r="F250" s="664"/>
      <c r="G250" s="664"/>
      <c r="H250" s="664"/>
      <c r="I250" s="664"/>
      <c r="J250" s="664"/>
      <c r="K250" s="664"/>
      <c r="L250" s="664"/>
      <c r="M250" s="664"/>
      <c r="N250" s="664"/>
      <c r="O250" s="664"/>
      <c r="P250" s="664"/>
      <c r="Q250" s="664"/>
      <c r="R250" s="664"/>
      <c r="S250" s="664"/>
      <c r="T250" s="664"/>
      <c r="U250" s="664"/>
      <c r="V250" s="664"/>
      <c r="W250" s="664"/>
      <c r="X250" s="664"/>
      <c r="Y250" s="664"/>
      <c r="Z250" s="664"/>
      <c r="AA250" s="664"/>
      <c r="AB250" s="664"/>
      <c r="AC250" s="664"/>
      <c r="AD250" s="664"/>
    </row>
    <row r="251" spans="1:30">
      <c r="A251" s="1550"/>
      <c r="B251" s="664"/>
      <c r="C251" s="664"/>
      <c r="D251" s="664"/>
      <c r="E251" s="664"/>
      <c r="F251" s="664"/>
      <c r="G251" s="664"/>
      <c r="H251" s="664"/>
      <c r="I251" s="664"/>
      <c r="J251" s="664"/>
      <c r="K251" s="664"/>
      <c r="L251" s="664"/>
      <c r="M251" s="664"/>
      <c r="N251" s="664"/>
      <c r="O251" s="664"/>
      <c r="P251" s="664"/>
      <c r="Q251" s="664"/>
      <c r="R251" s="664"/>
      <c r="S251" s="664"/>
      <c r="T251" s="664"/>
      <c r="U251" s="664"/>
      <c r="V251" s="664"/>
      <c r="W251" s="664"/>
      <c r="X251" s="664"/>
      <c r="Y251" s="664"/>
      <c r="Z251" s="664"/>
      <c r="AA251" s="664"/>
      <c r="AB251" s="664"/>
      <c r="AC251" s="664"/>
      <c r="AD251" s="664"/>
    </row>
    <row r="252" spans="1:30">
      <c r="A252" s="1550"/>
      <c r="B252" s="664"/>
      <c r="C252" s="664"/>
      <c r="D252" s="664"/>
      <c r="E252" s="664"/>
      <c r="F252" s="664"/>
      <c r="G252" s="664"/>
      <c r="H252" s="664"/>
      <c r="I252" s="664"/>
      <c r="J252" s="664"/>
      <c r="K252" s="664"/>
      <c r="L252" s="664"/>
      <c r="M252" s="664"/>
      <c r="N252" s="664"/>
      <c r="O252" s="664"/>
      <c r="P252" s="664"/>
      <c r="Q252" s="664"/>
      <c r="R252" s="664"/>
      <c r="S252" s="664"/>
      <c r="T252" s="664"/>
      <c r="U252" s="664"/>
      <c r="V252" s="664"/>
      <c r="W252" s="664"/>
      <c r="X252" s="664"/>
      <c r="Y252" s="664"/>
      <c r="Z252" s="664"/>
      <c r="AA252" s="664"/>
      <c r="AB252" s="664"/>
      <c r="AC252" s="664"/>
      <c r="AD252" s="664"/>
    </row>
    <row r="253" spans="1:30">
      <c r="A253" s="1550"/>
      <c r="B253" s="664"/>
      <c r="C253" s="664"/>
      <c r="D253" s="664"/>
      <c r="E253" s="664"/>
      <c r="F253" s="664"/>
      <c r="G253" s="664"/>
      <c r="H253" s="664"/>
      <c r="I253" s="664"/>
      <c r="J253" s="664"/>
      <c r="K253" s="664"/>
      <c r="L253" s="664"/>
      <c r="M253" s="664"/>
      <c r="N253" s="664"/>
      <c r="O253" s="664"/>
      <c r="P253" s="664"/>
      <c r="Q253" s="664"/>
      <c r="R253" s="664"/>
      <c r="S253" s="664"/>
      <c r="T253" s="664"/>
      <c r="U253" s="664"/>
      <c r="V253" s="664"/>
      <c r="W253" s="664"/>
      <c r="X253" s="664"/>
      <c r="Y253" s="664"/>
      <c r="Z253" s="664"/>
      <c r="AA253" s="664"/>
      <c r="AB253" s="664"/>
      <c r="AC253" s="664"/>
      <c r="AD253" s="664"/>
    </row>
    <row r="254" spans="1:30">
      <c r="A254" s="1550"/>
      <c r="B254" s="664"/>
      <c r="C254" s="664"/>
      <c r="D254" s="664"/>
      <c r="E254" s="664"/>
      <c r="F254" s="664"/>
      <c r="G254" s="664"/>
      <c r="H254" s="664"/>
      <c r="I254" s="664"/>
      <c r="J254" s="664"/>
      <c r="K254" s="664"/>
      <c r="L254" s="664"/>
      <c r="M254" s="664"/>
      <c r="N254" s="664"/>
      <c r="O254" s="664"/>
      <c r="P254" s="664"/>
      <c r="Q254" s="664"/>
      <c r="R254" s="664"/>
      <c r="S254" s="664"/>
      <c r="T254" s="664"/>
      <c r="U254" s="664"/>
      <c r="V254" s="664"/>
      <c r="W254" s="664"/>
      <c r="X254" s="664"/>
      <c r="Y254" s="664"/>
      <c r="Z254" s="664"/>
      <c r="AA254" s="664"/>
      <c r="AB254" s="664"/>
      <c r="AC254" s="664"/>
      <c r="AD254" s="664"/>
    </row>
    <row r="255" spans="1:30">
      <c r="A255" s="1550"/>
      <c r="B255" s="664"/>
      <c r="C255" s="664"/>
      <c r="D255" s="664"/>
      <c r="E255" s="664"/>
      <c r="F255" s="664"/>
      <c r="G255" s="664"/>
      <c r="H255" s="664"/>
      <c r="I255" s="664"/>
      <c r="J255" s="664"/>
      <c r="K255" s="664"/>
      <c r="L255" s="664"/>
      <c r="M255" s="664"/>
      <c r="N255" s="664"/>
      <c r="O255" s="664"/>
      <c r="P255" s="664"/>
      <c r="Q255" s="664"/>
      <c r="R255" s="664"/>
      <c r="S255" s="664"/>
      <c r="T255" s="664"/>
      <c r="U255" s="664"/>
      <c r="V255" s="664"/>
      <c r="W255" s="664"/>
      <c r="X255" s="664"/>
      <c r="Y255" s="664"/>
      <c r="Z255" s="664"/>
      <c r="AA255" s="664"/>
      <c r="AB255" s="664"/>
      <c r="AC255" s="664"/>
      <c r="AD255" s="664"/>
    </row>
    <row r="256" spans="1:30">
      <c r="A256" s="1550"/>
      <c r="B256" s="664"/>
      <c r="C256" s="664"/>
      <c r="D256" s="664"/>
      <c r="E256" s="664"/>
      <c r="F256" s="664"/>
      <c r="G256" s="664"/>
      <c r="H256" s="664"/>
      <c r="I256" s="664"/>
      <c r="J256" s="664"/>
      <c r="K256" s="664"/>
      <c r="L256" s="664"/>
      <c r="M256" s="664"/>
      <c r="N256" s="664"/>
      <c r="O256" s="664"/>
      <c r="P256" s="664"/>
      <c r="Q256" s="664"/>
      <c r="R256" s="664"/>
      <c r="S256" s="664"/>
      <c r="T256" s="664"/>
      <c r="U256" s="664"/>
      <c r="V256" s="664"/>
      <c r="W256" s="664"/>
      <c r="X256" s="664"/>
      <c r="Y256" s="664"/>
      <c r="Z256" s="664"/>
      <c r="AA256" s="664"/>
      <c r="AB256" s="664"/>
      <c r="AC256" s="664"/>
      <c r="AD256" s="664"/>
    </row>
    <row r="257" spans="1:30">
      <c r="A257" s="1550"/>
      <c r="B257" s="664"/>
      <c r="C257" s="664"/>
      <c r="D257" s="664"/>
      <c r="E257" s="664"/>
      <c r="F257" s="664"/>
      <c r="G257" s="664"/>
      <c r="H257" s="664"/>
      <c r="I257" s="664"/>
      <c r="J257" s="664"/>
      <c r="K257" s="664"/>
      <c r="L257" s="664"/>
      <c r="M257" s="664"/>
      <c r="N257" s="664"/>
      <c r="O257" s="664"/>
      <c r="P257" s="664"/>
      <c r="Q257" s="664"/>
      <c r="R257" s="664"/>
      <c r="S257" s="664"/>
      <c r="T257" s="664"/>
      <c r="U257" s="664"/>
      <c r="V257" s="664"/>
      <c r="W257" s="664"/>
      <c r="X257" s="664"/>
      <c r="Y257" s="664"/>
      <c r="Z257" s="664"/>
      <c r="AA257" s="664"/>
      <c r="AB257" s="664"/>
      <c r="AC257" s="664"/>
      <c r="AD257" s="664"/>
    </row>
    <row r="258" spans="1:30">
      <c r="A258" s="1550"/>
      <c r="B258" s="664"/>
      <c r="C258" s="664"/>
      <c r="D258" s="664"/>
      <c r="E258" s="664"/>
      <c r="F258" s="664"/>
      <c r="G258" s="664"/>
      <c r="H258" s="664"/>
      <c r="I258" s="664"/>
      <c r="J258" s="664"/>
      <c r="K258" s="664"/>
      <c r="L258" s="664"/>
      <c r="M258" s="664"/>
      <c r="N258" s="664"/>
      <c r="O258" s="664"/>
      <c r="P258" s="664"/>
      <c r="Q258" s="664"/>
      <c r="R258" s="664"/>
      <c r="S258" s="664"/>
      <c r="T258" s="664"/>
      <c r="U258" s="664"/>
      <c r="V258" s="664"/>
      <c r="W258" s="664"/>
      <c r="X258" s="664"/>
      <c r="Y258" s="664"/>
      <c r="Z258" s="664"/>
      <c r="AA258" s="664"/>
      <c r="AB258" s="664"/>
      <c r="AC258" s="664"/>
      <c r="AD258" s="664"/>
    </row>
    <row r="259" spans="1:30">
      <c r="A259" s="1550"/>
      <c r="B259" s="664"/>
      <c r="C259" s="664"/>
      <c r="D259" s="664"/>
      <c r="E259" s="664"/>
      <c r="F259" s="664"/>
      <c r="G259" s="664"/>
      <c r="H259" s="664"/>
      <c r="I259" s="664"/>
      <c r="J259" s="664"/>
      <c r="K259" s="664"/>
      <c r="L259" s="664"/>
      <c r="M259" s="664"/>
      <c r="N259" s="664"/>
      <c r="O259" s="664"/>
      <c r="P259" s="664"/>
      <c r="Q259" s="664"/>
      <c r="R259" s="664"/>
      <c r="S259" s="664"/>
      <c r="T259" s="664"/>
      <c r="U259" s="664"/>
      <c r="V259" s="664"/>
      <c r="W259" s="664"/>
      <c r="X259" s="664"/>
      <c r="Y259" s="664"/>
      <c r="Z259" s="664"/>
      <c r="AA259" s="664"/>
      <c r="AB259" s="664"/>
      <c r="AC259" s="664"/>
      <c r="AD259" s="664"/>
    </row>
    <row r="260" spans="1:30">
      <c r="A260" s="1550"/>
      <c r="B260" s="664"/>
      <c r="C260" s="664"/>
      <c r="D260" s="664"/>
      <c r="E260" s="664"/>
      <c r="F260" s="664"/>
      <c r="G260" s="664"/>
      <c r="H260" s="664"/>
      <c r="I260" s="664"/>
      <c r="J260" s="664"/>
      <c r="K260" s="664"/>
      <c r="L260" s="664"/>
      <c r="M260" s="664"/>
      <c r="N260" s="664"/>
      <c r="O260" s="664"/>
      <c r="P260" s="664"/>
      <c r="Q260" s="664"/>
      <c r="R260" s="664"/>
      <c r="S260" s="664"/>
      <c r="T260" s="664"/>
      <c r="U260" s="664"/>
      <c r="V260" s="664"/>
      <c r="W260" s="664"/>
      <c r="X260" s="664"/>
      <c r="Y260" s="664"/>
      <c r="Z260" s="664"/>
      <c r="AA260" s="664"/>
      <c r="AB260" s="664"/>
      <c r="AC260" s="664"/>
      <c r="AD260" s="664"/>
    </row>
    <row r="261" spans="1:30">
      <c r="A261" s="1550"/>
      <c r="B261" s="664"/>
      <c r="C261" s="664"/>
      <c r="D261" s="664"/>
      <c r="E261" s="664"/>
      <c r="F261" s="664"/>
      <c r="G261" s="664"/>
      <c r="H261" s="664"/>
      <c r="I261" s="664"/>
      <c r="J261" s="664"/>
      <c r="K261" s="664"/>
      <c r="L261" s="664"/>
      <c r="M261" s="664"/>
      <c r="N261" s="664"/>
      <c r="O261" s="664"/>
      <c r="P261" s="664"/>
      <c r="Q261" s="664"/>
      <c r="R261" s="664"/>
      <c r="S261" s="664"/>
      <c r="T261" s="664"/>
      <c r="U261" s="664"/>
      <c r="V261" s="664"/>
      <c r="W261" s="664"/>
      <c r="X261" s="664"/>
      <c r="Y261" s="664"/>
      <c r="Z261" s="664"/>
      <c r="AA261" s="664"/>
      <c r="AB261" s="664"/>
      <c r="AC261" s="664"/>
      <c r="AD261" s="664"/>
    </row>
    <row r="262" spans="1:30">
      <c r="A262" s="1550"/>
      <c r="B262" s="664"/>
      <c r="C262" s="664"/>
      <c r="D262" s="664"/>
      <c r="E262" s="664"/>
      <c r="F262" s="664"/>
      <c r="G262" s="664"/>
      <c r="H262" s="664"/>
      <c r="I262" s="664"/>
      <c r="J262" s="664"/>
      <c r="K262" s="664"/>
      <c r="L262" s="664"/>
      <c r="M262" s="664"/>
      <c r="N262" s="664"/>
      <c r="O262" s="664"/>
      <c r="P262" s="664"/>
      <c r="Q262" s="664"/>
      <c r="R262" s="664"/>
      <c r="S262" s="664"/>
      <c r="T262" s="664"/>
      <c r="U262" s="664"/>
      <c r="V262" s="664"/>
      <c r="W262" s="664"/>
      <c r="X262" s="664"/>
      <c r="Y262" s="664"/>
      <c r="Z262" s="664"/>
      <c r="AA262" s="664"/>
      <c r="AB262" s="664"/>
      <c r="AC262" s="664"/>
      <c r="AD262" s="664"/>
    </row>
    <row r="263" spans="1:30">
      <c r="A263" s="1550"/>
      <c r="B263" s="664"/>
      <c r="C263" s="664"/>
      <c r="D263" s="664"/>
      <c r="E263" s="664"/>
      <c r="F263" s="664"/>
      <c r="G263" s="664"/>
      <c r="H263" s="664"/>
      <c r="I263" s="664"/>
      <c r="J263" s="664"/>
      <c r="K263" s="664"/>
      <c r="L263" s="664"/>
      <c r="M263" s="664"/>
      <c r="N263" s="664"/>
      <c r="O263" s="664"/>
      <c r="P263" s="664"/>
      <c r="Q263" s="664"/>
      <c r="R263" s="664"/>
      <c r="S263" s="664"/>
      <c r="T263" s="664"/>
      <c r="U263" s="664"/>
      <c r="V263" s="664"/>
      <c r="W263" s="664"/>
      <c r="X263" s="664"/>
      <c r="Y263" s="664"/>
      <c r="Z263" s="664"/>
      <c r="AA263" s="664"/>
      <c r="AB263" s="664"/>
      <c r="AC263" s="664"/>
      <c r="AD263" s="664"/>
    </row>
    <row r="264" spans="1:30">
      <c r="A264" s="1550"/>
      <c r="B264" s="664"/>
      <c r="C264" s="664"/>
      <c r="D264" s="664"/>
      <c r="E264" s="664"/>
      <c r="F264" s="664"/>
      <c r="G264" s="664"/>
      <c r="H264" s="664"/>
      <c r="I264" s="664"/>
      <c r="J264" s="664"/>
      <c r="K264" s="664"/>
      <c r="L264" s="664"/>
      <c r="M264" s="664"/>
      <c r="N264" s="664"/>
      <c r="O264" s="664"/>
      <c r="P264" s="664"/>
      <c r="Q264" s="664"/>
      <c r="R264" s="664"/>
      <c r="S264" s="664"/>
      <c r="T264" s="664"/>
      <c r="U264" s="664"/>
      <c r="V264" s="664"/>
      <c r="W264" s="664"/>
      <c r="X264" s="664"/>
      <c r="Y264" s="664"/>
      <c r="Z264" s="664"/>
      <c r="AA264" s="664"/>
      <c r="AB264" s="664"/>
      <c r="AC264" s="664"/>
      <c r="AD264" s="664"/>
    </row>
    <row r="265" spans="1:30">
      <c r="A265" s="1550"/>
      <c r="B265" s="664"/>
      <c r="C265" s="664"/>
      <c r="D265" s="664"/>
      <c r="E265" s="664"/>
      <c r="F265" s="664"/>
      <c r="G265" s="664"/>
      <c r="H265" s="664"/>
      <c r="I265" s="664"/>
      <c r="J265" s="664"/>
      <c r="K265" s="664"/>
      <c r="L265" s="664"/>
      <c r="M265" s="664"/>
      <c r="N265" s="664"/>
      <c r="O265" s="664"/>
      <c r="P265" s="664"/>
      <c r="Q265" s="664"/>
      <c r="R265" s="664"/>
      <c r="S265" s="664"/>
      <c r="T265" s="664"/>
      <c r="U265" s="664"/>
      <c r="V265" s="664"/>
      <c r="W265" s="664"/>
      <c r="X265" s="664"/>
      <c r="Y265" s="664"/>
      <c r="Z265" s="664"/>
      <c r="AA265" s="664"/>
      <c r="AB265" s="664"/>
      <c r="AC265" s="664"/>
      <c r="AD265" s="664"/>
    </row>
    <row r="266" spans="1:30">
      <c r="A266" s="1550"/>
      <c r="B266" s="664"/>
      <c r="C266" s="664"/>
      <c r="D266" s="664"/>
      <c r="E266" s="664"/>
      <c r="F266" s="664"/>
      <c r="G266" s="664"/>
      <c r="H266" s="664"/>
      <c r="I266" s="664"/>
      <c r="J266" s="664"/>
      <c r="K266" s="664"/>
      <c r="L266" s="664"/>
      <c r="M266" s="664"/>
      <c r="N266" s="664"/>
      <c r="O266" s="664"/>
      <c r="P266" s="664"/>
      <c r="Q266" s="664"/>
      <c r="R266" s="664"/>
      <c r="S266" s="664"/>
      <c r="T266" s="664"/>
      <c r="U266" s="664"/>
      <c r="V266" s="664"/>
      <c r="W266" s="664"/>
      <c r="X266" s="664"/>
      <c r="Y266" s="664"/>
      <c r="Z266" s="664"/>
      <c r="AA266" s="664"/>
      <c r="AB266" s="664"/>
      <c r="AC266" s="664"/>
      <c r="AD266" s="664"/>
    </row>
    <row r="267" spans="1:30">
      <c r="A267" s="1550"/>
      <c r="B267" s="664"/>
      <c r="C267" s="664"/>
      <c r="D267" s="664"/>
      <c r="E267" s="664"/>
      <c r="F267" s="664"/>
      <c r="G267" s="664"/>
      <c r="H267" s="664"/>
      <c r="I267" s="664"/>
      <c r="J267" s="664"/>
      <c r="K267" s="664"/>
      <c r="L267" s="664"/>
      <c r="M267" s="664"/>
      <c r="N267" s="664"/>
      <c r="O267" s="664"/>
      <c r="P267" s="664"/>
      <c r="Q267" s="664"/>
      <c r="R267" s="664"/>
      <c r="S267" s="664"/>
      <c r="T267" s="664"/>
      <c r="U267" s="664"/>
      <c r="V267" s="664"/>
      <c r="W267" s="664"/>
      <c r="X267" s="664"/>
      <c r="Y267" s="664"/>
      <c r="Z267" s="664"/>
      <c r="AA267" s="664"/>
      <c r="AB267" s="664"/>
      <c r="AC267" s="664"/>
      <c r="AD267" s="664"/>
    </row>
    <row r="268" spans="1:30">
      <c r="A268" s="1550"/>
      <c r="B268" s="664"/>
      <c r="C268" s="664"/>
      <c r="D268" s="664"/>
      <c r="E268" s="664"/>
      <c r="F268" s="664"/>
      <c r="G268" s="664"/>
      <c r="H268" s="664"/>
      <c r="I268" s="664"/>
      <c r="J268" s="664"/>
      <c r="K268" s="664"/>
      <c r="L268" s="664"/>
      <c r="M268" s="664"/>
      <c r="N268" s="664"/>
      <c r="O268" s="664"/>
      <c r="P268" s="664"/>
      <c r="Q268" s="664"/>
      <c r="R268" s="664"/>
      <c r="S268" s="664"/>
      <c r="T268" s="664"/>
      <c r="U268" s="664"/>
      <c r="V268" s="664"/>
      <c r="W268" s="664"/>
      <c r="X268" s="664"/>
      <c r="Y268" s="664"/>
      <c r="Z268" s="664"/>
      <c r="AA268" s="664"/>
      <c r="AB268" s="664"/>
      <c r="AC268" s="664"/>
      <c r="AD268" s="664"/>
    </row>
    <row r="269" spans="1:30">
      <c r="A269" s="1550"/>
      <c r="B269" s="664"/>
      <c r="C269" s="664"/>
      <c r="D269" s="664"/>
      <c r="E269" s="664"/>
      <c r="F269" s="664"/>
      <c r="G269" s="664"/>
      <c r="H269" s="664"/>
      <c r="I269" s="664"/>
      <c r="J269" s="664"/>
      <c r="K269" s="664"/>
      <c r="L269" s="664"/>
      <c r="M269" s="664"/>
      <c r="N269" s="664"/>
      <c r="O269" s="664"/>
      <c r="P269" s="664"/>
      <c r="Q269" s="664"/>
      <c r="R269" s="664"/>
      <c r="S269" s="664"/>
      <c r="T269" s="664"/>
      <c r="U269" s="664"/>
      <c r="V269" s="664"/>
      <c r="W269" s="664"/>
      <c r="X269" s="664"/>
      <c r="Y269" s="664"/>
      <c r="Z269" s="664"/>
      <c r="AA269" s="664"/>
      <c r="AB269" s="664"/>
      <c r="AC269" s="664"/>
      <c r="AD269" s="664"/>
    </row>
    <row r="270" spans="1:30">
      <c r="A270" s="1550"/>
      <c r="B270" s="664"/>
      <c r="C270" s="664"/>
      <c r="D270" s="664"/>
      <c r="E270" s="664"/>
      <c r="F270" s="664"/>
      <c r="G270" s="664"/>
      <c r="H270" s="664"/>
      <c r="I270" s="664"/>
      <c r="J270" s="664"/>
      <c r="K270" s="664"/>
      <c r="L270" s="664"/>
      <c r="M270" s="664"/>
      <c r="N270" s="664"/>
      <c r="O270" s="664"/>
      <c r="P270" s="664"/>
      <c r="Q270" s="664"/>
      <c r="R270" s="664"/>
      <c r="S270" s="664"/>
      <c r="T270" s="664"/>
      <c r="U270" s="664"/>
      <c r="V270" s="664"/>
      <c r="W270" s="664"/>
      <c r="X270" s="664"/>
      <c r="Y270" s="664"/>
      <c r="Z270" s="664"/>
      <c r="AA270" s="664"/>
      <c r="AB270" s="664"/>
      <c r="AC270" s="664"/>
      <c r="AD270" s="664"/>
    </row>
    <row r="271" spans="1:30">
      <c r="A271" s="1550"/>
      <c r="B271" s="664"/>
      <c r="C271" s="664"/>
      <c r="D271" s="664"/>
      <c r="E271" s="664"/>
      <c r="F271" s="664"/>
      <c r="G271" s="664"/>
      <c r="H271" s="664"/>
      <c r="I271" s="664"/>
      <c r="J271" s="664"/>
      <c r="K271" s="664"/>
      <c r="L271" s="664"/>
      <c r="M271" s="664"/>
      <c r="N271" s="664"/>
      <c r="O271" s="664"/>
      <c r="P271" s="664"/>
      <c r="Q271" s="664"/>
      <c r="R271" s="664"/>
      <c r="S271" s="664"/>
      <c r="T271" s="664"/>
      <c r="U271" s="664"/>
      <c r="V271" s="664"/>
      <c r="W271" s="664"/>
      <c r="X271" s="664"/>
      <c r="Y271" s="664"/>
      <c r="Z271" s="664"/>
      <c r="AA271" s="664"/>
      <c r="AB271" s="664"/>
      <c r="AC271" s="664"/>
      <c r="AD271" s="664"/>
    </row>
    <row r="272" spans="1:30">
      <c r="A272" s="1550"/>
      <c r="B272" s="664"/>
      <c r="C272" s="664"/>
      <c r="D272" s="664"/>
      <c r="E272" s="664"/>
      <c r="F272" s="664"/>
      <c r="G272" s="664"/>
      <c r="H272" s="664"/>
      <c r="I272" s="664"/>
      <c r="J272" s="664"/>
      <c r="K272" s="664"/>
      <c r="L272" s="664"/>
      <c r="M272" s="664"/>
      <c r="N272" s="664"/>
      <c r="O272" s="664"/>
      <c r="P272" s="664"/>
      <c r="Q272" s="664"/>
      <c r="R272" s="664"/>
      <c r="S272" s="664"/>
      <c r="T272" s="664"/>
      <c r="U272" s="664"/>
      <c r="V272" s="664"/>
      <c r="W272" s="664"/>
      <c r="X272" s="664"/>
      <c r="Y272" s="664"/>
      <c r="Z272" s="664"/>
      <c r="AA272" s="664"/>
      <c r="AB272" s="664"/>
      <c r="AC272" s="664"/>
      <c r="AD272" s="664"/>
    </row>
    <row r="273" spans="1:30">
      <c r="A273" s="1550"/>
      <c r="B273" s="664"/>
      <c r="C273" s="664"/>
      <c r="D273" s="664"/>
      <c r="E273" s="664"/>
      <c r="F273" s="664"/>
      <c r="G273" s="664"/>
      <c r="H273" s="664"/>
      <c r="I273" s="664"/>
      <c r="J273" s="664"/>
      <c r="K273" s="664"/>
      <c r="L273" s="664"/>
      <c r="M273" s="664"/>
      <c r="N273" s="664"/>
      <c r="O273" s="664"/>
      <c r="P273" s="664"/>
      <c r="Q273" s="664"/>
      <c r="R273" s="664"/>
      <c r="S273" s="664"/>
      <c r="T273" s="664"/>
      <c r="U273" s="664"/>
      <c r="V273" s="664"/>
      <c r="W273" s="664"/>
      <c r="X273" s="664"/>
      <c r="Y273" s="664"/>
      <c r="Z273" s="664"/>
      <c r="AA273" s="664"/>
      <c r="AB273" s="664"/>
      <c r="AC273" s="664"/>
      <c r="AD273" s="664"/>
    </row>
    <row r="274" spans="1:30">
      <c r="A274" s="1550"/>
      <c r="B274" s="664"/>
      <c r="C274" s="664"/>
      <c r="D274" s="664"/>
      <c r="E274" s="664"/>
      <c r="F274" s="664"/>
      <c r="G274" s="664"/>
      <c r="H274" s="664"/>
      <c r="I274" s="664"/>
      <c r="J274" s="664"/>
      <c r="K274" s="664"/>
      <c r="L274" s="664"/>
      <c r="M274" s="664"/>
      <c r="N274" s="664"/>
      <c r="O274" s="664"/>
      <c r="P274" s="664"/>
      <c r="Q274" s="664"/>
      <c r="R274" s="664"/>
      <c r="S274" s="664"/>
      <c r="T274" s="664"/>
      <c r="U274" s="664"/>
      <c r="V274" s="664"/>
      <c r="W274" s="664"/>
      <c r="X274" s="664"/>
      <c r="Y274" s="664"/>
      <c r="Z274" s="664"/>
      <c r="AA274" s="664"/>
      <c r="AB274" s="664"/>
      <c r="AC274" s="664"/>
      <c r="AD274" s="664"/>
    </row>
    <row r="275" spans="1:30">
      <c r="A275" s="1550"/>
      <c r="B275" s="664"/>
      <c r="C275" s="664"/>
      <c r="D275" s="664"/>
      <c r="E275" s="664"/>
      <c r="F275" s="664"/>
      <c r="G275" s="664"/>
      <c r="H275" s="664"/>
      <c r="I275" s="664"/>
      <c r="J275" s="664"/>
      <c r="K275" s="664"/>
      <c r="L275" s="664"/>
      <c r="M275" s="664"/>
      <c r="N275" s="664"/>
      <c r="O275" s="664"/>
      <c r="P275" s="664"/>
      <c r="Q275" s="664"/>
      <c r="R275" s="664"/>
      <c r="S275" s="664"/>
      <c r="T275" s="664"/>
      <c r="U275" s="664"/>
      <c r="V275" s="664"/>
      <c r="W275" s="664"/>
      <c r="X275" s="664"/>
      <c r="Y275" s="664"/>
      <c r="Z275" s="664"/>
      <c r="AA275" s="664"/>
      <c r="AB275" s="664"/>
      <c r="AC275" s="664"/>
      <c r="AD275" s="664"/>
    </row>
    <row r="276" spans="1:30">
      <c r="A276" s="1550"/>
      <c r="B276" s="664"/>
      <c r="C276" s="664"/>
      <c r="D276" s="664"/>
      <c r="E276" s="664"/>
      <c r="F276" s="664"/>
      <c r="G276" s="664"/>
      <c r="H276" s="664"/>
      <c r="I276" s="664"/>
      <c r="J276" s="664"/>
      <c r="K276" s="664"/>
      <c r="L276" s="664"/>
      <c r="M276" s="664"/>
      <c r="N276" s="664"/>
      <c r="O276" s="664"/>
      <c r="P276" s="664"/>
      <c r="Q276" s="664"/>
      <c r="R276" s="664"/>
      <c r="S276" s="664"/>
      <c r="T276" s="664"/>
      <c r="U276" s="664"/>
      <c r="V276" s="664"/>
      <c r="W276" s="664"/>
      <c r="X276" s="664"/>
      <c r="Y276" s="664"/>
      <c r="Z276" s="664"/>
      <c r="AA276" s="664"/>
      <c r="AB276" s="664"/>
      <c r="AC276" s="664"/>
      <c r="AD276" s="664"/>
    </row>
    <row r="277" spans="1:30">
      <c r="A277" s="1550"/>
      <c r="B277" s="664"/>
      <c r="C277" s="664"/>
      <c r="D277" s="664"/>
      <c r="E277" s="664"/>
      <c r="F277" s="664"/>
      <c r="G277" s="664"/>
      <c r="H277" s="664"/>
      <c r="I277" s="664"/>
      <c r="J277" s="664"/>
      <c r="K277" s="664"/>
      <c r="L277" s="664"/>
      <c r="M277" s="664"/>
      <c r="N277" s="664"/>
      <c r="O277" s="664"/>
      <c r="P277" s="664"/>
      <c r="Q277" s="664"/>
      <c r="R277" s="664"/>
      <c r="S277" s="664"/>
      <c r="T277" s="664"/>
      <c r="U277" s="664"/>
      <c r="V277" s="664"/>
      <c r="W277" s="664"/>
      <c r="X277" s="664"/>
      <c r="Y277" s="664"/>
      <c r="Z277" s="664"/>
      <c r="AA277" s="664"/>
      <c r="AB277" s="664"/>
      <c r="AC277" s="664"/>
      <c r="AD277" s="664"/>
    </row>
    <row r="278" spans="1:30">
      <c r="A278" s="1550"/>
      <c r="B278" s="664"/>
      <c r="C278" s="664"/>
      <c r="D278" s="664"/>
      <c r="E278" s="664"/>
      <c r="F278" s="664"/>
      <c r="G278" s="664"/>
      <c r="H278" s="664"/>
      <c r="I278" s="664"/>
      <c r="J278" s="664"/>
      <c r="K278" s="664"/>
      <c r="L278" s="664"/>
      <c r="M278" s="664"/>
      <c r="N278" s="664"/>
      <c r="O278" s="664"/>
      <c r="P278" s="664"/>
      <c r="Q278" s="664"/>
      <c r="R278" s="664"/>
      <c r="S278" s="664"/>
      <c r="T278" s="664"/>
      <c r="U278" s="664"/>
      <c r="V278" s="664"/>
      <c r="W278" s="664"/>
      <c r="X278" s="664"/>
      <c r="Y278" s="664"/>
      <c r="Z278" s="664"/>
      <c r="AA278" s="664"/>
      <c r="AB278" s="664"/>
      <c r="AC278" s="664"/>
      <c r="AD278" s="664"/>
    </row>
    <row r="279" spans="1:30">
      <c r="A279" s="1550"/>
      <c r="B279" s="664"/>
      <c r="C279" s="664"/>
      <c r="D279" s="664"/>
      <c r="E279" s="664"/>
      <c r="F279" s="664"/>
      <c r="G279" s="664"/>
      <c r="H279" s="664"/>
      <c r="I279" s="664"/>
      <c r="J279" s="664"/>
      <c r="K279" s="664"/>
      <c r="L279" s="664"/>
      <c r="M279" s="664"/>
      <c r="N279" s="664"/>
      <c r="O279" s="664"/>
      <c r="P279" s="664"/>
      <c r="Q279" s="664"/>
      <c r="R279" s="664"/>
      <c r="S279" s="664"/>
      <c r="T279" s="664"/>
      <c r="U279" s="664"/>
      <c r="V279" s="664"/>
      <c r="W279" s="664"/>
      <c r="X279" s="664"/>
      <c r="Y279" s="664"/>
      <c r="Z279" s="664"/>
      <c r="AA279" s="664"/>
      <c r="AB279" s="664"/>
      <c r="AC279" s="664"/>
      <c r="AD279" s="664"/>
    </row>
    <row r="280" spans="1:30">
      <c r="A280" s="1550"/>
      <c r="B280" s="664"/>
      <c r="C280" s="664"/>
      <c r="D280" s="664"/>
      <c r="E280" s="664"/>
      <c r="F280" s="664"/>
      <c r="G280" s="664"/>
      <c r="H280" s="664"/>
      <c r="I280" s="664"/>
      <c r="J280" s="664"/>
      <c r="K280" s="664"/>
      <c r="L280" s="664"/>
      <c r="M280" s="664"/>
      <c r="N280" s="664"/>
      <c r="O280" s="664"/>
      <c r="P280" s="664"/>
      <c r="Q280" s="664"/>
      <c r="R280" s="664"/>
      <c r="S280" s="664"/>
      <c r="T280" s="664"/>
      <c r="U280" s="664"/>
      <c r="V280" s="664"/>
      <c r="W280" s="664"/>
      <c r="X280" s="664"/>
      <c r="Y280" s="664"/>
      <c r="Z280" s="664"/>
      <c r="AA280" s="664"/>
      <c r="AB280" s="664"/>
      <c r="AC280" s="664"/>
      <c r="AD280" s="664"/>
    </row>
    <row r="281" spans="1:30">
      <c r="A281" s="1550"/>
      <c r="B281" s="664"/>
      <c r="C281" s="664"/>
      <c r="D281" s="664"/>
      <c r="E281" s="664"/>
      <c r="F281" s="664"/>
      <c r="G281" s="664"/>
      <c r="H281" s="664"/>
      <c r="I281" s="664"/>
      <c r="J281" s="664"/>
      <c r="K281" s="664"/>
      <c r="L281" s="664"/>
      <c r="M281" s="664"/>
      <c r="N281" s="664"/>
      <c r="O281" s="664"/>
      <c r="P281" s="664"/>
      <c r="Q281" s="664"/>
      <c r="R281" s="664"/>
      <c r="S281" s="664"/>
      <c r="T281" s="664"/>
      <c r="U281" s="664"/>
      <c r="V281" s="664"/>
      <c r="W281" s="664"/>
      <c r="X281" s="664"/>
      <c r="Y281" s="664"/>
      <c r="Z281" s="664"/>
      <c r="AA281" s="664"/>
      <c r="AB281" s="664"/>
      <c r="AC281" s="664"/>
      <c r="AD281" s="664"/>
    </row>
    <row r="282" spans="1:30">
      <c r="A282" s="1550"/>
      <c r="B282" s="664"/>
      <c r="C282" s="664"/>
      <c r="D282" s="664"/>
      <c r="E282" s="664"/>
      <c r="F282" s="664"/>
      <c r="G282" s="664"/>
      <c r="H282" s="664"/>
      <c r="I282" s="664"/>
      <c r="J282" s="664"/>
      <c r="K282" s="664"/>
      <c r="L282" s="664"/>
      <c r="M282" s="664"/>
      <c r="N282" s="664"/>
      <c r="O282" s="664"/>
      <c r="P282" s="664"/>
      <c r="Q282" s="664"/>
      <c r="R282" s="664"/>
      <c r="S282" s="664"/>
      <c r="T282" s="664"/>
      <c r="U282" s="664"/>
      <c r="V282" s="664"/>
      <c r="W282" s="664"/>
      <c r="X282" s="664"/>
      <c r="Y282" s="664"/>
      <c r="Z282" s="664"/>
      <c r="AA282" s="664"/>
      <c r="AB282" s="664"/>
      <c r="AC282" s="664"/>
      <c r="AD282" s="664"/>
    </row>
    <row r="283" spans="1:30">
      <c r="A283" s="1550"/>
      <c r="B283" s="664"/>
      <c r="C283" s="664"/>
      <c r="D283" s="664"/>
      <c r="E283" s="664"/>
      <c r="F283" s="664"/>
      <c r="G283" s="664"/>
      <c r="H283" s="664"/>
      <c r="I283" s="664"/>
      <c r="J283" s="664"/>
      <c r="K283" s="664"/>
      <c r="L283" s="664"/>
      <c r="M283" s="664"/>
      <c r="N283" s="664"/>
      <c r="O283" s="664"/>
      <c r="P283" s="664"/>
      <c r="Q283" s="664"/>
      <c r="R283" s="664"/>
      <c r="S283" s="664"/>
      <c r="T283" s="664"/>
      <c r="U283" s="664"/>
      <c r="V283" s="664"/>
      <c r="W283" s="664"/>
      <c r="X283" s="664"/>
      <c r="Y283" s="664"/>
      <c r="Z283" s="664"/>
      <c r="AA283" s="664"/>
      <c r="AB283" s="664"/>
      <c r="AC283" s="664"/>
      <c r="AD283" s="664"/>
    </row>
    <row r="284" spans="1:30">
      <c r="A284" s="1550"/>
      <c r="B284" s="664"/>
      <c r="C284" s="664"/>
      <c r="D284" s="664"/>
      <c r="E284" s="664"/>
      <c r="F284" s="664"/>
      <c r="G284" s="664"/>
      <c r="H284" s="664"/>
      <c r="I284" s="664"/>
      <c r="J284" s="664"/>
      <c r="K284" s="664"/>
      <c r="L284" s="664"/>
      <c r="M284" s="664"/>
      <c r="N284" s="664"/>
      <c r="O284" s="664"/>
      <c r="P284" s="664"/>
      <c r="Q284" s="664"/>
      <c r="R284" s="664"/>
      <c r="S284" s="664"/>
      <c r="T284" s="664"/>
      <c r="U284" s="664"/>
      <c r="V284" s="664"/>
      <c r="W284" s="664"/>
      <c r="X284" s="664"/>
      <c r="Y284" s="664"/>
      <c r="Z284" s="664"/>
      <c r="AA284" s="664"/>
      <c r="AB284" s="664"/>
      <c r="AC284" s="664"/>
      <c r="AD284" s="664"/>
    </row>
    <row r="285" spans="1:30">
      <c r="A285" s="1550"/>
      <c r="B285" s="664"/>
      <c r="C285" s="664"/>
      <c r="D285" s="664"/>
      <c r="E285" s="664"/>
      <c r="F285" s="664"/>
      <c r="G285" s="664"/>
      <c r="H285" s="664"/>
      <c r="I285" s="664"/>
      <c r="J285" s="664"/>
      <c r="K285" s="664"/>
      <c r="L285" s="664"/>
      <c r="M285" s="664"/>
      <c r="N285" s="664"/>
      <c r="O285" s="664"/>
      <c r="P285" s="664"/>
      <c r="Q285" s="664"/>
      <c r="R285" s="664"/>
      <c r="S285" s="664"/>
      <c r="T285" s="664"/>
      <c r="U285" s="664"/>
      <c r="V285" s="664"/>
      <c r="W285" s="664"/>
      <c r="X285" s="664"/>
      <c r="Y285" s="664"/>
      <c r="Z285" s="664"/>
      <c r="AA285" s="664"/>
      <c r="AB285" s="664"/>
      <c r="AC285" s="664"/>
      <c r="AD285" s="664"/>
    </row>
    <row r="286" spans="1:30">
      <c r="A286" s="1550"/>
      <c r="B286" s="664"/>
      <c r="C286" s="664"/>
      <c r="D286" s="664"/>
      <c r="E286" s="664"/>
      <c r="F286" s="664"/>
      <c r="G286" s="664"/>
      <c r="H286" s="664"/>
      <c r="I286" s="664"/>
      <c r="J286" s="664"/>
      <c r="K286" s="664"/>
      <c r="L286" s="664"/>
      <c r="M286" s="664"/>
      <c r="N286" s="664"/>
      <c r="O286" s="664"/>
      <c r="P286" s="664"/>
      <c r="Q286" s="664"/>
      <c r="R286" s="664"/>
      <c r="S286" s="664"/>
      <c r="T286" s="664"/>
      <c r="U286" s="664"/>
      <c r="V286" s="664"/>
      <c r="W286" s="664"/>
      <c r="X286" s="664"/>
      <c r="Y286" s="664"/>
      <c r="Z286" s="664"/>
      <c r="AA286" s="664"/>
      <c r="AB286" s="664"/>
      <c r="AC286" s="664"/>
      <c r="AD286" s="664"/>
    </row>
    <row r="287" spans="1:30">
      <c r="A287" s="1550"/>
      <c r="B287" s="664"/>
      <c r="C287" s="664"/>
      <c r="D287" s="664"/>
      <c r="E287" s="664"/>
      <c r="F287" s="664"/>
      <c r="G287" s="664"/>
      <c r="H287" s="664"/>
      <c r="I287" s="664"/>
      <c r="J287" s="664"/>
      <c r="K287" s="664"/>
      <c r="L287" s="664"/>
      <c r="M287" s="664"/>
      <c r="N287" s="664"/>
      <c r="O287" s="664"/>
      <c r="P287" s="664"/>
      <c r="Q287" s="664"/>
      <c r="R287" s="664"/>
      <c r="S287" s="664"/>
      <c r="T287" s="664"/>
      <c r="U287" s="664"/>
      <c r="V287" s="664"/>
      <c r="W287" s="664"/>
      <c r="X287" s="664"/>
      <c r="Y287" s="664"/>
      <c r="Z287" s="664"/>
      <c r="AA287" s="664"/>
      <c r="AB287" s="664"/>
      <c r="AC287" s="664"/>
      <c r="AD287" s="664"/>
    </row>
    <row r="288" spans="1:30">
      <c r="A288" s="1550"/>
      <c r="B288" s="664"/>
      <c r="C288" s="664"/>
      <c r="D288" s="664"/>
      <c r="E288" s="664"/>
      <c r="F288" s="664"/>
      <c r="G288" s="664"/>
      <c r="H288" s="664"/>
      <c r="I288" s="664"/>
      <c r="J288" s="664"/>
      <c r="K288" s="664"/>
      <c r="L288" s="664"/>
      <c r="M288" s="664"/>
      <c r="N288" s="664"/>
      <c r="O288" s="664"/>
      <c r="P288" s="664"/>
      <c r="Q288" s="664"/>
      <c r="R288" s="664"/>
      <c r="S288" s="664"/>
      <c r="T288" s="664"/>
      <c r="U288" s="664"/>
      <c r="V288" s="664"/>
      <c r="W288" s="664"/>
      <c r="X288" s="664"/>
      <c r="Y288" s="664"/>
      <c r="Z288" s="664"/>
      <c r="AA288" s="664"/>
      <c r="AB288" s="664"/>
      <c r="AC288" s="664"/>
      <c r="AD288" s="664"/>
    </row>
    <row r="289" spans="1:30">
      <c r="A289" s="1550"/>
      <c r="B289" s="664"/>
      <c r="C289" s="664"/>
      <c r="D289" s="664"/>
      <c r="E289" s="664"/>
      <c r="F289" s="664"/>
      <c r="G289" s="664"/>
      <c r="H289" s="664"/>
      <c r="I289" s="664"/>
      <c r="J289" s="664"/>
      <c r="K289" s="664"/>
      <c r="L289" s="664"/>
      <c r="M289" s="664"/>
      <c r="N289" s="664"/>
      <c r="O289" s="664"/>
      <c r="P289" s="664"/>
      <c r="Q289" s="664"/>
      <c r="R289" s="664"/>
      <c r="S289" s="664"/>
      <c r="T289" s="664"/>
      <c r="U289" s="664"/>
      <c r="V289" s="664"/>
      <c r="W289" s="664"/>
      <c r="X289" s="664"/>
      <c r="Y289" s="664"/>
      <c r="Z289" s="664"/>
      <c r="AA289" s="664"/>
      <c r="AB289" s="664"/>
      <c r="AC289" s="664"/>
      <c r="AD289" s="664"/>
    </row>
    <row r="290" spans="1:30">
      <c r="A290" s="1550"/>
      <c r="B290" s="664"/>
      <c r="C290" s="664"/>
      <c r="D290" s="664"/>
      <c r="E290" s="664"/>
      <c r="F290" s="664"/>
      <c r="G290" s="664"/>
      <c r="H290" s="664"/>
      <c r="I290" s="664"/>
      <c r="J290" s="664"/>
      <c r="K290" s="664"/>
      <c r="L290" s="664"/>
      <c r="M290" s="664"/>
      <c r="N290" s="664"/>
      <c r="O290" s="664"/>
      <c r="P290" s="664"/>
      <c r="Q290" s="664"/>
      <c r="R290" s="664"/>
      <c r="S290" s="664"/>
      <c r="T290" s="664"/>
      <c r="U290" s="664"/>
      <c r="V290" s="664"/>
      <c r="W290" s="664"/>
      <c r="X290" s="664"/>
      <c r="Y290" s="664"/>
      <c r="Z290" s="664"/>
      <c r="AA290" s="664"/>
      <c r="AB290" s="664"/>
      <c r="AC290" s="664"/>
      <c r="AD290" s="664"/>
    </row>
    <row r="291" spans="1:30">
      <c r="A291" s="1550"/>
      <c r="B291" s="664"/>
      <c r="C291" s="664"/>
      <c r="D291" s="664"/>
      <c r="E291" s="664"/>
      <c r="F291" s="664"/>
      <c r="G291" s="664"/>
      <c r="H291" s="664"/>
      <c r="I291" s="664"/>
      <c r="J291" s="664"/>
      <c r="K291" s="664"/>
      <c r="L291" s="664"/>
      <c r="M291" s="664"/>
      <c r="N291" s="664"/>
      <c r="O291" s="664"/>
      <c r="P291" s="664"/>
      <c r="Q291" s="664"/>
      <c r="R291" s="664"/>
      <c r="S291" s="664"/>
      <c r="T291" s="664"/>
      <c r="U291" s="664"/>
      <c r="V291" s="664"/>
      <c r="W291" s="664"/>
      <c r="X291" s="664"/>
      <c r="Y291" s="664"/>
      <c r="Z291" s="664"/>
      <c r="AA291" s="664"/>
      <c r="AB291" s="664"/>
      <c r="AC291" s="664"/>
      <c r="AD291" s="664"/>
    </row>
    <row r="292" spans="1:30">
      <c r="A292" s="1550"/>
      <c r="B292" s="664"/>
      <c r="C292" s="664"/>
      <c r="D292" s="664"/>
      <c r="E292" s="664"/>
      <c r="F292" s="664"/>
      <c r="G292" s="664"/>
      <c r="H292" s="664"/>
      <c r="I292" s="664"/>
      <c r="J292" s="664"/>
      <c r="K292" s="664"/>
      <c r="L292" s="664"/>
      <c r="M292" s="664"/>
      <c r="N292" s="664"/>
      <c r="O292" s="664"/>
      <c r="P292" s="664"/>
      <c r="Q292" s="664"/>
      <c r="R292" s="664"/>
      <c r="S292" s="664"/>
      <c r="T292" s="664"/>
      <c r="U292" s="664"/>
      <c r="V292" s="664"/>
      <c r="W292" s="664"/>
      <c r="X292" s="664"/>
      <c r="Y292" s="664"/>
      <c r="Z292" s="664"/>
      <c r="AA292" s="664"/>
      <c r="AB292" s="664"/>
      <c r="AC292" s="664"/>
      <c r="AD292" s="664"/>
    </row>
    <row r="293" spans="1:30">
      <c r="A293" s="1550"/>
      <c r="B293" s="664"/>
      <c r="C293" s="664"/>
      <c r="D293" s="664"/>
      <c r="E293" s="664"/>
      <c r="F293" s="664"/>
      <c r="G293" s="664"/>
      <c r="H293" s="664"/>
      <c r="I293" s="664"/>
      <c r="J293" s="664"/>
      <c r="K293" s="664"/>
      <c r="L293" s="664"/>
      <c r="M293" s="664"/>
      <c r="N293" s="664"/>
      <c r="O293" s="664"/>
      <c r="P293" s="664"/>
      <c r="Q293" s="664"/>
      <c r="R293" s="664"/>
      <c r="S293" s="664"/>
      <c r="T293" s="664"/>
      <c r="U293" s="664"/>
      <c r="V293" s="664"/>
      <c r="W293" s="664"/>
      <c r="X293" s="664"/>
      <c r="Y293" s="664"/>
      <c r="Z293" s="664"/>
      <c r="AA293" s="664"/>
      <c r="AB293" s="664"/>
      <c r="AC293" s="664"/>
      <c r="AD293" s="664"/>
    </row>
    <row r="294" spans="1:30">
      <c r="A294" s="1550"/>
      <c r="B294" s="664"/>
      <c r="C294" s="664"/>
      <c r="D294" s="664"/>
      <c r="E294" s="664"/>
      <c r="F294" s="664"/>
      <c r="G294" s="664"/>
      <c r="H294" s="664"/>
      <c r="I294" s="664"/>
      <c r="J294" s="664"/>
      <c r="K294" s="664"/>
      <c r="L294" s="664"/>
      <c r="M294" s="664"/>
      <c r="N294" s="664"/>
      <c r="O294" s="664"/>
      <c r="P294" s="664"/>
      <c r="Q294" s="664"/>
      <c r="R294" s="664"/>
      <c r="S294" s="664"/>
      <c r="T294" s="664"/>
      <c r="U294" s="664"/>
      <c r="V294" s="664"/>
      <c r="W294" s="664"/>
      <c r="X294" s="664"/>
      <c r="Y294" s="664"/>
      <c r="Z294" s="664"/>
      <c r="AA294" s="664"/>
      <c r="AB294" s="664"/>
      <c r="AC294" s="664"/>
      <c r="AD294" s="664"/>
    </row>
    <row r="295" spans="1:30">
      <c r="A295" s="1550"/>
      <c r="B295" s="664"/>
      <c r="C295" s="664"/>
      <c r="D295" s="664"/>
      <c r="E295" s="664"/>
      <c r="F295" s="664"/>
      <c r="G295" s="664"/>
      <c r="H295" s="664"/>
      <c r="I295" s="664"/>
      <c r="J295" s="664"/>
      <c r="K295" s="664"/>
      <c r="L295" s="664"/>
      <c r="M295" s="664"/>
      <c r="N295" s="664"/>
      <c r="O295" s="664"/>
      <c r="P295" s="664"/>
      <c r="Q295" s="664"/>
      <c r="R295" s="664"/>
      <c r="S295" s="664"/>
      <c r="T295" s="664"/>
      <c r="U295" s="664"/>
      <c r="V295" s="664"/>
      <c r="W295" s="664"/>
      <c r="X295" s="664"/>
      <c r="Y295" s="664"/>
      <c r="Z295" s="664"/>
      <c r="AA295" s="664"/>
      <c r="AB295" s="664"/>
      <c r="AC295" s="664"/>
      <c r="AD295" s="664"/>
    </row>
    <row r="296" spans="1:30">
      <c r="A296" s="1550"/>
      <c r="B296" s="664"/>
      <c r="C296" s="664"/>
      <c r="D296" s="664"/>
      <c r="E296" s="664"/>
      <c r="F296" s="664"/>
      <c r="G296" s="664"/>
      <c r="H296" s="664"/>
      <c r="I296" s="664"/>
      <c r="J296" s="664"/>
      <c r="K296" s="664"/>
      <c r="L296" s="664"/>
      <c r="M296" s="664"/>
      <c r="N296" s="664"/>
      <c r="O296" s="664"/>
      <c r="P296" s="664"/>
      <c r="Q296" s="664"/>
      <c r="R296" s="664"/>
      <c r="S296" s="664"/>
      <c r="T296" s="664"/>
      <c r="U296" s="664"/>
      <c r="V296" s="664"/>
      <c r="W296" s="664"/>
      <c r="X296" s="664"/>
      <c r="Y296" s="664"/>
      <c r="Z296" s="664"/>
      <c r="AA296" s="664"/>
      <c r="AB296" s="664"/>
      <c r="AC296" s="664"/>
      <c r="AD296" s="664"/>
    </row>
    <row r="297" spans="1:30">
      <c r="A297" s="1550"/>
      <c r="B297" s="664"/>
      <c r="C297" s="664"/>
      <c r="D297" s="664"/>
      <c r="E297" s="664"/>
      <c r="F297" s="664"/>
      <c r="G297" s="664"/>
      <c r="H297" s="664"/>
      <c r="I297" s="664"/>
      <c r="J297" s="664"/>
      <c r="K297" s="664"/>
      <c r="L297" s="664"/>
      <c r="M297" s="664"/>
      <c r="N297" s="664"/>
      <c r="O297" s="664"/>
      <c r="P297" s="664"/>
      <c r="Q297" s="664"/>
      <c r="R297" s="664"/>
      <c r="S297" s="664"/>
      <c r="T297" s="664"/>
      <c r="U297" s="664"/>
      <c r="V297" s="664"/>
      <c r="W297" s="664"/>
      <c r="X297" s="664"/>
      <c r="Y297" s="664"/>
      <c r="Z297" s="664"/>
      <c r="AA297" s="664"/>
      <c r="AB297" s="664"/>
      <c r="AC297" s="664"/>
      <c r="AD297" s="664"/>
    </row>
    <row r="298" spans="1:30">
      <c r="A298" s="1550"/>
      <c r="B298" s="664"/>
      <c r="C298" s="664"/>
      <c r="D298" s="664"/>
      <c r="E298" s="664"/>
      <c r="F298" s="664"/>
      <c r="G298" s="664"/>
      <c r="H298" s="664"/>
      <c r="I298" s="664"/>
      <c r="J298" s="664"/>
      <c r="K298" s="664"/>
      <c r="L298" s="664"/>
      <c r="M298" s="664"/>
      <c r="N298" s="664"/>
      <c r="O298" s="664"/>
      <c r="P298" s="664"/>
      <c r="Q298" s="664"/>
      <c r="R298" s="664"/>
      <c r="S298" s="664"/>
      <c r="T298" s="664"/>
      <c r="U298" s="664"/>
      <c r="V298" s="664"/>
      <c r="W298" s="664"/>
      <c r="X298" s="664"/>
      <c r="Y298" s="664"/>
      <c r="Z298" s="664"/>
      <c r="AA298" s="664"/>
      <c r="AB298" s="664"/>
      <c r="AC298" s="664"/>
      <c r="AD298" s="664"/>
    </row>
    <row r="299" spans="1:30">
      <c r="A299" s="1550"/>
      <c r="B299" s="664"/>
      <c r="C299" s="664"/>
      <c r="D299" s="664"/>
      <c r="E299" s="664"/>
      <c r="F299" s="664"/>
      <c r="G299" s="664"/>
      <c r="H299" s="664"/>
      <c r="I299" s="664"/>
      <c r="J299" s="664"/>
      <c r="K299" s="664"/>
      <c r="L299" s="664"/>
      <c r="M299" s="664"/>
      <c r="N299" s="664"/>
      <c r="O299" s="664"/>
      <c r="P299" s="664"/>
      <c r="Q299" s="664"/>
      <c r="R299" s="664"/>
      <c r="S299" s="664"/>
      <c r="T299" s="664"/>
      <c r="U299" s="664"/>
      <c r="V299" s="664"/>
      <c r="W299" s="664"/>
      <c r="X299" s="664"/>
      <c r="Y299" s="664"/>
      <c r="Z299" s="664"/>
      <c r="AA299" s="664"/>
      <c r="AB299" s="664"/>
      <c r="AC299" s="664"/>
      <c r="AD299" s="664"/>
    </row>
    <row r="300" spans="1:30">
      <c r="A300" s="1550"/>
      <c r="B300" s="664"/>
      <c r="C300" s="664"/>
      <c r="D300" s="664"/>
      <c r="E300" s="664"/>
      <c r="F300" s="664"/>
      <c r="G300" s="664"/>
      <c r="H300" s="664"/>
      <c r="I300" s="664"/>
      <c r="J300" s="664"/>
      <c r="K300" s="664"/>
      <c r="L300" s="664"/>
      <c r="M300" s="664"/>
      <c r="N300" s="664"/>
      <c r="O300" s="664"/>
      <c r="P300" s="664"/>
      <c r="Q300" s="664"/>
      <c r="R300" s="664"/>
      <c r="S300" s="664"/>
      <c r="T300" s="664"/>
      <c r="U300" s="664"/>
      <c r="V300" s="664"/>
      <c r="W300" s="664"/>
      <c r="X300" s="664"/>
      <c r="Y300" s="664"/>
      <c r="Z300" s="664"/>
      <c r="AA300" s="664"/>
      <c r="AB300" s="664"/>
      <c r="AC300" s="664"/>
      <c r="AD300" s="664"/>
    </row>
    <row r="301" spans="1:30">
      <c r="A301" s="1550"/>
      <c r="B301" s="664"/>
      <c r="C301" s="664"/>
      <c r="D301" s="664"/>
      <c r="E301" s="664"/>
      <c r="F301" s="664"/>
      <c r="G301" s="664"/>
      <c r="H301" s="664"/>
      <c r="I301" s="664"/>
      <c r="J301" s="664"/>
      <c r="K301" s="664"/>
      <c r="L301" s="664"/>
      <c r="M301" s="664"/>
      <c r="N301" s="664"/>
      <c r="O301" s="664"/>
      <c r="P301" s="664"/>
      <c r="Q301" s="664"/>
      <c r="R301" s="664"/>
      <c r="S301" s="664"/>
      <c r="T301" s="664"/>
      <c r="U301" s="664"/>
      <c r="V301" s="664"/>
      <c r="W301" s="664"/>
      <c r="X301" s="664"/>
      <c r="Y301" s="664"/>
      <c r="Z301" s="664"/>
      <c r="AA301" s="664"/>
      <c r="AB301" s="664"/>
      <c r="AC301" s="664"/>
      <c r="AD301" s="664"/>
    </row>
    <row r="302" spans="1:30">
      <c r="A302" s="1550"/>
      <c r="B302" s="664"/>
      <c r="C302" s="664"/>
      <c r="D302" s="664"/>
      <c r="E302" s="664"/>
      <c r="F302" s="664"/>
      <c r="G302" s="664"/>
      <c r="H302" s="664"/>
      <c r="I302" s="664"/>
      <c r="J302" s="664"/>
      <c r="K302" s="664"/>
      <c r="L302" s="664"/>
      <c r="M302" s="664"/>
      <c r="N302" s="664"/>
      <c r="O302" s="664"/>
      <c r="P302" s="664"/>
      <c r="Q302" s="664"/>
      <c r="R302" s="664"/>
      <c r="S302" s="664"/>
      <c r="T302" s="664"/>
      <c r="U302" s="664"/>
      <c r="V302" s="664"/>
      <c r="W302" s="664"/>
      <c r="X302" s="664"/>
      <c r="Y302" s="664"/>
      <c r="Z302" s="664"/>
      <c r="AA302" s="664"/>
      <c r="AB302" s="664"/>
      <c r="AC302" s="664"/>
      <c r="AD302" s="664"/>
    </row>
    <row r="303" spans="1:30">
      <c r="A303" s="1550"/>
      <c r="B303" s="664"/>
      <c r="C303" s="664"/>
      <c r="D303" s="664"/>
      <c r="E303" s="664"/>
      <c r="F303" s="664"/>
      <c r="G303" s="664"/>
      <c r="H303" s="664"/>
      <c r="I303" s="664"/>
      <c r="J303" s="664"/>
      <c r="K303" s="664"/>
      <c r="L303" s="664"/>
      <c r="M303" s="664"/>
      <c r="N303" s="664"/>
      <c r="O303" s="664"/>
      <c r="P303" s="664"/>
      <c r="Q303" s="664"/>
      <c r="R303" s="664"/>
      <c r="S303" s="664"/>
      <c r="T303" s="664"/>
      <c r="U303" s="664"/>
      <c r="V303" s="664"/>
      <c r="W303" s="664"/>
      <c r="X303" s="664"/>
      <c r="Y303" s="664"/>
      <c r="Z303" s="664"/>
      <c r="AA303" s="664"/>
      <c r="AB303" s="664"/>
      <c r="AC303" s="664"/>
      <c r="AD303" s="664"/>
    </row>
    <row r="304" spans="1:30">
      <c r="A304" s="1550"/>
      <c r="B304" s="664"/>
      <c r="C304" s="664"/>
      <c r="D304" s="664"/>
      <c r="E304" s="664"/>
      <c r="F304" s="664"/>
      <c r="G304" s="664"/>
      <c r="H304" s="664"/>
      <c r="I304" s="664"/>
      <c r="J304" s="664"/>
      <c r="K304" s="664"/>
      <c r="L304" s="664"/>
      <c r="M304" s="664"/>
      <c r="N304" s="664"/>
      <c r="O304" s="664"/>
      <c r="P304" s="664"/>
      <c r="Q304" s="664"/>
      <c r="R304" s="664"/>
      <c r="S304" s="664"/>
      <c r="T304" s="664"/>
      <c r="U304" s="664"/>
      <c r="V304" s="664"/>
      <c r="W304" s="664"/>
      <c r="X304" s="664"/>
      <c r="Y304" s="664"/>
      <c r="Z304" s="664"/>
      <c r="AA304" s="664"/>
      <c r="AB304" s="664"/>
      <c r="AC304" s="664"/>
      <c r="AD304" s="664"/>
    </row>
    <row r="305" spans="1:30">
      <c r="A305" s="1550"/>
      <c r="B305" s="664"/>
      <c r="C305" s="664"/>
      <c r="D305" s="664"/>
      <c r="E305" s="664"/>
      <c r="F305" s="664"/>
      <c r="G305" s="664"/>
      <c r="H305" s="664"/>
      <c r="I305" s="664"/>
      <c r="J305" s="664"/>
      <c r="K305" s="664"/>
      <c r="L305" s="664"/>
      <c r="M305" s="664"/>
      <c r="N305" s="664"/>
      <c r="O305" s="664"/>
      <c r="P305" s="664"/>
      <c r="Q305" s="664"/>
      <c r="R305" s="664"/>
      <c r="S305" s="664"/>
      <c r="T305" s="664"/>
      <c r="U305" s="664"/>
      <c r="V305" s="664"/>
      <c r="W305" s="664"/>
      <c r="X305" s="664"/>
      <c r="Y305" s="664"/>
      <c r="Z305" s="664"/>
      <c r="AA305" s="664"/>
      <c r="AB305" s="664"/>
      <c r="AC305" s="664"/>
      <c r="AD305" s="664"/>
    </row>
    <row r="306" spans="1:30">
      <c r="A306" s="1550"/>
      <c r="B306" s="664"/>
      <c r="C306" s="664"/>
      <c r="D306" s="664"/>
      <c r="E306" s="664"/>
      <c r="F306" s="664"/>
      <c r="G306" s="664"/>
      <c r="H306" s="664"/>
      <c r="I306" s="664"/>
      <c r="J306" s="664"/>
      <c r="K306" s="664"/>
      <c r="L306" s="664"/>
      <c r="M306" s="664"/>
      <c r="N306" s="664"/>
      <c r="O306" s="664"/>
      <c r="P306" s="664"/>
      <c r="Q306" s="664"/>
      <c r="R306" s="664"/>
      <c r="S306" s="664"/>
      <c r="T306" s="664"/>
      <c r="U306" s="664"/>
      <c r="V306" s="664"/>
      <c r="W306" s="664"/>
      <c r="X306" s="664"/>
      <c r="Y306" s="664"/>
      <c r="Z306" s="664"/>
      <c r="AA306" s="664"/>
      <c r="AB306" s="664"/>
      <c r="AC306" s="664"/>
      <c r="AD306" s="664"/>
    </row>
    <row r="307" spans="1:30">
      <c r="A307" s="1550"/>
      <c r="B307" s="664"/>
      <c r="C307" s="664"/>
      <c r="D307" s="664"/>
      <c r="E307" s="664"/>
      <c r="F307" s="664"/>
      <c r="G307" s="664"/>
      <c r="H307" s="664"/>
      <c r="I307" s="664"/>
      <c r="J307" s="664"/>
      <c r="K307" s="664"/>
      <c r="L307" s="664"/>
      <c r="M307" s="664"/>
      <c r="N307" s="664"/>
      <c r="O307" s="664"/>
      <c r="P307" s="664"/>
      <c r="Q307" s="664"/>
      <c r="R307" s="664"/>
      <c r="S307" s="664"/>
      <c r="T307" s="664"/>
      <c r="U307" s="664"/>
      <c r="V307" s="664"/>
      <c r="W307" s="664"/>
      <c r="X307" s="664"/>
      <c r="Y307" s="664"/>
      <c r="Z307" s="664"/>
      <c r="AA307" s="664"/>
      <c r="AB307" s="664"/>
      <c r="AC307" s="664"/>
      <c r="AD307" s="664"/>
    </row>
    <row r="308" spans="1:30">
      <c r="A308" s="1550"/>
      <c r="B308" s="664"/>
      <c r="C308" s="664"/>
      <c r="D308" s="664"/>
      <c r="E308" s="664"/>
      <c r="F308" s="664"/>
      <c r="G308" s="664"/>
      <c r="H308" s="664"/>
      <c r="I308" s="664"/>
      <c r="J308" s="664"/>
      <c r="K308" s="664"/>
      <c r="L308" s="664"/>
      <c r="M308" s="664"/>
      <c r="N308" s="664"/>
      <c r="O308" s="664"/>
      <c r="P308" s="664"/>
      <c r="Q308" s="664"/>
      <c r="R308" s="664"/>
      <c r="S308" s="664"/>
      <c r="T308" s="664"/>
      <c r="U308" s="664"/>
      <c r="V308" s="664"/>
      <c r="W308" s="664"/>
      <c r="X308" s="664"/>
      <c r="Y308" s="664"/>
      <c r="Z308" s="664"/>
      <c r="AA308" s="664"/>
      <c r="AB308" s="664"/>
      <c r="AC308" s="664"/>
      <c r="AD308" s="664"/>
    </row>
    <row r="309" spans="1:30">
      <c r="A309" s="1550"/>
      <c r="B309" s="664"/>
      <c r="C309" s="664"/>
      <c r="D309" s="664"/>
      <c r="E309" s="664"/>
      <c r="F309" s="664"/>
      <c r="G309" s="664"/>
      <c r="H309" s="664"/>
      <c r="I309" s="664"/>
      <c r="J309" s="664"/>
      <c r="K309" s="664"/>
      <c r="L309" s="664"/>
      <c r="M309" s="664"/>
      <c r="N309" s="664"/>
      <c r="O309" s="664"/>
      <c r="P309" s="664"/>
      <c r="Q309" s="664"/>
      <c r="R309" s="664"/>
      <c r="S309" s="664"/>
      <c r="T309" s="664"/>
      <c r="U309" s="664"/>
      <c r="V309" s="664"/>
      <c r="W309" s="664"/>
      <c r="X309" s="664"/>
      <c r="Y309" s="664"/>
      <c r="Z309" s="664"/>
      <c r="AA309" s="664"/>
      <c r="AB309" s="664"/>
      <c r="AC309" s="664"/>
      <c r="AD309" s="664"/>
    </row>
    <row r="310" spans="1:30">
      <c r="A310" s="1550"/>
      <c r="B310" s="664"/>
      <c r="C310" s="664"/>
      <c r="D310" s="664"/>
      <c r="E310" s="664"/>
      <c r="F310" s="664"/>
      <c r="G310" s="664"/>
      <c r="H310" s="664"/>
      <c r="I310" s="664"/>
      <c r="J310" s="664"/>
      <c r="K310" s="664"/>
      <c r="L310" s="664"/>
      <c r="M310" s="664"/>
      <c r="N310" s="664"/>
      <c r="O310" s="664"/>
      <c r="P310" s="664"/>
      <c r="Q310" s="664"/>
      <c r="R310" s="664"/>
      <c r="S310" s="664"/>
      <c r="T310" s="664"/>
      <c r="U310" s="664"/>
      <c r="V310" s="664"/>
      <c r="W310" s="664"/>
      <c r="X310" s="664"/>
      <c r="Y310" s="664"/>
      <c r="Z310" s="664"/>
      <c r="AA310" s="664"/>
      <c r="AB310" s="664"/>
      <c r="AC310" s="664"/>
      <c r="AD310" s="664"/>
    </row>
    <row r="311" spans="1:30">
      <c r="A311" s="1550"/>
      <c r="B311" s="664"/>
      <c r="C311" s="664"/>
      <c r="D311" s="664"/>
      <c r="E311" s="664"/>
      <c r="F311" s="664"/>
      <c r="G311" s="664"/>
      <c r="H311" s="664"/>
      <c r="I311" s="664"/>
      <c r="J311" s="664"/>
      <c r="K311" s="664"/>
      <c r="L311" s="664"/>
      <c r="M311" s="664"/>
      <c r="N311" s="664"/>
      <c r="O311" s="664"/>
      <c r="P311" s="664"/>
      <c r="Q311" s="664"/>
      <c r="R311" s="664"/>
      <c r="S311" s="664"/>
      <c r="T311" s="664"/>
      <c r="U311" s="664"/>
      <c r="V311" s="664"/>
      <c r="W311" s="664"/>
      <c r="X311" s="664"/>
      <c r="Y311" s="664"/>
      <c r="Z311" s="664"/>
      <c r="AA311" s="664"/>
      <c r="AB311" s="664"/>
      <c r="AC311" s="664"/>
      <c r="AD311" s="664"/>
    </row>
    <row r="312" spans="1:30">
      <c r="A312" s="1550"/>
      <c r="B312" s="664"/>
      <c r="C312" s="664"/>
      <c r="D312" s="664"/>
      <c r="E312" s="664"/>
      <c r="F312" s="664"/>
      <c r="G312" s="664"/>
      <c r="H312" s="664"/>
      <c r="I312" s="664"/>
      <c r="J312" s="664"/>
      <c r="K312" s="664"/>
      <c r="L312" s="664"/>
      <c r="M312" s="664"/>
      <c r="N312" s="664"/>
      <c r="O312" s="664"/>
      <c r="P312" s="664"/>
      <c r="Q312" s="664"/>
      <c r="R312" s="664"/>
      <c r="S312" s="664"/>
      <c r="T312" s="664"/>
      <c r="U312" s="664"/>
      <c r="V312" s="664"/>
      <c r="W312" s="664"/>
      <c r="X312" s="664"/>
      <c r="Y312" s="664"/>
      <c r="Z312" s="664"/>
      <c r="AA312" s="664"/>
      <c r="AB312" s="664"/>
      <c r="AC312" s="664"/>
      <c r="AD312" s="664"/>
    </row>
    <row r="313" spans="1:30">
      <c r="A313" s="1550"/>
      <c r="B313" s="664"/>
      <c r="C313" s="664"/>
      <c r="D313" s="664"/>
      <c r="E313" s="664"/>
      <c r="F313" s="664"/>
      <c r="G313" s="664"/>
      <c r="H313" s="664"/>
      <c r="I313" s="664"/>
      <c r="J313" s="664"/>
      <c r="K313" s="664"/>
      <c r="L313" s="664"/>
      <c r="M313" s="664"/>
      <c r="N313" s="664"/>
      <c r="O313" s="664"/>
      <c r="P313" s="664"/>
      <c r="Q313" s="664"/>
      <c r="R313" s="664"/>
      <c r="S313" s="664"/>
      <c r="T313" s="664"/>
      <c r="U313" s="664"/>
      <c r="V313" s="664"/>
      <c r="W313" s="664"/>
      <c r="X313" s="664"/>
      <c r="Y313" s="664"/>
      <c r="Z313" s="664"/>
      <c r="AA313" s="664"/>
      <c r="AB313" s="664"/>
      <c r="AC313" s="664"/>
      <c r="AD313" s="664"/>
    </row>
    <row r="314" spans="1:30">
      <c r="A314" s="1550"/>
      <c r="B314" s="664"/>
      <c r="C314" s="664"/>
      <c r="D314" s="664"/>
      <c r="E314" s="664"/>
      <c r="F314" s="664"/>
      <c r="G314" s="664"/>
      <c r="H314" s="664"/>
      <c r="I314" s="664"/>
      <c r="J314" s="664"/>
      <c r="K314" s="664"/>
      <c r="L314" s="664"/>
      <c r="M314" s="664"/>
      <c r="N314" s="664"/>
      <c r="O314" s="664"/>
      <c r="P314" s="664"/>
      <c r="Q314" s="664"/>
      <c r="R314" s="664"/>
      <c r="S314" s="664"/>
      <c r="T314" s="664"/>
      <c r="U314" s="664"/>
      <c r="V314" s="664"/>
      <c r="W314" s="664"/>
      <c r="X314" s="664"/>
      <c r="Y314" s="664"/>
      <c r="Z314" s="664"/>
      <c r="AA314" s="664"/>
      <c r="AB314" s="664"/>
      <c r="AC314" s="664"/>
      <c r="AD314" s="664"/>
    </row>
    <row r="315" spans="1:30">
      <c r="A315" s="1550"/>
      <c r="B315" s="664"/>
      <c r="C315" s="664"/>
      <c r="D315" s="664"/>
      <c r="E315" s="664"/>
      <c r="F315" s="664"/>
      <c r="G315" s="664"/>
      <c r="H315" s="664"/>
      <c r="I315" s="664"/>
      <c r="J315" s="664"/>
      <c r="K315" s="664"/>
      <c r="L315" s="664"/>
      <c r="M315" s="664"/>
      <c r="N315" s="664"/>
      <c r="O315" s="664"/>
      <c r="P315" s="664"/>
      <c r="Q315" s="664"/>
      <c r="R315" s="664"/>
      <c r="S315" s="664"/>
      <c r="T315" s="664"/>
      <c r="U315" s="664"/>
      <c r="V315" s="664"/>
      <c r="W315" s="664"/>
      <c r="X315" s="664"/>
      <c r="Y315" s="664"/>
      <c r="Z315" s="664"/>
      <c r="AA315" s="664"/>
      <c r="AB315" s="664"/>
      <c r="AC315" s="664"/>
      <c r="AD315" s="664"/>
    </row>
    <row r="316" spans="1:30">
      <c r="A316" s="1550"/>
      <c r="B316" s="664"/>
      <c r="C316" s="664"/>
      <c r="D316" s="664"/>
      <c r="E316" s="664"/>
      <c r="F316" s="664"/>
      <c r="G316" s="664"/>
      <c r="H316" s="664"/>
      <c r="I316" s="664"/>
      <c r="J316" s="664"/>
      <c r="K316" s="664"/>
      <c r="L316" s="664"/>
      <c r="M316" s="664"/>
      <c r="N316" s="664"/>
      <c r="O316" s="664"/>
      <c r="P316" s="664"/>
      <c r="Q316" s="664"/>
      <c r="R316" s="664"/>
      <c r="S316" s="664"/>
      <c r="T316" s="664"/>
      <c r="U316" s="664"/>
      <c r="V316" s="664"/>
      <c r="W316" s="664"/>
      <c r="X316" s="664"/>
      <c r="Y316" s="664"/>
      <c r="Z316" s="664"/>
      <c r="AA316" s="664"/>
      <c r="AB316" s="664"/>
      <c r="AC316" s="664"/>
      <c r="AD316" s="664"/>
    </row>
    <row r="317" spans="1:30">
      <c r="A317" s="1550"/>
      <c r="B317" s="664"/>
      <c r="C317" s="664"/>
      <c r="D317" s="664"/>
      <c r="E317" s="664"/>
      <c r="F317" s="664"/>
      <c r="G317" s="664"/>
      <c r="H317" s="664"/>
      <c r="I317" s="664"/>
      <c r="J317" s="664"/>
      <c r="K317" s="664"/>
      <c r="L317" s="664"/>
      <c r="M317" s="664"/>
      <c r="N317" s="664"/>
      <c r="O317" s="664"/>
      <c r="P317" s="664"/>
      <c r="Q317" s="664"/>
      <c r="R317" s="664"/>
      <c r="S317" s="664"/>
      <c r="T317" s="664"/>
      <c r="U317" s="664"/>
      <c r="V317" s="664"/>
      <c r="W317" s="664"/>
      <c r="X317" s="664"/>
      <c r="Y317" s="664"/>
      <c r="Z317" s="664"/>
      <c r="AA317" s="664"/>
      <c r="AB317" s="664"/>
      <c r="AC317" s="664"/>
      <c r="AD317" s="664"/>
    </row>
    <row r="318" spans="1:30">
      <c r="A318" s="1550"/>
      <c r="B318" s="664"/>
      <c r="C318" s="664"/>
      <c r="D318" s="664"/>
      <c r="E318" s="664"/>
      <c r="F318" s="664"/>
      <c r="G318" s="664"/>
      <c r="H318" s="664"/>
      <c r="I318" s="664"/>
      <c r="J318" s="664"/>
      <c r="K318" s="664"/>
      <c r="L318" s="664"/>
      <c r="M318" s="664"/>
      <c r="N318" s="664"/>
      <c r="O318" s="664"/>
      <c r="P318" s="664"/>
      <c r="Q318" s="664"/>
      <c r="R318" s="664"/>
      <c r="S318" s="664"/>
      <c r="T318" s="664"/>
      <c r="U318" s="664"/>
      <c r="V318" s="664"/>
      <c r="W318" s="664"/>
      <c r="X318" s="664"/>
      <c r="Y318" s="664"/>
      <c r="Z318" s="664"/>
      <c r="AA318" s="664"/>
      <c r="AB318" s="664"/>
      <c r="AC318" s="664"/>
      <c r="AD318" s="664"/>
    </row>
    <row r="319" spans="1:30">
      <c r="A319" s="1550"/>
      <c r="B319" s="664"/>
      <c r="C319" s="664"/>
      <c r="D319" s="664"/>
      <c r="E319" s="664"/>
      <c r="F319" s="664"/>
      <c r="G319" s="664"/>
      <c r="H319" s="664"/>
      <c r="I319" s="664"/>
      <c r="J319" s="664"/>
      <c r="K319" s="664"/>
      <c r="L319" s="664"/>
      <c r="M319" s="664"/>
      <c r="N319" s="664"/>
      <c r="O319" s="664"/>
      <c r="P319" s="664"/>
      <c r="Q319" s="664"/>
      <c r="R319" s="664"/>
      <c r="S319" s="664"/>
      <c r="T319" s="664"/>
      <c r="U319" s="664"/>
      <c r="V319" s="664"/>
      <c r="W319" s="664"/>
      <c r="X319" s="664"/>
      <c r="Y319" s="664"/>
      <c r="Z319" s="664"/>
      <c r="AA319" s="664"/>
      <c r="AB319" s="664"/>
      <c r="AC319" s="664"/>
      <c r="AD319" s="664"/>
    </row>
    <row r="320" spans="1:30">
      <c r="A320" s="1550"/>
      <c r="B320" s="664"/>
      <c r="C320" s="664"/>
      <c r="D320" s="664"/>
      <c r="E320" s="664"/>
      <c r="F320" s="664"/>
      <c r="G320" s="664"/>
      <c r="H320" s="664"/>
      <c r="I320" s="664"/>
      <c r="J320" s="664"/>
      <c r="K320" s="664"/>
      <c r="L320" s="664"/>
      <c r="M320" s="664"/>
      <c r="N320" s="664"/>
      <c r="O320" s="664"/>
      <c r="P320" s="664"/>
      <c r="Q320" s="664"/>
      <c r="R320" s="664"/>
      <c r="S320" s="664"/>
      <c r="T320" s="664"/>
      <c r="U320" s="664"/>
      <c r="V320" s="664"/>
      <c r="W320" s="664"/>
      <c r="X320" s="664"/>
      <c r="Y320" s="664"/>
      <c r="Z320" s="664"/>
      <c r="AA320" s="664"/>
      <c r="AB320" s="664"/>
      <c r="AC320" s="664"/>
      <c r="AD320" s="664"/>
    </row>
    <row r="321" spans="1:30">
      <c r="A321" s="1550"/>
      <c r="B321" s="664"/>
      <c r="C321" s="664"/>
      <c r="D321" s="664"/>
      <c r="E321" s="664"/>
      <c r="F321" s="664"/>
      <c r="G321" s="664"/>
      <c r="H321" s="664"/>
      <c r="I321" s="664"/>
      <c r="J321" s="664"/>
      <c r="K321" s="664"/>
      <c r="L321" s="664"/>
      <c r="M321" s="664"/>
      <c r="N321" s="664"/>
      <c r="O321" s="664"/>
      <c r="P321" s="664"/>
      <c r="Q321" s="664"/>
      <c r="R321" s="664"/>
      <c r="S321" s="664"/>
      <c r="T321" s="664"/>
      <c r="U321" s="664"/>
      <c r="V321" s="664"/>
      <c r="W321" s="664"/>
      <c r="X321" s="664"/>
      <c r="Y321" s="664"/>
      <c r="Z321" s="664"/>
      <c r="AA321" s="664"/>
      <c r="AB321" s="664"/>
      <c r="AC321" s="664"/>
      <c r="AD321" s="664"/>
    </row>
    <row r="322" spans="1:30">
      <c r="A322" s="1550"/>
      <c r="B322" s="664"/>
      <c r="C322" s="664"/>
      <c r="D322" s="664"/>
      <c r="E322" s="664"/>
      <c r="F322" s="664"/>
      <c r="G322" s="664"/>
      <c r="H322" s="664"/>
      <c r="I322" s="664"/>
      <c r="J322" s="664"/>
      <c r="K322" s="664"/>
      <c r="L322" s="664"/>
      <c r="M322" s="664"/>
      <c r="N322" s="664"/>
      <c r="O322" s="664"/>
      <c r="P322" s="664"/>
      <c r="Q322" s="664"/>
      <c r="R322" s="664"/>
      <c r="S322" s="664"/>
      <c r="T322" s="664"/>
      <c r="U322" s="664"/>
      <c r="V322" s="664"/>
      <c r="W322" s="664"/>
      <c r="X322" s="664"/>
      <c r="Y322" s="664"/>
      <c r="Z322" s="664"/>
      <c r="AA322" s="664"/>
      <c r="AB322" s="664"/>
      <c r="AC322" s="664"/>
      <c r="AD322" s="664"/>
    </row>
    <row r="323" spans="1:30">
      <c r="A323" s="1550"/>
      <c r="B323" s="664"/>
      <c r="C323" s="664"/>
      <c r="D323" s="664"/>
      <c r="E323" s="664"/>
      <c r="F323" s="664"/>
      <c r="G323" s="664"/>
      <c r="H323" s="664"/>
      <c r="I323" s="664"/>
      <c r="J323" s="664"/>
      <c r="K323" s="664"/>
      <c r="L323" s="664"/>
      <c r="M323" s="664"/>
      <c r="N323" s="664"/>
      <c r="O323" s="664"/>
      <c r="P323" s="664"/>
      <c r="Q323" s="664"/>
      <c r="R323" s="664"/>
      <c r="S323" s="664"/>
      <c r="T323" s="664"/>
      <c r="U323" s="664"/>
      <c r="V323" s="664"/>
      <c r="W323" s="664"/>
      <c r="X323" s="664"/>
      <c r="Y323" s="664"/>
      <c r="Z323" s="664"/>
      <c r="AA323" s="664"/>
      <c r="AB323" s="664"/>
      <c r="AC323" s="664"/>
      <c r="AD323" s="664"/>
    </row>
    <row r="324" spans="1:30">
      <c r="A324" s="1550"/>
      <c r="B324" s="664"/>
      <c r="C324" s="664"/>
      <c r="D324" s="664"/>
      <c r="E324" s="664"/>
      <c r="F324" s="664"/>
      <c r="G324" s="664"/>
      <c r="H324" s="664"/>
      <c r="I324" s="664"/>
      <c r="J324" s="664"/>
      <c r="K324" s="664"/>
      <c r="L324" s="664"/>
      <c r="M324" s="664"/>
      <c r="N324" s="664"/>
      <c r="O324" s="664"/>
      <c r="P324" s="664"/>
      <c r="Q324" s="664"/>
      <c r="R324" s="664"/>
      <c r="S324" s="664"/>
      <c r="T324" s="664"/>
      <c r="U324" s="664"/>
      <c r="V324" s="664"/>
      <c r="W324" s="664"/>
      <c r="X324" s="664"/>
      <c r="Y324" s="664"/>
      <c r="Z324" s="664"/>
      <c r="AA324" s="664"/>
      <c r="AB324" s="664"/>
      <c r="AC324" s="664"/>
      <c r="AD324" s="664"/>
    </row>
    <row r="325" spans="1:30">
      <c r="A325" s="1550"/>
      <c r="B325" s="664"/>
      <c r="C325" s="664"/>
      <c r="D325" s="664"/>
      <c r="E325" s="664"/>
      <c r="F325" s="664"/>
      <c r="G325" s="664"/>
      <c r="H325" s="664"/>
      <c r="I325" s="664"/>
      <c r="J325" s="664"/>
      <c r="K325" s="664"/>
      <c r="L325" s="664"/>
      <c r="M325" s="664"/>
      <c r="N325" s="664"/>
      <c r="O325" s="664"/>
      <c r="P325" s="664"/>
      <c r="Q325" s="664"/>
      <c r="R325" s="664"/>
      <c r="S325" s="664"/>
      <c r="T325" s="664"/>
      <c r="U325" s="664"/>
      <c r="V325" s="664"/>
      <c r="W325" s="664"/>
      <c r="X325" s="664"/>
      <c r="Y325" s="664"/>
      <c r="Z325" s="664"/>
      <c r="AA325" s="664"/>
      <c r="AB325" s="664"/>
      <c r="AC325" s="664"/>
      <c r="AD325" s="664"/>
    </row>
    <row r="326" spans="1:30">
      <c r="A326" s="1550"/>
      <c r="B326" s="664"/>
      <c r="C326" s="664"/>
      <c r="D326" s="664"/>
      <c r="E326" s="664"/>
      <c r="F326" s="664"/>
      <c r="G326" s="664"/>
      <c r="H326" s="664"/>
      <c r="I326" s="664"/>
      <c r="J326" s="664"/>
      <c r="K326" s="664"/>
      <c r="L326" s="664"/>
      <c r="M326" s="664"/>
      <c r="N326" s="664"/>
      <c r="O326" s="664"/>
      <c r="P326" s="664"/>
      <c r="Q326" s="664"/>
      <c r="R326" s="664"/>
      <c r="S326" s="664"/>
      <c r="T326" s="664"/>
      <c r="U326" s="664"/>
      <c r="V326" s="664"/>
      <c r="W326" s="664"/>
      <c r="X326" s="664"/>
      <c r="Y326" s="664"/>
      <c r="Z326" s="664"/>
      <c r="AA326" s="664"/>
      <c r="AB326" s="664"/>
      <c r="AC326" s="664"/>
      <c r="AD326" s="664"/>
    </row>
    <row r="327" spans="1:30">
      <c r="A327" s="1550"/>
      <c r="B327" s="664"/>
      <c r="C327" s="664"/>
      <c r="D327" s="664"/>
      <c r="E327" s="664"/>
      <c r="F327" s="664"/>
      <c r="G327" s="664"/>
      <c r="H327" s="664"/>
      <c r="I327" s="664"/>
      <c r="J327" s="664"/>
      <c r="K327" s="664"/>
      <c r="L327" s="664"/>
      <c r="M327" s="664"/>
      <c r="N327" s="664"/>
      <c r="O327" s="664"/>
      <c r="P327" s="664"/>
      <c r="Q327" s="664"/>
      <c r="R327" s="664"/>
      <c r="S327" s="664"/>
      <c r="T327" s="664"/>
      <c r="U327" s="664"/>
      <c r="V327" s="664"/>
      <c r="W327" s="664"/>
      <c r="X327" s="664"/>
      <c r="Y327" s="664"/>
      <c r="Z327" s="664"/>
      <c r="AA327" s="664"/>
      <c r="AB327" s="664"/>
      <c r="AC327" s="664"/>
      <c r="AD327" s="664"/>
    </row>
    <row r="328" spans="1:30">
      <c r="A328" s="1550"/>
      <c r="B328" s="664"/>
      <c r="C328" s="664"/>
      <c r="D328" s="664"/>
      <c r="E328" s="664"/>
      <c r="F328" s="664"/>
      <c r="G328" s="664"/>
      <c r="H328" s="664"/>
      <c r="I328" s="664"/>
      <c r="J328" s="664"/>
      <c r="K328" s="664"/>
      <c r="L328" s="664"/>
      <c r="M328" s="664"/>
      <c r="N328" s="664"/>
      <c r="O328" s="664"/>
      <c r="P328" s="664"/>
      <c r="Q328" s="664"/>
      <c r="R328" s="664"/>
      <c r="S328" s="664"/>
      <c r="T328" s="664"/>
      <c r="U328" s="664"/>
      <c r="V328" s="664"/>
      <c r="W328" s="664"/>
      <c r="X328" s="664"/>
      <c r="Y328" s="664"/>
      <c r="Z328" s="664"/>
      <c r="AA328" s="664"/>
      <c r="AB328" s="664"/>
      <c r="AC328" s="664"/>
      <c r="AD328" s="664"/>
    </row>
    <row r="329" spans="1:30">
      <c r="A329" s="1550"/>
      <c r="B329" s="664"/>
      <c r="C329" s="664"/>
      <c r="D329" s="664"/>
      <c r="E329" s="664"/>
      <c r="F329" s="664"/>
      <c r="G329" s="664"/>
      <c r="H329" s="664"/>
      <c r="I329" s="664"/>
      <c r="J329" s="664"/>
      <c r="K329" s="664"/>
      <c r="L329" s="664"/>
      <c r="M329" s="664"/>
      <c r="N329" s="664"/>
      <c r="O329" s="664"/>
      <c r="P329" s="664"/>
      <c r="Q329" s="664"/>
      <c r="R329" s="664"/>
      <c r="S329" s="664"/>
      <c r="T329" s="664"/>
      <c r="U329" s="664"/>
      <c r="V329" s="664"/>
      <c r="W329" s="664"/>
      <c r="X329" s="664"/>
      <c r="Y329" s="664"/>
      <c r="Z329" s="664"/>
      <c r="AA329" s="664"/>
      <c r="AB329" s="664"/>
      <c r="AC329" s="664"/>
      <c r="AD329" s="664"/>
    </row>
    <row r="330" spans="1:30">
      <c r="A330" s="1550"/>
      <c r="B330" s="664"/>
      <c r="C330" s="664"/>
      <c r="D330" s="664"/>
      <c r="E330" s="664"/>
      <c r="F330" s="664"/>
      <c r="G330" s="664"/>
      <c r="H330" s="664"/>
      <c r="I330" s="664"/>
      <c r="J330" s="664"/>
      <c r="K330" s="664"/>
      <c r="L330" s="664"/>
      <c r="M330" s="664"/>
      <c r="N330" s="664"/>
      <c r="O330" s="664"/>
      <c r="P330" s="664"/>
      <c r="Q330" s="664"/>
      <c r="R330" s="664"/>
      <c r="S330" s="664"/>
      <c r="T330" s="664"/>
      <c r="U330" s="664"/>
      <c r="V330" s="664"/>
      <c r="W330" s="664"/>
      <c r="X330" s="664"/>
      <c r="Y330" s="664"/>
      <c r="Z330" s="664"/>
      <c r="AA330" s="664"/>
      <c r="AB330" s="664"/>
      <c r="AC330" s="664"/>
      <c r="AD330" s="664"/>
    </row>
    <row r="331" spans="1:30">
      <c r="A331" s="1550"/>
      <c r="B331" s="664"/>
      <c r="C331" s="664"/>
      <c r="D331" s="664"/>
      <c r="E331" s="664"/>
      <c r="F331" s="664"/>
      <c r="G331" s="664"/>
      <c r="H331" s="664"/>
      <c r="I331" s="664"/>
      <c r="J331" s="664"/>
      <c r="K331" s="664"/>
      <c r="L331" s="664"/>
      <c r="M331" s="664"/>
      <c r="N331" s="664"/>
      <c r="O331" s="664"/>
      <c r="P331" s="664"/>
      <c r="Q331" s="664"/>
      <c r="R331" s="664"/>
      <c r="S331" s="664"/>
      <c r="T331" s="664"/>
      <c r="U331" s="664"/>
      <c r="V331" s="664"/>
      <c r="W331" s="664"/>
      <c r="X331" s="664"/>
      <c r="Y331" s="664"/>
      <c r="Z331" s="664"/>
      <c r="AA331" s="664"/>
      <c r="AB331" s="664"/>
      <c r="AC331" s="664"/>
      <c r="AD331" s="664"/>
    </row>
    <row r="332" spans="1:30">
      <c r="A332" s="1550"/>
      <c r="B332" s="664"/>
      <c r="C332" s="664"/>
      <c r="D332" s="664"/>
      <c r="E332" s="664"/>
      <c r="F332" s="664"/>
      <c r="G332" s="664"/>
      <c r="H332" s="664"/>
      <c r="I332" s="664"/>
      <c r="J332" s="664"/>
      <c r="K332" s="664"/>
      <c r="L332" s="664"/>
      <c r="M332" s="664"/>
      <c r="N332" s="664"/>
      <c r="O332" s="664"/>
      <c r="P332" s="664"/>
      <c r="Q332" s="664"/>
      <c r="R332" s="664"/>
      <c r="S332" s="664"/>
      <c r="T332" s="664"/>
      <c r="U332" s="664"/>
      <c r="V332" s="664"/>
      <c r="W332" s="664"/>
      <c r="X332" s="664"/>
      <c r="Y332" s="664"/>
      <c r="Z332" s="664"/>
      <c r="AA332" s="664"/>
      <c r="AB332" s="664"/>
      <c r="AC332" s="664"/>
      <c r="AD332" s="664"/>
    </row>
    <row r="333" spans="1:30">
      <c r="A333" s="1550"/>
      <c r="B333" s="664"/>
      <c r="C333" s="664"/>
      <c r="D333" s="664"/>
      <c r="E333" s="664"/>
      <c r="F333" s="664"/>
      <c r="G333" s="664"/>
      <c r="H333" s="664"/>
      <c r="I333" s="664"/>
      <c r="J333" s="664"/>
      <c r="K333" s="664"/>
      <c r="L333" s="664"/>
      <c r="M333" s="664"/>
      <c r="N333" s="664"/>
      <c r="O333" s="664"/>
      <c r="P333" s="664"/>
      <c r="Q333" s="664"/>
      <c r="R333" s="664"/>
      <c r="S333" s="664"/>
      <c r="T333" s="664"/>
      <c r="U333" s="664"/>
      <c r="V333" s="664"/>
      <c r="W333" s="664"/>
      <c r="X333" s="664"/>
      <c r="Y333" s="664"/>
      <c r="Z333" s="664"/>
      <c r="AA333" s="664"/>
      <c r="AB333" s="664"/>
      <c r="AC333" s="664"/>
      <c r="AD333" s="664"/>
    </row>
    <row r="334" spans="1:30">
      <c r="A334" s="1550"/>
      <c r="B334" s="664"/>
      <c r="C334" s="664"/>
      <c r="D334" s="664"/>
      <c r="E334" s="664"/>
      <c r="F334" s="664"/>
      <c r="G334" s="664"/>
      <c r="H334" s="664"/>
      <c r="I334" s="664"/>
      <c r="J334" s="664"/>
      <c r="K334" s="664"/>
      <c r="L334" s="664"/>
      <c r="M334" s="664"/>
      <c r="N334" s="664"/>
      <c r="O334" s="664"/>
      <c r="P334" s="664"/>
      <c r="Q334" s="664"/>
      <c r="R334" s="664"/>
      <c r="S334" s="664"/>
      <c r="T334" s="664"/>
      <c r="U334" s="664"/>
      <c r="V334" s="664"/>
      <c r="W334" s="664"/>
      <c r="X334" s="664"/>
      <c r="Y334" s="664"/>
      <c r="Z334" s="664"/>
      <c r="AA334" s="664"/>
      <c r="AB334" s="664"/>
      <c r="AC334" s="664"/>
      <c r="AD334" s="664"/>
    </row>
    <row r="335" spans="1:30">
      <c r="A335" s="1550"/>
      <c r="B335" s="664"/>
      <c r="C335" s="664"/>
      <c r="D335" s="664"/>
      <c r="E335" s="664"/>
      <c r="F335" s="664"/>
      <c r="G335" s="664"/>
      <c r="H335" s="664"/>
      <c r="I335" s="664"/>
      <c r="J335" s="664"/>
      <c r="K335" s="664"/>
      <c r="L335" s="664"/>
      <c r="M335" s="664"/>
      <c r="N335" s="664"/>
      <c r="O335" s="664"/>
      <c r="P335" s="664"/>
      <c r="Q335" s="664"/>
      <c r="R335" s="664"/>
      <c r="S335" s="664"/>
      <c r="T335" s="664"/>
      <c r="U335" s="664"/>
      <c r="V335" s="664"/>
      <c r="W335" s="664"/>
      <c r="X335" s="664"/>
      <c r="Y335" s="664"/>
      <c r="Z335" s="664"/>
      <c r="AA335" s="664"/>
      <c r="AB335" s="664"/>
      <c r="AC335" s="664"/>
      <c r="AD335" s="664"/>
    </row>
    <row r="336" spans="1:30">
      <c r="A336" s="1550"/>
      <c r="B336" s="664"/>
      <c r="C336" s="664"/>
      <c r="D336" s="664"/>
      <c r="E336" s="664"/>
      <c r="F336" s="664"/>
      <c r="G336" s="664"/>
      <c r="H336" s="664"/>
      <c r="I336" s="664"/>
      <c r="J336" s="664"/>
      <c r="K336" s="664"/>
      <c r="L336" s="664"/>
      <c r="M336" s="664"/>
      <c r="N336" s="664"/>
      <c r="O336" s="664"/>
      <c r="P336" s="664"/>
      <c r="Q336" s="664"/>
      <c r="R336" s="664"/>
      <c r="S336" s="664"/>
      <c r="T336" s="664"/>
      <c r="U336" s="664"/>
      <c r="V336" s="664"/>
      <c r="W336" s="664"/>
      <c r="X336" s="664"/>
      <c r="Y336" s="664"/>
      <c r="Z336" s="664"/>
      <c r="AA336" s="664"/>
      <c r="AB336" s="664"/>
      <c r="AC336" s="664"/>
      <c r="AD336" s="664"/>
    </row>
    <row r="337" spans="1:30">
      <c r="A337" s="1550"/>
      <c r="B337" s="664"/>
      <c r="C337" s="664"/>
      <c r="D337" s="664"/>
      <c r="E337" s="664"/>
      <c r="F337" s="664"/>
      <c r="G337" s="664"/>
      <c r="H337" s="664"/>
      <c r="I337" s="664"/>
      <c r="J337" s="664"/>
      <c r="K337" s="664"/>
      <c r="L337" s="664"/>
      <c r="M337" s="664"/>
      <c r="N337" s="664"/>
      <c r="O337" s="664"/>
      <c r="P337" s="664"/>
      <c r="Q337" s="664"/>
      <c r="R337" s="664"/>
      <c r="S337" s="664"/>
      <c r="T337" s="664"/>
      <c r="U337" s="664"/>
      <c r="V337" s="664"/>
      <c r="W337" s="664"/>
      <c r="X337" s="664"/>
      <c r="Y337" s="664"/>
      <c r="Z337" s="664"/>
      <c r="AA337" s="664"/>
      <c r="AB337" s="664"/>
      <c r="AC337" s="664"/>
      <c r="AD337" s="664"/>
    </row>
    <row r="338" spans="1:30">
      <c r="A338" s="1550"/>
      <c r="B338" s="664"/>
      <c r="C338" s="664"/>
      <c r="D338" s="664"/>
      <c r="E338" s="664"/>
      <c r="F338" s="664"/>
      <c r="G338" s="664"/>
      <c r="H338" s="664"/>
      <c r="I338" s="664"/>
      <c r="J338" s="664"/>
      <c r="K338" s="664"/>
      <c r="L338" s="664"/>
      <c r="M338" s="664"/>
      <c r="N338" s="664"/>
      <c r="O338" s="664"/>
      <c r="P338" s="664"/>
      <c r="Q338" s="664"/>
      <c r="R338" s="664"/>
      <c r="S338" s="664"/>
      <c r="T338" s="664"/>
      <c r="U338" s="664"/>
      <c r="V338" s="664"/>
      <c r="W338" s="664"/>
      <c r="X338" s="664"/>
      <c r="Y338" s="664"/>
      <c r="Z338" s="664"/>
      <c r="AA338" s="664"/>
      <c r="AB338" s="664"/>
      <c r="AC338" s="664"/>
      <c r="AD338" s="664"/>
    </row>
    <row r="339" spans="1:30">
      <c r="A339" s="1550"/>
      <c r="B339" s="664"/>
      <c r="C339" s="664"/>
      <c r="D339" s="664"/>
      <c r="E339" s="664"/>
      <c r="F339" s="664"/>
      <c r="G339" s="664"/>
      <c r="H339" s="664"/>
      <c r="I339" s="664"/>
      <c r="J339" s="664"/>
      <c r="K339" s="664"/>
      <c r="L339" s="664"/>
      <c r="M339" s="664"/>
      <c r="N339" s="664"/>
      <c r="O339" s="664"/>
      <c r="P339" s="664"/>
      <c r="Q339" s="664"/>
      <c r="R339" s="664"/>
      <c r="S339" s="664"/>
      <c r="T339" s="664"/>
      <c r="U339" s="664"/>
      <c r="V339" s="664"/>
      <c r="W339" s="664"/>
      <c r="X339" s="664"/>
      <c r="Y339" s="664"/>
      <c r="Z339" s="664"/>
      <c r="AA339" s="664"/>
      <c r="AB339" s="664"/>
      <c r="AC339" s="664"/>
      <c r="AD339" s="664"/>
    </row>
    <row r="340" spans="1:30">
      <c r="A340" s="1550"/>
      <c r="B340" s="664"/>
      <c r="C340" s="664"/>
      <c r="D340" s="664"/>
      <c r="E340" s="664"/>
      <c r="F340" s="664"/>
      <c r="G340" s="664"/>
      <c r="H340" s="664"/>
      <c r="I340" s="664"/>
      <c r="J340" s="664"/>
      <c r="K340" s="664"/>
      <c r="L340" s="664"/>
      <c r="M340" s="664"/>
      <c r="N340" s="664"/>
      <c r="O340" s="664"/>
      <c r="P340" s="664"/>
      <c r="Q340" s="664"/>
      <c r="R340" s="664"/>
      <c r="S340" s="664"/>
      <c r="T340" s="664"/>
      <c r="U340" s="664"/>
      <c r="V340" s="664"/>
      <c r="W340" s="664"/>
      <c r="X340" s="664"/>
      <c r="Y340" s="664"/>
      <c r="Z340" s="664"/>
      <c r="AA340" s="664"/>
      <c r="AB340" s="664"/>
      <c r="AC340" s="664"/>
      <c r="AD340" s="664"/>
    </row>
    <row r="341" spans="1:30">
      <c r="A341" s="1550"/>
      <c r="B341" s="664"/>
      <c r="C341" s="664"/>
      <c r="D341" s="664"/>
      <c r="E341" s="664"/>
      <c r="F341" s="664"/>
      <c r="G341" s="664"/>
      <c r="H341" s="664"/>
      <c r="I341" s="664"/>
      <c r="J341" s="664"/>
      <c r="K341" s="664"/>
      <c r="L341" s="664"/>
      <c r="M341" s="664"/>
      <c r="N341" s="664"/>
      <c r="O341" s="664"/>
      <c r="P341" s="664"/>
      <c r="Q341" s="664"/>
      <c r="R341" s="664"/>
      <c r="S341" s="664"/>
      <c r="T341" s="664"/>
      <c r="U341" s="664"/>
      <c r="V341" s="664"/>
      <c r="W341" s="664"/>
      <c r="X341" s="664"/>
      <c r="Y341" s="664"/>
      <c r="Z341" s="664"/>
      <c r="AA341" s="664"/>
      <c r="AB341" s="664"/>
      <c r="AC341" s="664"/>
      <c r="AD341" s="664"/>
    </row>
    <row r="342" spans="1:30">
      <c r="A342" s="1550"/>
      <c r="B342" s="664"/>
      <c r="C342" s="664"/>
      <c r="D342" s="664"/>
      <c r="E342" s="664"/>
      <c r="F342" s="664"/>
      <c r="G342" s="664"/>
      <c r="H342" s="664"/>
      <c r="I342" s="664"/>
      <c r="J342" s="664"/>
      <c r="K342" s="664"/>
      <c r="L342" s="664"/>
      <c r="M342" s="664"/>
      <c r="N342" s="664"/>
      <c r="O342" s="664"/>
      <c r="P342" s="664"/>
      <c r="Q342" s="664"/>
      <c r="R342" s="664"/>
      <c r="S342" s="664"/>
      <c r="T342" s="664"/>
      <c r="U342" s="664"/>
      <c r="V342" s="664"/>
      <c r="W342" s="664"/>
      <c r="X342" s="664"/>
      <c r="Y342" s="664"/>
      <c r="Z342" s="664"/>
      <c r="AA342" s="664"/>
      <c r="AB342" s="664"/>
      <c r="AC342" s="664"/>
      <c r="AD342" s="664"/>
    </row>
    <row r="343" spans="1:30">
      <c r="A343" s="1550"/>
      <c r="B343" s="664"/>
      <c r="C343" s="664"/>
      <c r="D343" s="664"/>
      <c r="E343" s="664"/>
      <c r="F343" s="664"/>
      <c r="G343" s="664"/>
      <c r="H343" s="664"/>
      <c r="I343" s="664"/>
      <c r="J343" s="664"/>
      <c r="K343" s="664"/>
      <c r="L343" s="664"/>
      <c r="M343" s="664"/>
      <c r="N343" s="664"/>
      <c r="O343" s="664"/>
      <c r="P343" s="664"/>
      <c r="Q343" s="664"/>
      <c r="R343" s="664"/>
      <c r="S343" s="664"/>
      <c r="T343" s="664"/>
      <c r="U343" s="664"/>
      <c r="V343" s="664"/>
      <c r="W343" s="664"/>
      <c r="X343" s="664"/>
      <c r="Y343" s="664"/>
      <c r="Z343" s="664"/>
      <c r="AA343" s="664"/>
      <c r="AB343" s="664"/>
      <c r="AC343" s="664"/>
      <c r="AD343" s="664"/>
    </row>
    <row r="344" spans="1:30">
      <c r="A344" s="1550"/>
      <c r="B344" s="664"/>
      <c r="C344" s="664"/>
      <c r="D344" s="664"/>
      <c r="E344" s="664"/>
      <c r="F344" s="664"/>
      <c r="G344" s="664"/>
      <c r="H344" s="664"/>
      <c r="I344" s="664"/>
      <c r="J344" s="664"/>
      <c r="K344" s="664"/>
      <c r="L344" s="664"/>
      <c r="M344" s="664"/>
      <c r="N344" s="664"/>
      <c r="O344" s="664"/>
      <c r="P344" s="664"/>
      <c r="Q344" s="664"/>
      <c r="R344" s="664"/>
      <c r="S344" s="664"/>
      <c r="T344" s="664"/>
      <c r="U344" s="664"/>
      <c r="V344" s="664"/>
      <c r="W344" s="664"/>
      <c r="X344" s="664"/>
      <c r="Y344" s="664"/>
      <c r="Z344" s="664"/>
      <c r="AA344" s="664"/>
      <c r="AB344" s="664"/>
      <c r="AC344" s="664"/>
      <c r="AD344" s="664"/>
    </row>
    <row r="345" spans="1:30">
      <c r="A345" s="1550"/>
      <c r="B345" s="664"/>
      <c r="C345" s="664"/>
      <c r="D345" s="664"/>
      <c r="E345" s="664"/>
      <c r="F345" s="664"/>
      <c r="G345" s="664"/>
      <c r="H345" s="664"/>
      <c r="I345" s="664"/>
      <c r="J345" s="664"/>
      <c r="K345" s="664"/>
      <c r="L345" s="664"/>
      <c r="M345" s="664"/>
      <c r="N345" s="664"/>
      <c r="O345" s="664"/>
      <c r="P345" s="664"/>
      <c r="Q345" s="664"/>
      <c r="R345" s="664"/>
      <c r="S345" s="664"/>
      <c r="T345" s="664"/>
      <c r="U345" s="664"/>
      <c r="V345" s="664"/>
      <c r="W345" s="664"/>
      <c r="X345" s="664"/>
      <c r="Y345" s="664"/>
      <c r="Z345" s="664"/>
      <c r="AA345" s="664"/>
      <c r="AB345" s="664"/>
      <c r="AC345" s="664"/>
      <c r="AD345" s="664"/>
    </row>
    <row r="346" spans="1:30">
      <c r="A346" s="1550"/>
      <c r="B346" s="664"/>
      <c r="C346" s="664"/>
      <c r="D346" s="664"/>
      <c r="E346" s="664"/>
      <c r="F346" s="664"/>
      <c r="G346" s="664"/>
      <c r="H346" s="664"/>
      <c r="I346" s="664"/>
      <c r="J346" s="664"/>
      <c r="K346" s="664"/>
      <c r="L346" s="664"/>
      <c r="M346" s="664"/>
      <c r="N346" s="664"/>
      <c r="O346" s="664"/>
      <c r="P346" s="664"/>
      <c r="Q346" s="664"/>
      <c r="R346" s="664"/>
      <c r="S346" s="664"/>
      <c r="T346" s="664"/>
      <c r="U346" s="664"/>
      <c r="V346" s="664"/>
      <c r="W346" s="664"/>
      <c r="X346" s="664"/>
      <c r="Y346" s="664"/>
      <c r="Z346" s="664"/>
      <c r="AA346" s="664"/>
      <c r="AB346" s="664"/>
      <c r="AC346" s="664"/>
      <c r="AD346" s="664"/>
    </row>
    <row r="347" spans="1:30">
      <c r="A347" s="1550"/>
      <c r="B347" s="664"/>
      <c r="C347" s="664"/>
      <c r="D347" s="664"/>
      <c r="E347" s="664"/>
      <c r="F347" s="664"/>
      <c r="G347" s="664"/>
      <c r="H347" s="664"/>
      <c r="I347" s="664"/>
      <c r="J347" s="664"/>
      <c r="K347" s="664"/>
      <c r="L347" s="664"/>
      <c r="M347" s="664"/>
      <c r="N347" s="664"/>
      <c r="O347" s="664"/>
      <c r="P347" s="664"/>
      <c r="Q347" s="664"/>
      <c r="R347" s="664"/>
      <c r="S347" s="664"/>
      <c r="T347" s="664"/>
      <c r="U347" s="664"/>
      <c r="V347" s="664"/>
      <c r="W347" s="664"/>
      <c r="X347" s="664"/>
      <c r="Y347" s="664"/>
      <c r="Z347" s="664"/>
      <c r="AA347" s="664"/>
      <c r="AB347" s="664"/>
      <c r="AC347" s="664"/>
      <c r="AD347" s="664"/>
    </row>
    <row r="348" spans="1:30">
      <c r="A348" s="1550"/>
      <c r="B348" s="664"/>
      <c r="C348" s="664"/>
      <c r="D348" s="664"/>
      <c r="E348" s="664"/>
      <c r="F348" s="664"/>
      <c r="G348" s="664"/>
      <c r="H348" s="664"/>
      <c r="I348" s="664"/>
      <c r="J348" s="664"/>
      <c r="K348" s="664"/>
      <c r="L348" s="664"/>
      <c r="M348" s="664"/>
      <c r="N348" s="664"/>
      <c r="O348" s="664"/>
      <c r="P348" s="664"/>
      <c r="Q348" s="664"/>
      <c r="R348" s="664"/>
      <c r="S348" s="664"/>
      <c r="T348" s="664"/>
      <c r="U348" s="664"/>
      <c r="V348" s="664"/>
      <c r="W348" s="664"/>
      <c r="X348" s="664"/>
      <c r="Y348" s="664"/>
      <c r="Z348" s="664"/>
      <c r="AA348" s="664"/>
      <c r="AB348" s="664"/>
      <c r="AC348" s="664"/>
      <c r="AD348" s="664"/>
    </row>
    <row r="349" spans="1:30">
      <c r="A349" s="1550"/>
      <c r="B349" s="664"/>
      <c r="C349" s="664"/>
      <c r="D349" s="664"/>
      <c r="E349" s="664"/>
      <c r="F349" s="664"/>
      <c r="G349" s="664"/>
      <c r="H349" s="664"/>
      <c r="I349" s="664"/>
      <c r="J349" s="664"/>
      <c r="K349" s="664"/>
      <c r="L349" s="664"/>
      <c r="M349" s="664"/>
      <c r="N349" s="664"/>
      <c r="O349" s="664"/>
      <c r="P349" s="664"/>
      <c r="Q349" s="664"/>
      <c r="R349" s="664"/>
      <c r="S349" s="664"/>
      <c r="T349" s="664"/>
      <c r="U349" s="664"/>
      <c r="V349" s="664"/>
      <c r="W349" s="664"/>
      <c r="X349" s="664"/>
      <c r="Y349" s="664"/>
      <c r="Z349" s="664"/>
      <c r="AA349" s="664"/>
      <c r="AB349" s="664"/>
      <c r="AC349" s="664"/>
      <c r="AD349" s="664"/>
    </row>
    <row r="350" spans="1:30">
      <c r="A350" s="1550"/>
      <c r="B350" s="664"/>
      <c r="C350" s="664"/>
      <c r="D350" s="664"/>
      <c r="E350" s="664"/>
      <c r="F350" s="664"/>
      <c r="G350" s="664"/>
      <c r="H350" s="664"/>
      <c r="I350" s="664"/>
      <c r="J350" s="664"/>
      <c r="K350" s="664"/>
      <c r="L350" s="664"/>
      <c r="M350" s="664"/>
      <c r="N350" s="664"/>
      <c r="O350" s="664"/>
      <c r="P350" s="664"/>
      <c r="Q350" s="664"/>
      <c r="R350" s="664"/>
      <c r="S350" s="664"/>
      <c r="T350" s="664"/>
      <c r="U350" s="664"/>
      <c r="V350" s="664"/>
      <c r="W350" s="664"/>
      <c r="X350" s="664"/>
      <c r="Y350" s="664"/>
      <c r="Z350" s="664"/>
      <c r="AA350" s="664"/>
      <c r="AB350" s="664"/>
      <c r="AC350" s="664"/>
      <c r="AD350" s="664"/>
    </row>
    <row r="351" spans="1:30">
      <c r="A351" s="1550"/>
      <c r="B351" s="664"/>
      <c r="C351" s="664"/>
      <c r="D351" s="664"/>
      <c r="E351" s="664"/>
      <c r="F351" s="664"/>
      <c r="G351" s="664"/>
      <c r="H351" s="664"/>
      <c r="I351" s="664"/>
      <c r="J351" s="664"/>
      <c r="K351" s="664"/>
      <c r="L351" s="664"/>
      <c r="M351" s="664"/>
      <c r="N351" s="664"/>
      <c r="O351" s="664"/>
      <c r="P351" s="664"/>
      <c r="Q351" s="664"/>
      <c r="R351" s="664"/>
      <c r="S351" s="664"/>
      <c r="T351" s="664"/>
      <c r="U351" s="664"/>
      <c r="V351" s="664"/>
      <c r="W351" s="664"/>
      <c r="X351" s="664"/>
      <c r="Y351" s="664"/>
      <c r="Z351" s="664"/>
      <c r="AA351" s="664"/>
      <c r="AB351" s="664"/>
      <c r="AC351" s="664"/>
      <c r="AD351" s="664"/>
    </row>
    <row r="352" spans="1:30">
      <c r="A352" s="1550"/>
      <c r="B352" s="664"/>
      <c r="C352" s="664"/>
      <c r="D352" s="664"/>
      <c r="E352" s="664"/>
      <c r="F352" s="664"/>
      <c r="G352" s="664"/>
      <c r="H352" s="664"/>
      <c r="I352" s="664"/>
      <c r="J352" s="664"/>
      <c r="K352" s="664"/>
      <c r="L352" s="664"/>
      <c r="M352" s="664"/>
      <c r="N352" s="664"/>
      <c r="O352" s="664"/>
      <c r="P352" s="664"/>
      <c r="Q352" s="664"/>
      <c r="R352" s="664"/>
      <c r="S352" s="664"/>
      <c r="T352" s="664"/>
      <c r="U352" s="664"/>
      <c r="V352" s="664"/>
      <c r="W352" s="664"/>
      <c r="X352" s="664"/>
      <c r="Y352" s="664"/>
      <c r="Z352" s="664"/>
      <c r="AA352" s="664"/>
      <c r="AB352" s="664"/>
      <c r="AC352" s="664"/>
      <c r="AD352" s="664"/>
    </row>
    <row r="353" spans="1:30">
      <c r="A353" s="1550"/>
      <c r="B353" s="664"/>
      <c r="C353" s="664"/>
      <c r="D353" s="664"/>
      <c r="E353" s="664"/>
      <c r="F353" s="664"/>
      <c r="G353" s="664"/>
      <c r="H353" s="664"/>
      <c r="I353" s="664"/>
      <c r="J353" s="664"/>
      <c r="K353" s="664"/>
      <c r="L353" s="664"/>
      <c r="M353" s="664"/>
      <c r="N353" s="664"/>
      <c r="O353" s="664"/>
      <c r="P353" s="664"/>
      <c r="Q353" s="664"/>
      <c r="R353" s="664"/>
      <c r="S353" s="664"/>
      <c r="T353" s="664"/>
      <c r="U353" s="664"/>
      <c r="V353" s="664"/>
      <c r="W353" s="664"/>
      <c r="X353" s="664"/>
      <c r="Y353" s="664"/>
      <c r="Z353" s="664"/>
      <c r="AA353" s="664"/>
      <c r="AB353" s="664"/>
      <c r="AC353" s="664"/>
      <c r="AD353" s="664"/>
    </row>
    <row r="354" spans="1:30">
      <c r="A354" s="1550"/>
      <c r="B354" s="664"/>
      <c r="C354" s="664"/>
      <c r="D354" s="664"/>
      <c r="E354" s="664"/>
      <c r="F354" s="664"/>
      <c r="G354" s="664"/>
      <c r="H354" s="664"/>
      <c r="I354" s="664"/>
      <c r="J354" s="664"/>
      <c r="K354" s="664"/>
      <c r="L354" s="664"/>
      <c r="M354" s="664"/>
      <c r="N354" s="664"/>
      <c r="O354" s="664"/>
      <c r="P354" s="664"/>
      <c r="Q354" s="664"/>
      <c r="R354" s="664"/>
      <c r="S354" s="664"/>
      <c r="T354" s="664"/>
      <c r="U354" s="664"/>
      <c r="V354" s="664"/>
      <c r="W354" s="664"/>
      <c r="X354" s="664"/>
      <c r="Y354" s="664"/>
      <c r="Z354" s="664"/>
      <c r="AA354" s="664"/>
      <c r="AB354" s="664"/>
      <c r="AC354" s="664"/>
      <c r="AD354" s="664"/>
    </row>
    <row r="355" spans="1:30">
      <c r="A355" s="1550"/>
      <c r="B355" s="664"/>
      <c r="C355" s="664"/>
      <c r="D355" s="664"/>
      <c r="E355" s="664"/>
      <c r="F355" s="664"/>
      <c r="G355" s="664"/>
      <c r="H355" s="664"/>
      <c r="I355" s="664"/>
      <c r="J355" s="664"/>
      <c r="K355" s="664"/>
      <c r="L355" s="664"/>
      <c r="M355" s="664"/>
      <c r="N355" s="664"/>
      <c r="O355" s="664"/>
      <c r="P355" s="664"/>
      <c r="Q355" s="664"/>
      <c r="R355" s="664"/>
      <c r="S355" s="664"/>
      <c r="T355" s="664"/>
      <c r="U355" s="664"/>
      <c r="V355" s="664"/>
      <c r="W355" s="664"/>
      <c r="X355" s="664"/>
      <c r="Y355" s="664"/>
      <c r="Z355" s="664"/>
      <c r="AA355" s="664"/>
      <c r="AB355" s="664"/>
      <c r="AC355" s="664"/>
      <c r="AD355" s="664"/>
    </row>
    <row r="356" spans="1:30">
      <c r="A356" s="1550"/>
      <c r="B356" s="664"/>
      <c r="C356" s="664"/>
      <c r="D356" s="664"/>
      <c r="E356" s="664"/>
      <c r="F356" s="664"/>
      <c r="G356" s="664"/>
      <c r="H356" s="664"/>
      <c r="I356" s="664"/>
      <c r="J356" s="664"/>
      <c r="K356" s="664"/>
      <c r="L356" s="664"/>
      <c r="M356" s="664"/>
      <c r="N356" s="664"/>
      <c r="O356" s="664"/>
      <c r="P356" s="664"/>
      <c r="Q356" s="664"/>
      <c r="R356" s="664"/>
      <c r="S356" s="664"/>
      <c r="T356" s="664"/>
      <c r="U356" s="664"/>
      <c r="V356" s="664"/>
      <c r="W356" s="664"/>
      <c r="X356" s="664"/>
      <c r="Y356" s="664"/>
      <c r="Z356" s="664"/>
      <c r="AA356" s="664"/>
      <c r="AB356" s="664"/>
      <c r="AC356" s="664"/>
      <c r="AD356" s="664"/>
    </row>
    <row r="357" spans="1:30">
      <c r="A357" s="1550"/>
      <c r="B357" s="664"/>
      <c r="C357" s="664"/>
      <c r="D357" s="664"/>
      <c r="E357" s="664"/>
      <c r="F357" s="664"/>
      <c r="G357" s="664"/>
      <c r="H357" s="664"/>
      <c r="I357" s="664"/>
      <c r="J357" s="664"/>
      <c r="K357" s="664"/>
      <c r="L357" s="664"/>
      <c r="M357" s="664"/>
      <c r="N357" s="664"/>
      <c r="O357" s="664"/>
      <c r="P357" s="664"/>
      <c r="Q357" s="664"/>
      <c r="R357" s="664"/>
      <c r="S357" s="664"/>
      <c r="T357" s="664"/>
      <c r="U357" s="664"/>
      <c r="V357" s="664"/>
      <c r="W357" s="664"/>
      <c r="X357" s="664"/>
      <c r="Y357" s="664"/>
      <c r="Z357" s="664"/>
      <c r="AA357" s="664"/>
      <c r="AB357" s="664"/>
      <c r="AC357" s="664"/>
      <c r="AD357" s="664"/>
    </row>
    <row r="358" spans="1:30">
      <c r="A358" s="1550"/>
      <c r="B358" s="664"/>
      <c r="C358" s="664"/>
      <c r="D358" s="664"/>
      <c r="E358" s="664"/>
      <c r="F358" s="664"/>
      <c r="G358" s="664"/>
      <c r="H358" s="664"/>
      <c r="I358" s="664"/>
      <c r="J358" s="664"/>
      <c r="K358" s="664"/>
      <c r="L358" s="664"/>
      <c r="M358" s="664"/>
      <c r="N358" s="664"/>
      <c r="O358" s="664"/>
      <c r="P358" s="664"/>
      <c r="Q358" s="664"/>
      <c r="R358" s="664"/>
      <c r="S358" s="664"/>
      <c r="T358" s="664"/>
      <c r="U358" s="664"/>
      <c r="V358" s="664"/>
      <c r="W358" s="664"/>
      <c r="X358" s="664"/>
      <c r="Y358" s="664"/>
      <c r="Z358" s="664"/>
      <c r="AA358" s="664"/>
      <c r="AB358" s="664"/>
      <c r="AC358" s="664"/>
      <c r="AD358" s="664"/>
    </row>
    <row r="359" spans="1:30">
      <c r="A359" s="1550"/>
      <c r="B359" s="664"/>
      <c r="C359" s="664"/>
      <c r="D359" s="664"/>
      <c r="E359" s="664"/>
      <c r="F359" s="664"/>
      <c r="G359" s="664"/>
      <c r="H359" s="664"/>
      <c r="I359" s="664"/>
      <c r="J359" s="664"/>
      <c r="K359" s="664"/>
      <c r="L359" s="664"/>
      <c r="M359" s="664"/>
      <c r="N359" s="664"/>
      <c r="O359" s="664"/>
      <c r="P359" s="664"/>
      <c r="Q359" s="664"/>
      <c r="R359" s="664"/>
      <c r="S359" s="664"/>
      <c r="T359" s="664"/>
      <c r="U359" s="664"/>
      <c r="V359" s="664"/>
      <c r="W359" s="664"/>
      <c r="X359" s="664"/>
      <c r="Y359" s="664"/>
      <c r="Z359" s="664"/>
      <c r="AA359" s="664"/>
      <c r="AB359" s="664"/>
      <c r="AC359" s="664"/>
      <c r="AD359" s="664"/>
    </row>
    <row r="360" spans="1:30">
      <c r="A360" s="1550"/>
      <c r="B360" s="664"/>
      <c r="C360" s="664"/>
      <c r="D360" s="664"/>
      <c r="E360" s="664"/>
      <c r="F360" s="664"/>
      <c r="G360" s="664"/>
      <c r="H360" s="664"/>
      <c r="I360" s="664"/>
      <c r="J360" s="664"/>
      <c r="K360" s="664"/>
      <c r="L360" s="664"/>
      <c r="M360" s="664"/>
      <c r="N360" s="664"/>
      <c r="O360" s="664"/>
      <c r="P360" s="664"/>
      <c r="Q360" s="664"/>
      <c r="R360" s="664"/>
      <c r="S360" s="664"/>
      <c r="T360" s="664"/>
      <c r="U360" s="664"/>
      <c r="V360" s="664"/>
      <c r="W360" s="664"/>
      <c r="X360" s="664"/>
      <c r="Y360" s="664"/>
      <c r="Z360" s="664"/>
      <c r="AA360" s="664"/>
      <c r="AB360" s="664"/>
      <c r="AC360" s="664"/>
      <c r="AD360" s="664"/>
    </row>
    <row r="361" spans="1:30">
      <c r="A361" s="1550"/>
      <c r="B361" s="664"/>
      <c r="C361" s="664"/>
      <c r="D361" s="664"/>
      <c r="E361" s="664"/>
      <c r="F361" s="664"/>
      <c r="G361" s="664"/>
      <c r="H361" s="664"/>
      <c r="I361" s="664"/>
      <c r="J361" s="664"/>
      <c r="K361" s="664"/>
      <c r="L361" s="664"/>
      <c r="M361" s="664"/>
      <c r="N361" s="664"/>
      <c r="O361" s="664"/>
      <c r="P361" s="664"/>
      <c r="Q361" s="664"/>
      <c r="R361" s="664"/>
      <c r="S361" s="664"/>
      <c r="T361" s="664"/>
      <c r="U361" s="664"/>
      <c r="V361" s="664"/>
      <c r="W361" s="664"/>
      <c r="X361" s="664"/>
      <c r="Y361" s="664"/>
      <c r="Z361" s="664"/>
      <c r="AA361" s="664"/>
      <c r="AB361" s="664"/>
      <c r="AC361" s="664"/>
      <c r="AD361" s="664"/>
    </row>
    <row r="362" spans="1:30">
      <c r="A362" s="1550"/>
      <c r="B362" s="664"/>
      <c r="C362" s="664"/>
      <c r="D362" s="664"/>
      <c r="E362" s="664"/>
      <c r="F362" s="664"/>
      <c r="G362" s="664"/>
      <c r="H362" s="664"/>
      <c r="I362" s="664"/>
      <c r="J362" s="664"/>
      <c r="K362" s="664"/>
      <c r="L362" s="664"/>
      <c r="M362" s="664"/>
      <c r="N362" s="664"/>
      <c r="O362" s="664"/>
      <c r="P362" s="664"/>
      <c r="Q362" s="664"/>
      <c r="R362" s="664"/>
      <c r="S362" s="664"/>
      <c r="T362" s="664"/>
      <c r="U362" s="664"/>
      <c r="V362" s="664"/>
      <c r="W362" s="664"/>
      <c r="X362" s="664"/>
      <c r="Y362" s="664"/>
      <c r="Z362" s="664"/>
      <c r="AA362" s="664"/>
      <c r="AB362" s="664"/>
      <c r="AC362" s="664"/>
      <c r="AD362" s="664"/>
    </row>
    <row r="363" spans="1:30">
      <c r="A363" s="1550"/>
      <c r="B363" s="664"/>
      <c r="C363" s="664"/>
      <c r="D363" s="664"/>
      <c r="E363" s="664"/>
      <c r="F363" s="664"/>
      <c r="G363" s="664"/>
      <c r="H363" s="664"/>
      <c r="I363" s="664"/>
      <c r="J363" s="664"/>
      <c r="K363" s="664"/>
      <c r="L363" s="664"/>
      <c r="M363" s="664"/>
      <c r="N363" s="664"/>
      <c r="O363" s="664"/>
      <c r="P363" s="664"/>
      <c r="Q363" s="664"/>
      <c r="R363" s="664"/>
      <c r="S363" s="664"/>
      <c r="T363" s="664"/>
      <c r="U363" s="664"/>
      <c r="V363" s="664"/>
      <c r="W363" s="664"/>
      <c r="X363" s="664"/>
      <c r="Y363" s="664"/>
      <c r="Z363" s="664"/>
      <c r="AA363" s="664"/>
      <c r="AB363" s="664"/>
      <c r="AC363" s="664"/>
      <c r="AD363" s="664"/>
    </row>
    <row r="364" spans="1:30">
      <c r="A364" s="1550"/>
      <c r="B364" s="664"/>
      <c r="C364" s="664"/>
      <c r="D364" s="664"/>
      <c r="E364" s="664"/>
      <c r="F364" s="664"/>
      <c r="G364" s="664"/>
      <c r="H364" s="664"/>
      <c r="I364" s="664"/>
      <c r="J364" s="664"/>
      <c r="K364" s="664"/>
      <c r="L364" s="664"/>
      <c r="M364" s="664"/>
      <c r="N364" s="664"/>
      <c r="O364" s="664"/>
      <c r="P364" s="664"/>
      <c r="Q364" s="664"/>
      <c r="R364" s="664"/>
      <c r="S364" s="664"/>
      <c r="T364" s="664"/>
      <c r="U364" s="664"/>
      <c r="V364" s="664"/>
      <c r="W364" s="664"/>
      <c r="X364" s="664"/>
      <c r="Y364" s="664"/>
      <c r="Z364" s="664"/>
      <c r="AA364" s="664"/>
      <c r="AB364" s="664"/>
      <c r="AC364" s="664"/>
      <c r="AD364" s="664"/>
    </row>
    <row r="365" spans="1:30">
      <c r="A365" s="1550"/>
      <c r="B365" s="664"/>
      <c r="C365" s="664"/>
      <c r="D365" s="664"/>
      <c r="E365" s="664"/>
      <c r="F365" s="664"/>
      <c r="G365" s="664"/>
      <c r="H365" s="664"/>
      <c r="I365" s="664"/>
      <c r="J365" s="664"/>
      <c r="K365" s="664"/>
      <c r="L365" s="664"/>
      <c r="M365" s="664"/>
      <c r="N365" s="664"/>
      <c r="O365" s="664"/>
      <c r="P365" s="664"/>
      <c r="Q365" s="664"/>
      <c r="R365" s="664"/>
      <c r="S365" s="664"/>
      <c r="T365" s="664"/>
      <c r="U365" s="664"/>
      <c r="V365" s="664"/>
      <c r="W365" s="664"/>
      <c r="X365" s="664"/>
      <c r="Y365" s="664"/>
      <c r="Z365" s="664"/>
      <c r="AA365" s="664"/>
      <c r="AB365" s="664"/>
      <c r="AC365" s="664"/>
      <c r="AD365" s="664"/>
    </row>
    <row r="366" spans="1:30">
      <c r="A366" s="1550"/>
      <c r="B366" s="664"/>
      <c r="C366" s="664"/>
      <c r="D366" s="664"/>
      <c r="E366" s="664"/>
      <c r="F366" s="664"/>
      <c r="G366" s="664"/>
      <c r="H366" s="664"/>
      <c r="I366" s="664"/>
      <c r="J366" s="664"/>
      <c r="K366" s="664"/>
      <c r="L366" s="664"/>
      <c r="M366" s="664"/>
      <c r="N366" s="664"/>
      <c r="O366" s="664"/>
      <c r="P366" s="664"/>
      <c r="Q366" s="664"/>
      <c r="R366" s="664"/>
      <c r="S366" s="664"/>
      <c r="T366" s="664"/>
      <c r="U366" s="664"/>
      <c r="V366" s="664"/>
      <c r="W366" s="664"/>
      <c r="X366" s="664"/>
      <c r="Y366" s="664"/>
      <c r="Z366" s="664"/>
      <c r="AA366" s="664"/>
      <c r="AB366" s="664"/>
      <c r="AC366" s="664"/>
      <c r="AD366" s="664"/>
    </row>
    <row r="367" spans="1:30">
      <c r="A367" s="1550"/>
      <c r="B367" s="664"/>
      <c r="C367" s="664"/>
      <c r="D367" s="664"/>
      <c r="E367" s="664"/>
      <c r="F367" s="664"/>
      <c r="G367" s="664"/>
      <c r="H367" s="664"/>
      <c r="I367" s="664"/>
      <c r="J367" s="664"/>
      <c r="K367" s="664"/>
      <c r="L367" s="664"/>
      <c r="M367" s="664"/>
      <c r="N367" s="664"/>
      <c r="O367" s="664"/>
      <c r="P367" s="664"/>
      <c r="Q367" s="664"/>
      <c r="R367" s="664"/>
      <c r="S367" s="664"/>
      <c r="T367" s="664"/>
      <c r="U367" s="664"/>
      <c r="V367" s="664"/>
      <c r="W367" s="664"/>
      <c r="X367" s="664"/>
      <c r="Y367" s="664"/>
      <c r="Z367" s="664"/>
      <c r="AA367" s="664"/>
      <c r="AB367" s="664"/>
      <c r="AC367" s="664"/>
      <c r="AD367" s="664"/>
    </row>
    <row r="368" spans="1:30">
      <c r="A368" s="1550"/>
      <c r="B368" s="664"/>
      <c r="C368" s="664"/>
      <c r="D368" s="664"/>
      <c r="E368" s="664"/>
      <c r="F368" s="664"/>
      <c r="G368" s="664"/>
      <c r="H368" s="664"/>
      <c r="I368" s="664"/>
      <c r="J368" s="664"/>
      <c r="K368" s="664"/>
      <c r="L368" s="664"/>
      <c r="M368" s="664"/>
      <c r="N368" s="664"/>
      <c r="O368" s="664"/>
      <c r="P368" s="664"/>
      <c r="Q368" s="664"/>
      <c r="R368" s="664"/>
      <c r="S368" s="664"/>
      <c r="T368" s="664"/>
      <c r="U368" s="664"/>
      <c r="V368" s="664"/>
      <c r="W368" s="664"/>
      <c r="X368" s="664"/>
      <c r="Y368" s="664"/>
      <c r="Z368" s="664"/>
      <c r="AA368" s="664"/>
      <c r="AB368" s="664"/>
      <c r="AC368" s="664"/>
      <c r="AD368" s="664"/>
    </row>
    <row r="369" spans="1:30">
      <c r="A369" s="1550"/>
      <c r="B369" s="664"/>
      <c r="C369" s="664"/>
      <c r="D369" s="664"/>
      <c r="E369" s="664"/>
      <c r="F369" s="664"/>
      <c r="G369" s="664"/>
      <c r="H369" s="664"/>
      <c r="I369" s="664"/>
      <c r="J369" s="664"/>
      <c r="K369" s="664"/>
      <c r="L369" s="664"/>
      <c r="M369" s="664"/>
      <c r="N369" s="664"/>
      <c r="O369" s="664"/>
      <c r="P369" s="664"/>
      <c r="Q369" s="664"/>
      <c r="R369" s="664"/>
      <c r="S369" s="664"/>
      <c r="T369" s="664"/>
      <c r="U369" s="664"/>
      <c r="V369" s="664"/>
      <c r="W369" s="664"/>
      <c r="X369" s="664"/>
      <c r="Y369" s="664"/>
      <c r="Z369" s="664"/>
      <c r="AA369" s="664"/>
      <c r="AB369" s="664"/>
      <c r="AC369" s="664"/>
      <c r="AD369" s="664"/>
    </row>
    <row r="370" spans="1:30">
      <c r="A370" s="1550"/>
      <c r="B370" s="664"/>
      <c r="C370" s="664"/>
      <c r="D370" s="664"/>
      <c r="E370" s="664"/>
      <c r="F370" s="664"/>
      <c r="G370" s="664"/>
      <c r="H370" s="664"/>
      <c r="I370" s="664"/>
      <c r="J370" s="664"/>
      <c r="K370" s="664"/>
      <c r="L370" s="664"/>
      <c r="M370" s="664"/>
      <c r="N370" s="664"/>
      <c r="O370" s="664"/>
      <c r="P370" s="664"/>
      <c r="Q370" s="664"/>
      <c r="R370" s="664"/>
      <c r="S370" s="664"/>
      <c r="T370" s="664"/>
      <c r="U370" s="664"/>
      <c r="V370" s="664"/>
      <c r="W370" s="664"/>
      <c r="X370" s="664"/>
      <c r="Y370" s="664"/>
      <c r="Z370" s="664"/>
      <c r="AA370" s="664"/>
      <c r="AB370" s="664"/>
      <c r="AC370" s="664"/>
      <c r="AD370" s="664"/>
    </row>
    <row r="371" spans="1:30">
      <c r="A371" s="1550"/>
      <c r="B371" s="664"/>
      <c r="C371" s="664"/>
      <c r="D371" s="664"/>
      <c r="E371" s="664"/>
      <c r="F371" s="664"/>
      <c r="G371" s="664"/>
      <c r="H371" s="664"/>
      <c r="I371" s="664"/>
      <c r="J371" s="664"/>
      <c r="K371" s="664"/>
      <c r="L371" s="664"/>
      <c r="M371" s="664"/>
      <c r="N371" s="664"/>
      <c r="O371" s="664"/>
      <c r="P371" s="664"/>
      <c r="Q371" s="664"/>
      <c r="R371" s="664"/>
      <c r="S371" s="664"/>
      <c r="T371" s="664"/>
      <c r="U371" s="664"/>
      <c r="V371" s="664"/>
      <c r="W371" s="664"/>
      <c r="X371" s="664"/>
      <c r="Y371" s="664"/>
      <c r="Z371" s="664"/>
      <c r="AA371" s="664"/>
      <c r="AB371" s="664"/>
      <c r="AC371" s="664"/>
      <c r="AD371" s="664"/>
    </row>
    <row r="372" spans="1:30">
      <c r="A372" s="1550"/>
      <c r="B372" s="664"/>
      <c r="C372" s="664"/>
      <c r="D372" s="664"/>
      <c r="E372" s="664"/>
      <c r="F372" s="664"/>
      <c r="G372" s="664"/>
      <c r="H372" s="664"/>
      <c r="I372" s="664"/>
      <c r="J372" s="664"/>
      <c r="K372" s="664"/>
      <c r="L372" s="664"/>
      <c r="M372" s="664"/>
      <c r="N372" s="664"/>
      <c r="O372" s="664"/>
      <c r="P372" s="664"/>
      <c r="Q372" s="664"/>
      <c r="R372" s="664"/>
      <c r="S372" s="664"/>
      <c r="T372" s="664"/>
      <c r="U372" s="664"/>
      <c r="V372" s="664"/>
      <c r="W372" s="664"/>
      <c r="X372" s="664"/>
      <c r="Y372" s="664"/>
      <c r="Z372" s="664"/>
      <c r="AA372" s="664"/>
      <c r="AB372" s="664"/>
      <c r="AC372" s="664"/>
      <c r="AD372" s="664"/>
    </row>
    <row r="373" spans="1:30">
      <c r="A373" s="1550"/>
      <c r="B373" s="664"/>
      <c r="C373" s="664"/>
      <c r="D373" s="664"/>
      <c r="E373" s="664"/>
      <c r="F373" s="664"/>
      <c r="G373" s="664"/>
      <c r="H373" s="664"/>
      <c r="I373" s="664"/>
      <c r="J373" s="664"/>
      <c r="K373" s="664"/>
      <c r="L373" s="664"/>
      <c r="M373" s="664"/>
      <c r="N373" s="664"/>
      <c r="O373" s="664"/>
      <c r="P373" s="664"/>
      <c r="Q373" s="664"/>
      <c r="R373" s="664"/>
      <c r="S373" s="664"/>
      <c r="T373" s="664"/>
      <c r="U373" s="664"/>
      <c r="V373" s="664"/>
      <c r="W373" s="664"/>
      <c r="X373" s="664"/>
      <c r="Y373" s="664"/>
      <c r="Z373" s="664"/>
      <c r="AA373" s="664"/>
      <c r="AB373" s="664"/>
      <c r="AC373" s="664"/>
      <c r="AD373" s="664"/>
    </row>
    <row r="374" spans="1:30">
      <c r="A374" s="1550"/>
      <c r="B374" s="664"/>
      <c r="C374" s="664"/>
      <c r="D374" s="664"/>
      <c r="E374" s="664"/>
      <c r="F374" s="664"/>
      <c r="G374" s="664"/>
      <c r="H374" s="664"/>
      <c r="I374" s="664"/>
      <c r="J374" s="664"/>
      <c r="K374" s="664"/>
      <c r="L374" s="664"/>
      <c r="M374" s="664"/>
      <c r="N374" s="664"/>
      <c r="O374" s="664"/>
      <c r="P374" s="664"/>
      <c r="Q374" s="664"/>
      <c r="R374" s="664"/>
      <c r="S374" s="664"/>
      <c r="T374" s="664"/>
      <c r="U374" s="664"/>
      <c r="V374" s="664"/>
      <c r="W374" s="664"/>
      <c r="X374" s="664"/>
      <c r="Y374" s="664"/>
      <c r="Z374" s="664"/>
      <c r="AA374" s="664"/>
      <c r="AB374" s="664"/>
      <c r="AC374" s="664"/>
      <c r="AD374" s="664"/>
    </row>
    <row r="375" spans="1:30">
      <c r="A375" s="1550"/>
      <c r="B375" s="664"/>
      <c r="C375" s="664"/>
      <c r="D375" s="664"/>
      <c r="E375" s="664"/>
      <c r="F375" s="664"/>
      <c r="G375" s="664"/>
      <c r="H375" s="664"/>
      <c r="I375" s="664"/>
      <c r="J375" s="664"/>
      <c r="K375" s="664"/>
      <c r="L375" s="664"/>
      <c r="M375" s="664"/>
      <c r="N375" s="664"/>
      <c r="O375" s="664"/>
      <c r="P375" s="664"/>
      <c r="Q375" s="664"/>
      <c r="R375" s="664"/>
      <c r="S375" s="664"/>
      <c r="T375" s="664"/>
      <c r="U375" s="664"/>
      <c r="V375" s="664"/>
      <c r="W375" s="664"/>
      <c r="X375" s="664"/>
      <c r="Y375" s="664"/>
      <c r="Z375" s="664"/>
      <c r="AA375" s="664"/>
      <c r="AB375" s="664"/>
      <c r="AC375" s="664"/>
      <c r="AD375" s="664"/>
    </row>
    <row r="376" spans="1:30">
      <c r="A376" s="1550"/>
      <c r="B376" s="664"/>
      <c r="C376" s="664"/>
      <c r="D376" s="664"/>
      <c r="E376" s="664"/>
      <c r="F376" s="664"/>
      <c r="G376" s="664"/>
      <c r="H376" s="664"/>
      <c r="I376" s="664"/>
      <c r="J376" s="664"/>
      <c r="K376" s="664"/>
      <c r="L376" s="664"/>
      <c r="M376" s="664"/>
      <c r="N376" s="664"/>
      <c r="O376" s="664"/>
      <c r="P376" s="664"/>
      <c r="Q376" s="664"/>
      <c r="R376" s="664"/>
      <c r="S376" s="664"/>
      <c r="T376" s="664"/>
      <c r="U376" s="664"/>
      <c r="V376" s="664"/>
      <c r="W376" s="664"/>
      <c r="X376" s="664"/>
      <c r="Y376" s="664"/>
      <c r="Z376" s="664"/>
      <c r="AA376" s="664"/>
      <c r="AB376" s="664"/>
      <c r="AC376" s="664"/>
      <c r="AD376" s="664"/>
    </row>
    <row r="377" spans="1:30">
      <c r="A377" s="1550"/>
      <c r="B377" s="664"/>
      <c r="C377" s="664"/>
      <c r="D377" s="664"/>
      <c r="E377" s="664"/>
      <c r="F377" s="664"/>
      <c r="G377" s="664"/>
      <c r="H377" s="664"/>
      <c r="I377" s="664"/>
      <c r="J377" s="664"/>
      <c r="K377" s="664"/>
      <c r="L377" s="664"/>
      <c r="M377" s="664"/>
      <c r="N377" s="664"/>
      <c r="O377" s="664"/>
      <c r="P377" s="664"/>
      <c r="Q377" s="664"/>
      <c r="R377" s="664"/>
      <c r="S377" s="664"/>
      <c r="T377" s="664"/>
      <c r="U377" s="664"/>
      <c r="V377" s="664"/>
      <c r="W377" s="664"/>
      <c r="X377" s="664"/>
      <c r="Y377" s="664"/>
      <c r="Z377" s="664"/>
      <c r="AA377" s="664"/>
      <c r="AB377" s="664"/>
      <c r="AC377" s="664"/>
      <c r="AD377" s="664"/>
    </row>
    <row r="378" spans="1:30">
      <c r="A378" s="1550"/>
      <c r="B378" s="664"/>
      <c r="C378" s="664"/>
      <c r="D378" s="664"/>
      <c r="E378" s="664"/>
      <c r="F378" s="664"/>
      <c r="G378" s="664"/>
      <c r="H378" s="664"/>
      <c r="I378" s="664"/>
      <c r="J378" s="664"/>
      <c r="K378" s="664"/>
      <c r="L378" s="664"/>
      <c r="M378" s="664"/>
      <c r="N378" s="664"/>
      <c r="O378" s="664"/>
      <c r="P378" s="664"/>
      <c r="Q378" s="664"/>
      <c r="R378" s="664"/>
      <c r="S378" s="664"/>
      <c r="T378" s="664"/>
      <c r="U378" s="664"/>
      <c r="V378" s="664"/>
      <c r="W378" s="664"/>
      <c r="X378" s="664"/>
      <c r="Y378" s="664"/>
      <c r="Z378" s="664"/>
      <c r="AA378" s="664"/>
      <c r="AB378" s="664"/>
      <c r="AC378" s="664"/>
      <c r="AD378" s="664"/>
    </row>
    <row r="379" spans="1:30">
      <c r="A379" s="1550"/>
      <c r="B379" s="664"/>
      <c r="C379" s="664"/>
      <c r="D379" s="664"/>
      <c r="E379" s="664"/>
      <c r="F379" s="664"/>
      <c r="G379" s="664"/>
      <c r="H379" s="664"/>
      <c r="I379" s="664"/>
      <c r="J379" s="664"/>
      <c r="K379" s="664"/>
      <c r="L379" s="664"/>
      <c r="M379" s="664"/>
      <c r="N379" s="664"/>
      <c r="O379" s="664"/>
      <c r="P379" s="664"/>
      <c r="Q379" s="664"/>
      <c r="R379" s="664"/>
      <c r="S379" s="664"/>
      <c r="T379" s="664"/>
      <c r="U379" s="664"/>
      <c r="V379" s="664"/>
      <c r="W379" s="664"/>
      <c r="X379" s="664"/>
      <c r="Y379" s="664"/>
      <c r="Z379" s="664"/>
      <c r="AA379" s="664"/>
      <c r="AB379" s="664"/>
      <c r="AC379" s="664"/>
      <c r="AD379" s="664"/>
    </row>
    <row r="380" spans="1:30">
      <c r="A380" s="1550"/>
      <c r="B380" s="664"/>
      <c r="C380" s="664"/>
      <c r="D380" s="664"/>
      <c r="E380" s="664"/>
      <c r="F380" s="664"/>
      <c r="G380" s="664"/>
      <c r="H380" s="664"/>
      <c r="I380" s="664"/>
      <c r="J380" s="664"/>
      <c r="K380" s="664"/>
      <c r="L380" s="664"/>
      <c r="M380" s="664"/>
      <c r="N380" s="664"/>
      <c r="O380" s="664"/>
      <c r="P380" s="664"/>
      <c r="Q380" s="664"/>
      <c r="R380" s="664"/>
      <c r="S380" s="664"/>
      <c r="T380" s="664"/>
      <c r="U380" s="664"/>
      <c r="V380" s="664"/>
      <c r="W380" s="664"/>
      <c r="X380" s="664"/>
      <c r="Y380" s="664"/>
      <c r="Z380" s="664"/>
      <c r="AA380" s="664"/>
      <c r="AB380" s="664"/>
      <c r="AC380" s="664"/>
      <c r="AD380" s="664"/>
    </row>
    <row r="381" spans="1:30">
      <c r="A381" s="1550"/>
      <c r="B381" s="664"/>
      <c r="C381" s="664"/>
      <c r="D381" s="664"/>
      <c r="E381" s="664"/>
      <c r="F381" s="664"/>
      <c r="G381" s="664"/>
      <c r="H381" s="664"/>
      <c r="I381" s="664"/>
      <c r="J381" s="664"/>
      <c r="K381" s="664"/>
      <c r="L381" s="664"/>
      <c r="M381" s="664"/>
      <c r="N381" s="664"/>
      <c r="O381" s="664"/>
      <c r="P381" s="664"/>
      <c r="Q381" s="664"/>
      <c r="R381" s="664"/>
      <c r="S381" s="664"/>
      <c r="T381" s="664"/>
      <c r="U381" s="664"/>
      <c r="V381" s="664"/>
      <c r="W381" s="664"/>
      <c r="X381" s="664"/>
      <c r="Y381" s="664"/>
      <c r="Z381" s="664"/>
      <c r="AA381" s="664"/>
      <c r="AB381" s="664"/>
      <c r="AC381" s="664"/>
      <c r="AD381" s="664"/>
    </row>
    <row r="382" spans="1:30">
      <c r="A382" s="1550"/>
      <c r="B382" s="664"/>
      <c r="C382" s="664"/>
      <c r="D382" s="664"/>
      <c r="E382" s="664"/>
      <c r="F382" s="664"/>
      <c r="G382" s="664"/>
      <c r="H382" s="664"/>
      <c r="I382" s="664"/>
      <c r="J382" s="664"/>
      <c r="K382" s="664"/>
      <c r="L382" s="664"/>
      <c r="M382" s="664"/>
      <c r="N382" s="664"/>
      <c r="O382" s="664"/>
      <c r="P382" s="664"/>
      <c r="Q382" s="664"/>
      <c r="R382" s="664"/>
      <c r="S382" s="664"/>
      <c r="T382" s="664"/>
      <c r="U382" s="664"/>
      <c r="V382" s="664"/>
      <c r="W382" s="664"/>
      <c r="X382" s="664"/>
      <c r="Y382" s="664"/>
      <c r="Z382" s="664"/>
      <c r="AA382" s="664"/>
      <c r="AB382" s="664"/>
      <c r="AC382" s="664"/>
      <c r="AD382" s="664"/>
    </row>
    <row r="383" spans="1:30">
      <c r="A383" s="1550"/>
      <c r="B383" s="664"/>
      <c r="C383" s="664"/>
      <c r="D383" s="664"/>
      <c r="E383" s="664"/>
      <c r="F383" s="664"/>
      <c r="G383" s="664"/>
      <c r="H383" s="664"/>
      <c r="I383" s="664"/>
      <c r="J383" s="664"/>
      <c r="K383" s="664"/>
      <c r="L383" s="664"/>
      <c r="M383" s="664"/>
      <c r="N383" s="664"/>
      <c r="O383" s="664"/>
      <c r="P383" s="664"/>
      <c r="Q383" s="664"/>
      <c r="R383" s="664"/>
      <c r="S383" s="664"/>
      <c r="T383" s="664"/>
      <c r="U383" s="664"/>
      <c r="V383" s="664"/>
      <c r="W383" s="664"/>
      <c r="X383" s="664"/>
      <c r="Y383" s="664"/>
      <c r="Z383" s="664"/>
      <c r="AA383" s="664"/>
      <c r="AB383" s="664"/>
      <c r="AC383" s="664"/>
      <c r="AD383" s="664"/>
    </row>
    <row r="384" spans="1:30">
      <c r="A384" s="1550"/>
      <c r="B384" s="664"/>
      <c r="C384" s="664"/>
      <c r="D384" s="664"/>
      <c r="E384" s="664"/>
      <c r="F384" s="664"/>
      <c r="G384" s="664"/>
      <c r="H384" s="664"/>
      <c r="I384" s="664"/>
      <c r="J384" s="664"/>
      <c r="K384" s="664"/>
      <c r="L384" s="664"/>
      <c r="M384" s="664"/>
      <c r="N384" s="664"/>
      <c r="O384" s="664"/>
      <c r="P384" s="664"/>
      <c r="Q384" s="664"/>
      <c r="R384" s="664"/>
      <c r="S384" s="664"/>
      <c r="T384" s="664"/>
      <c r="U384" s="664"/>
      <c r="V384" s="664"/>
      <c r="W384" s="664"/>
      <c r="X384" s="664"/>
      <c r="Y384" s="664"/>
      <c r="Z384" s="664"/>
      <c r="AA384" s="664"/>
      <c r="AB384" s="664"/>
      <c r="AC384" s="664"/>
      <c r="AD384" s="664"/>
    </row>
    <row r="385" spans="1:30">
      <c r="A385" s="1550"/>
      <c r="B385" s="664"/>
      <c r="C385" s="664"/>
      <c r="D385" s="664"/>
      <c r="E385" s="664"/>
      <c r="F385" s="664"/>
      <c r="G385" s="664"/>
      <c r="H385" s="664"/>
      <c r="I385" s="664"/>
      <c r="J385" s="664"/>
      <c r="K385" s="664"/>
      <c r="L385" s="664"/>
      <c r="M385" s="664"/>
      <c r="N385" s="664"/>
      <c r="O385" s="664"/>
      <c r="P385" s="664"/>
      <c r="Q385" s="664"/>
      <c r="R385" s="664"/>
      <c r="S385" s="664"/>
      <c r="T385" s="664"/>
      <c r="U385" s="664"/>
      <c r="V385" s="664"/>
      <c r="W385" s="664"/>
      <c r="X385" s="664"/>
      <c r="Y385" s="664"/>
      <c r="Z385" s="664"/>
      <c r="AA385" s="664"/>
      <c r="AB385" s="664"/>
      <c r="AC385" s="664"/>
      <c r="AD385" s="664"/>
    </row>
    <row r="386" spans="1:30">
      <c r="A386" s="1550"/>
      <c r="B386" s="664"/>
      <c r="C386" s="664"/>
      <c r="D386" s="664"/>
      <c r="E386" s="664"/>
      <c r="F386" s="664"/>
      <c r="G386" s="664"/>
      <c r="H386" s="664"/>
      <c r="I386" s="664"/>
      <c r="J386" s="664"/>
      <c r="K386" s="664"/>
      <c r="L386" s="664"/>
      <c r="M386" s="664"/>
      <c r="N386" s="664"/>
      <c r="O386" s="664"/>
      <c r="P386" s="664"/>
      <c r="Q386" s="664"/>
      <c r="R386" s="664"/>
      <c r="S386" s="664"/>
      <c r="T386" s="664"/>
      <c r="U386" s="664"/>
      <c r="V386" s="664"/>
      <c r="W386" s="664"/>
      <c r="X386" s="664"/>
      <c r="Y386" s="664"/>
      <c r="Z386" s="664"/>
      <c r="AA386" s="664"/>
      <c r="AB386" s="664"/>
      <c r="AC386" s="664"/>
      <c r="AD386" s="664"/>
    </row>
    <row r="387" spans="1:30">
      <c r="A387" s="1550"/>
      <c r="B387" s="664"/>
      <c r="C387" s="664"/>
      <c r="D387" s="664"/>
      <c r="E387" s="664"/>
      <c r="F387" s="664"/>
      <c r="G387" s="664"/>
      <c r="H387" s="664"/>
      <c r="I387" s="664"/>
      <c r="J387" s="664"/>
      <c r="K387" s="664"/>
      <c r="L387" s="664"/>
      <c r="M387" s="664"/>
      <c r="N387" s="664"/>
      <c r="O387" s="664"/>
      <c r="P387" s="664"/>
      <c r="Q387" s="664"/>
      <c r="R387" s="664"/>
      <c r="S387" s="664"/>
      <c r="T387" s="664"/>
      <c r="U387" s="664"/>
      <c r="V387" s="664"/>
      <c r="W387" s="664"/>
      <c r="X387" s="664"/>
      <c r="Y387" s="664"/>
      <c r="Z387" s="664"/>
      <c r="AA387" s="664"/>
      <c r="AB387" s="664"/>
      <c r="AC387" s="664"/>
      <c r="AD387" s="664"/>
    </row>
    <row r="388" spans="1:30">
      <c r="A388" s="1550"/>
      <c r="B388" s="664"/>
      <c r="C388" s="664"/>
      <c r="D388" s="664"/>
      <c r="E388" s="664"/>
      <c r="F388" s="664"/>
      <c r="G388" s="664"/>
      <c r="H388" s="664"/>
      <c r="I388" s="664"/>
      <c r="J388" s="664"/>
      <c r="K388" s="664"/>
      <c r="L388" s="664"/>
      <c r="M388" s="664"/>
      <c r="N388" s="664"/>
      <c r="O388" s="664"/>
      <c r="P388" s="664"/>
      <c r="Q388" s="664"/>
      <c r="R388" s="664"/>
      <c r="S388" s="664"/>
      <c r="T388" s="664"/>
      <c r="U388" s="664"/>
      <c r="V388" s="664"/>
      <c r="W388" s="664"/>
      <c r="X388" s="664"/>
      <c r="Y388" s="664"/>
      <c r="Z388" s="664"/>
      <c r="AA388" s="664"/>
      <c r="AB388" s="664"/>
      <c r="AC388" s="664"/>
      <c r="AD388" s="664"/>
    </row>
    <row r="389" spans="1:30">
      <c r="A389" s="1550"/>
      <c r="B389" s="664"/>
      <c r="C389" s="664"/>
      <c r="D389" s="664"/>
      <c r="E389" s="664"/>
      <c r="F389" s="664"/>
      <c r="G389" s="664"/>
      <c r="H389" s="664"/>
      <c r="I389" s="664"/>
      <c r="J389" s="664"/>
      <c r="K389" s="664"/>
      <c r="L389" s="664"/>
      <c r="M389" s="664"/>
      <c r="N389" s="664"/>
      <c r="O389" s="664"/>
      <c r="P389" s="664"/>
      <c r="Q389" s="664"/>
      <c r="R389" s="664"/>
      <c r="S389" s="664"/>
      <c r="T389" s="664"/>
      <c r="U389" s="664"/>
      <c r="V389" s="664"/>
      <c r="W389" s="664"/>
      <c r="X389" s="664"/>
      <c r="Y389" s="664"/>
      <c r="Z389" s="664"/>
      <c r="AA389" s="664"/>
      <c r="AB389" s="664"/>
      <c r="AC389" s="664"/>
      <c r="AD389" s="664"/>
    </row>
    <row r="390" spans="1:30">
      <c r="A390" s="1550"/>
      <c r="B390" s="664"/>
      <c r="C390" s="664"/>
      <c r="D390" s="664"/>
      <c r="E390" s="664"/>
      <c r="F390" s="664"/>
      <c r="G390" s="664"/>
      <c r="H390" s="664"/>
      <c r="I390" s="664"/>
      <c r="J390" s="664"/>
      <c r="K390" s="664"/>
      <c r="L390" s="664"/>
      <c r="M390" s="664"/>
      <c r="N390" s="664"/>
      <c r="O390" s="664"/>
      <c r="P390" s="664"/>
      <c r="Q390" s="664"/>
      <c r="R390" s="664"/>
      <c r="S390" s="664"/>
      <c r="T390" s="664"/>
      <c r="U390" s="664"/>
      <c r="V390" s="664"/>
      <c r="W390" s="664"/>
      <c r="X390" s="664"/>
      <c r="Y390" s="664"/>
      <c r="Z390" s="664"/>
      <c r="AA390" s="664"/>
      <c r="AB390" s="664"/>
      <c r="AC390" s="664"/>
      <c r="AD390" s="664"/>
    </row>
    <row r="391" spans="1:30">
      <c r="A391" s="1550"/>
      <c r="B391" s="664"/>
      <c r="C391" s="664"/>
      <c r="D391" s="664"/>
      <c r="E391" s="664"/>
      <c r="F391" s="664"/>
      <c r="G391" s="664"/>
      <c r="H391" s="664"/>
      <c r="I391" s="664"/>
      <c r="J391" s="664"/>
      <c r="K391" s="664"/>
      <c r="L391" s="664"/>
      <c r="M391" s="664"/>
      <c r="N391" s="664"/>
      <c r="O391" s="664"/>
      <c r="P391" s="664"/>
      <c r="Q391" s="664"/>
      <c r="R391" s="664"/>
      <c r="S391" s="664"/>
      <c r="T391" s="664"/>
      <c r="U391" s="664"/>
      <c r="V391" s="664"/>
      <c r="W391" s="664"/>
      <c r="X391" s="664"/>
      <c r="Y391" s="664"/>
      <c r="Z391" s="664"/>
      <c r="AA391" s="664"/>
      <c r="AB391" s="664"/>
      <c r="AC391" s="664"/>
      <c r="AD391" s="664"/>
    </row>
    <row r="392" spans="1:30">
      <c r="A392" s="1550"/>
      <c r="B392" s="664"/>
      <c r="C392" s="664"/>
      <c r="D392" s="664"/>
      <c r="E392" s="664"/>
      <c r="F392" s="664"/>
      <c r="G392" s="664"/>
      <c r="H392" s="664"/>
      <c r="I392" s="664"/>
      <c r="J392" s="664"/>
      <c r="K392" s="664"/>
      <c r="L392" s="664"/>
      <c r="M392" s="664"/>
      <c r="N392" s="664"/>
      <c r="O392" s="664"/>
      <c r="P392" s="664"/>
      <c r="Q392" s="664"/>
      <c r="R392" s="664"/>
      <c r="S392" s="664"/>
      <c r="T392" s="664"/>
      <c r="U392" s="664"/>
      <c r="V392" s="664"/>
      <c r="W392" s="664"/>
      <c r="X392" s="664"/>
      <c r="Y392" s="664"/>
      <c r="Z392" s="664"/>
      <c r="AA392" s="664"/>
      <c r="AB392" s="664"/>
      <c r="AC392" s="664"/>
      <c r="AD392" s="664"/>
    </row>
    <row r="393" spans="1:30">
      <c r="A393" s="1550"/>
      <c r="B393" s="664"/>
      <c r="C393" s="664"/>
      <c r="D393" s="664"/>
      <c r="E393" s="664"/>
      <c r="F393" s="664"/>
      <c r="G393" s="664"/>
      <c r="H393" s="664"/>
      <c r="I393" s="664"/>
      <c r="J393" s="664"/>
      <c r="K393" s="664"/>
      <c r="L393" s="664"/>
      <c r="M393" s="664"/>
      <c r="N393" s="664"/>
      <c r="O393" s="664"/>
      <c r="P393" s="664"/>
      <c r="Q393" s="664"/>
      <c r="R393" s="664"/>
      <c r="S393" s="664"/>
      <c r="T393" s="664"/>
      <c r="U393" s="664"/>
      <c r="V393" s="664"/>
      <c r="W393" s="664"/>
      <c r="X393" s="664"/>
      <c r="Y393" s="664"/>
      <c r="Z393" s="664"/>
      <c r="AA393" s="664"/>
      <c r="AB393" s="664"/>
      <c r="AC393" s="664"/>
      <c r="AD393" s="664"/>
    </row>
    <row r="394" spans="1:30">
      <c r="A394" s="1550"/>
      <c r="B394" s="664"/>
      <c r="C394" s="664"/>
      <c r="D394" s="664"/>
      <c r="E394" s="664"/>
      <c r="F394" s="664"/>
      <c r="G394" s="664"/>
      <c r="H394" s="664"/>
      <c r="I394" s="664"/>
      <c r="J394" s="664"/>
      <c r="K394" s="664"/>
      <c r="L394" s="664"/>
      <c r="M394" s="664"/>
      <c r="N394" s="664"/>
      <c r="O394" s="664"/>
      <c r="P394" s="664"/>
      <c r="Q394" s="664"/>
      <c r="R394" s="664"/>
      <c r="S394" s="664"/>
      <c r="T394" s="664"/>
      <c r="U394" s="664"/>
      <c r="V394" s="664"/>
      <c r="W394" s="664"/>
      <c r="X394" s="664"/>
      <c r="Y394" s="664"/>
      <c r="Z394" s="664"/>
      <c r="AA394" s="664"/>
      <c r="AB394" s="664"/>
      <c r="AC394" s="664"/>
      <c r="AD394" s="664"/>
    </row>
    <row r="395" spans="1:30">
      <c r="A395" s="1550"/>
      <c r="B395" s="664"/>
      <c r="C395" s="664"/>
      <c r="D395" s="664"/>
      <c r="E395" s="664"/>
      <c r="F395" s="664"/>
      <c r="G395" s="664"/>
      <c r="H395" s="664"/>
      <c r="I395" s="664"/>
      <c r="J395" s="664"/>
      <c r="K395" s="664"/>
      <c r="L395" s="664"/>
      <c r="M395" s="664"/>
      <c r="N395" s="664"/>
      <c r="O395" s="664"/>
      <c r="P395" s="664"/>
      <c r="Q395" s="664"/>
      <c r="R395" s="664"/>
      <c r="S395" s="664"/>
      <c r="T395" s="664"/>
      <c r="U395" s="664"/>
      <c r="V395" s="664"/>
      <c r="W395" s="664"/>
      <c r="X395" s="664"/>
      <c r="Y395" s="664"/>
      <c r="Z395" s="664"/>
      <c r="AA395" s="664"/>
      <c r="AB395" s="664"/>
      <c r="AC395" s="664"/>
      <c r="AD395" s="664"/>
    </row>
    <row r="396" spans="1:30">
      <c r="A396" s="1550"/>
      <c r="B396" s="664"/>
      <c r="C396" s="664"/>
      <c r="D396" s="664"/>
      <c r="E396" s="664"/>
      <c r="F396" s="664"/>
      <c r="G396" s="664"/>
      <c r="H396" s="664"/>
      <c r="I396" s="664"/>
      <c r="J396" s="664"/>
      <c r="K396" s="664"/>
      <c r="L396" s="664"/>
      <c r="M396" s="664"/>
      <c r="N396" s="664"/>
      <c r="O396" s="664"/>
      <c r="P396" s="664"/>
      <c r="Q396" s="664"/>
      <c r="R396" s="664"/>
      <c r="S396" s="664"/>
      <c r="T396" s="664"/>
      <c r="U396" s="664"/>
      <c r="V396" s="664"/>
      <c r="W396" s="664"/>
      <c r="X396" s="664"/>
      <c r="Y396" s="664"/>
      <c r="Z396" s="664"/>
      <c r="AA396" s="664"/>
      <c r="AB396" s="664"/>
      <c r="AC396" s="664"/>
      <c r="AD396" s="664"/>
    </row>
    <row r="397" spans="1:30">
      <c r="A397" s="1550"/>
      <c r="B397" s="664"/>
      <c r="C397" s="664"/>
      <c r="D397" s="664"/>
      <c r="E397" s="664"/>
      <c r="F397" s="664"/>
      <c r="G397" s="664"/>
      <c r="H397" s="664"/>
      <c r="I397" s="664"/>
      <c r="J397" s="664"/>
      <c r="K397" s="664"/>
      <c r="L397" s="664"/>
      <c r="M397" s="664"/>
      <c r="N397" s="664"/>
      <c r="O397" s="664"/>
      <c r="P397" s="664"/>
      <c r="Q397" s="664"/>
      <c r="R397" s="664"/>
      <c r="S397" s="664"/>
      <c r="T397" s="664"/>
      <c r="U397" s="664"/>
      <c r="V397" s="664"/>
      <c r="W397" s="664"/>
      <c r="X397" s="664"/>
      <c r="Y397" s="664"/>
      <c r="Z397" s="664"/>
      <c r="AA397" s="664"/>
      <c r="AB397" s="664"/>
      <c r="AC397" s="664"/>
      <c r="AD397" s="664"/>
    </row>
    <row r="398" spans="1:30">
      <c r="A398" s="1550"/>
      <c r="B398" s="664"/>
      <c r="C398" s="664"/>
      <c r="D398" s="664"/>
      <c r="E398" s="664"/>
      <c r="F398" s="664"/>
      <c r="G398" s="664"/>
      <c r="H398" s="664"/>
      <c r="I398" s="664"/>
      <c r="J398" s="664"/>
      <c r="K398" s="664"/>
      <c r="L398" s="664"/>
      <c r="M398" s="664"/>
      <c r="N398" s="664"/>
      <c r="O398" s="664"/>
      <c r="P398" s="664"/>
      <c r="Q398" s="664"/>
      <c r="R398" s="664"/>
      <c r="S398" s="664"/>
      <c r="T398" s="664"/>
      <c r="U398" s="664"/>
      <c r="V398" s="664"/>
      <c r="W398" s="664"/>
      <c r="X398" s="664"/>
      <c r="Y398" s="664"/>
      <c r="Z398" s="664"/>
      <c r="AA398" s="664"/>
      <c r="AB398" s="664"/>
      <c r="AC398" s="664"/>
      <c r="AD398" s="664"/>
    </row>
    <row r="399" spans="1:30">
      <c r="A399" s="1550"/>
      <c r="B399" s="664"/>
      <c r="C399" s="664"/>
      <c r="D399" s="664"/>
      <c r="E399" s="664"/>
      <c r="F399" s="664"/>
      <c r="G399" s="664"/>
      <c r="H399" s="664"/>
      <c r="I399" s="664"/>
      <c r="J399" s="664"/>
      <c r="K399" s="664"/>
      <c r="L399" s="664"/>
      <c r="M399" s="664"/>
      <c r="N399" s="664"/>
      <c r="O399" s="664"/>
      <c r="P399" s="664"/>
      <c r="Q399" s="664"/>
      <c r="R399" s="664"/>
      <c r="S399" s="664"/>
      <c r="T399" s="664"/>
      <c r="U399" s="664"/>
      <c r="V399" s="664"/>
      <c r="W399" s="664"/>
      <c r="X399" s="664"/>
      <c r="Y399" s="664"/>
      <c r="Z399" s="664"/>
      <c r="AA399" s="664"/>
      <c r="AB399" s="664"/>
      <c r="AC399" s="664"/>
      <c r="AD399" s="664"/>
    </row>
    <row r="400" spans="1:30">
      <c r="A400" s="1550"/>
      <c r="B400" s="664"/>
      <c r="C400" s="664"/>
      <c r="D400" s="664"/>
      <c r="E400" s="664"/>
      <c r="F400" s="664"/>
      <c r="G400" s="664"/>
      <c r="H400" s="664"/>
      <c r="I400" s="664"/>
      <c r="J400" s="664"/>
      <c r="K400" s="664"/>
      <c r="L400" s="664"/>
      <c r="M400" s="664"/>
      <c r="N400" s="664"/>
      <c r="O400" s="664"/>
      <c r="P400" s="664"/>
      <c r="Q400" s="664"/>
      <c r="R400" s="664"/>
      <c r="S400" s="664"/>
      <c r="T400" s="664"/>
      <c r="U400" s="664"/>
      <c r="V400" s="664"/>
      <c r="W400" s="664"/>
      <c r="X400" s="664"/>
      <c r="Y400" s="664"/>
      <c r="Z400" s="664"/>
      <c r="AA400" s="664"/>
      <c r="AB400" s="664"/>
      <c r="AC400" s="664"/>
      <c r="AD400" s="664"/>
    </row>
    <row r="401" spans="1:30">
      <c r="A401" s="1550"/>
      <c r="B401" s="664"/>
      <c r="C401" s="664"/>
      <c r="D401" s="664"/>
      <c r="E401" s="664"/>
      <c r="F401" s="664"/>
      <c r="G401" s="664"/>
      <c r="H401" s="664"/>
      <c r="I401" s="664"/>
      <c r="J401" s="664"/>
      <c r="K401" s="664"/>
      <c r="L401" s="664"/>
      <c r="M401" s="664"/>
      <c r="N401" s="664"/>
      <c r="O401" s="664"/>
      <c r="P401" s="664"/>
      <c r="Q401" s="664"/>
      <c r="R401" s="664"/>
      <c r="S401" s="664"/>
      <c r="T401" s="664"/>
      <c r="U401" s="664"/>
      <c r="V401" s="664"/>
      <c r="W401" s="664"/>
      <c r="X401" s="664"/>
      <c r="Y401" s="664"/>
      <c r="Z401" s="664"/>
      <c r="AA401" s="664"/>
      <c r="AB401" s="664"/>
      <c r="AC401" s="664"/>
      <c r="AD401" s="664"/>
    </row>
    <row r="402" spans="1:30">
      <c r="A402" s="1550"/>
      <c r="B402" s="664"/>
      <c r="C402" s="664"/>
      <c r="D402" s="664"/>
      <c r="E402" s="664"/>
      <c r="F402" s="664"/>
      <c r="G402" s="664"/>
      <c r="H402" s="664"/>
      <c r="I402" s="664"/>
      <c r="J402" s="664"/>
      <c r="K402" s="664"/>
      <c r="L402" s="664"/>
      <c r="M402" s="664"/>
      <c r="N402" s="664"/>
      <c r="O402" s="664"/>
      <c r="P402" s="664"/>
      <c r="Q402" s="664"/>
      <c r="R402" s="664"/>
      <c r="S402" s="664"/>
      <c r="T402" s="664"/>
      <c r="U402" s="664"/>
      <c r="V402" s="664"/>
      <c r="W402" s="664"/>
      <c r="X402" s="664"/>
      <c r="Y402" s="664"/>
      <c r="Z402" s="664"/>
      <c r="AA402" s="664"/>
      <c r="AB402" s="664"/>
      <c r="AC402" s="664"/>
      <c r="AD402" s="664"/>
    </row>
    <row r="403" spans="1:30">
      <c r="A403" s="1550"/>
      <c r="B403" s="664"/>
      <c r="C403" s="664"/>
      <c r="D403" s="664"/>
      <c r="E403" s="664"/>
      <c r="F403" s="664"/>
      <c r="G403" s="664"/>
      <c r="H403" s="664"/>
      <c r="I403" s="664"/>
      <c r="J403" s="664"/>
      <c r="K403" s="664"/>
      <c r="L403" s="664"/>
      <c r="M403" s="664"/>
      <c r="N403" s="664"/>
      <c r="O403" s="664"/>
      <c r="P403" s="664"/>
      <c r="Q403" s="664"/>
      <c r="R403" s="664"/>
      <c r="S403" s="664"/>
      <c r="T403" s="664"/>
      <c r="U403" s="664"/>
      <c r="V403" s="664"/>
      <c r="W403" s="664"/>
      <c r="X403" s="664"/>
      <c r="Y403" s="664"/>
      <c r="Z403" s="664"/>
      <c r="AA403" s="664"/>
      <c r="AB403" s="664"/>
      <c r="AC403" s="664"/>
      <c r="AD403" s="664"/>
    </row>
    <row r="404" spans="1:30">
      <c r="A404" s="1550"/>
      <c r="B404" s="664"/>
      <c r="C404" s="664"/>
      <c r="D404" s="664"/>
      <c r="E404" s="664"/>
      <c r="F404" s="664"/>
      <c r="G404" s="664"/>
      <c r="H404" s="664"/>
      <c r="I404" s="664"/>
      <c r="J404" s="664"/>
      <c r="K404" s="664"/>
      <c r="L404" s="664"/>
      <c r="M404" s="664"/>
      <c r="N404" s="664"/>
      <c r="O404" s="664"/>
      <c r="P404" s="664"/>
      <c r="Q404" s="664"/>
      <c r="R404" s="664"/>
      <c r="S404" s="664"/>
      <c r="T404" s="664"/>
      <c r="U404" s="664"/>
      <c r="V404" s="664"/>
      <c r="W404" s="664"/>
      <c r="X404" s="664"/>
      <c r="Y404" s="664"/>
      <c r="Z404" s="664"/>
      <c r="AA404" s="664"/>
      <c r="AB404" s="664"/>
      <c r="AC404" s="664"/>
      <c r="AD404" s="664"/>
    </row>
    <row r="405" spans="1:30">
      <c r="A405" s="1550"/>
      <c r="B405" s="664"/>
      <c r="C405" s="664"/>
      <c r="D405" s="664"/>
      <c r="E405" s="664"/>
      <c r="F405" s="664"/>
      <c r="G405" s="664"/>
      <c r="H405" s="664"/>
      <c r="I405" s="664"/>
      <c r="J405" s="664"/>
      <c r="K405" s="664"/>
      <c r="L405" s="664"/>
      <c r="M405" s="664"/>
      <c r="N405" s="664"/>
      <c r="O405" s="664"/>
      <c r="P405" s="664"/>
      <c r="Q405" s="664"/>
      <c r="R405" s="664"/>
      <c r="S405" s="664"/>
      <c r="T405" s="664"/>
      <c r="U405" s="664"/>
      <c r="V405" s="664"/>
      <c r="W405" s="664"/>
      <c r="X405" s="664"/>
      <c r="Y405" s="664"/>
      <c r="Z405" s="664"/>
      <c r="AA405" s="664"/>
      <c r="AB405" s="664"/>
      <c r="AC405" s="664"/>
      <c r="AD405" s="664"/>
    </row>
    <row r="406" spans="1:30">
      <c r="A406" s="1550"/>
      <c r="B406" s="664"/>
      <c r="C406" s="664"/>
      <c r="D406" s="664"/>
      <c r="E406" s="664"/>
      <c r="F406" s="664"/>
      <c r="G406" s="664"/>
      <c r="H406" s="664"/>
      <c r="I406" s="664"/>
      <c r="J406" s="664"/>
      <c r="K406" s="664"/>
      <c r="L406" s="664"/>
      <c r="M406" s="664"/>
      <c r="N406" s="664"/>
      <c r="O406" s="664"/>
      <c r="P406" s="664"/>
      <c r="Q406" s="664"/>
      <c r="R406" s="664"/>
      <c r="S406" s="664"/>
      <c r="T406" s="664"/>
      <c r="U406" s="664"/>
      <c r="V406" s="664"/>
      <c r="W406" s="664"/>
      <c r="X406" s="664"/>
      <c r="Y406" s="664"/>
      <c r="Z406" s="664"/>
      <c r="AA406" s="664"/>
      <c r="AB406" s="664"/>
      <c r="AC406" s="664"/>
      <c r="AD406" s="664"/>
    </row>
    <row r="407" spans="1:30">
      <c r="A407" s="1550"/>
      <c r="B407" s="664"/>
      <c r="C407" s="664"/>
      <c r="D407" s="664"/>
      <c r="E407" s="664"/>
      <c r="F407" s="664"/>
      <c r="G407" s="664"/>
      <c r="H407" s="664"/>
      <c r="I407" s="664"/>
      <c r="J407" s="664"/>
      <c r="K407" s="664"/>
      <c r="L407" s="664"/>
      <c r="M407" s="664"/>
      <c r="N407" s="664"/>
      <c r="O407" s="664"/>
      <c r="P407" s="664"/>
      <c r="Q407" s="664"/>
      <c r="R407" s="664"/>
      <c r="S407" s="664"/>
      <c r="T407" s="664"/>
      <c r="U407" s="664"/>
      <c r="V407" s="664"/>
      <c r="W407" s="664"/>
      <c r="X407" s="664"/>
      <c r="Y407" s="664"/>
      <c r="Z407" s="664"/>
      <c r="AA407" s="664"/>
      <c r="AB407" s="664"/>
      <c r="AC407" s="664"/>
      <c r="AD407" s="664"/>
    </row>
    <row r="408" spans="1:30">
      <c r="A408" s="1550"/>
      <c r="B408" s="664"/>
      <c r="C408" s="664"/>
      <c r="D408" s="664"/>
      <c r="E408" s="664"/>
      <c r="F408" s="664"/>
      <c r="G408" s="664"/>
      <c r="H408" s="664"/>
      <c r="I408" s="664"/>
      <c r="J408" s="664"/>
      <c r="K408" s="664"/>
      <c r="L408" s="664"/>
      <c r="M408" s="664"/>
      <c r="N408" s="664"/>
      <c r="O408" s="664"/>
      <c r="P408" s="664"/>
      <c r="Q408" s="664"/>
      <c r="R408" s="664"/>
      <c r="S408" s="664"/>
      <c r="T408" s="664"/>
      <c r="U408" s="664"/>
      <c r="V408" s="664"/>
      <c r="W408" s="664"/>
      <c r="X408" s="664"/>
      <c r="Y408" s="664"/>
      <c r="Z408" s="664"/>
      <c r="AA408" s="664"/>
      <c r="AB408" s="664"/>
      <c r="AC408" s="664"/>
      <c r="AD408" s="664"/>
    </row>
    <row r="409" spans="1:30">
      <c r="A409" s="1550"/>
      <c r="B409" s="664"/>
      <c r="C409" s="664"/>
      <c r="D409" s="664"/>
      <c r="E409" s="664"/>
      <c r="F409" s="664"/>
      <c r="G409" s="664"/>
      <c r="H409" s="664"/>
      <c r="I409" s="664"/>
      <c r="J409" s="664"/>
      <c r="K409" s="664"/>
      <c r="L409" s="664"/>
      <c r="M409" s="664"/>
      <c r="N409" s="664"/>
      <c r="O409" s="664"/>
      <c r="P409" s="664"/>
      <c r="Q409" s="664"/>
      <c r="R409" s="664"/>
      <c r="S409" s="664"/>
      <c r="T409" s="664"/>
      <c r="U409" s="664"/>
      <c r="V409" s="664"/>
      <c r="W409" s="664"/>
      <c r="X409" s="664"/>
      <c r="Y409" s="664"/>
      <c r="Z409" s="664"/>
      <c r="AA409" s="664"/>
      <c r="AB409" s="664"/>
      <c r="AC409" s="664"/>
      <c r="AD409" s="664"/>
    </row>
    <row r="410" spans="1:30">
      <c r="A410" s="1550"/>
      <c r="B410" s="664"/>
      <c r="C410" s="664"/>
      <c r="D410" s="664"/>
      <c r="E410" s="664"/>
      <c r="F410" s="664"/>
      <c r="G410" s="664"/>
      <c r="H410" s="664"/>
      <c r="I410" s="664"/>
      <c r="J410" s="664"/>
      <c r="K410" s="664"/>
      <c r="L410" s="664"/>
      <c r="M410" s="664"/>
      <c r="N410" s="664"/>
      <c r="O410" s="664"/>
      <c r="P410" s="664"/>
      <c r="Q410" s="664"/>
      <c r="R410" s="664"/>
      <c r="S410" s="664"/>
      <c r="T410" s="664"/>
      <c r="U410" s="664"/>
      <c r="V410" s="664"/>
      <c r="W410" s="664"/>
      <c r="X410" s="664"/>
      <c r="Y410" s="664"/>
      <c r="Z410" s="664"/>
      <c r="AA410" s="664"/>
      <c r="AB410" s="664"/>
      <c r="AC410" s="664"/>
      <c r="AD410" s="664"/>
    </row>
    <row r="411" spans="1:30">
      <c r="A411" s="1550"/>
      <c r="B411" s="664"/>
      <c r="C411" s="664"/>
      <c r="D411" s="664"/>
      <c r="E411" s="664"/>
      <c r="F411" s="664"/>
      <c r="G411" s="664"/>
      <c r="H411" s="664"/>
      <c r="I411" s="664"/>
      <c r="J411" s="664"/>
      <c r="K411" s="664"/>
      <c r="L411" s="664"/>
      <c r="M411" s="664"/>
      <c r="N411" s="664"/>
      <c r="O411" s="664"/>
      <c r="P411" s="664"/>
      <c r="Q411" s="664"/>
      <c r="R411" s="664"/>
      <c r="S411" s="664"/>
      <c r="T411" s="664"/>
      <c r="U411" s="664"/>
      <c r="V411" s="664"/>
      <c r="W411" s="664"/>
      <c r="X411" s="664"/>
      <c r="Y411" s="664"/>
      <c r="Z411" s="664"/>
      <c r="AA411" s="664"/>
      <c r="AB411" s="664"/>
      <c r="AC411" s="664"/>
      <c r="AD411" s="664"/>
    </row>
    <row r="412" spans="1:30">
      <c r="A412" s="1550"/>
      <c r="B412" s="664"/>
      <c r="C412" s="664"/>
      <c r="D412" s="664"/>
      <c r="E412" s="664"/>
      <c r="F412" s="664"/>
      <c r="G412" s="664"/>
      <c r="H412" s="664"/>
      <c r="I412" s="664"/>
      <c r="J412" s="664"/>
      <c r="K412" s="664"/>
      <c r="L412" s="664"/>
      <c r="M412" s="664"/>
      <c r="N412" s="664"/>
      <c r="O412" s="664"/>
      <c r="P412" s="664"/>
      <c r="Q412" s="664"/>
      <c r="R412" s="664"/>
      <c r="S412" s="664"/>
      <c r="T412" s="664"/>
      <c r="U412" s="664"/>
      <c r="V412" s="664"/>
      <c r="W412" s="664"/>
      <c r="X412" s="664"/>
      <c r="Y412" s="664"/>
      <c r="Z412" s="664"/>
      <c r="AA412" s="664"/>
      <c r="AB412" s="664"/>
      <c r="AC412" s="664"/>
      <c r="AD412" s="664"/>
    </row>
    <row r="413" spans="1:30">
      <c r="A413" s="1550"/>
      <c r="B413" s="664"/>
      <c r="C413" s="664"/>
      <c r="D413" s="664"/>
      <c r="E413" s="664"/>
      <c r="F413" s="664"/>
      <c r="G413" s="664"/>
      <c r="H413" s="664"/>
      <c r="I413" s="664"/>
      <c r="J413" s="664"/>
      <c r="K413" s="664"/>
      <c r="L413" s="664"/>
      <c r="M413" s="664"/>
      <c r="N413" s="664"/>
      <c r="O413" s="664"/>
      <c r="P413" s="664"/>
      <c r="Q413" s="664"/>
      <c r="R413" s="664"/>
      <c r="S413" s="664"/>
      <c r="T413" s="664"/>
      <c r="U413" s="664"/>
      <c r="V413" s="664"/>
      <c r="W413" s="664"/>
      <c r="X413" s="664"/>
      <c r="Y413" s="664"/>
      <c r="Z413" s="664"/>
      <c r="AA413" s="664"/>
      <c r="AB413" s="664"/>
      <c r="AC413" s="664"/>
      <c r="AD413" s="664"/>
    </row>
    <row r="414" spans="1:30">
      <c r="A414" s="1550"/>
      <c r="B414" s="664"/>
      <c r="C414" s="664"/>
      <c r="D414" s="664"/>
      <c r="E414" s="664"/>
      <c r="F414" s="664"/>
      <c r="G414" s="664"/>
      <c r="H414" s="664"/>
      <c r="I414" s="664"/>
      <c r="J414" s="664"/>
      <c r="K414" s="664"/>
      <c r="L414" s="664"/>
      <c r="M414" s="664"/>
      <c r="N414" s="664"/>
      <c r="O414" s="664"/>
      <c r="P414" s="664"/>
      <c r="Q414" s="664"/>
      <c r="R414" s="664"/>
      <c r="S414" s="664"/>
      <c r="T414" s="664"/>
      <c r="U414" s="664"/>
      <c r="V414" s="664"/>
      <c r="W414" s="664"/>
      <c r="X414" s="664"/>
      <c r="Y414" s="664"/>
      <c r="Z414" s="664"/>
      <c r="AA414" s="664"/>
      <c r="AB414" s="664"/>
      <c r="AC414" s="664"/>
      <c r="AD414" s="664"/>
    </row>
    <row r="415" spans="1:30">
      <c r="A415" s="1550"/>
      <c r="B415" s="664"/>
      <c r="C415" s="664"/>
      <c r="D415" s="664"/>
      <c r="E415" s="664"/>
      <c r="F415" s="664"/>
      <c r="G415" s="664"/>
      <c r="H415" s="664"/>
      <c r="I415" s="664"/>
      <c r="J415" s="664"/>
      <c r="K415" s="664"/>
      <c r="L415" s="664"/>
      <c r="M415" s="664"/>
      <c r="N415" s="664"/>
      <c r="O415" s="664"/>
      <c r="P415" s="664"/>
      <c r="Q415" s="664"/>
      <c r="R415" s="664"/>
      <c r="S415" s="664"/>
      <c r="T415" s="664"/>
      <c r="U415" s="664"/>
      <c r="V415" s="664"/>
      <c r="W415" s="664"/>
      <c r="X415" s="664"/>
      <c r="Y415" s="664"/>
      <c r="Z415" s="664"/>
      <c r="AA415" s="664"/>
      <c r="AB415" s="664"/>
      <c r="AC415" s="664"/>
      <c r="AD415" s="664"/>
    </row>
    <row r="416" spans="1:30">
      <c r="A416" s="1550"/>
      <c r="B416" s="664"/>
      <c r="C416" s="664"/>
      <c r="D416" s="664"/>
      <c r="E416" s="664"/>
      <c r="F416" s="664"/>
      <c r="G416" s="664"/>
      <c r="H416" s="664"/>
      <c r="I416" s="664"/>
      <c r="J416" s="664"/>
      <c r="K416" s="664"/>
      <c r="L416" s="664"/>
      <c r="M416" s="664"/>
      <c r="N416" s="664"/>
      <c r="O416" s="664"/>
      <c r="P416" s="664"/>
      <c r="Q416" s="664"/>
      <c r="R416" s="664"/>
      <c r="S416" s="664"/>
      <c r="T416" s="664"/>
      <c r="U416" s="664"/>
      <c r="V416" s="664"/>
      <c r="W416" s="664"/>
      <c r="X416" s="664"/>
      <c r="Y416" s="664"/>
      <c r="Z416" s="664"/>
      <c r="AA416" s="664"/>
      <c r="AB416" s="664"/>
      <c r="AC416" s="664"/>
      <c r="AD416" s="664"/>
    </row>
    <row r="417" spans="1:30">
      <c r="A417" s="1550"/>
      <c r="B417" s="664"/>
      <c r="C417" s="664"/>
      <c r="D417" s="664"/>
      <c r="E417" s="664"/>
      <c r="F417" s="664"/>
      <c r="G417" s="664"/>
      <c r="H417" s="664"/>
      <c r="I417" s="664"/>
      <c r="J417" s="664"/>
      <c r="K417" s="664"/>
      <c r="L417" s="664"/>
      <c r="M417" s="664"/>
      <c r="N417" s="664"/>
      <c r="O417" s="664"/>
      <c r="P417" s="664"/>
      <c r="Q417" s="664"/>
      <c r="R417" s="664"/>
      <c r="S417" s="664"/>
      <c r="T417" s="664"/>
      <c r="U417" s="664"/>
      <c r="V417" s="664"/>
      <c r="W417" s="664"/>
      <c r="X417" s="664"/>
      <c r="Y417" s="664"/>
      <c r="Z417" s="664"/>
      <c r="AA417" s="664"/>
      <c r="AB417" s="664"/>
      <c r="AC417" s="664"/>
      <c r="AD417" s="664"/>
    </row>
    <row r="418" spans="1:30">
      <c r="A418" s="1550"/>
      <c r="B418" s="664"/>
      <c r="C418" s="664"/>
      <c r="D418" s="664"/>
      <c r="E418" s="664"/>
      <c r="F418" s="664"/>
      <c r="G418" s="664"/>
      <c r="H418" s="664"/>
      <c r="I418" s="664"/>
      <c r="J418" s="664"/>
      <c r="K418" s="664"/>
      <c r="L418" s="664"/>
      <c r="M418" s="664"/>
      <c r="N418" s="664"/>
      <c r="O418" s="664"/>
      <c r="P418" s="664"/>
      <c r="Q418" s="664"/>
      <c r="R418" s="664"/>
      <c r="S418" s="664"/>
      <c r="T418" s="664"/>
      <c r="U418" s="664"/>
      <c r="V418" s="664"/>
      <c r="W418" s="664"/>
      <c r="X418" s="664"/>
      <c r="Y418" s="664"/>
      <c r="Z418" s="664"/>
      <c r="AA418" s="664"/>
      <c r="AB418" s="664"/>
      <c r="AC418" s="664"/>
      <c r="AD418" s="664"/>
    </row>
    <row r="419" spans="1:30">
      <c r="A419" s="1550"/>
      <c r="B419" s="664"/>
      <c r="C419" s="664"/>
      <c r="D419" s="664"/>
      <c r="E419" s="664"/>
      <c r="F419" s="664"/>
      <c r="G419" s="664"/>
      <c r="H419" s="664"/>
      <c r="I419" s="664"/>
      <c r="J419" s="664"/>
      <c r="K419" s="664"/>
      <c r="L419" s="664"/>
      <c r="M419" s="664"/>
      <c r="N419" s="664"/>
      <c r="O419" s="664"/>
      <c r="P419" s="664"/>
      <c r="Q419" s="664"/>
      <c r="R419" s="664"/>
      <c r="S419" s="664"/>
      <c r="T419" s="664"/>
      <c r="U419" s="664"/>
      <c r="V419" s="664"/>
      <c r="W419" s="664"/>
      <c r="X419" s="664"/>
      <c r="Y419" s="664"/>
      <c r="Z419" s="664"/>
      <c r="AA419" s="664"/>
      <c r="AB419" s="664"/>
      <c r="AC419" s="664"/>
      <c r="AD419" s="664"/>
    </row>
    <row r="420" spans="1:30">
      <c r="A420" s="1550"/>
      <c r="B420" s="664"/>
      <c r="C420" s="664"/>
      <c r="D420" s="664"/>
      <c r="E420" s="664"/>
      <c r="F420" s="664"/>
      <c r="G420" s="664"/>
      <c r="H420" s="664"/>
      <c r="I420" s="664"/>
      <c r="J420" s="664"/>
      <c r="K420" s="664"/>
      <c r="L420" s="664"/>
      <c r="M420" s="664"/>
      <c r="N420" s="664"/>
      <c r="O420" s="664"/>
      <c r="P420" s="664"/>
      <c r="Q420" s="664"/>
      <c r="R420" s="664"/>
      <c r="S420" s="664"/>
      <c r="T420" s="664"/>
      <c r="U420" s="664"/>
      <c r="V420" s="664"/>
      <c r="W420" s="664"/>
      <c r="X420" s="664"/>
      <c r="Y420" s="664"/>
      <c r="Z420" s="664"/>
      <c r="AA420" s="664"/>
      <c r="AB420" s="664"/>
      <c r="AC420" s="664"/>
      <c r="AD420" s="664"/>
    </row>
    <row r="421" spans="1:30">
      <c r="A421" s="1550"/>
      <c r="B421" s="664"/>
      <c r="C421" s="664"/>
      <c r="D421" s="664"/>
      <c r="E421" s="664"/>
      <c r="F421" s="664"/>
      <c r="G421" s="664"/>
      <c r="H421" s="664"/>
      <c r="I421" s="664"/>
      <c r="J421" s="664"/>
      <c r="K421" s="664"/>
      <c r="L421" s="664"/>
      <c r="M421" s="664"/>
      <c r="N421" s="664"/>
      <c r="O421" s="664"/>
      <c r="P421" s="664"/>
      <c r="Q421" s="664"/>
      <c r="R421" s="664"/>
      <c r="S421" s="664"/>
      <c r="T421" s="664"/>
      <c r="U421" s="664"/>
      <c r="V421" s="664"/>
      <c r="W421" s="664"/>
      <c r="X421" s="664"/>
      <c r="Y421" s="664"/>
      <c r="Z421" s="664"/>
      <c r="AA421" s="664"/>
      <c r="AB421" s="664"/>
      <c r="AC421" s="664"/>
      <c r="AD421" s="664"/>
    </row>
    <row r="422" spans="1:30">
      <c r="A422" s="1239"/>
      <c r="B422" s="664"/>
      <c r="C422" s="664"/>
      <c r="D422" s="664"/>
      <c r="E422" s="664"/>
      <c r="F422" s="664"/>
      <c r="G422" s="664"/>
      <c r="H422" s="664"/>
      <c r="I422" s="664"/>
      <c r="J422" s="664"/>
      <c r="K422" s="664"/>
      <c r="L422" s="664"/>
      <c r="M422" s="664"/>
      <c r="N422" s="664"/>
      <c r="O422" s="664"/>
      <c r="P422" s="664"/>
      <c r="Q422" s="664"/>
      <c r="R422" s="664"/>
      <c r="S422" s="664"/>
      <c r="T422" s="664"/>
      <c r="U422" s="664"/>
      <c r="V422" s="664"/>
      <c r="W422" s="664"/>
      <c r="X422" s="664"/>
      <c r="Y422" s="664"/>
      <c r="Z422" s="664"/>
      <c r="AA422" s="664"/>
      <c r="AB422" s="664"/>
      <c r="AC422" s="664"/>
      <c r="AD422" s="664"/>
    </row>
    <row r="423" spans="1:30">
      <c r="A423" s="1239"/>
      <c r="B423" s="664"/>
      <c r="C423" s="664"/>
      <c r="D423" s="664"/>
      <c r="E423" s="664"/>
      <c r="F423" s="664"/>
      <c r="G423" s="664"/>
      <c r="H423" s="664"/>
      <c r="I423" s="664"/>
      <c r="J423" s="664"/>
      <c r="K423" s="664"/>
      <c r="L423" s="664"/>
      <c r="M423" s="664"/>
      <c r="N423" s="664"/>
      <c r="O423" s="664"/>
      <c r="P423" s="664"/>
      <c r="Q423" s="664"/>
      <c r="R423" s="664"/>
      <c r="S423" s="664"/>
      <c r="T423" s="664"/>
      <c r="U423" s="664"/>
      <c r="V423" s="664"/>
      <c r="W423" s="664"/>
      <c r="X423" s="664"/>
      <c r="Y423" s="664"/>
      <c r="Z423" s="664"/>
      <c r="AA423" s="664"/>
      <c r="AB423" s="664"/>
      <c r="AC423" s="664"/>
      <c r="AD423" s="664"/>
    </row>
    <row r="424" spans="1:30">
      <c r="A424" s="1239"/>
      <c r="B424" s="664"/>
      <c r="C424" s="664"/>
      <c r="D424" s="664"/>
      <c r="E424" s="664"/>
      <c r="F424" s="664"/>
      <c r="G424" s="664"/>
      <c r="H424" s="664"/>
      <c r="I424" s="664"/>
      <c r="J424" s="664"/>
      <c r="K424" s="664"/>
      <c r="L424" s="664"/>
      <c r="M424" s="664"/>
      <c r="N424" s="664"/>
      <c r="O424" s="664"/>
      <c r="P424" s="664"/>
      <c r="Q424" s="664"/>
      <c r="R424" s="664"/>
      <c r="S424" s="664"/>
      <c r="T424" s="664"/>
      <c r="U424" s="664"/>
      <c r="V424" s="664"/>
      <c r="W424" s="664"/>
      <c r="X424" s="664"/>
      <c r="Y424" s="664"/>
      <c r="Z424" s="664"/>
      <c r="AA424" s="664"/>
      <c r="AB424" s="664"/>
      <c r="AC424" s="664"/>
      <c r="AD424" s="664"/>
    </row>
    <row r="425" spans="1:30">
      <c r="A425" s="1239"/>
      <c r="B425" s="664"/>
      <c r="C425" s="664"/>
      <c r="D425" s="664"/>
      <c r="E425" s="664"/>
      <c r="F425" s="664"/>
      <c r="G425" s="664"/>
      <c r="H425" s="664"/>
      <c r="I425" s="664"/>
      <c r="J425" s="664"/>
      <c r="K425" s="664"/>
      <c r="L425" s="664"/>
      <c r="M425" s="664"/>
      <c r="N425" s="664"/>
      <c r="O425" s="664"/>
      <c r="P425" s="664"/>
      <c r="Q425" s="664"/>
      <c r="R425" s="664"/>
      <c r="S425" s="664"/>
      <c r="T425" s="664"/>
      <c r="U425" s="664"/>
      <c r="V425" s="664"/>
      <c r="W425" s="664"/>
      <c r="X425" s="664"/>
      <c r="Y425" s="664"/>
      <c r="Z425" s="664"/>
      <c r="AA425" s="664"/>
      <c r="AB425" s="664"/>
      <c r="AC425" s="664"/>
      <c r="AD425" s="664"/>
    </row>
    <row r="426" spans="1:30">
      <c r="A426" s="1239"/>
      <c r="B426" s="664"/>
      <c r="C426" s="664"/>
      <c r="D426" s="664"/>
      <c r="E426" s="664"/>
      <c r="F426" s="664"/>
      <c r="G426" s="664"/>
      <c r="H426" s="664"/>
      <c r="I426" s="664"/>
      <c r="J426" s="664"/>
      <c r="K426" s="664"/>
      <c r="L426" s="664"/>
      <c r="M426" s="664"/>
      <c r="N426" s="664"/>
      <c r="O426" s="664"/>
      <c r="P426" s="664"/>
      <c r="Q426" s="664"/>
      <c r="R426" s="664"/>
      <c r="S426" s="664"/>
      <c r="T426" s="664"/>
      <c r="U426" s="664"/>
      <c r="V426" s="664"/>
      <c r="W426" s="664"/>
      <c r="X426" s="664"/>
      <c r="Y426" s="664"/>
      <c r="Z426" s="664"/>
      <c r="AA426" s="664"/>
      <c r="AB426" s="664"/>
      <c r="AC426" s="664"/>
      <c r="AD426" s="664"/>
    </row>
    <row r="427" spans="1:30">
      <c r="A427" s="1239"/>
      <c r="B427" s="664"/>
      <c r="C427" s="664"/>
      <c r="D427" s="664"/>
      <c r="E427" s="664"/>
      <c r="F427" s="664"/>
      <c r="G427" s="664"/>
      <c r="H427" s="664"/>
      <c r="I427" s="664"/>
      <c r="J427" s="664"/>
      <c r="K427" s="664"/>
      <c r="L427" s="664"/>
      <c r="M427" s="664"/>
      <c r="N427" s="664"/>
      <c r="O427" s="664"/>
      <c r="P427" s="664"/>
      <c r="Q427" s="664"/>
      <c r="R427" s="664"/>
      <c r="S427" s="664"/>
      <c r="T427" s="664"/>
      <c r="U427" s="664"/>
      <c r="V427" s="664"/>
      <c r="W427" s="664"/>
      <c r="X427" s="664"/>
      <c r="Y427" s="664"/>
      <c r="Z427" s="664"/>
      <c r="AA427" s="664"/>
      <c r="AB427" s="664"/>
      <c r="AC427" s="664"/>
      <c r="AD427" s="664"/>
    </row>
    <row r="428" spans="1:30">
      <c r="A428" s="1239"/>
      <c r="B428" s="664"/>
      <c r="C428" s="664"/>
      <c r="D428" s="664"/>
      <c r="E428" s="664"/>
      <c r="F428" s="664"/>
      <c r="G428" s="664"/>
      <c r="H428" s="664"/>
      <c r="I428" s="664"/>
      <c r="J428" s="664"/>
      <c r="K428" s="664"/>
      <c r="L428" s="664"/>
      <c r="M428" s="664"/>
      <c r="N428" s="664"/>
      <c r="O428" s="664"/>
      <c r="P428" s="664"/>
      <c r="Q428" s="664"/>
      <c r="R428" s="664"/>
      <c r="S428" s="664"/>
      <c r="T428" s="664"/>
      <c r="U428" s="664"/>
      <c r="V428" s="664"/>
      <c r="W428" s="664"/>
      <c r="X428" s="664"/>
      <c r="Y428" s="664"/>
      <c r="Z428" s="664"/>
      <c r="AA428" s="664"/>
      <c r="AB428" s="664"/>
      <c r="AC428" s="664"/>
      <c r="AD428" s="664"/>
    </row>
    <row r="429" spans="1:30">
      <c r="A429" s="1239"/>
      <c r="B429" s="664"/>
      <c r="C429" s="664"/>
      <c r="D429" s="664"/>
      <c r="E429" s="664"/>
      <c r="F429" s="664"/>
      <c r="G429" s="664"/>
      <c r="H429" s="664"/>
      <c r="I429" s="664"/>
      <c r="J429" s="664"/>
      <c r="K429" s="664"/>
      <c r="L429" s="664"/>
      <c r="M429" s="664"/>
      <c r="N429" s="664"/>
      <c r="O429" s="664"/>
      <c r="P429" s="664"/>
      <c r="Q429" s="664"/>
      <c r="R429" s="664"/>
      <c r="S429" s="664"/>
      <c r="T429" s="664"/>
      <c r="U429" s="664"/>
      <c r="V429" s="664"/>
      <c r="W429" s="664"/>
      <c r="X429" s="664"/>
      <c r="Y429" s="664"/>
      <c r="Z429" s="664"/>
      <c r="AA429" s="664"/>
      <c r="AB429" s="664"/>
      <c r="AC429" s="664"/>
      <c r="AD429" s="664"/>
    </row>
    <row r="430" spans="1:30">
      <c r="A430" s="1239"/>
      <c r="B430" s="664"/>
      <c r="C430" s="664"/>
      <c r="D430" s="664"/>
      <c r="E430" s="664"/>
      <c r="F430" s="664"/>
      <c r="G430" s="664"/>
      <c r="H430" s="664"/>
      <c r="I430" s="664"/>
      <c r="J430" s="664"/>
      <c r="K430" s="664"/>
      <c r="L430" s="664"/>
      <c r="M430" s="664"/>
      <c r="N430" s="664"/>
      <c r="O430" s="664"/>
      <c r="P430" s="664"/>
      <c r="Q430" s="664"/>
      <c r="R430" s="664"/>
      <c r="S430" s="664"/>
      <c r="T430" s="664"/>
      <c r="U430" s="664"/>
      <c r="V430" s="664"/>
      <c r="W430" s="664"/>
      <c r="X430" s="664"/>
      <c r="Y430" s="664"/>
      <c r="Z430" s="664"/>
      <c r="AA430" s="664"/>
      <c r="AB430" s="664"/>
      <c r="AC430" s="664"/>
      <c r="AD430" s="664"/>
    </row>
    <row r="431" spans="1:30">
      <c r="A431" s="1239"/>
      <c r="B431" s="664"/>
      <c r="C431" s="664"/>
      <c r="D431" s="664"/>
      <c r="E431" s="664"/>
      <c r="F431" s="664"/>
      <c r="G431" s="664"/>
      <c r="H431" s="664"/>
      <c r="I431" s="664"/>
      <c r="J431" s="664"/>
      <c r="K431" s="664"/>
      <c r="L431" s="664"/>
      <c r="M431" s="664"/>
      <c r="N431" s="664"/>
      <c r="O431" s="664"/>
      <c r="P431" s="664"/>
      <c r="Q431" s="664"/>
      <c r="R431" s="664"/>
      <c r="S431" s="664"/>
      <c r="T431" s="664"/>
      <c r="U431" s="664"/>
      <c r="V431" s="664"/>
      <c r="W431" s="664"/>
      <c r="X431" s="664"/>
      <c r="Y431" s="664"/>
      <c r="Z431" s="664"/>
      <c r="AA431" s="664"/>
      <c r="AB431" s="664"/>
      <c r="AC431" s="664"/>
      <c r="AD431" s="664"/>
    </row>
    <row r="432" spans="1:30">
      <c r="A432" s="1239"/>
      <c r="B432" s="664"/>
      <c r="C432" s="664"/>
      <c r="D432" s="664"/>
      <c r="E432" s="664"/>
      <c r="F432" s="664"/>
      <c r="G432" s="664"/>
      <c r="H432" s="664"/>
      <c r="I432" s="664"/>
      <c r="J432" s="664"/>
      <c r="K432" s="664"/>
      <c r="L432" s="664"/>
      <c r="M432" s="664"/>
      <c r="N432" s="664"/>
      <c r="O432" s="664"/>
      <c r="P432" s="664"/>
      <c r="Q432" s="664"/>
      <c r="R432" s="664"/>
      <c r="S432" s="664"/>
      <c r="T432" s="664"/>
      <c r="U432" s="664"/>
      <c r="V432" s="664"/>
      <c r="W432" s="664"/>
      <c r="X432" s="664"/>
      <c r="Y432" s="664"/>
      <c r="Z432" s="664"/>
      <c r="AA432" s="664"/>
      <c r="AB432" s="664"/>
      <c r="AC432" s="664"/>
      <c r="AD432" s="664"/>
    </row>
    <row r="433" spans="1:30">
      <c r="A433" s="1239"/>
      <c r="B433" s="664"/>
      <c r="C433" s="664"/>
      <c r="D433" s="664"/>
      <c r="E433" s="664"/>
      <c r="F433" s="664"/>
      <c r="G433" s="664"/>
      <c r="H433" s="664"/>
      <c r="I433" s="664"/>
      <c r="J433" s="664"/>
      <c r="K433" s="664"/>
      <c r="L433" s="664"/>
      <c r="M433" s="664"/>
      <c r="N433" s="664"/>
      <c r="O433" s="664"/>
      <c r="P433" s="664"/>
      <c r="Q433" s="664"/>
      <c r="R433" s="664"/>
      <c r="S433" s="664"/>
      <c r="T433" s="664"/>
      <c r="U433" s="664"/>
      <c r="V433" s="664"/>
      <c r="W433" s="664"/>
      <c r="X433" s="664"/>
      <c r="Y433" s="664"/>
      <c r="Z433" s="664"/>
      <c r="AA433" s="664"/>
      <c r="AB433" s="664"/>
      <c r="AC433" s="664"/>
      <c r="AD433" s="664"/>
    </row>
    <row r="434" spans="1:30">
      <c r="A434" s="1239"/>
      <c r="B434" s="664"/>
      <c r="C434" s="664"/>
      <c r="D434" s="664"/>
      <c r="E434" s="664"/>
      <c r="F434" s="664"/>
      <c r="G434" s="664"/>
      <c r="H434" s="664"/>
      <c r="I434" s="664"/>
      <c r="J434" s="664"/>
      <c r="K434" s="664"/>
      <c r="L434" s="664"/>
      <c r="M434" s="664"/>
      <c r="N434" s="664"/>
      <c r="O434" s="664"/>
      <c r="P434" s="664"/>
      <c r="Q434" s="664"/>
      <c r="R434" s="664"/>
      <c r="S434" s="664"/>
      <c r="T434" s="664"/>
      <c r="U434" s="664"/>
      <c r="V434" s="664"/>
      <c r="W434" s="664"/>
      <c r="X434" s="664"/>
      <c r="Y434" s="664"/>
      <c r="Z434" s="664"/>
      <c r="AA434" s="664"/>
      <c r="AB434" s="664"/>
      <c r="AC434" s="664"/>
      <c r="AD434" s="664"/>
    </row>
    <row r="435" spans="1:30">
      <c r="A435" s="1239"/>
      <c r="B435" s="664"/>
      <c r="C435" s="664"/>
      <c r="D435" s="664"/>
      <c r="E435" s="664"/>
      <c r="F435" s="664"/>
      <c r="G435" s="664"/>
      <c r="H435" s="664"/>
      <c r="I435" s="664"/>
      <c r="J435" s="664"/>
      <c r="K435" s="664"/>
      <c r="L435" s="664"/>
      <c r="M435" s="664"/>
      <c r="N435" s="664"/>
      <c r="O435" s="664"/>
      <c r="P435" s="664"/>
      <c r="Q435" s="664"/>
      <c r="R435" s="664"/>
      <c r="S435" s="664"/>
      <c r="T435" s="664"/>
      <c r="U435" s="664"/>
      <c r="V435" s="664"/>
      <c r="W435" s="664"/>
      <c r="X435" s="664"/>
      <c r="Y435" s="664"/>
      <c r="Z435" s="664"/>
      <c r="AA435" s="664"/>
      <c r="AB435" s="664"/>
      <c r="AC435" s="664"/>
      <c r="AD435" s="664"/>
    </row>
    <row r="436" spans="1:30">
      <c r="A436" s="1239"/>
      <c r="B436" s="664"/>
      <c r="C436" s="664"/>
      <c r="D436" s="664"/>
      <c r="E436" s="664"/>
      <c r="F436" s="664"/>
      <c r="G436" s="664"/>
      <c r="H436" s="664"/>
      <c r="I436" s="664"/>
      <c r="J436" s="664"/>
      <c r="K436" s="664"/>
      <c r="L436" s="664"/>
      <c r="M436" s="664"/>
      <c r="N436" s="664"/>
      <c r="O436" s="664"/>
      <c r="P436" s="664"/>
      <c r="Q436" s="664"/>
      <c r="R436" s="664"/>
      <c r="S436" s="664"/>
      <c r="T436" s="664"/>
      <c r="U436" s="664"/>
      <c r="V436" s="664"/>
      <c r="W436" s="664"/>
      <c r="X436" s="664"/>
      <c r="Y436" s="664"/>
      <c r="Z436" s="664"/>
      <c r="AA436" s="664"/>
      <c r="AB436" s="664"/>
      <c r="AC436" s="664"/>
      <c r="AD436" s="664"/>
    </row>
    <row r="437" spans="1:30">
      <c r="A437" s="1239"/>
      <c r="B437" s="664"/>
      <c r="C437" s="664"/>
      <c r="D437" s="664"/>
      <c r="E437" s="664"/>
      <c r="F437" s="664"/>
      <c r="G437" s="664"/>
      <c r="H437" s="664"/>
      <c r="I437" s="664"/>
      <c r="J437" s="664"/>
      <c r="K437" s="664"/>
      <c r="L437" s="664"/>
      <c r="M437" s="664"/>
      <c r="N437" s="664"/>
      <c r="O437" s="664"/>
      <c r="P437" s="664"/>
      <c r="Q437" s="664"/>
      <c r="R437" s="664"/>
      <c r="S437" s="664"/>
      <c r="T437" s="664"/>
      <c r="U437" s="664"/>
      <c r="V437" s="664"/>
      <c r="W437" s="664"/>
      <c r="X437" s="664"/>
      <c r="Y437" s="664"/>
      <c r="Z437" s="664"/>
      <c r="AA437" s="664"/>
      <c r="AB437" s="664"/>
      <c r="AC437" s="664"/>
      <c r="AD437" s="664"/>
    </row>
    <row r="438" spans="1:30">
      <c r="A438" s="1239"/>
      <c r="B438" s="664"/>
      <c r="C438" s="664"/>
      <c r="D438" s="664"/>
      <c r="E438" s="664"/>
      <c r="F438" s="664"/>
      <c r="G438" s="664"/>
      <c r="H438" s="664"/>
      <c r="I438" s="664"/>
      <c r="J438" s="664"/>
      <c r="K438" s="664"/>
      <c r="L438" s="664"/>
      <c r="M438" s="664"/>
      <c r="N438" s="664"/>
      <c r="O438" s="664"/>
      <c r="P438" s="664"/>
      <c r="Q438" s="664"/>
      <c r="R438" s="664"/>
      <c r="S438" s="664"/>
      <c r="T438" s="664"/>
      <c r="U438" s="664"/>
      <c r="V438" s="664"/>
      <c r="W438" s="664"/>
      <c r="X438" s="664"/>
      <c r="Y438" s="664"/>
      <c r="Z438" s="664"/>
      <c r="AA438" s="664"/>
      <c r="AB438" s="664"/>
      <c r="AC438" s="664"/>
      <c r="AD438" s="664"/>
    </row>
    <row r="439" spans="1:30">
      <c r="A439" s="1239"/>
      <c r="B439" s="664"/>
      <c r="C439" s="664"/>
      <c r="D439" s="664"/>
      <c r="E439" s="664"/>
      <c r="F439" s="664"/>
      <c r="G439" s="664"/>
      <c r="H439" s="664"/>
      <c r="I439" s="664"/>
      <c r="J439" s="664"/>
      <c r="K439" s="664"/>
      <c r="L439" s="664"/>
      <c r="M439" s="664"/>
      <c r="N439" s="664"/>
      <c r="O439" s="664"/>
      <c r="P439" s="664"/>
      <c r="Q439" s="664"/>
      <c r="R439" s="664"/>
      <c r="S439" s="664"/>
      <c r="T439" s="664"/>
      <c r="U439" s="664"/>
      <c r="V439" s="664"/>
      <c r="W439" s="664"/>
      <c r="X439" s="664"/>
      <c r="Y439" s="664"/>
      <c r="Z439" s="664"/>
      <c r="AA439" s="664"/>
      <c r="AB439" s="664"/>
      <c r="AC439" s="664"/>
      <c r="AD439" s="664"/>
    </row>
    <row r="440" spans="1:30">
      <c r="A440" s="1239"/>
      <c r="B440" s="664"/>
      <c r="C440" s="664"/>
      <c r="D440" s="664"/>
      <c r="E440" s="664"/>
      <c r="F440" s="664"/>
      <c r="G440" s="664"/>
      <c r="H440" s="664"/>
      <c r="I440" s="664"/>
      <c r="J440" s="664"/>
      <c r="K440" s="664"/>
      <c r="L440" s="664"/>
      <c r="M440" s="664"/>
      <c r="N440" s="664"/>
      <c r="O440" s="664"/>
      <c r="P440" s="664"/>
      <c r="Q440" s="664"/>
      <c r="R440" s="664"/>
      <c r="S440" s="664"/>
      <c r="T440" s="664"/>
      <c r="U440" s="664"/>
      <c r="V440" s="664"/>
      <c r="W440" s="664"/>
      <c r="X440" s="664"/>
      <c r="Y440" s="664"/>
      <c r="Z440" s="664"/>
      <c r="AA440" s="664"/>
      <c r="AB440" s="664"/>
      <c r="AC440" s="664"/>
      <c r="AD440" s="664"/>
    </row>
    <row r="441" spans="1:30">
      <c r="A441" s="1239"/>
      <c r="B441" s="664"/>
      <c r="C441" s="664"/>
      <c r="D441" s="664"/>
      <c r="E441" s="664"/>
      <c r="F441" s="664"/>
      <c r="G441" s="664"/>
      <c r="H441" s="664"/>
      <c r="I441" s="664"/>
      <c r="J441" s="664"/>
      <c r="K441" s="664"/>
      <c r="L441" s="664"/>
      <c r="M441" s="664"/>
      <c r="N441" s="664"/>
      <c r="O441" s="664"/>
      <c r="P441" s="664"/>
      <c r="Q441" s="664"/>
      <c r="R441" s="664"/>
      <c r="S441" s="664"/>
      <c r="T441" s="664"/>
      <c r="U441" s="664"/>
      <c r="V441" s="664"/>
      <c r="W441" s="664"/>
      <c r="X441" s="664"/>
      <c r="Y441" s="664"/>
      <c r="Z441" s="664"/>
      <c r="AA441" s="664"/>
      <c r="AB441" s="664"/>
      <c r="AC441" s="664"/>
      <c r="AD441" s="664"/>
    </row>
    <row r="442" spans="1:30">
      <c r="A442" s="1239"/>
      <c r="B442" s="664"/>
      <c r="C442" s="664"/>
      <c r="D442" s="664"/>
      <c r="E442" s="664"/>
      <c r="F442" s="664"/>
      <c r="G442" s="664"/>
      <c r="H442" s="664"/>
      <c r="I442" s="664"/>
      <c r="J442" s="664"/>
      <c r="K442" s="664"/>
      <c r="L442" s="664"/>
      <c r="M442" s="664"/>
      <c r="N442" s="664"/>
      <c r="O442" s="664"/>
      <c r="P442" s="664"/>
      <c r="Q442" s="664"/>
      <c r="R442" s="664"/>
      <c r="S442" s="664"/>
      <c r="T442" s="664"/>
      <c r="U442" s="664"/>
      <c r="V442" s="664"/>
      <c r="W442" s="664"/>
      <c r="X442" s="664"/>
      <c r="Y442" s="664"/>
      <c r="Z442" s="664"/>
      <c r="AA442" s="664"/>
      <c r="AB442" s="664"/>
      <c r="AC442" s="664"/>
      <c r="AD442" s="664"/>
    </row>
    <row r="443" spans="1:30">
      <c r="A443" s="1239"/>
      <c r="B443" s="664"/>
      <c r="C443" s="664"/>
      <c r="D443" s="664"/>
      <c r="E443" s="664"/>
      <c r="F443" s="664"/>
      <c r="G443" s="664"/>
      <c r="H443" s="664"/>
      <c r="I443" s="664"/>
      <c r="J443" s="664"/>
      <c r="K443" s="664"/>
      <c r="L443" s="664"/>
      <c r="M443" s="664"/>
      <c r="N443" s="664"/>
      <c r="O443" s="664"/>
      <c r="P443" s="664"/>
      <c r="Q443" s="664"/>
      <c r="R443" s="664"/>
      <c r="S443" s="664"/>
      <c r="T443" s="664"/>
      <c r="U443" s="664"/>
      <c r="V443" s="664"/>
      <c r="W443" s="664"/>
      <c r="X443" s="664"/>
      <c r="Y443" s="664"/>
      <c r="Z443" s="664"/>
      <c r="AA443" s="664"/>
      <c r="AB443" s="664"/>
      <c r="AC443" s="664"/>
      <c r="AD443" s="664"/>
    </row>
    <row r="444" spans="1:30">
      <c r="A444" s="1239"/>
      <c r="B444" s="664"/>
      <c r="C444" s="664"/>
      <c r="D444" s="664"/>
      <c r="E444" s="664"/>
      <c r="F444" s="664"/>
      <c r="G444" s="664"/>
      <c r="H444" s="664"/>
      <c r="I444" s="664"/>
      <c r="J444" s="664"/>
      <c r="K444" s="664"/>
      <c r="L444" s="664"/>
      <c r="M444" s="664"/>
      <c r="N444" s="664"/>
      <c r="O444" s="664"/>
      <c r="P444" s="664"/>
      <c r="Q444" s="664"/>
      <c r="R444" s="664"/>
      <c r="S444" s="664"/>
      <c r="T444" s="664"/>
      <c r="U444" s="664"/>
      <c r="V444" s="664"/>
      <c r="W444" s="664"/>
      <c r="X444" s="664"/>
      <c r="Y444" s="664"/>
      <c r="Z444" s="664"/>
      <c r="AA444" s="664"/>
      <c r="AB444" s="664"/>
      <c r="AC444" s="664"/>
      <c r="AD444" s="664"/>
    </row>
    <row r="445" spans="1:30">
      <c r="A445" s="1239"/>
      <c r="B445" s="664"/>
      <c r="C445" s="664"/>
      <c r="D445" s="664"/>
      <c r="E445" s="664"/>
      <c r="F445" s="664"/>
      <c r="G445" s="664"/>
      <c r="H445" s="664"/>
      <c r="I445" s="664"/>
      <c r="J445" s="664"/>
      <c r="K445" s="664"/>
      <c r="L445" s="664"/>
      <c r="M445" s="664"/>
      <c r="N445" s="664"/>
      <c r="O445" s="664"/>
      <c r="P445" s="664"/>
      <c r="Q445" s="664"/>
      <c r="R445" s="664"/>
      <c r="S445" s="664"/>
      <c r="T445" s="664"/>
      <c r="U445" s="664"/>
      <c r="V445" s="664"/>
      <c r="W445" s="664"/>
      <c r="X445" s="664"/>
      <c r="Y445" s="664"/>
      <c r="Z445" s="664"/>
      <c r="AA445" s="664"/>
      <c r="AB445" s="664"/>
      <c r="AC445" s="664"/>
      <c r="AD445" s="664"/>
    </row>
    <row r="446" spans="1:30">
      <c r="A446" s="1239"/>
      <c r="B446" s="664"/>
      <c r="C446" s="664"/>
      <c r="D446" s="664"/>
      <c r="E446" s="664"/>
      <c r="F446" s="664"/>
      <c r="G446" s="664"/>
      <c r="H446" s="664"/>
      <c r="I446" s="664"/>
      <c r="J446" s="664"/>
      <c r="K446" s="664"/>
      <c r="L446" s="664"/>
      <c r="M446" s="664"/>
      <c r="N446" s="664"/>
      <c r="O446" s="664"/>
      <c r="P446" s="664"/>
      <c r="Q446" s="664"/>
      <c r="R446" s="664"/>
      <c r="S446" s="664"/>
      <c r="T446" s="664"/>
      <c r="U446" s="664"/>
      <c r="V446" s="664"/>
      <c r="W446" s="664"/>
      <c r="X446" s="664"/>
      <c r="Y446" s="664"/>
      <c r="Z446" s="664"/>
      <c r="AA446" s="664"/>
      <c r="AB446" s="664"/>
      <c r="AC446" s="664"/>
      <c r="AD446" s="664"/>
    </row>
    <row r="447" spans="1:30">
      <c r="A447" s="1239"/>
      <c r="B447" s="664"/>
      <c r="C447" s="664"/>
      <c r="D447" s="664"/>
      <c r="E447" s="664"/>
      <c r="F447" s="664"/>
      <c r="G447" s="664"/>
      <c r="H447" s="664"/>
      <c r="I447" s="664"/>
      <c r="J447" s="664"/>
      <c r="K447" s="664"/>
      <c r="L447" s="664"/>
      <c r="M447" s="664"/>
      <c r="N447" s="664"/>
      <c r="O447" s="664"/>
      <c r="P447" s="664"/>
      <c r="Q447" s="664"/>
      <c r="R447" s="664"/>
      <c r="S447" s="664"/>
      <c r="T447" s="664"/>
      <c r="U447" s="664"/>
      <c r="V447" s="664"/>
      <c r="W447" s="664"/>
      <c r="X447" s="664"/>
      <c r="Y447" s="664"/>
      <c r="Z447" s="664"/>
      <c r="AA447" s="664"/>
      <c r="AB447" s="664"/>
      <c r="AC447" s="664"/>
      <c r="AD447" s="664"/>
    </row>
    <row r="448" spans="1:30">
      <c r="A448" s="1239"/>
      <c r="B448" s="664"/>
      <c r="C448" s="664"/>
      <c r="D448" s="664"/>
      <c r="E448" s="664"/>
      <c r="F448" s="664"/>
      <c r="G448" s="664"/>
      <c r="H448" s="664"/>
      <c r="I448" s="664"/>
      <c r="J448" s="664"/>
      <c r="K448" s="664"/>
      <c r="L448" s="664"/>
      <c r="M448" s="664"/>
      <c r="N448" s="664"/>
      <c r="O448" s="664"/>
      <c r="P448" s="664"/>
      <c r="Q448" s="664"/>
      <c r="R448" s="664"/>
      <c r="S448" s="664"/>
      <c r="T448" s="664"/>
      <c r="U448" s="664"/>
      <c r="V448" s="664"/>
      <c r="W448" s="664"/>
      <c r="X448" s="664"/>
      <c r="Y448" s="664"/>
      <c r="Z448" s="664"/>
      <c r="AA448" s="664"/>
      <c r="AB448" s="664"/>
      <c r="AC448" s="664"/>
      <c r="AD448" s="664"/>
    </row>
    <row r="449" spans="1:30">
      <c r="A449" s="1239"/>
      <c r="B449" s="664"/>
      <c r="C449" s="664"/>
      <c r="D449" s="664"/>
      <c r="E449" s="664"/>
      <c r="F449" s="664"/>
      <c r="G449" s="664"/>
      <c r="H449" s="664"/>
      <c r="I449" s="664"/>
      <c r="J449" s="664"/>
      <c r="K449" s="664"/>
      <c r="L449" s="664"/>
      <c r="M449" s="664"/>
      <c r="N449" s="664"/>
      <c r="O449" s="664"/>
      <c r="P449" s="664"/>
      <c r="Q449" s="664"/>
      <c r="R449" s="664"/>
      <c r="S449" s="664"/>
      <c r="T449" s="664"/>
      <c r="U449" s="664"/>
      <c r="V449" s="664"/>
      <c r="W449" s="664"/>
      <c r="X449" s="664"/>
      <c r="Y449" s="664"/>
      <c r="Z449" s="664"/>
      <c r="AA449" s="664"/>
      <c r="AB449" s="664"/>
      <c r="AC449" s="664"/>
      <c r="AD449" s="664"/>
    </row>
    <row r="450" spans="1:30">
      <c r="A450" s="1239"/>
      <c r="B450" s="664"/>
      <c r="C450" s="664"/>
      <c r="D450" s="664"/>
      <c r="E450" s="664"/>
      <c r="F450" s="664"/>
      <c r="G450" s="664"/>
      <c r="H450" s="664"/>
      <c r="I450" s="664"/>
      <c r="J450" s="664"/>
      <c r="K450" s="664"/>
      <c r="L450" s="664"/>
      <c r="M450" s="664"/>
      <c r="N450" s="664"/>
      <c r="O450" s="664"/>
      <c r="P450" s="664"/>
      <c r="Q450" s="664"/>
      <c r="R450" s="664"/>
      <c r="S450" s="664"/>
      <c r="T450" s="664"/>
      <c r="U450" s="664"/>
      <c r="V450" s="664"/>
      <c r="W450" s="664"/>
      <c r="X450" s="664"/>
      <c r="Y450" s="664"/>
      <c r="Z450" s="664"/>
      <c r="AA450" s="664"/>
      <c r="AB450" s="664"/>
      <c r="AC450" s="664"/>
      <c r="AD450" s="664"/>
    </row>
    <row r="451" spans="1:30">
      <c r="A451" s="1239"/>
      <c r="B451" s="664"/>
      <c r="C451" s="664"/>
      <c r="D451" s="664"/>
      <c r="E451" s="664"/>
      <c r="F451" s="664"/>
      <c r="G451" s="664"/>
      <c r="H451" s="664"/>
      <c r="I451" s="664"/>
      <c r="J451" s="664"/>
      <c r="K451" s="664"/>
      <c r="L451" s="664"/>
      <c r="M451" s="664"/>
      <c r="N451" s="664"/>
      <c r="O451" s="664"/>
      <c r="P451" s="664"/>
      <c r="Q451" s="664"/>
      <c r="R451" s="664"/>
      <c r="S451" s="664"/>
      <c r="T451" s="664"/>
      <c r="U451" s="664"/>
      <c r="V451" s="664"/>
      <c r="W451" s="664"/>
      <c r="X451" s="664"/>
      <c r="Y451" s="664"/>
      <c r="Z451" s="664"/>
      <c r="AA451" s="664"/>
      <c r="AB451" s="664"/>
      <c r="AC451" s="664"/>
      <c r="AD451" s="664"/>
    </row>
    <row r="452" spans="1:30">
      <c r="A452" s="1239"/>
      <c r="B452" s="664"/>
      <c r="C452" s="664"/>
      <c r="D452" s="664"/>
      <c r="E452" s="664"/>
      <c r="F452" s="664"/>
      <c r="G452" s="664"/>
      <c r="H452" s="664"/>
      <c r="I452" s="664"/>
      <c r="J452" s="664"/>
      <c r="K452" s="664"/>
      <c r="L452" s="664"/>
      <c r="M452" s="664"/>
      <c r="N452" s="664"/>
      <c r="O452" s="664"/>
      <c r="P452" s="664"/>
      <c r="Q452" s="664"/>
      <c r="R452" s="664"/>
      <c r="S452" s="664"/>
      <c r="T452" s="664"/>
      <c r="U452" s="664"/>
      <c r="V452" s="664"/>
      <c r="W452" s="664"/>
      <c r="X452" s="664"/>
      <c r="Y452" s="664"/>
      <c r="Z452" s="664"/>
      <c r="AA452" s="664"/>
      <c r="AB452" s="664"/>
      <c r="AC452" s="664"/>
      <c r="AD452" s="664"/>
    </row>
    <row r="453" spans="1:30">
      <c r="A453" s="1239"/>
      <c r="B453" s="664"/>
      <c r="C453" s="664"/>
      <c r="D453" s="664"/>
      <c r="E453" s="664"/>
      <c r="F453" s="664"/>
      <c r="G453" s="664"/>
      <c r="H453" s="664"/>
      <c r="I453" s="664"/>
      <c r="J453" s="664"/>
      <c r="K453" s="664"/>
      <c r="L453" s="664"/>
      <c r="M453" s="664"/>
      <c r="N453" s="664"/>
      <c r="O453" s="664"/>
      <c r="P453" s="664"/>
      <c r="Q453" s="664"/>
      <c r="R453" s="664"/>
      <c r="S453" s="664"/>
      <c r="T453" s="664"/>
      <c r="U453" s="664"/>
      <c r="V453" s="664"/>
      <c r="W453" s="664"/>
      <c r="X453" s="664"/>
      <c r="Y453" s="664"/>
      <c r="Z453" s="664"/>
      <c r="AA453" s="664"/>
      <c r="AB453" s="664"/>
      <c r="AC453" s="664"/>
      <c r="AD453" s="664"/>
    </row>
    <row r="454" spans="1:30">
      <c r="A454" s="1239"/>
      <c r="B454" s="664"/>
      <c r="C454" s="664"/>
      <c r="D454" s="664"/>
      <c r="E454" s="664"/>
      <c r="F454" s="664"/>
      <c r="G454" s="664"/>
      <c r="H454" s="664"/>
      <c r="I454" s="664"/>
      <c r="J454" s="664"/>
      <c r="K454" s="664"/>
      <c r="L454" s="664"/>
      <c r="M454" s="664"/>
      <c r="N454" s="664"/>
      <c r="O454" s="664"/>
      <c r="P454" s="664"/>
      <c r="Q454" s="664"/>
      <c r="R454" s="664"/>
      <c r="S454" s="664"/>
      <c r="T454" s="664"/>
      <c r="U454" s="664"/>
      <c r="V454" s="664"/>
      <c r="W454" s="664"/>
      <c r="X454" s="664"/>
      <c r="Y454" s="664"/>
      <c r="Z454" s="664"/>
      <c r="AA454" s="664"/>
      <c r="AB454" s="664"/>
      <c r="AC454" s="664"/>
      <c r="AD454" s="664"/>
    </row>
    <row r="455" spans="1:30">
      <c r="A455" s="1239"/>
      <c r="B455" s="664"/>
      <c r="C455" s="664"/>
      <c r="D455" s="664"/>
      <c r="E455" s="664"/>
      <c r="F455" s="664"/>
      <c r="G455" s="664"/>
      <c r="H455" s="664"/>
      <c r="I455" s="664"/>
      <c r="J455" s="664"/>
      <c r="K455" s="664"/>
      <c r="L455" s="664"/>
      <c r="M455" s="664"/>
      <c r="N455" s="664"/>
      <c r="O455" s="664"/>
      <c r="P455" s="664"/>
      <c r="Q455" s="664"/>
      <c r="R455" s="664"/>
      <c r="S455" s="664"/>
      <c r="T455" s="664"/>
      <c r="U455" s="664"/>
      <c r="V455" s="664"/>
      <c r="W455" s="664"/>
      <c r="X455" s="664"/>
      <c r="Y455" s="664"/>
      <c r="Z455" s="664"/>
      <c r="AA455" s="664"/>
      <c r="AB455" s="664"/>
      <c r="AC455" s="664"/>
      <c r="AD455" s="664"/>
    </row>
    <row r="456" spans="1:30">
      <c r="A456" s="1239"/>
      <c r="B456" s="664"/>
      <c r="C456" s="664"/>
      <c r="D456" s="664"/>
      <c r="E456" s="664"/>
      <c r="F456" s="664"/>
      <c r="G456" s="664"/>
      <c r="H456" s="664"/>
      <c r="I456" s="664"/>
      <c r="J456" s="664"/>
      <c r="K456" s="664"/>
      <c r="L456" s="664"/>
      <c r="M456" s="664"/>
      <c r="N456" s="664"/>
      <c r="O456" s="664"/>
      <c r="P456" s="664"/>
      <c r="Q456" s="664"/>
      <c r="R456" s="664"/>
      <c r="S456" s="664"/>
      <c r="T456" s="664"/>
      <c r="U456" s="664"/>
      <c r="V456" s="664"/>
      <c r="W456" s="664"/>
      <c r="X456" s="664"/>
      <c r="Y456" s="664"/>
      <c r="Z456" s="664"/>
      <c r="AA456" s="664"/>
      <c r="AB456" s="664"/>
      <c r="AC456" s="664"/>
      <c r="AD456" s="664"/>
    </row>
    <row r="457" spans="1:30">
      <c r="A457" s="1239"/>
      <c r="B457" s="664"/>
      <c r="C457" s="664"/>
      <c r="D457" s="664"/>
      <c r="E457" s="664"/>
      <c r="F457" s="664"/>
      <c r="G457" s="664"/>
      <c r="H457" s="664"/>
      <c r="I457" s="664"/>
      <c r="J457" s="664"/>
      <c r="K457" s="664"/>
      <c r="L457" s="664"/>
      <c r="M457" s="664"/>
      <c r="N457" s="664"/>
      <c r="O457" s="664"/>
      <c r="P457" s="664"/>
      <c r="Q457" s="664"/>
      <c r="R457" s="664"/>
      <c r="S457" s="664"/>
      <c r="T457" s="664"/>
      <c r="U457" s="664"/>
      <c r="V457" s="664"/>
      <c r="W457" s="664"/>
      <c r="X457" s="664"/>
      <c r="Y457" s="664"/>
      <c r="Z457" s="664"/>
      <c r="AA457" s="664"/>
      <c r="AB457" s="664"/>
      <c r="AC457" s="664"/>
      <c r="AD457" s="664"/>
    </row>
    <row r="458" spans="1:30">
      <c r="A458" s="1239"/>
      <c r="B458" s="664"/>
      <c r="C458" s="664"/>
      <c r="D458" s="664"/>
      <c r="E458" s="664"/>
      <c r="F458" s="664"/>
      <c r="G458" s="664"/>
      <c r="H458" s="664"/>
      <c r="I458" s="664"/>
      <c r="J458" s="664"/>
      <c r="K458" s="664"/>
      <c r="L458" s="664"/>
      <c r="M458" s="664"/>
      <c r="N458" s="664"/>
      <c r="O458" s="664"/>
      <c r="P458" s="664"/>
      <c r="Q458" s="664"/>
      <c r="R458" s="664"/>
      <c r="S458" s="664"/>
      <c r="T458" s="664"/>
      <c r="U458" s="664"/>
      <c r="V458" s="664"/>
      <c r="W458" s="664"/>
      <c r="X458" s="664"/>
      <c r="Y458" s="664"/>
      <c r="Z458" s="664"/>
      <c r="AA458" s="664"/>
      <c r="AB458" s="664"/>
      <c r="AC458" s="664"/>
      <c r="AD458" s="664"/>
    </row>
    <row r="459" spans="1:30">
      <c r="A459" s="1239"/>
      <c r="B459" s="664"/>
      <c r="C459" s="664"/>
      <c r="D459" s="664"/>
      <c r="E459" s="664"/>
      <c r="F459" s="664"/>
      <c r="G459" s="664"/>
      <c r="H459" s="664"/>
      <c r="I459" s="664"/>
      <c r="J459" s="664"/>
      <c r="K459" s="664"/>
      <c r="L459" s="664"/>
      <c r="M459" s="664"/>
      <c r="N459" s="664"/>
      <c r="O459" s="664"/>
      <c r="P459" s="664"/>
      <c r="Q459" s="664"/>
      <c r="R459" s="664"/>
      <c r="S459" s="664"/>
      <c r="T459" s="664"/>
      <c r="U459" s="664"/>
      <c r="V459" s="664"/>
      <c r="W459" s="664"/>
      <c r="X459" s="664"/>
      <c r="Y459" s="664"/>
      <c r="Z459" s="664"/>
      <c r="AA459" s="664"/>
      <c r="AB459" s="664"/>
      <c r="AC459" s="664"/>
      <c r="AD459" s="664"/>
    </row>
    <row r="460" spans="1:30">
      <c r="A460" s="1239"/>
      <c r="B460" s="664"/>
      <c r="C460" s="664"/>
      <c r="D460" s="664"/>
      <c r="E460" s="664"/>
      <c r="F460" s="664"/>
      <c r="G460" s="664"/>
      <c r="H460" s="664"/>
      <c r="I460" s="664"/>
      <c r="J460" s="664"/>
      <c r="K460" s="664"/>
      <c r="L460" s="664"/>
      <c r="M460" s="664"/>
      <c r="N460" s="664"/>
      <c r="O460" s="664"/>
      <c r="P460" s="664"/>
      <c r="Q460" s="664"/>
      <c r="R460" s="664"/>
      <c r="S460" s="664"/>
      <c r="T460" s="664"/>
      <c r="U460" s="664"/>
      <c r="V460" s="664"/>
      <c r="W460" s="664"/>
      <c r="X460" s="664"/>
      <c r="Y460" s="664"/>
      <c r="Z460" s="664"/>
      <c r="AA460" s="664"/>
      <c r="AB460" s="664"/>
      <c r="AC460" s="664"/>
      <c r="AD460" s="664"/>
    </row>
    <row r="461" spans="1:30">
      <c r="A461" s="1239"/>
      <c r="B461" s="664"/>
      <c r="C461" s="664"/>
      <c r="D461" s="664"/>
      <c r="E461" s="664"/>
      <c r="F461" s="664"/>
      <c r="G461" s="664"/>
      <c r="H461" s="664"/>
      <c r="I461" s="664"/>
      <c r="J461" s="664"/>
      <c r="K461" s="664"/>
      <c r="L461" s="664"/>
      <c r="M461" s="664"/>
      <c r="N461" s="664"/>
      <c r="O461" s="664"/>
      <c r="P461" s="664"/>
      <c r="Q461" s="664"/>
      <c r="R461" s="664"/>
      <c r="S461" s="664"/>
      <c r="T461" s="664"/>
      <c r="U461" s="664"/>
      <c r="V461" s="664"/>
      <c r="W461" s="664"/>
      <c r="X461" s="664"/>
      <c r="Y461" s="664"/>
      <c r="Z461" s="664"/>
      <c r="AA461" s="664"/>
      <c r="AB461" s="664"/>
      <c r="AC461" s="664"/>
      <c r="AD461" s="664"/>
    </row>
    <row r="462" spans="1:30">
      <c r="A462" s="1239"/>
      <c r="B462" s="664"/>
      <c r="C462" s="664"/>
      <c r="D462" s="664"/>
      <c r="E462" s="664"/>
      <c r="F462" s="664"/>
      <c r="G462" s="664"/>
      <c r="H462" s="664"/>
      <c r="I462" s="664"/>
      <c r="J462" s="664"/>
      <c r="K462" s="664"/>
      <c r="L462" s="664"/>
      <c r="M462" s="664"/>
      <c r="N462" s="664"/>
      <c r="O462" s="664"/>
      <c r="P462" s="664"/>
      <c r="Q462" s="664"/>
      <c r="R462" s="664"/>
      <c r="S462" s="664"/>
      <c r="T462" s="664"/>
      <c r="U462" s="664"/>
      <c r="V462" s="664"/>
      <c r="W462" s="664"/>
      <c r="X462" s="664"/>
      <c r="Y462" s="664"/>
      <c r="Z462" s="664"/>
      <c r="AA462" s="664"/>
      <c r="AB462" s="664"/>
      <c r="AC462" s="664"/>
      <c r="AD462" s="664"/>
    </row>
    <row r="463" spans="1:30">
      <c r="A463" s="1239"/>
      <c r="B463" s="664"/>
      <c r="C463" s="664"/>
      <c r="D463" s="664"/>
      <c r="E463" s="664"/>
      <c r="F463" s="664"/>
      <c r="G463" s="664"/>
      <c r="H463" s="664"/>
      <c r="I463" s="664"/>
      <c r="J463" s="664"/>
      <c r="K463" s="664"/>
      <c r="L463" s="664"/>
      <c r="M463" s="664"/>
      <c r="N463" s="664"/>
      <c r="O463" s="664"/>
      <c r="P463" s="664"/>
      <c r="Q463" s="664"/>
      <c r="R463" s="664"/>
      <c r="S463" s="664"/>
      <c r="T463" s="664"/>
      <c r="U463" s="664"/>
      <c r="V463" s="664"/>
      <c r="W463" s="664"/>
      <c r="X463" s="664"/>
      <c r="Y463" s="664"/>
      <c r="Z463" s="664"/>
      <c r="AA463" s="664"/>
      <c r="AB463" s="664"/>
      <c r="AC463" s="664"/>
      <c r="AD463" s="664"/>
    </row>
    <row r="464" spans="1:30">
      <c r="A464" s="1239"/>
      <c r="B464" s="664"/>
      <c r="C464" s="664"/>
      <c r="D464" s="664"/>
      <c r="E464" s="664"/>
      <c r="F464" s="664"/>
      <c r="G464" s="664"/>
      <c r="H464" s="664"/>
      <c r="I464" s="664"/>
      <c r="J464" s="664"/>
      <c r="K464" s="664"/>
      <c r="L464" s="664"/>
      <c r="M464" s="664"/>
      <c r="N464" s="664"/>
      <c r="O464" s="664"/>
      <c r="P464" s="664"/>
      <c r="Q464" s="664"/>
      <c r="R464" s="664"/>
      <c r="S464" s="664"/>
      <c r="T464" s="664"/>
      <c r="U464" s="664"/>
      <c r="V464" s="664"/>
      <c r="W464" s="664"/>
      <c r="X464" s="664"/>
      <c r="Y464" s="664"/>
      <c r="Z464" s="664"/>
      <c r="AA464" s="664"/>
      <c r="AB464" s="664"/>
      <c r="AC464" s="664"/>
      <c r="AD464" s="664"/>
    </row>
    <row r="465" spans="1:30">
      <c r="A465" s="1239"/>
      <c r="B465" s="664"/>
      <c r="C465" s="664"/>
      <c r="D465" s="664"/>
      <c r="E465" s="664"/>
      <c r="F465" s="664"/>
      <c r="G465" s="664"/>
      <c r="H465" s="664"/>
      <c r="I465" s="664"/>
      <c r="J465" s="664"/>
      <c r="K465" s="664"/>
      <c r="L465" s="664"/>
      <c r="M465" s="664"/>
      <c r="N465" s="664"/>
      <c r="O465" s="664"/>
      <c r="P465" s="664"/>
      <c r="Q465" s="664"/>
      <c r="R465" s="664"/>
      <c r="S465" s="664"/>
      <c r="T465" s="664"/>
      <c r="U465" s="664"/>
      <c r="V465" s="664"/>
      <c r="W465" s="664"/>
      <c r="X465" s="664"/>
      <c r="Y465" s="664"/>
      <c r="Z465" s="664"/>
      <c r="AA465" s="664"/>
      <c r="AB465" s="664"/>
      <c r="AC465" s="664"/>
      <c r="AD465" s="664"/>
    </row>
    <row r="466" spans="1:30">
      <c r="A466" s="1239"/>
      <c r="B466" s="664"/>
      <c r="C466" s="664"/>
      <c r="D466" s="664"/>
      <c r="E466" s="664"/>
      <c r="F466" s="664"/>
      <c r="G466" s="664"/>
      <c r="H466" s="664"/>
      <c r="I466" s="664"/>
      <c r="J466" s="664"/>
      <c r="K466" s="664"/>
      <c r="L466" s="664"/>
      <c r="M466" s="664"/>
      <c r="N466" s="664"/>
      <c r="O466" s="664"/>
      <c r="P466" s="664"/>
      <c r="Q466" s="664"/>
      <c r="R466" s="664"/>
      <c r="S466" s="664"/>
      <c r="T466" s="664"/>
      <c r="U466" s="664"/>
      <c r="V466" s="664"/>
      <c r="W466" s="664"/>
      <c r="X466" s="664"/>
      <c r="Y466" s="664"/>
      <c r="Z466" s="664"/>
      <c r="AA466" s="664"/>
      <c r="AB466" s="664"/>
      <c r="AC466" s="664"/>
      <c r="AD466" s="664"/>
    </row>
    <row r="467" spans="1:30">
      <c r="A467" s="1239"/>
      <c r="B467" s="664"/>
      <c r="C467" s="664"/>
      <c r="D467" s="664"/>
      <c r="E467" s="664"/>
      <c r="F467" s="664"/>
      <c r="G467" s="664"/>
      <c r="H467" s="664"/>
      <c r="I467" s="664"/>
      <c r="J467" s="664"/>
      <c r="K467" s="664"/>
      <c r="L467" s="664"/>
      <c r="M467" s="664"/>
      <c r="N467" s="664"/>
      <c r="O467" s="664"/>
      <c r="P467" s="664"/>
      <c r="Q467" s="664"/>
      <c r="R467" s="664"/>
      <c r="S467" s="664"/>
      <c r="T467" s="664"/>
      <c r="U467" s="664"/>
      <c r="V467" s="664"/>
      <c r="W467" s="664"/>
      <c r="X467" s="664"/>
      <c r="Y467" s="664"/>
      <c r="Z467" s="664"/>
      <c r="AA467" s="664"/>
      <c r="AB467" s="664"/>
      <c r="AC467" s="664"/>
      <c r="AD467" s="664"/>
    </row>
    <row r="468" spans="1:30">
      <c r="A468" s="1239"/>
      <c r="B468" s="664"/>
      <c r="C468" s="664"/>
      <c r="D468" s="664"/>
      <c r="E468" s="664"/>
      <c r="F468" s="664"/>
      <c r="G468" s="664"/>
      <c r="H468" s="664"/>
      <c r="I468" s="664"/>
      <c r="J468" s="664"/>
      <c r="K468" s="664"/>
      <c r="L468" s="664"/>
      <c r="M468" s="664"/>
      <c r="N468" s="664"/>
      <c r="O468" s="664"/>
      <c r="P468" s="664"/>
      <c r="Q468" s="664"/>
      <c r="R468" s="664"/>
      <c r="S468" s="664"/>
      <c r="T468" s="664"/>
      <c r="U468" s="664"/>
      <c r="V468" s="664"/>
      <c r="W468" s="664"/>
      <c r="X468" s="664"/>
      <c r="Y468" s="664"/>
      <c r="Z468" s="664"/>
      <c r="AA468" s="664"/>
      <c r="AB468" s="664"/>
      <c r="AC468" s="664"/>
      <c r="AD468" s="664"/>
    </row>
    <row r="469" spans="1:30">
      <c r="A469" s="1239"/>
      <c r="B469" s="664"/>
      <c r="C469" s="664"/>
      <c r="D469" s="664"/>
      <c r="E469" s="664"/>
      <c r="F469" s="664"/>
      <c r="G469" s="664"/>
      <c r="H469" s="664"/>
      <c r="I469" s="664"/>
      <c r="J469" s="664"/>
      <c r="K469" s="664"/>
      <c r="L469" s="664"/>
      <c r="M469" s="664"/>
      <c r="N469" s="664"/>
      <c r="O469" s="664"/>
      <c r="P469" s="664"/>
      <c r="Q469" s="664"/>
      <c r="R469" s="664"/>
      <c r="S469" s="664"/>
      <c r="T469" s="664"/>
      <c r="U469" s="664"/>
      <c r="V469" s="664"/>
      <c r="W469" s="664"/>
      <c r="X469" s="664"/>
      <c r="Y469" s="664"/>
      <c r="Z469" s="664"/>
      <c r="AA469" s="664"/>
      <c r="AB469" s="664"/>
      <c r="AC469" s="664"/>
      <c r="AD469" s="664"/>
    </row>
    <row r="470" spans="1:30">
      <c r="A470" s="1239"/>
      <c r="B470" s="664"/>
      <c r="C470" s="664"/>
      <c r="D470" s="664"/>
      <c r="E470" s="664"/>
      <c r="F470" s="664"/>
      <c r="G470" s="664"/>
      <c r="H470" s="664"/>
      <c r="I470" s="664"/>
      <c r="J470" s="664"/>
      <c r="K470" s="664"/>
      <c r="L470" s="664"/>
      <c r="M470" s="664"/>
      <c r="N470" s="664"/>
      <c r="O470" s="664"/>
      <c r="P470" s="664"/>
      <c r="Q470" s="664"/>
      <c r="R470" s="664"/>
      <c r="S470" s="664"/>
      <c r="T470" s="664"/>
      <c r="U470" s="664"/>
      <c r="V470" s="664"/>
      <c r="W470" s="664"/>
      <c r="X470" s="664"/>
      <c r="Y470" s="664"/>
      <c r="Z470" s="664"/>
      <c r="AA470" s="664"/>
      <c r="AB470" s="664"/>
      <c r="AC470" s="664"/>
      <c r="AD470" s="664"/>
    </row>
    <row r="471" spans="1:30">
      <c r="A471" s="1239"/>
      <c r="B471" s="664"/>
      <c r="C471" s="664"/>
      <c r="D471" s="664"/>
      <c r="E471" s="664"/>
      <c r="F471" s="664"/>
      <c r="G471" s="664"/>
      <c r="H471" s="664"/>
      <c r="I471" s="664"/>
      <c r="J471" s="664"/>
      <c r="K471" s="664"/>
      <c r="L471" s="664"/>
      <c r="M471" s="664"/>
      <c r="N471" s="664"/>
      <c r="O471" s="664"/>
      <c r="P471" s="664"/>
      <c r="Q471" s="664"/>
      <c r="R471" s="664"/>
      <c r="S471" s="664"/>
      <c r="T471" s="664"/>
      <c r="U471" s="664"/>
      <c r="V471" s="664"/>
      <c r="W471" s="664"/>
      <c r="X471" s="664"/>
      <c r="Y471" s="664"/>
      <c r="Z471" s="664"/>
      <c r="AA471" s="664"/>
      <c r="AB471" s="664"/>
      <c r="AC471" s="664"/>
      <c r="AD471" s="664"/>
    </row>
    <row r="472" spans="1:30">
      <c r="A472" s="1239"/>
      <c r="B472" s="664"/>
      <c r="C472" s="664"/>
      <c r="D472" s="664"/>
      <c r="E472" s="664"/>
      <c r="F472" s="664"/>
      <c r="G472" s="664"/>
      <c r="H472" s="664"/>
      <c r="I472" s="664"/>
      <c r="J472" s="664"/>
      <c r="K472" s="664"/>
      <c r="L472" s="664"/>
      <c r="M472" s="664"/>
      <c r="N472" s="664"/>
      <c r="O472" s="664"/>
      <c r="P472" s="664"/>
      <c r="Q472" s="664"/>
      <c r="R472" s="664"/>
      <c r="S472" s="664"/>
      <c r="T472" s="664"/>
      <c r="U472" s="664"/>
      <c r="V472" s="664"/>
      <c r="W472" s="664"/>
      <c r="X472" s="664"/>
      <c r="Y472" s="664"/>
      <c r="Z472" s="664"/>
      <c r="AA472" s="664"/>
      <c r="AB472" s="664"/>
      <c r="AC472" s="664"/>
      <c r="AD472" s="664"/>
    </row>
    <row r="473" spans="1:30">
      <c r="A473" s="1239"/>
      <c r="B473" s="664"/>
      <c r="C473" s="664"/>
      <c r="D473" s="664"/>
      <c r="E473" s="664"/>
      <c r="F473" s="664"/>
      <c r="G473" s="664"/>
      <c r="H473" s="664"/>
      <c r="I473" s="664"/>
      <c r="J473" s="664"/>
      <c r="K473" s="664"/>
      <c r="L473" s="664"/>
      <c r="M473" s="664"/>
      <c r="N473" s="664"/>
      <c r="O473" s="664"/>
      <c r="P473" s="664"/>
      <c r="Q473" s="664"/>
      <c r="R473" s="664"/>
      <c r="S473" s="664"/>
      <c r="T473" s="664"/>
      <c r="U473" s="664"/>
      <c r="V473" s="664"/>
      <c r="W473" s="664"/>
      <c r="X473" s="664"/>
      <c r="Y473" s="664"/>
      <c r="Z473" s="664"/>
      <c r="AA473" s="664"/>
      <c r="AB473" s="664"/>
      <c r="AC473" s="664"/>
      <c r="AD473" s="664"/>
    </row>
    <row r="474" spans="1:30">
      <c r="A474" s="1239"/>
      <c r="B474" s="664"/>
      <c r="C474" s="664"/>
      <c r="D474" s="664"/>
      <c r="E474" s="664"/>
      <c r="F474" s="664"/>
      <c r="G474" s="664"/>
      <c r="H474" s="664"/>
      <c r="I474" s="664"/>
      <c r="J474" s="664"/>
      <c r="K474" s="664"/>
      <c r="L474" s="664"/>
      <c r="M474" s="664"/>
      <c r="N474" s="664"/>
      <c r="O474" s="664"/>
      <c r="P474" s="664"/>
      <c r="Q474" s="664"/>
      <c r="R474" s="664"/>
      <c r="S474" s="664"/>
      <c r="T474" s="664"/>
      <c r="U474" s="664"/>
      <c r="V474" s="664"/>
      <c r="W474" s="664"/>
      <c r="X474" s="664"/>
      <c r="Y474" s="664"/>
      <c r="Z474" s="664"/>
      <c r="AA474" s="664"/>
      <c r="AB474" s="664"/>
      <c r="AC474" s="664"/>
      <c r="AD474" s="664"/>
    </row>
    <row r="475" spans="1:30">
      <c r="A475" s="1239"/>
      <c r="B475" s="664"/>
      <c r="C475" s="664"/>
      <c r="D475" s="664"/>
      <c r="E475" s="664"/>
      <c r="F475" s="664"/>
      <c r="G475" s="664"/>
      <c r="H475" s="664"/>
      <c r="I475" s="664"/>
      <c r="J475" s="664"/>
      <c r="K475" s="664"/>
      <c r="L475" s="664"/>
      <c r="M475" s="664"/>
      <c r="N475" s="664"/>
      <c r="O475" s="664"/>
      <c r="P475" s="664"/>
      <c r="Q475" s="664"/>
      <c r="R475" s="664"/>
      <c r="S475" s="664"/>
      <c r="T475" s="664"/>
      <c r="U475" s="664"/>
      <c r="V475" s="664"/>
      <c r="W475" s="664"/>
      <c r="X475" s="664"/>
      <c r="Y475" s="664"/>
      <c r="Z475" s="664"/>
      <c r="AA475" s="664"/>
      <c r="AB475" s="664"/>
      <c r="AC475" s="664"/>
      <c r="AD475" s="664"/>
    </row>
    <row r="476" spans="1:30">
      <c r="A476" s="1239"/>
      <c r="B476" s="664"/>
      <c r="C476" s="664"/>
      <c r="D476" s="664"/>
      <c r="E476" s="664"/>
      <c r="F476" s="664"/>
      <c r="G476" s="664"/>
      <c r="H476" s="664"/>
      <c r="I476" s="664"/>
      <c r="J476" s="664"/>
      <c r="K476" s="664"/>
      <c r="L476" s="664"/>
      <c r="M476" s="664"/>
      <c r="N476" s="664"/>
      <c r="O476" s="664"/>
      <c r="P476" s="664"/>
      <c r="Q476" s="664"/>
      <c r="R476" s="664"/>
      <c r="S476" s="664"/>
      <c r="T476" s="664"/>
      <c r="U476" s="664"/>
      <c r="V476" s="664"/>
      <c r="W476" s="664"/>
      <c r="X476" s="664"/>
      <c r="Y476" s="664"/>
      <c r="Z476" s="664"/>
      <c r="AA476" s="664"/>
      <c r="AB476" s="664"/>
      <c r="AC476" s="664"/>
      <c r="AD476" s="664"/>
    </row>
    <row r="477" spans="1:30">
      <c r="A477" s="1239"/>
      <c r="B477" s="664"/>
      <c r="C477" s="664"/>
      <c r="D477" s="664"/>
      <c r="E477" s="664"/>
      <c r="F477" s="664"/>
      <c r="G477" s="664"/>
      <c r="H477" s="664"/>
      <c r="I477" s="664"/>
      <c r="J477" s="664"/>
      <c r="K477" s="664"/>
      <c r="L477" s="664"/>
      <c r="M477" s="664"/>
      <c r="N477" s="664"/>
      <c r="O477" s="664"/>
      <c r="P477" s="664"/>
      <c r="Q477" s="664"/>
      <c r="R477" s="664"/>
      <c r="S477" s="664"/>
      <c r="T477" s="664"/>
      <c r="U477" s="664"/>
      <c r="V477" s="664"/>
      <c r="W477" s="664"/>
      <c r="X477" s="664"/>
      <c r="Y477" s="664"/>
      <c r="Z477" s="664"/>
      <c r="AA477" s="664"/>
      <c r="AB477" s="664"/>
      <c r="AC477" s="664"/>
      <c r="AD477" s="664"/>
    </row>
    <row r="478" spans="1:30">
      <c r="A478" s="1239"/>
      <c r="B478" s="664"/>
      <c r="C478" s="664"/>
      <c r="D478" s="664"/>
      <c r="E478" s="664"/>
      <c r="F478" s="664"/>
      <c r="G478" s="664"/>
      <c r="H478" s="664"/>
      <c r="I478" s="664"/>
      <c r="J478" s="664"/>
      <c r="K478" s="664"/>
      <c r="L478" s="664"/>
      <c r="M478" s="664"/>
      <c r="N478" s="664"/>
      <c r="O478" s="664"/>
      <c r="P478" s="664"/>
      <c r="Q478" s="664"/>
      <c r="R478" s="664"/>
      <c r="S478" s="664"/>
      <c r="T478" s="664"/>
      <c r="U478" s="664"/>
      <c r="V478" s="664"/>
      <c r="W478" s="664"/>
      <c r="X478" s="664"/>
      <c r="Y478" s="664"/>
      <c r="Z478" s="664"/>
      <c r="AA478" s="664"/>
      <c r="AB478" s="664"/>
      <c r="AC478" s="664"/>
      <c r="AD478" s="664"/>
    </row>
    <row r="479" spans="1:30">
      <c r="A479" s="1239"/>
      <c r="B479" s="664"/>
      <c r="C479" s="664"/>
      <c r="D479" s="664"/>
      <c r="E479" s="664"/>
      <c r="F479" s="664"/>
      <c r="G479" s="664"/>
      <c r="H479" s="664"/>
      <c r="I479" s="664"/>
      <c r="J479" s="664"/>
      <c r="K479" s="664"/>
      <c r="L479" s="664"/>
      <c r="M479" s="664"/>
      <c r="N479" s="664"/>
      <c r="O479" s="664"/>
      <c r="P479" s="664"/>
      <c r="Q479" s="664"/>
      <c r="R479" s="664"/>
      <c r="S479" s="664"/>
      <c r="T479" s="664"/>
      <c r="U479" s="664"/>
      <c r="V479" s="664"/>
      <c r="W479" s="664"/>
      <c r="X479" s="664"/>
      <c r="Y479" s="664"/>
      <c r="Z479" s="664"/>
      <c r="AA479" s="664"/>
      <c r="AB479" s="664"/>
      <c r="AC479" s="664"/>
      <c r="AD479" s="664"/>
    </row>
    <row r="480" spans="1:30">
      <c r="A480" s="1239"/>
      <c r="B480" s="664"/>
      <c r="C480" s="664"/>
      <c r="D480" s="664"/>
      <c r="E480" s="664"/>
      <c r="F480" s="664"/>
      <c r="G480" s="664"/>
      <c r="H480" s="664"/>
      <c r="I480" s="664"/>
      <c r="J480" s="664"/>
      <c r="K480" s="664"/>
      <c r="L480" s="664"/>
      <c r="M480" s="664"/>
      <c r="N480" s="664"/>
      <c r="O480" s="664"/>
      <c r="P480" s="664"/>
      <c r="Q480" s="664"/>
      <c r="R480" s="664"/>
      <c r="S480" s="664"/>
      <c r="T480" s="664"/>
      <c r="U480" s="664"/>
      <c r="V480" s="664"/>
      <c r="W480" s="664"/>
      <c r="X480" s="664"/>
      <c r="Y480" s="664"/>
      <c r="Z480" s="664"/>
      <c r="AA480" s="664"/>
      <c r="AB480" s="664"/>
      <c r="AC480" s="664"/>
      <c r="AD480" s="664"/>
    </row>
    <row r="481" spans="1:30">
      <c r="A481" s="1239"/>
      <c r="B481" s="664"/>
      <c r="C481" s="664"/>
      <c r="D481" s="664"/>
      <c r="E481" s="664"/>
      <c r="F481" s="664"/>
      <c r="G481" s="664"/>
      <c r="H481" s="664"/>
      <c r="I481" s="664"/>
      <c r="J481" s="664"/>
      <c r="K481" s="664"/>
      <c r="L481" s="664"/>
      <c r="M481" s="664"/>
      <c r="N481" s="664"/>
      <c r="O481" s="664"/>
      <c r="P481" s="664"/>
      <c r="Q481" s="664"/>
      <c r="R481" s="664"/>
      <c r="S481" s="664"/>
      <c r="T481" s="664"/>
      <c r="U481" s="664"/>
      <c r="V481" s="664"/>
      <c r="W481" s="664"/>
      <c r="X481" s="664"/>
      <c r="Y481" s="664"/>
      <c r="Z481" s="664"/>
      <c r="AA481" s="664"/>
      <c r="AB481" s="664"/>
      <c r="AC481" s="664"/>
      <c r="AD481" s="664"/>
    </row>
    <row r="482" spans="1:30">
      <c r="A482" s="1239"/>
      <c r="B482" s="664"/>
      <c r="C482" s="664"/>
      <c r="D482" s="664"/>
      <c r="E482" s="664"/>
      <c r="F482" s="664"/>
      <c r="G482" s="664"/>
      <c r="H482" s="664"/>
      <c r="I482" s="664"/>
      <c r="J482" s="664"/>
      <c r="K482" s="664"/>
      <c r="L482" s="664"/>
      <c r="M482" s="664"/>
      <c r="N482" s="664"/>
      <c r="O482" s="664"/>
      <c r="P482" s="664"/>
      <c r="Q482" s="664"/>
      <c r="R482" s="664"/>
      <c r="S482" s="664"/>
      <c r="T482" s="664"/>
      <c r="U482" s="664"/>
      <c r="V482" s="664"/>
      <c r="W482" s="664"/>
      <c r="X482" s="664"/>
      <c r="Y482" s="664"/>
      <c r="Z482" s="664"/>
      <c r="AA482" s="664"/>
      <c r="AB482" s="664"/>
      <c r="AC482" s="664"/>
      <c r="AD482" s="664"/>
    </row>
    <row r="483" spans="1:30">
      <c r="A483" s="1239"/>
      <c r="B483" s="664"/>
      <c r="C483" s="664"/>
      <c r="D483" s="664"/>
      <c r="E483" s="664"/>
      <c r="F483" s="664"/>
      <c r="G483" s="664"/>
      <c r="H483" s="664"/>
      <c r="I483" s="664"/>
      <c r="J483" s="664"/>
      <c r="K483" s="664"/>
      <c r="L483" s="664"/>
      <c r="M483" s="664"/>
      <c r="N483" s="664"/>
      <c r="O483" s="664"/>
      <c r="P483" s="664"/>
      <c r="Q483" s="664"/>
      <c r="R483" s="664"/>
      <c r="S483" s="664"/>
      <c r="T483" s="664"/>
      <c r="U483" s="664"/>
      <c r="V483" s="664"/>
      <c r="W483" s="664"/>
      <c r="X483" s="664"/>
      <c r="Y483" s="664"/>
      <c r="Z483" s="664"/>
      <c r="AA483" s="664"/>
      <c r="AB483" s="664"/>
      <c r="AC483" s="664"/>
      <c r="AD483" s="664"/>
    </row>
    <row r="484" spans="1:30">
      <c r="A484" s="1239"/>
      <c r="B484" s="664"/>
      <c r="C484" s="664"/>
      <c r="D484" s="664"/>
      <c r="E484" s="664"/>
      <c r="F484" s="664"/>
      <c r="G484" s="664"/>
      <c r="H484" s="664"/>
      <c r="I484" s="664"/>
      <c r="J484" s="664"/>
      <c r="K484" s="664"/>
      <c r="L484" s="664"/>
      <c r="M484" s="664"/>
      <c r="N484" s="664"/>
      <c r="O484" s="664"/>
      <c r="P484" s="664"/>
      <c r="Q484" s="664"/>
      <c r="R484" s="664"/>
      <c r="S484" s="664"/>
      <c r="T484" s="664"/>
      <c r="U484" s="664"/>
      <c r="V484" s="664"/>
      <c r="W484" s="664"/>
      <c r="X484" s="664"/>
      <c r="Y484" s="664"/>
      <c r="Z484" s="664"/>
      <c r="AA484" s="664"/>
      <c r="AB484" s="664"/>
      <c r="AC484" s="664"/>
      <c r="AD484" s="664"/>
    </row>
    <row r="485" spans="1:30">
      <c r="A485" s="1239"/>
      <c r="B485" s="664"/>
      <c r="C485" s="664"/>
      <c r="D485" s="664"/>
      <c r="E485" s="664"/>
      <c r="F485" s="664"/>
      <c r="G485" s="664"/>
      <c r="H485" s="664"/>
      <c r="I485" s="664"/>
      <c r="J485" s="664"/>
      <c r="K485" s="664"/>
      <c r="L485" s="664"/>
      <c r="M485" s="664"/>
      <c r="N485" s="664"/>
      <c r="O485" s="664"/>
      <c r="P485" s="664"/>
      <c r="Q485" s="664"/>
      <c r="R485" s="664"/>
      <c r="S485" s="664"/>
      <c r="T485" s="664"/>
      <c r="U485" s="664"/>
      <c r="V485" s="664"/>
      <c r="W485" s="664"/>
      <c r="X485" s="664"/>
      <c r="Y485" s="664"/>
      <c r="Z485" s="664"/>
      <c r="AA485" s="664"/>
      <c r="AB485" s="664"/>
      <c r="AC485" s="664"/>
      <c r="AD485" s="664"/>
    </row>
    <row r="486" spans="1:30">
      <c r="A486" s="1239"/>
      <c r="B486" s="664"/>
      <c r="C486" s="664"/>
      <c r="D486" s="664"/>
      <c r="E486" s="664"/>
      <c r="F486" s="664"/>
      <c r="G486" s="664"/>
      <c r="H486" s="664"/>
      <c r="I486" s="664"/>
      <c r="J486" s="664"/>
      <c r="K486" s="664"/>
      <c r="L486" s="664"/>
      <c r="M486" s="664"/>
      <c r="N486" s="664"/>
      <c r="O486" s="664"/>
      <c r="P486" s="664"/>
      <c r="Q486" s="664"/>
      <c r="R486" s="664"/>
      <c r="S486" s="664"/>
      <c r="T486" s="664"/>
      <c r="U486" s="664"/>
      <c r="V486" s="664"/>
      <c r="W486" s="664"/>
      <c r="X486" s="664"/>
      <c r="Y486" s="664"/>
      <c r="Z486" s="664"/>
      <c r="AA486" s="664"/>
      <c r="AB486" s="664"/>
      <c r="AC486" s="664"/>
      <c r="AD486" s="664"/>
    </row>
    <row r="487" spans="1:30">
      <c r="A487" s="1239"/>
      <c r="B487" s="664"/>
      <c r="C487" s="664"/>
      <c r="D487" s="664"/>
      <c r="E487" s="664"/>
      <c r="F487" s="664"/>
      <c r="G487" s="664"/>
      <c r="H487" s="664"/>
      <c r="I487" s="664"/>
      <c r="J487" s="664"/>
      <c r="K487" s="664"/>
      <c r="L487" s="664"/>
      <c r="M487" s="664"/>
      <c r="N487" s="664"/>
      <c r="O487" s="664"/>
      <c r="P487" s="664"/>
      <c r="Q487" s="664"/>
      <c r="R487" s="664"/>
      <c r="S487" s="664"/>
      <c r="T487" s="664"/>
      <c r="U487" s="664"/>
      <c r="V487" s="664"/>
      <c r="W487" s="664"/>
      <c r="X487" s="664"/>
      <c r="Y487" s="664"/>
      <c r="Z487" s="664"/>
      <c r="AA487" s="664"/>
      <c r="AB487" s="664"/>
      <c r="AC487" s="664"/>
      <c r="AD487" s="664"/>
    </row>
    <row r="488" spans="1:30">
      <c r="A488" s="1239"/>
      <c r="B488" s="664"/>
      <c r="C488" s="664"/>
      <c r="D488" s="664"/>
      <c r="E488" s="664"/>
      <c r="F488" s="664"/>
      <c r="G488" s="664"/>
      <c r="H488" s="664"/>
      <c r="I488" s="664"/>
      <c r="J488" s="664"/>
      <c r="K488" s="664"/>
      <c r="L488" s="664"/>
      <c r="M488" s="664"/>
      <c r="N488" s="664"/>
      <c r="O488" s="664"/>
      <c r="P488" s="664"/>
      <c r="Q488" s="664"/>
      <c r="R488" s="664"/>
      <c r="S488" s="664"/>
      <c r="T488" s="664"/>
      <c r="U488" s="664"/>
      <c r="V488" s="664"/>
      <c r="W488" s="664"/>
      <c r="X488" s="664"/>
      <c r="Y488" s="664"/>
      <c r="Z488" s="664"/>
      <c r="AA488" s="664"/>
      <c r="AB488" s="664"/>
      <c r="AC488" s="664"/>
      <c r="AD488" s="664"/>
    </row>
    <row r="489" spans="1:30">
      <c r="A489" s="1239"/>
      <c r="B489" s="664"/>
      <c r="C489" s="664"/>
      <c r="D489" s="664"/>
      <c r="E489" s="664"/>
      <c r="F489" s="664"/>
      <c r="G489" s="664"/>
      <c r="H489" s="664"/>
      <c r="I489" s="664"/>
      <c r="J489" s="664"/>
      <c r="K489" s="664"/>
      <c r="L489" s="664"/>
      <c r="M489" s="664"/>
      <c r="N489" s="664"/>
      <c r="O489" s="664"/>
      <c r="P489" s="664"/>
      <c r="Q489" s="664"/>
      <c r="R489" s="664"/>
      <c r="S489" s="664"/>
      <c r="T489" s="664"/>
      <c r="U489" s="664"/>
      <c r="V489" s="664"/>
      <c r="W489" s="664"/>
      <c r="X489" s="664"/>
      <c r="Y489" s="664"/>
      <c r="Z489" s="664"/>
      <c r="AA489" s="664"/>
      <c r="AB489" s="664"/>
      <c r="AC489" s="664"/>
      <c r="AD489" s="664"/>
    </row>
    <row r="490" spans="1:30">
      <c r="A490" s="1239"/>
      <c r="B490" s="664"/>
      <c r="C490" s="664"/>
      <c r="D490" s="664"/>
      <c r="E490" s="664"/>
      <c r="F490" s="664"/>
      <c r="G490" s="664"/>
      <c r="H490" s="664"/>
      <c r="I490" s="664"/>
      <c r="J490" s="664"/>
      <c r="K490" s="664"/>
      <c r="L490" s="664"/>
      <c r="M490" s="664"/>
      <c r="N490" s="664"/>
      <c r="O490" s="664"/>
      <c r="P490" s="664"/>
      <c r="Q490" s="664"/>
      <c r="R490" s="664"/>
      <c r="S490" s="664"/>
      <c r="T490" s="664"/>
      <c r="U490" s="664"/>
      <c r="V490" s="664"/>
      <c r="W490" s="664"/>
      <c r="X490" s="664"/>
      <c r="Y490" s="664"/>
      <c r="Z490" s="664"/>
      <c r="AA490" s="664"/>
      <c r="AB490" s="664"/>
      <c r="AC490" s="664"/>
      <c r="AD490" s="664"/>
    </row>
    <row r="491" spans="1:30">
      <c r="A491" s="1239"/>
      <c r="B491" s="664"/>
      <c r="C491" s="664"/>
      <c r="D491" s="664"/>
      <c r="E491" s="664"/>
      <c r="F491" s="664"/>
      <c r="G491" s="664"/>
      <c r="H491" s="664"/>
      <c r="I491" s="664"/>
      <c r="J491" s="664"/>
      <c r="K491" s="664"/>
      <c r="L491" s="664"/>
      <c r="M491" s="664"/>
      <c r="N491" s="664"/>
      <c r="O491" s="664"/>
      <c r="P491" s="664"/>
      <c r="Q491" s="664"/>
      <c r="R491" s="664"/>
      <c r="S491" s="664"/>
      <c r="T491" s="664"/>
      <c r="U491" s="664"/>
      <c r="V491" s="664"/>
      <c r="W491" s="664"/>
      <c r="X491" s="664"/>
      <c r="Y491" s="664"/>
      <c r="Z491" s="664"/>
      <c r="AA491" s="664"/>
      <c r="AB491" s="664"/>
      <c r="AC491" s="664"/>
      <c r="AD491" s="664"/>
    </row>
    <row r="492" spans="1:30">
      <c r="A492" s="1239"/>
      <c r="B492" s="664"/>
      <c r="C492" s="664"/>
      <c r="D492" s="664"/>
      <c r="E492" s="664"/>
      <c r="F492" s="664"/>
      <c r="G492" s="664"/>
      <c r="H492" s="664"/>
      <c r="I492" s="664"/>
      <c r="J492" s="664"/>
      <c r="K492" s="664"/>
      <c r="L492" s="664"/>
      <c r="M492" s="664"/>
      <c r="N492" s="664"/>
      <c r="O492" s="664"/>
      <c r="P492" s="664"/>
      <c r="Q492" s="664"/>
      <c r="R492" s="664"/>
      <c r="S492" s="664"/>
      <c r="T492" s="664"/>
      <c r="U492" s="664"/>
      <c r="V492" s="664"/>
      <c r="W492" s="664"/>
      <c r="X492" s="664"/>
      <c r="Y492" s="664"/>
      <c r="Z492" s="664"/>
      <c r="AA492" s="664"/>
      <c r="AB492" s="664"/>
      <c r="AC492" s="664"/>
      <c r="AD492" s="664"/>
    </row>
    <row r="493" spans="1:30">
      <c r="A493" s="1239"/>
      <c r="B493" s="664"/>
      <c r="C493" s="664"/>
      <c r="D493" s="664"/>
      <c r="E493" s="664"/>
      <c r="F493" s="664"/>
      <c r="G493" s="664"/>
      <c r="H493" s="664"/>
      <c r="I493" s="664"/>
      <c r="J493" s="664"/>
      <c r="K493" s="664"/>
      <c r="L493" s="664"/>
      <c r="M493" s="664"/>
      <c r="N493" s="664"/>
      <c r="O493" s="664"/>
      <c r="P493" s="664"/>
      <c r="Q493" s="664"/>
      <c r="R493" s="664"/>
      <c r="S493" s="664"/>
      <c r="T493" s="664"/>
      <c r="U493" s="664"/>
      <c r="V493" s="664"/>
      <c r="W493" s="664"/>
      <c r="X493" s="664"/>
      <c r="Y493" s="664"/>
      <c r="Z493" s="664"/>
      <c r="AA493" s="664"/>
      <c r="AB493" s="664"/>
      <c r="AC493" s="664"/>
      <c r="AD493" s="664"/>
    </row>
    <row r="494" spans="1:30">
      <c r="A494" s="1239"/>
      <c r="B494" s="664"/>
      <c r="C494" s="664"/>
      <c r="D494" s="664"/>
      <c r="E494" s="664"/>
      <c r="F494" s="664"/>
      <c r="G494" s="664"/>
      <c r="H494" s="664"/>
      <c r="I494" s="664"/>
      <c r="J494" s="664"/>
      <c r="K494" s="664"/>
      <c r="L494" s="664"/>
      <c r="M494" s="664"/>
      <c r="N494" s="664"/>
      <c r="O494" s="664"/>
      <c r="P494" s="664"/>
      <c r="Q494" s="664"/>
      <c r="R494" s="664"/>
      <c r="S494" s="664"/>
      <c r="T494" s="664"/>
      <c r="U494" s="664"/>
      <c r="V494" s="664"/>
      <c r="W494" s="664"/>
      <c r="X494" s="664"/>
      <c r="Y494" s="664"/>
      <c r="Z494" s="664"/>
      <c r="AA494" s="664"/>
      <c r="AB494" s="664"/>
      <c r="AC494" s="664"/>
      <c r="AD494" s="664"/>
    </row>
    <row r="495" spans="1:30">
      <c r="A495" s="1239"/>
      <c r="B495" s="664"/>
      <c r="C495" s="664"/>
      <c r="D495" s="664"/>
      <c r="E495" s="664"/>
      <c r="F495" s="664"/>
      <c r="G495" s="664"/>
      <c r="H495" s="664"/>
      <c r="I495" s="664"/>
      <c r="J495" s="664"/>
      <c r="K495" s="664"/>
      <c r="L495" s="664"/>
      <c r="M495" s="664"/>
      <c r="N495" s="664"/>
      <c r="O495" s="664"/>
      <c r="P495" s="664"/>
      <c r="Q495" s="664"/>
      <c r="R495" s="664"/>
      <c r="S495" s="664"/>
      <c r="T495" s="664"/>
      <c r="U495" s="664"/>
      <c r="V495" s="664"/>
      <c r="W495" s="664"/>
      <c r="X495" s="664"/>
      <c r="Y495" s="664"/>
      <c r="Z495" s="664"/>
      <c r="AA495" s="664"/>
      <c r="AB495" s="664"/>
      <c r="AC495" s="664"/>
      <c r="AD495" s="664"/>
    </row>
    <row r="496" spans="1:30">
      <c r="A496" s="1239"/>
      <c r="B496" s="664"/>
      <c r="C496" s="664"/>
      <c r="D496" s="664"/>
      <c r="E496" s="664"/>
      <c r="F496" s="664"/>
      <c r="G496" s="664"/>
      <c r="H496" s="664"/>
      <c r="I496" s="664"/>
      <c r="J496" s="664"/>
      <c r="K496" s="664"/>
      <c r="L496" s="664"/>
      <c r="M496" s="664"/>
      <c r="N496" s="664"/>
      <c r="O496" s="664"/>
      <c r="P496" s="664"/>
      <c r="Q496" s="664"/>
      <c r="R496" s="664"/>
      <c r="S496" s="664"/>
      <c r="T496" s="664"/>
      <c r="U496" s="664"/>
      <c r="V496" s="664"/>
      <c r="W496" s="664"/>
      <c r="X496" s="664"/>
      <c r="Y496" s="664"/>
      <c r="Z496" s="664"/>
      <c r="AA496" s="664"/>
      <c r="AB496" s="664"/>
      <c r="AC496" s="664"/>
      <c r="AD496" s="664"/>
    </row>
    <row r="497" spans="1:30">
      <c r="A497" s="1239"/>
      <c r="B497" s="664"/>
      <c r="C497" s="664"/>
      <c r="D497" s="664"/>
      <c r="E497" s="664"/>
      <c r="F497" s="664"/>
      <c r="G497" s="664"/>
      <c r="H497" s="664"/>
      <c r="I497" s="664"/>
      <c r="J497" s="664"/>
      <c r="K497" s="664"/>
      <c r="L497" s="664"/>
      <c r="M497" s="664"/>
      <c r="N497" s="664"/>
      <c r="O497" s="664"/>
      <c r="P497" s="664"/>
      <c r="Q497" s="664"/>
      <c r="R497" s="664"/>
      <c r="S497" s="664"/>
      <c r="T497" s="664"/>
      <c r="U497" s="664"/>
      <c r="V497" s="664"/>
      <c r="W497" s="664"/>
      <c r="X497" s="664"/>
      <c r="Y497" s="664"/>
      <c r="Z497" s="664"/>
      <c r="AA497" s="664"/>
      <c r="AB497" s="664"/>
      <c r="AC497" s="664"/>
      <c r="AD497" s="664"/>
    </row>
    <row r="498" spans="1:30">
      <c r="A498" s="1239"/>
      <c r="B498" s="664"/>
      <c r="C498" s="664"/>
      <c r="D498" s="664"/>
      <c r="E498" s="664"/>
      <c r="F498" s="664"/>
      <c r="G498" s="664"/>
      <c r="H498" s="664"/>
      <c r="I498" s="664"/>
      <c r="J498" s="664"/>
      <c r="K498" s="664"/>
      <c r="L498" s="664"/>
      <c r="M498" s="664"/>
      <c r="N498" s="664"/>
      <c r="O498" s="664"/>
      <c r="P498" s="664"/>
      <c r="Q498" s="664"/>
      <c r="R498" s="664"/>
      <c r="S498" s="664"/>
      <c r="T498" s="664"/>
      <c r="U498" s="664"/>
      <c r="V498" s="664"/>
      <c r="W498" s="664"/>
      <c r="X498" s="664"/>
      <c r="Y498" s="664"/>
      <c r="Z498" s="664"/>
      <c r="AA498" s="664"/>
      <c r="AB498" s="664"/>
      <c r="AC498" s="664"/>
      <c r="AD498" s="664"/>
    </row>
    <row r="499" spans="1:30">
      <c r="A499" s="1239"/>
      <c r="B499" s="664"/>
      <c r="C499" s="664"/>
      <c r="D499" s="664"/>
      <c r="E499" s="664"/>
      <c r="F499" s="664"/>
      <c r="G499" s="664"/>
      <c r="H499" s="664"/>
      <c r="I499" s="664"/>
      <c r="J499" s="664"/>
      <c r="K499" s="664"/>
      <c r="L499" s="664"/>
      <c r="M499" s="664"/>
      <c r="N499" s="664"/>
      <c r="O499" s="664"/>
      <c r="P499" s="664"/>
      <c r="Q499" s="664"/>
      <c r="R499" s="664"/>
      <c r="S499" s="664"/>
      <c r="T499" s="664"/>
      <c r="U499" s="664"/>
      <c r="V499" s="664"/>
      <c r="W499" s="664"/>
      <c r="X499" s="664"/>
      <c r="Y499" s="664"/>
      <c r="Z499" s="664"/>
      <c r="AA499" s="664"/>
      <c r="AB499" s="664"/>
      <c r="AC499" s="664"/>
      <c r="AD499" s="664"/>
    </row>
    <row r="500" spans="1:30">
      <c r="A500" s="1239"/>
      <c r="B500" s="664"/>
      <c r="C500" s="664"/>
      <c r="D500" s="664"/>
      <c r="E500" s="664"/>
      <c r="F500" s="664"/>
      <c r="G500" s="664"/>
      <c r="H500" s="664"/>
      <c r="I500" s="664"/>
      <c r="J500" s="664"/>
      <c r="K500" s="664"/>
      <c r="L500" s="664"/>
      <c r="M500" s="664"/>
      <c r="N500" s="664"/>
      <c r="O500" s="664"/>
      <c r="P500" s="664"/>
      <c r="Q500" s="664"/>
      <c r="R500" s="664"/>
      <c r="S500" s="664"/>
      <c r="T500" s="664"/>
      <c r="U500" s="664"/>
      <c r="V500" s="664"/>
      <c r="W500" s="664"/>
      <c r="X500" s="664"/>
      <c r="Y500" s="664"/>
      <c r="Z500" s="664"/>
      <c r="AA500" s="664"/>
      <c r="AB500" s="664"/>
      <c r="AC500" s="664"/>
      <c r="AD500" s="664"/>
    </row>
    <row r="501" spans="1:30">
      <c r="A501" s="1239"/>
      <c r="B501" s="664"/>
      <c r="C501" s="664"/>
      <c r="D501" s="664"/>
      <c r="E501" s="664"/>
      <c r="F501" s="664"/>
      <c r="G501" s="664"/>
      <c r="H501" s="664"/>
      <c r="I501" s="664"/>
      <c r="J501" s="664"/>
      <c r="K501" s="664"/>
      <c r="L501" s="664"/>
      <c r="M501" s="664"/>
      <c r="N501" s="664"/>
      <c r="O501" s="664"/>
      <c r="P501" s="664"/>
      <c r="Q501" s="664"/>
      <c r="R501" s="664"/>
      <c r="S501" s="664"/>
      <c r="T501" s="664"/>
      <c r="U501" s="664"/>
      <c r="V501" s="664"/>
      <c r="W501" s="664"/>
      <c r="X501" s="664"/>
      <c r="Y501" s="664"/>
      <c r="Z501" s="664"/>
      <c r="AA501" s="664"/>
      <c r="AB501" s="664"/>
      <c r="AC501" s="664"/>
      <c r="AD501" s="664"/>
    </row>
    <row r="502" spans="1:30">
      <c r="A502" s="1239"/>
      <c r="B502" s="664"/>
      <c r="C502" s="664"/>
      <c r="D502" s="664"/>
      <c r="E502" s="664"/>
      <c r="F502" s="664"/>
      <c r="G502" s="664"/>
      <c r="H502" s="664"/>
      <c r="I502" s="664"/>
      <c r="J502" s="664"/>
      <c r="K502" s="664"/>
      <c r="L502" s="664"/>
      <c r="M502" s="664"/>
      <c r="N502" s="664"/>
      <c r="O502" s="664"/>
      <c r="P502" s="664"/>
      <c r="Q502" s="664"/>
      <c r="R502" s="664"/>
      <c r="S502" s="664"/>
      <c r="T502" s="664"/>
      <c r="U502" s="664"/>
      <c r="V502" s="664"/>
      <c r="W502" s="664"/>
      <c r="X502" s="664"/>
      <c r="Y502" s="664"/>
      <c r="Z502" s="664"/>
      <c r="AA502" s="664"/>
      <c r="AB502" s="664"/>
      <c r="AC502" s="664"/>
      <c r="AD502" s="664"/>
    </row>
    <row r="503" spans="1:30">
      <c r="A503" s="1239"/>
      <c r="B503" s="664"/>
      <c r="C503" s="664"/>
      <c r="D503" s="664"/>
      <c r="E503" s="664"/>
      <c r="F503" s="664"/>
      <c r="G503" s="664"/>
      <c r="H503" s="664"/>
      <c r="I503" s="664"/>
      <c r="J503" s="664"/>
      <c r="K503" s="664"/>
      <c r="L503" s="664"/>
      <c r="M503" s="664"/>
      <c r="N503" s="664"/>
      <c r="O503" s="664"/>
      <c r="P503" s="664"/>
      <c r="Q503" s="664"/>
      <c r="R503" s="664"/>
      <c r="S503" s="664"/>
      <c r="T503" s="664"/>
      <c r="U503" s="664"/>
      <c r="V503" s="664"/>
      <c r="W503" s="664"/>
      <c r="X503" s="664"/>
      <c r="Y503" s="664"/>
      <c r="Z503" s="664"/>
      <c r="AA503" s="664"/>
      <c r="AB503" s="664"/>
      <c r="AC503" s="664"/>
      <c r="AD503" s="664"/>
    </row>
    <row r="504" spans="1:30">
      <c r="A504" s="1239"/>
      <c r="B504" s="664"/>
      <c r="C504" s="664"/>
      <c r="D504" s="664"/>
      <c r="E504" s="664"/>
      <c r="F504" s="664"/>
      <c r="G504" s="664"/>
      <c r="H504" s="664"/>
      <c r="I504" s="664"/>
      <c r="J504" s="664"/>
      <c r="K504" s="664"/>
      <c r="L504" s="664"/>
      <c r="M504" s="664"/>
      <c r="N504" s="664"/>
      <c r="O504" s="664"/>
      <c r="P504" s="664"/>
      <c r="Q504" s="664"/>
      <c r="R504" s="664"/>
      <c r="S504" s="664"/>
      <c r="T504" s="664"/>
      <c r="U504" s="664"/>
      <c r="V504" s="664"/>
      <c r="W504" s="664"/>
      <c r="X504" s="664"/>
      <c r="Y504" s="664"/>
      <c r="Z504" s="664"/>
      <c r="AA504" s="664"/>
      <c r="AB504" s="664"/>
      <c r="AC504" s="664"/>
      <c r="AD504" s="664"/>
    </row>
    <row r="505" spans="1:30">
      <c r="A505" s="1239"/>
      <c r="B505" s="664"/>
      <c r="C505" s="664"/>
      <c r="D505" s="664"/>
      <c r="E505" s="664"/>
      <c r="F505" s="664"/>
      <c r="G505" s="664"/>
      <c r="H505" s="664"/>
      <c r="I505" s="664"/>
      <c r="J505" s="664"/>
      <c r="K505" s="664"/>
      <c r="L505" s="664"/>
      <c r="M505" s="664"/>
      <c r="N505" s="664"/>
      <c r="O505" s="664"/>
      <c r="P505" s="664"/>
      <c r="Q505" s="664"/>
      <c r="R505" s="664"/>
      <c r="S505" s="664"/>
      <c r="T505" s="664"/>
      <c r="U505" s="664"/>
      <c r="V505" s="664"/>
      <c r="W505" s="664"/>
      <c r="X505" s="664"/>
      <c r="Y505" s="664"/>
      <c r="Z505" s="664"/>
      <c r="AA505" s="664"/>
      <c r="AB505" s="664"/>
      <c r="AC505" s="664"/>
      <c r="AD505" s="664"/>
    </row>
    <row r="506" spans="1:30">
      <c r="A506" s="1239"/>
      <c r="B506" s="664"/>
      <c r="C506" s="664"/>
      <c r="D506" s="664"/>
      <c r="E506" s="664"/>
      <c r="F506" s="664"/>
      <c r="G506" s="664"/>
      <c r="H506" s="664"/>
      <c r="I506" s="664"/>
      <c r="J506" s="664"/>
      <c r="K506" s="664"/>
      <c r="L506" s="664"/>
      <c r="M506" s="664"/>
      <c r="N506" s="664"/>
      <c r="O506" s="664"/>
      <c r="P506" s="664"/>
      <c r="Q506" s="664"/>
      <c r="R506" s="664"/>
      <c r="S506" s="664"/>
      <c r="T506" s="664"/>
      <c r="U506" s="664"/>
      <c r="V506" s="664"/>
      <c r="W506" s="664"/>
      <c r="X506" s="664"/>
      <c r="Y506" s="664"/>
      <c r="Z506" s="664"/>
      <c r="AA506" s="664"/>
      <c r="AB506" s="664"/>
      <c r="AC506" s="664"/>
      <c r="AD506" s="664"/>
    </row>
    <row r="507" spans="1:30">
      <c r="A507" s="1239"/>
      <c r="B507" s="664"/>
      <c r="C507" s="664"/>
      <c r="D507" s="664"/>
      <c r="E507" s="664"/>
      <c r="F507" s="664"/>
      <c r="G507" s="664"/>
      <c r="H507" s="664"/>
      <c r="I507" s="664"/>
      <c r="J507" s="664"/>
      <c r="K507" s="664"/>
      <c r="L507" s="664"/>
      <c r="M507" s="664"/>
      <c r="N507" s="664"/>
      <c r="O507" s="664"/>
      <c r="P507" s="664"/>
      <c r="Q507" s="664"/>
      <c r="R507" s="664"/>
      <c r="S507" s="664"/>
      <c r="T507" s="664"/>
      <c r="U507" s="664"/>
      <c r="V507" s="664"/>
      <c r="W507" s="664"/>
      <c r="X507" s="664"/>
      <c r="Y507" s="664"/>
      <c r="Z507" s="664"/>
      <c r="AA507" s="664"/>
      <c r="AB507" s="664"/>
      <c r="AC507" s="664"/>
      <c r="AD507" s="664"/>
    </row>
    <row r="508" spans="1:30">
      <c r="A508" s="1239"/>
      <c r="B508" s="664"/>
      <c r="C508" s="664"/>
      <c r="D508" s="664"/>
      <c r="E508" s="664"/>
      <c r="F508" s="664"/>
      <c r="G508" s="664"/>
      <c r="H508" s="664"/>
      <c r="I508" s="664"/>
      <c r="J508" s="664"/>
      <c r="K508" s="664"/>
      <c r="L508" s="664"/>
      <c r="M508" s="664"/>
      <c r="N508" s="664"/>
      <c r="O508" s="664"/>
      <c r="P508" s="664"/>
      <c r="Q508" s="664"/>
      <c r="R508" s="664"/>
      <c r="S508" s="664"/>
      <c r="T508" s="664"/>
      <c r="U508" s="664"/>
      <c r="V508" s="664"/>
      <c r="W508" s="664"/>
      <c r="X508" s="664"/>
      <c r="Y508" s="664"/>
      <c r="Z508" s="664"/>
      <c r="AA508" s="664"/>
      <c r="AB508" s="664"/>
      <c r="AC508" s="664"/>
      <c r="AD508" s="664"/>
    </row>
    <row r="509" spans="1:30">
      <c r="A509" s="1239"/>
      <c r="B509" s="664"/>
      <c r="C509" s="664"/>
      <c r="D509" s="664"/>
      <c r="E509" s="664"/>
      <c r="F509" s="664"/>
      <c r="G509" s="664"/>
      <c r="H509" s="664"/>
      <c r="I509" s="664"/>
      <c r="J509" s="664"/>
      <c r="K509" s="664"/>
      <c r="L509" s="664"/>
      <c r="M509" s="664"/>
      <c r="N509" s="664"/>
      <c r="O509" s="664"/>
      <c r="P509" s="664"/>
      <c r="Q509" s="664"/>
      <c r="R509" s="664"/>
      <c r="S509" s="664"/>
      <c r="T509" s="664"/>
      <c r="U509" s="664"/>
      <c r="V509" s="664"/>
      <c r="W509" s="664"/>
      <c r="X509" s="664"/>
      <c r="Y509" s="664"/>
      <c r="Z509" s="664"/>
      <c r="AA509" s="664"/>
      <c r="AB509" s="664"/>
      <c r="AC509" s="664"/>
      <c r="AD509" s="664"/>
    </row>
    <row r="510" spans="1:30">
      <c r="A510" s="1239"/>
      <c r="B510" s="664"/>
      <c r="C510" s="664"/>
      <c r="D510" s="664"/>
      <c r="E510" s="664"/>
      <c r="F510" s="664"/>
      <c r="G510" s="664"/>
      <c r="H510" s="664"/>
      <c r="I510" s="664"/>
      <c r="J510" s="664"/>
      <c r="K510" s="664"/>
      <c r="L510" s="664"/>
      <c r="M510" s="664"/>
      <c r="N510" s="664"/>
      <c r="O510" s="664"/>
      <c r="P510" s="664"/>
      <c r="Q510" s="664"/>
      <c r="R510" s="664"/>
      <c r="S510" s="664"/>
      <c r="T510" s="664"/>
      <c r="U510" s="664"/>
      <c r="V510" s="664"/>
      <c r="W510" s="664"/>
      <c r="X510" s="664"/>
      <c r="Y510" s="664"/>
      <c r="Z510" s="664"/>
      <c r="AA510" s="664"/>
      <c r="AB510" s="664"/>
      <c r="AC510" s="664"/>
      <c r="AD510" s="664"/>
    </row>
    <row r="511" spans="1:30">
      <c r="A511" s="1239"/>
      <c r="B511" s="664"/>
      <c r="C511" s="664"/>
      <c r="D511" s="664"/>
      <c r="E511" s="664"/>
      <c r="F511" s="664"/>
      <c r="G511" s="664"/>
      <c r="H511" s="664"/>
      <c r="I511" s="664"/>
      <c r="J511" s="664"/>
      <c r="K511" s="664"/>
      <c r="L511" s="664"/>
      <c r="M511" s="664"/>
      <c r="N511" s="664"/>
      <c r="O511" s="664"/>
      <c r="P511" s="664"/>
      <c r="Q511" s="664"/>
      <c r="R511" s="664"/>
      <c r="S511" s="664"/>
      <c r="T511" s="664"/>
      <c r="U511" s="664"/>
      <c r="V511" s="664"/>
      <c r="W511" s="664"/>
      <c r="X511" s="664"/>
      <c r="Y511" s="664"/>
      <c r="Z511" s="664"/>
      <c r="AA511" s="664"/>
      <c r="AB511" s="664"/>
      <c r="AC511" s="664"/>
      <c r="AD511" s="664"/>
    </row>
    <row r="512" spans="1:30">
      <c r="A512" s="1239"/>
      <c r="B512" s="664"/>
      <c r="C512" s="664"/>
      <c r="D512" s="664"/>
      <c r="E512" s="664"/>
      <c r="F512" s="664"/>
      <c r="G512" s="664"/>
      <c r="H512" s="664"/>
      <c r="I512" s="664"/>
      <c r="J512" s="664"/>
      <c r="K512" s="664"/>
      <c r="L512" s="664"/>
      <c r="M512" s="664"/>
      <c r="N512" s="664"/>
      <c r="O512" s="664"/>
      <c r="P512" s="664"/>
      <c r="Q512" s="664"/>
      <c r="R512" s="664"/>
      <c r="S512" s="664"/>
      <c r="T512" s="664"/>
      <c r="U512" s="664"/>
      <c r="V512" s="664"/>
      <c r="W512" s="664"/>
      <c r="X512" s="664"/>
      <c r="Y512" s="664"/>
      <c r="Z512" s="664"/>
      <c r="AA512" s="664"/>
      <c r="AB512" s="664"/>
      <c r="AC512" s="664"/>
      <c r="AD512" s="664"/>
    </row>
    <row r="513" spans="1:30">
      <c r="A513" s="1239"/>
      <c r="B513" s="664"/>
      <c r="C513" s="664"/>
      <c r="D513" s="664"/>
      <c r="E513" s="664"/>
      <c r="F513" s="664"/>
      <c r="G513" s="664"/>
      <c r="H513" s="664"/>
      <c r="I513" s="664"/>
      <c r="J513" s="664"/>
      <c r="K513" s="664"/>
      <c r="L513" s="664"/>
      <c r="M513" s="664"/>
      <c r="N513" s="664"/>
      <c r="O513" s="664"/>
      <c r="P513" s="664"/>
      <c r="Q513" s="664"/>
      <c r="R513" s="664"/>
      <c r="S513" s="664"/>
      <c r="T513" s="664"/>
      <c r="U513" s="664"/>
      <c r="V513" s="664"/>
      <c r="W513" s="664"/>
      <c r="X513" s="664"/>
      <c r="Y513" s="664"/>
      <c r="Z513" s="664"/>
      <c r="AA513" s="664"/>
      <c r="AB513" s="664"/>
      <c r="AC513" s="664"/>
      <c r="AD513" s="664"/>
    </row>
    <row r="514" spans="1:30">
      <c r="A514" s="1239"/>
      <c r="B514" s="664"/>
      <c r="C514" s="664"/>
      <c r="D514" s="664"/>
      <c r="E514" s="664"/>
      <c r="F514" s="664"/>
      <c r="G514" s="664"/>
      <c r="H514" s="664"/>
      <c r="I514" s="664"/>
      <c r="J514" s="664"/>
      <c r="K514" s="664"/>
      <c r="L514" s="664"/>
      <c r="M514" s="664"/>
      <c r="N514" s="664"/>
      <c r="O514" s="664"/>
      <c r="P514" s="664"/>
      <c r="Q514" s="664"/>
      <c r="R514" s="664"/>
      <c r="S514" s="664"/>
      <c r="T514" s="664"/>
      <c r="U514" s="664"/>
      <c r="V514" s="664"/>
      <c r="W514" s="664"/>
      <c r="X514" s="664"/>
      <c r="Y514" s="664"/>
      <c r="Z514" s="664"/>
      <c r="AA514" s="664"/>
      <c r="AB514" s="664"/>
      <c r="AC514" s="664"/>
      <c r="AD514" s="664"/>
    </row>
    <row r="515" spans="1:30">
      <c r="A515" s="1239"/>
      <c r="B515" s="664"/>
      <c r="C515" s="664"/>
      <c r="D515" s="664"/>
      <c r="E515" s="664"/>
      <c r="F515" s="664"/>
      <c r="G515" s="664"/>
      <c r="H515" s="664"/>
      <c r="I515" s="664"/>
      <c r="J515" s="664"/>
      <c r="K515" s="664"/>
      <c r="L515" s="664"/>
      <c r="M515" s="664"/>
      <c r="N515" s="664"/>
      <c r="O515" s="664"/>
      <c r="P515" s="664"/>
      <c r="Q515" s="664"/>
      <c r="R515" s="664"/>
      <c r="S515" s="664"/>
      <c r="T515" s="664"/>
      <c r="U515" s="664"/>
      <c r="V515" s="664"/>
      <c r="W515" s="664"/>
      <c r="X515" s="664"/>
      <c r="Y515" s="664"/>
      <c r="Z515" s="664"/>
      <c r="AA515" s="664"/>
      <c r="AB515" s="664"/>
      <c r="AC515" s="664"/>
      <c r="AD515" s="664"/>
    </row>
    <row r="516" spans="1:30">
      <c r="A516" s="1239"/>
      <c r="B516" s="664"/>
      <c r="C516" s="664"/>
      <c r="D516" s="664"/>
      <c r="E516" s="664"/>
      <c r="F516" s="664"/>
      <c r="G516" s="664"/>
      <c r="H516" s="664"/>
      <c r="I516" s="664"/>
      <c r="J516" s="664"/>
      <c r="K516" s="664"/>
      <c r="L516" s="664"/>
      <c r="M516" s="664"/>
      <c r="N516" s="664"/>
      <c r="O516" s="664"/>
      <c r="P516" s="664"/>
      <c r="Q516" s="664"/>
      <c r="R516" s="664"/>
      <c r="S516" s="664"/>
      <c r="T516" s="664"/>
      <c r="U516" s="664"/>
      <c r="V516" s="664"/>
      <c r="W516" s="664"/>
      <c r="X516" s="664"/>
      <c r="Y516" s="664"/>
      <c r="Z516" s="664"/>
      <c r="AA516" s="664"/>
      <c r="AB516" s="664"/>
      <c r="AC516" s="664"/>
      <c r="AD516" s="664"/>
    </row>
    <row r="517" spans="1:30">
      <c r="A517" s="1239"/>
      <c r="B517" s="664"/>
      <c r="C517" s="664"/>
      <c r="D517" s="664"/>
      <c r="E517" s="664"/>
      <c r="F517" s="664"/>
      <c r="G517" s="664"/>
      <c r="H517" s="664"/>
      <c r="I517" s="664"/>
      <c r="J517" s="664"/>
      <c r="K517" s="664"/>
      <c r="L517" s="664"/>
      <c r="M517" s="664"/>
      <c r="N517" s="664"/>
      <c r="O517" s="664"/>
      <c r="P517" s="664"/>
      <c r="Q517" s="664"/>
      <c r="R517" s="664"/>
      <c r="S517" s="664"/>
      <c r="T517" s="664"/>
      <c r="U517" s="664"/>
      <c r="V517" s="664"/>
      <c r="W517" s="664"/>
      <c r="X517" s="664"/>
      <c r="Y517" s="664"/>
      <c r="Z517" s="664"/>
      <c r="AA517" s="664"/>
      <c r="AB517" s="664"/>
      <c r="AC517" s="664"/>
      <c r="AD517" s="664"/>
    </row>
    <row r="518" spans="1:30">
      <c r="A518" s="1239"/>
      <c r="B518" s="664"/>
      <c r="C518" s="664"/>
      <c r="D518" s="664"/>
      <c r="E518" s="664"/>
      <c r="F518" s="664"/>
      <c r="G518" s="664"/>
      <c r="H518" s="664"/>
      <c r="I518" s="664"/>
      <c r="J518" s="664"/>
      <c r="K518" s="664"/>
      <c r="L518" s="664"/>
      <c r="M518" s="664"/>
      <c r="N518" s="664"/>
      <c r="O518" s="664"/>
      <c r="P518" s="664"/>
      <c r="Q518" s="664"/>
      <c r="R518" s="664"/>
      <c r="S518" s="664"/>
      <c r="T518" s="664"/>
      <c r="U518" s="664"/>
      <c r="V518" s="664"/>
      <c r="W518" s="664"/>
      <c r="X518" s="664"/>
      <c r="Y518" s="664"/>
      <c r="Z518" s="664"/>
      <c r="AA518" s="664"/>
      <c r="AB518" s="664"/>
      <c r="AC518" s="664"/>
      <c r="AD518" s="664"/>
    </row>
    <row r="519" spans="1:30">
      <c r="A519" s="1239"/>
      <c r="B519" s="664"/>
      <c r="C519" s="664"/>
      <c r="D519" s="664"/>
      <c r="E519" s="664"/>
      <c r="F519" s="664"/>
      <c r="G519" s="664"/>
      <c r="H519" s="664"/>
      <c r="I519" s="664"/>
      <c r="J519" s="664"/>
      <c r="K519" s="664"/>
      <c r="L519" s="664"/>
      <c r="M519" s="664"/>
      <c r="N519" s="664"/>
      <c r="O519" s="664"/>
      <c r="P519" s="664"/>
      <c r="Q519" s="664"/>
      <c r="R519" s="664"/>
      <c r="S519" s="664"/>
      <c r="T519" s="664"/>
      <c r="U519" s="664"/>
      <c r="V519" s="664"/>
      <c r="W519" s="664"/>
      <c r="X519" s="664"/>
      <c r="Y519" s="664"/>
      <c r="Z519" s="664"/>
      <c r="AA519" s="664"/>
      <c r="AB519" s="664"/>
      <c r="AC519" s="664"/>
      <c r="AD519" s="664"/>
    </row>
    <row r="520" spans="1:30">
      <c r="A520" s="1239"/>
      <c r="B520" s="664"/>
      <c r="C520" s="664"/>
      <c r="D520" s="664"/>
      <c r="E520" s="664"/>
      <c r="F520" s="664"/>
      <c r="G520" s="664"/>
      <c r="H520" s="664"/>
      <c r="I520" s="664"/>
      <c r="J520" s="664"/>
      <c r="K520" s="664"/>
      <c r="L520" s="664"/>
      <c r="M520" s="664"/>
      <c r="N520" s="664"/>
      <c r="O520" s="664"/>
      <c r="P520" s="664"/>
      <c r="Q520" s="664"/>
      <c r="R520" s="664"/>
      <c r="S520" s="664"/>
      <c r="T520" s="664"/>
      <c r="U520" s="664"/>
      <c r="V520" s="664"/>
      <c r="W520" s="664"/>
      <c r="X520" s="664"/>
      <c r="Y520" s="664"/>
      <c r="Z520" s="664"/>
      <c r="AA520" s="664"/>
      <c r="AB520" s="664"/>
      <c r="AC520" s="664"/>
      <c r="AD520" s="664"/>
    </row>
    <row r="521" spans="1:30">
      <c r="A521" s="1239"/>
      <c r="B521" s="664"/>
      <c r="C521" s="664"/>
      <c r="D521" s="664"/>
      <c r="E521" s="664"/>
      <c r="F521" s="664"/>
      <c r="G521" s="664"/>
      <c r="H521" s="664"/>
      <c r="I521" s="664"/>
      <c r="J521" s="664"/>
      <c r="K521" s="664"/>
      <c r="L521" s="664"/>
      <c r="M521" s="664"/>
      <c r="N521" s="664"/>
      <c r="O521" s="664"/>
      <c r="P521" s="664"/>
      <c r="Q521" s="664"/>
      <c r="R521" s="664"/>
      <c r="S521" s="664"/>
      <c r="T521" s="664"/>
      <c r="U521" s="664"/>
      <c r="V521" s="664"/>
      <c r="W521" s="664"/>
      <c r="X521" s="664"/>
      <c r="Y521" s="664"/>
      <c r="Z521" s="664"/>
      <c r="AA521" s="664"/>
      <c r="AB521" s="664"/>
      <c r="AC521" s="664"/>
      <c r="AD521" s="664"/>
    </row>
    <row r="522" spans="1:30">
      <c r="A522" s="1239"/>
      <c r="B522" s="664"/>
      <c r="C522" s="664"/>
      <c r="D522" s="664"/>
      <c r="E522" s="664"/>
      <c r="F522" s="664"/>
      <c r="G522" s="664"/>
      <c r="H522" s="664"/>
      <c r="I522" s="664"/>
      <c r="J522" s="664"/>
      <c r="K522" s="664"/>
      <c r="L522" s="664"/>
      <c r="M522" s="664"/>
      <c r="N522" s="664"/>
      <c r="O522" s="664"/>
      <c r="P522" s="664"/>
      <c r="Q522" s="664"/>
      <c r="R522" s="664"/>
      <c r="S522" s="664"/>
      <c r="T522" s="664"/>
      <c r="U522" s="664"/>
      <c r="V522" s="664"/>
      <c r="W522" s="664"/>
      <c r="X522" s="664"/>
      <c r="Y522" s="664"/>
      <c r="Z522" s="664"/>
      <c r="AA522" s="664"/>
      <c r="AB522" s="664"/>
      <c r="AC522" s="664"/>
      <c r="AD522" s="664"/>
    </row>
    <row r="523" spans="1:30">
      <c r="A523" s="1239"/>
      <c r="B523" s="664"/>
      <c r="C523" s="664"/>
      <c r="D523" s="664"/>
      <c r="E523" s="664"/>
      <c r="F523" s="664"/>
      <c r="G523" s="664"/>
      <c r="H523" s="664"/>
      <c r="I523" s="664"/>
      <c r="J523" s="664"/>
      <c r="K523" s="664"/>
      <c r="L523" s="664"/>
      <c r="M523" s="664"/>
      <c r="N523" s="664"/>
      <c r="O523" s="664"/>
      <c r="P523" s="664"/>
      <c r="Q523" s="664"/>
      <c r="R523" s="664"/>
      <c r="S523" s="664"/>
      <c r="T523" s="664"/>
      <c r="U523" s="664"/>
      <c r="V523" s="664"/>
      <c r="W523" s="664"/>
      <c r="X523" s="664"/>
      <c r="Y523" s="664"/>
      <c r="Z523" s="664"/>
      <c r="AA523" s="664"/>
      <c r="AB523" s="664"/>
      <c r="AC523" s="664"/>
      <c r="AD523" s="664"/>
    </row>
    <row r="524" spans="1:30">
      <c r="A524" s="1239"/>
      <c r="B524" s="664"/>
      <c r="C524" s="664"/>
      <c r="D524" s="664"/>
      <c r="E524" s="664"/>
      <c r="F524" s="664"/>
      <c r="G524" s="664"/>
      <c r="H524" s="664"/>
      <c r="I524" s="664"/>
      <c r="J524" s="664"/>
      <c r="K524" s="664"/>
      <c r="L524" s="664"/>
      <c r="M524" s="664"/>
      <c r="N524" s="664"/>
      <c r="O524" s="664"/>
      <c r="P524" s="664"/>
      <c r="Q524" s="664"/>
      <c r="R524" s="664"/>
      <c r="S524" s="664"/>
      <c r="T524" s="664"/>
      <c r="U524" s="664"/>
      <c r="V524" s="664"/>
      <c r="W524" s="664"/>
      <c r="X524" s="664"/>
      <c r="Y524" s="664"/>
      <c r="Z524" s="664"/>
      <c r="AA524" s="664"/>
      <c r="AB524" s="664"/>
      <c r="AC524" s="664"/>
      <c r="AD524" s="664"/>
    </row>
    <row r="525" spans="1:30">
      <c r="A525" s="1239"/>
      <c r="B525" s="664"/>
      <c r="C525" s="664"/>
      <c r="D525" s="664"/>
      <c r="E525" s="664"/>
      <c r="F525" s="664"/>
      <c r="G525" s="664"/>
      <c r="H525" s="664"/>
      <c r="I525" s="664"/>
      <c r="J525" s="664"/>
      <c r="K525" s="664"/>
      <c r="L525" s="664"/>
      <c r="M525" s="664"/>
      <c r="N525" s="664"/>
      <c r="O525" s="664"/>
      <c r="P525" s="664"/>
      <c r="Q525" s="664"/>
      <c r="R525" s="664"/>
      <c r="S525" s="664"/>
      <c r="T525" s="664"/>
      <c r="U525" s="664"/>
      <c r="V525" s="664"/>
      <c r="W525" s="664"/>
      <c r="X525" s="664"/>
      <c r="Y525" s="664"/>
      <c r="Z525" s="664"/>
      <c r="AA525" s="664"/>
      <c r="AB525" s="664"/>
      <c r="AC525" s="664"/>
      <c r="AD525" s="664"/>
    </row>
    <row r="526" spans="1:30">
      <c r="A526" s="1239"/>
      <c r="B526" s="664"/>
      <c r="C526" s="664"/>
      <c r="D526" s="664"/>
      <c r="E526" s="664"/>
      <c r="F526" s="664"/>
      <c r="G526" s="664"/>
      <c r="H526" s="664"/>
      <c r="I526" s="664"/>
      <c r="J526" s="664"/>
      <c r="K526" s="664"/>
      <c r="L526" s="664"/>
      <c r="M526" s="664"/>
      <c r="N526" s="664"/>
      <c r="O526" s="664"/>
      <c r="P526" s="664"/>
      <c r="Q526" s="664"/>
      <c r="R526" s="664"/>
      <c r="S526" s="664"/>
      <c r="T526" s="664"/>
      <c r="U526" s="664"/>
      <c r="V526" s="664"/>
      <c r="W526" s="664"/>
      <c r="X526" s="664"/>
      <c r="Y526" s="664"/>
      <c r="Z526" s="664"/>
      <c r="AA526" s="664"/>
      <c r="AB526" s="664"/>
      <c r="AC526" s="664"/>
      <c r="AD526" s="664"/>
    </row>
    <row r="527" spans="1:30">
      <c r="A527" s="1239"/>
      <c r="B527" s="664"/>
      <c r="C527" s="664"/>
      <c r="D527" s="664"/>
      <c r="E527" s="664"/>
      <c r="F527" s="664"/>
      <c r="G527" s="664"/>
      <c r="H527" s="664"/>
      <c r="I527" s="664"/>
      <c r="J527" s="664"/>
      <c r="K527" s="664"/>
      <c r="L527" s="664"/>
      <c r="M527" s="664"/>
      <c r="N527" s="664"/>
      <c r="O527" s="664"/>
      <c r="P527" s="664"/>
      <c r="Q527" s="664"/>
      <c r="R527" s="664"/>
      <c r="S527" s="664"/>
      <c r="T527" s="664"/>
      <c r="U527" s="664"/>
      <c r="V527" s="664"/>
      <c r="W527" s="664"/>
      <c r="X527" s="664"/>
      <c r="Y527" s="664"/>
      <c r="Z527" s="664"/>
      <c r="AA527" s="664"/>
      <c r="AB527" s="664"/>
      <c r="AC527" s="664"/>
      <c r="AD527" s="664"/>
    </row>
    <row r="528" spans="1:30">
      <c r="A528" s="1239"/>
      <c r="B528" s="664"/>
      <c r="C528" s="664"/>
      <c r="D528" s="664"/>
      <c r="E528" s="664"/>
      <c r="F528" s="664"/>
      <c r="G528" s="664"/>
      <c r="H528" s="664"/>
      <c r="I528" s="664"/>
      <c r="J528" s="664"/>
      <c r="K528" s="664"/>
      <c r="L528" s="664"/>
      <c r="M528" s="664"/>
      <c r="N528" s="664"/>
      <c r="O528" s="664"/>
      <c r="P528" s="664"/>
      <c r="Q528" s="664"/>
      <c r="R528" s="664"/>
      <c r="S528" s="664"/>
      <c r="T528" s="664"/>
      <c r="U528" s="664"/>
      <c r="V528" s="664"/>
      <c r="W528" s="664"/>
      <c r="X528" s="664"/>
      <c r="Y528" s="664"/>
      <c r="Z528" s="664"/>
      <c r="AA528" s="664"/>
      <c r="AB528" s="664"/>
      <c r="AC528" s="664"/>
      <c r="AD528" s="664"/>
    </row>
    <row r="529" spans="1:30">
      <c r="A529" s="1239"/>
      <c r="B529" s="664"/>
      <c r="C529" s="664"/>
      <c r="D529" s="664"/>
      <c r="E529" s="664"/>
      <c r="F529" s="664"/>
      <c r="G529" s="664"/>
      <c r="H529" s="664"/>
      <c r="I529" s="664"/>
      <c r="J529" s="664"/>
      <c r="K529" s="664"/>
      <c r="L529" s="664"/>
      <c r="M529" s="664"/>
      <c r="N529" s="664"/>
      <c r="O529" s="664"/>
      <c r="P529" s="664"/>
      <c r="Q529" s="664"/>
      <c r="R529" s="664"/>
      <c r="S529" s="664"/>
      <c r="T529" s="664"/>
      <c r="U529" s="664"/>
      <c r="V529" s="664"/>
      <c r="W529" s="664"/>
      <c r="X529" s="664"/>
      <c r="Y529" s="664"/>
      <c r="Z529" s="664"/>
      <c r="AA529" s="664"/>
      <c r="AB529" s="664"/>
      <c r="AC529" s="664"/>
      <c r="AD529" s="664"/>
    </row>
    <row r="530" spans="1:30">
      <c r="A530" s="1239"/>
      <c r="B530" s="664"/>
      <c r="C530" s="664"/>
      <c r="D530" s="664"/>
      <c r="E530" s="664"/>
      <c r="F530" s="664"/>
      <c r="G530" s="664"/>
      <c r="H530" s="664"/>
      <c r="I530" s="664"/>
      <c r="J530" s="664"/>
      <c r="K530" s="664"/>
      <c r="L530" s="664"/>
      <c r="M530" s="664"/>
      <c r="N530" s="664"/>
      <c r="O530" s="664"/>
      <c r="P530" s="664"/>
      <c r="Q530" s="664"/>
      <c r="R530" s="664"/>
      <c r="S530" s="664"/>
      <c r="T530" s="664"/>
      <c r="U530" s="664"/>
      <c r="V530" s="664"/>
      <c r="W530" s="664"/>
      <c r="X530" s="664"/>
      <c r="Y530" s="664"/>
      <c r="Z530" s="664"/>
      <c r="AA530" s="664"/>
      <c r="AB530" s="664"/>
      <c r="AC530" s="664"/>
      <c r="AD530" s="664"/>
    </row>
    <row r="531" spans="1:30">
      <c r="A531" s="1239"/>
      <c r="B531" s="664"/>
      <c r="C531" s="664"/>
      <c r="D531" s="664"/>
      <c r="E531" s="664"/>
      <c r="F531" s="664"/>
      <c r="G531" s="664"/>
      <c r="H531" s="664"/>
      <c r="I531" s="664"/>
      <c r="J531" s="664"/>
      <c r="K531" s="664"/>
      <c r="L531" s="664"/>
      <c r="M531" s="664"/>
      <c r="N531" s="664"/>
      <c r="O531" s="664"/>
      <c r="P531" s="664"/>
      <c r="Q531" s="664"/>
      <c r="R531" s="664"/>
      <c r="S531" s="664"/>
      <c r="T531" s="664"/>
      <c r="U531" s="664"/>
      <c r="V531" s="664"/>
      <c r="W531" s="664"/>
      <c r="X531" s="664"/>
      <c r="Y531" s="664"/>
      <c r="Z531" s="664"/>
      <c r="AA531" s="664"/>
      <c r="AB531" s="664"/>
      <c r="AC531" s="664"/>
      <c r="AD531" s="664"/>
    </row>
    <row r="532" spans="1:30">
      <c r="A532" s="1239"/>
      <c r="B532" s="664"/>
      <c r="C532" s="664"/>
      <c r="D532" s="664"/>
      <c r="E532" s="664"/>
      <c r="F532" s="664"/>
      <c r="G532" s="664"/>
      <c r="H532" s="664"/>
      <c r="I532" s="664"/>
      <c r="J532" s="664"/>
      <c r="K532" s="664"/>
      <c r="L532" s="664"/>
      <c r="M532" s="664"/>
      <c r="N532" s="664"/>
      <c r="O532" s="664"/>
      <c r="P532" s="664"/>
      <c r="Q532" s="664"/>
      <c r="R532" s="664"/>
      <c r="S532" s="664"/>
      <c r="T532" s="664"/>
      <c r="U532" s="664"/>
      <c r="V532" s="664"/>
      <c r="W532" s="664"/>
      <c r="X532" s="664"/>
      <c r="Y532" s="664"/>
      <c r="Z532" s="664"/>
      <c r="AA532" s="664"/>
      <c r="AB532" s="664"/>
      <c r="AC532" s="664"/>
      <c r="AD532" s="664"/>
    </row>
    <row r="533" spans="1:30">
      <c r="A533" s="1239"/>
      <c r="B533" s="664"/>
      <c r="C533" s="664"/>
      <c r="D533" s="664"/>
      <c r="E533" s="664"/>
      <c r="F533" s="664"/>
      <c r="G533" s="664"/>
      <c r="H533" s="664"/>
      <c r="I533" s="664"/>
      <c r="J533" s="664"/>
      <c r="K533" s="664"/>
      <c r="L533" s="664"/>
      <c r="M533" s="664"/>
      <c r="N533" s="664"/>
      <c r="O533" s="664"/>
      <c r="P533" s="664"/>
      <c r="Q533" s="664"/>
      <c r="R533" s="664"/>
      <c r="S533" s="664"/>
      <c r="T533" s="664"/>
      <c r="U533" s="664"/>
      <c r="V533" s="664"/>
      <c r="W533" s="664"/>
      <c r="X533" s="664"/>
      <c r="Y533" s="664"/>
      <c r="Z533" s="664"/>
      <c r="AA533" s="664"/>
      <c r="AB533" s="664"/>
      <c r="AC533" s="664"/>
      <c r="AD533" s="664"/>
    </row>
    <row r="534" spans="1:30">
      <c r="A534" s="1239"/>
      <c r="B534" s="664"/>
      <c r="C534" s="664"/>
      <c r="D534" s="664"/>
      <c r="E534" s="664"/>
      <c r="F534" s="664"/>
      <c r="G534" s="664"/>
      <c r="H534" s="664"/>
      <c r="I534" s="664"/>
      <c r="J534" s="664"/>
      <c r="K534" s="664"/>
      <c r="L534" s="664"/>
      <c r="M534" s="664"/>
      <c r="N534" s="664"/>
      <c r="O534" s="664"/>
      <c r="P534" s="664"/>
      <c r="Q534" s="664"/>
      <c r="R534" s="664"/>
      <c r="S534" s="664"/>
      <c r="T534" s="664"/>
      <c r="U534" s="664"/>
      <c r="V534" s="664"/>
      <c r="W534" s="664"/>
      <c r="X534" s="664"/>
      <c r="Y534" s="664"/>
      <c r="Z534" s="664"/>
      <c r="AA534" s="664"/>
      <c r="AB534" s="664"/>
      <c r="AC534" s="664"/>
      <c r="AD534" s="664"/>
    </row>
    <row r="535" spans="1:30">
      <c r="A535" s="1239"/>
      <c r="B535" s="664"/>
      <c r="C535" s="664"/>
      <c r="D535" s="664"/>
      <c r="E535" s="664"/>
      <c r="F535" s="664"/>
      <c r="G535" s="664"/>
      <c r="H535" s="664"/>
      <c r="I535" s="664"/>
      <c r="J535" s="664"/>
      <c r="K535" s="664"/>
      <c r="L535" s="664"/>
      <c r="M535" s="664"/>
      <c r="N535" s="664"/>
      <c r="O535" s="664"/>
      <c r="P535" s="664"/>
      <c r="Q535" s="664"/>
      <c r="R535" s="664"/>
      <c r="S535" s="664"/>
      <c r="T535" s="664"/>
      <c r="U535" s="664"/>
      <c r="V535" s="664"/>
      <c r="W535" s="664"/>
      <c r="X535" s="664"/>
      <c r="Y535" s="664"/>
      <c r="Z535" s="664"/>
      <c r="AA535" s="664"/>
      <c r="AB535" s="664"/>
      <c r="AC535" s="664"/>
      <c r="AD535" s="664"/>
    </row>
    <row r="536" spans="1:30">
      <c r="A536" s="1239"/>
      <c r="B536" s="664"/>
      <c r="C536" s="664"/>
      <c r="D536" s="664"/>
      <c r="E536" s="664"/>
      <c r="F536" s="664"/>
      <c r="G536" s="664"/>
      <c r="H536" s="664"/>
      <c r="I536" s="664"/>
      <c r="J536" s="664"/>
      <c r="K536" s="664"/>
      <c r="L536" s="664"/>
      <c r="M536" s="664"/>
      <c r="N536" s="664"/>
      <c r="O536" s="664"/>
      <c r="P536" s="664"/>
      <c r="Q536" s="664"/>
      <c r="R536" s="664"/>
      <c r="S536" s="664"/>
      <c r="T536" s="664"/>
      <c r="U536" s="664"/>
      <c r="V536" s="664"/>
      <c r="W536" s="664"/>
      <c r="X536" s="664"/>
      <c r="Y536" s="664"/>
      <c r="Z536" s="664"/>
      <c r="AA536" s="664"/>
      <c r="AB536" s="664"/>
      <c r="AC536" s="664"/>
      <c r="AD536" s="664"/>
    </row>
    <row r="537" spans="1:30">
      <c r="A537" s="1239"/>
      <c r="B537" s="664"/>
      <c r="C537" s="664"/>
      <c r="D537" s="664"/>
      <c r="E537" s="664"/>
      <c r="F537" s="664"/>
      <c r="G537" s="664"/>
      <c r="H537" s="664"/>
      <c r="I537" s="664"/>
      <c r="J537" s="664"/>
      <c r="K537" s="664"/>
      <c r="L537" s="664"/>
      <c r="M537" s="664"/>
      <c r="N537" s="664"/>
      <c r="O537" s="664"/>
      <c r="P537" s="664"/>
      <c r="Q537" s="664"/>
      <c r="R537" s="664"/>
      <c r="S537" s="664"/>
      <c r="T537" s="664"/>
      <c r="U537" s="664"/>
      <c r="V537" s="664"/>
      <c r="W537" s="664"/>
      <c r="X537" s="664"/>
      <c r="Y537" s="664"/>
      <c r="Z537" s="664"/>
      <c r="AA537" s="664"/>
      <c r="AB537" s="664"/>
      <c r="AC537" s="664"/>
      <c r="AD537" s="664"/>
    </row>
    <row r="538" spans="1:30">
      <c r="A538" s="1239"/>
      <c r="B538" s="664"/>
      <c r="C538" s="664"/>
      <c r="D538" s="664"/>
      <c r="E538" s="664"/>
      <c r="F538" s="664"/>
      <c r="G538" s="664"/>
      <c r="H538" s="664"/>
      <c r="I538" s="664"/>
      <c r="J538" s="664"/>
      <c r="K538" s="664"/>
      <c r="L538" s="664"/>
      <c r="M538" s="664"/>
      <c r="N538" s="664"/>
      <c r="O538" s="664"/>
      <c r="P538" s="664"/>
      <c r="Q538" s="664"/>
      <c r="R538" s="664"/>
      <c r="S538" s="664"/>
      <c r="T538" s="664"/>
      <c r="U538" s="664"/>
      <c r="V538" s="664"/>
      <c r="W538" s="664"/>
      <c r="X538" s="664"/>
      <c r="Y538" s="664"/>
      <c r="Z538" s="664"/>
      <c r="AA538" s="664"/>
      <c r="AB538" s="664"/>
      <c r="AC538" s="664"/>
      <c r="AD538" s="664"/>
    </row>
    <row r="539" spans="1:30">
      <c r="A539" s="1239"/>
      <c r="B539" s="664"/>
      <c r="C539" s="664"/>
      <c r="D539" s="664"/>
      <c r="E539" s="664"/>
      <c r="F539" s="664"/>
      <c r="G539" s="664"/>
      <c r="H539" s="664"/>
      <c r="I539" s="664"/>
      <c r="J539" s="664"/>
      <c r="K539" s="664"/>
      <c r="L539" s="664"/>
      <c r="M539" s="664"/>
      <c r="N539" s="664"/>
      <c r="O539" s="664"/>
      <c r="P539" s="664"/>
      <c r="Q539" s="664"/>
      <c r="R539" s="664"/>
      <c r="S539" s="664"/>
      <c r="T539" s="664"/>
      <c r="U539" s="664"/>
      <c r="V539" s="664"/>
      <c r="W539" s="664"/>
      <c r="X539" s="664"/>
      <c r="Y539" s="664"/>
      <c r="Z539" s="664"/>
      <c r="AA539" s="664"/>
      <c r="AB539" s="664"/>
      <c r="AC539" s="664"/>
      <c r="AD539" s="664"/>
    </row>
    <row r="540" spans="1:30">
      <c r="A540" s="1239"/>
      <c r="B540" s="664"/>
      <c r="C540" s="664"/>
      <c r="D540" s="664"/>
      <c r="E540" s="664"/>
      <c r="F540" s="664"/>
      <c r="G540" s="664"/>
      <c r="H540" s="664"/>
      <c r="I540" s="664"/>
      <c r="J540" s="664"/>
      <c r="K540" s="664"/>
      <c r="L540" s="664"/>
      <c r="M540" s="664"/>
      <c r="N540" s="664"/>
      <c r="O540" s="664"/>
      <c r="P540" s="664"/>
      <c r="Q540" s="664"/>
      <c r="R540" s="664"/>
      <c r="S540" s="664"/>
      <c r="T540" s="664"/>
      <c r="U540" s="664"/>
      <c r="V540" s="664"/>
      <c r="W540" s="664"/>
      <c r="X540" s="664"/>
      <c r="Y540" s="664"/>
      <c r="Z540" s="664"/>
      <c r="AA540" s="664"/>
      <c r="AB540" s="664"/>
      <c r="AC540" s="664"/>
      <c r="AD540" s="664"/>
    </row>
    <row r="541" spans="1:30">
      <c r="A541" s="1239"/>
      <c r="B541" s="664"/>
      <c r="C541" s="664"/>
      <c r="D541" s="664"/>
      <c r="E541" s="664"/>
      <c r="F541" s="664"/>
      <c r="G541" s="664"/>
      <c r="H541" s="664"/>
      <c r="I541" s="664"/>
      <c r="J541" s="664"/>
      <c r="K541" s="664"/>
      <c r="L541" s="664"/>
      <c r="M541" s="664"/>
      <c r="N541" s="664"/>
      <c r="O541" s="664"/>
      <c r="P541" s="664"/>
      <c r="Q541" s="664"/>
      <c r="R541" s="664"/>
      <c r="S541" s="664"/>
      <c r="T541" s="664"/>
      <c r="U541" s="664"/>
      <c r="V541" s="664"/>
      <c r="W541" s="664"/>
      <c r="X541" s="664"/>
      <c r="Y541" s="664"/>
      <c r="Z541" s="664"/>
      <c r="AA541" s="664"/>
      <c r="AB541" s="664"/>
      <c r="AC541" s="664"/>
      <c r="AD541" s="664"/>
    </row>
    <row r="542" spans="1:30">
      <c r="A542" s="1239"/>
      <c r="B542" s="664"/>
      <c r="C542" s="664"/>
      <c r="D542" s="664"/>
      <c r="E542" s="664"/>
      <c r="F542" s="664"/>
      <c r="G542" s="664"/>
      <c r="H542" s="664"/>
      <c r="I542" s="664"/>
      <c r="J542" s="664"/>
      <c r="K542" s="664"/>
      <c r="L542" s="664"/>
      <c r="M542" s="664"/>
      <c r="N542" s="664"/>
      <c r="O542" s="664"/>
      <c r="P542" s="664"/>
      <c r="Q542" s="664"/>
      <c r="R542" s="664"/>
      <c r="S542" s="664"/>
      <c r="T542" s="664"/>
      <c r="U542" s="664"/>
      <c r="V542" s="664"/>
      <c r="W542" s="664"/>
      <c r="X542" s="664"/>
      <c r="Y542" s="664"/>
      <c r="Z542" s="664"/>
      <c r="AA542" s="664"/>
      <c r="AB542" s="664"/>
      <c r="AC542" s="664"/>
      <c r="AD542" s="664"/>
    </row>
    <row r="543" spans="1:30">
      <c r="A543" s="1239"/>
      <c r="B543" s="664"/>
      <c r="C543" s="664"/>
      <c r="D543" s="664"/>
      <c r="E543" s="664"/>
      <c r="F543" s="664"/>
      <c r="G543" s="664"/>
      <c r="H543" s="664"/>
      <c r="I543" s="664"/>
      <c r="J543" s="664"/>
      <c r="K543" s="664"/>
      <c r="L543" s="664"/>
      <c r="M543" s="664"/>
      <c r="N543" s="664"/>
      <c r="O543" s="664"/>
      <c r="P543" s="664"/>
      <c r="Q543" s="664"/>
      <c r="R543" s="664"/>
      <c r="S543" s="664"/>
      <c r="T543" s="664"/>
      <c r="U543" s="664"/>
      <c r="V543" s="664"/>
      <c r="W543" s="664"/>
      <c r="X543" s="664"/>
      <c r="Y543" s="664"/>
      <c r="Z543" s="664"/>
      <c r="AA543" s="664"/>
      <c r="AB543" s="664"/>
      <c r="AC543" s="664"/>
      <c r="AD543" s="664"/>
    </row>
    <row r="544" spans="1:30">
      <c r="A544" s="1239"/>
      <c r="B544" s="664"/>
      <c r="C544" s="664"/>
      <c r="D544" s="664"/>
      <c r="E544" s="664"/>
      <c r="F544" s="664"/>
      <c r="G544" s="664"/>
      <c r="H544" s="664"/>
      <c r="I544" s="664"/>
      <c r="J544" s="664"/>
      <c r="K544" s="664"/>
      <c r="L544" s="664"/>
      <c r="M544" s="664"/>
      <c r="N544" s="664"/>
      <c r="O544" s="664"/>
      <c r="P544" s="664"/>
      <c r="Q544" s="664"/>
      <c r="R544" s="664"/>
      <c r="S544" s="664"/>
      <c r="T544" s="664"/>
      <c r="U544" s="664"/>
      <c r="V544" s="664"/>
      <c r="W544" s="664"/>
      <c r="X544" s="664"/>
      <c r="Y544" s="664"/>
      <c r="Z544" s="664"/>
      <c r="AA544" s="664"/>
      <c r="AB544" s="664"/>
      <c r="AC544" s="664"/>
      <c r="AD544" s="664"/>
    </row>
    <row r="545" spans="1:30">
      <c r="A545" s="1239"/>
      <c r="B545" s="664"/>
      <c r="C545" s="664"/>
      <c r="D545" s="664"/>
      <c r="E545" s="664"/>
      <c r="F545" s="664"/>
      <c r="G545" s="664"/>
      <c r="H545" s="664"/>
      <c r="I545" s="664"/>
      <c r="J545" s="664"/>
      <c r="K545" s="664"/>
      <c r="L545" s="664"/>
      <c r="M545" s="664"/>
      <c r="N545" s="664"/>
      <c r="O545" s="664"/>
      <c r="P545" s="664"/>
      <c r="Q545" s="664"/>
      <c r="R545" s="664"/>
      <c r="S545" s="664"/>
      <c r="T545" s="664"/>
      <c r="U545" s="664"/>
      <c r="V545" s="664"/>
      <c r="W545" s="664"/>
      <c r="X545" s="664"/>
      <c r="Y545" s="664"/>
      <c r="Z545" s="664"/>
      <c r="AA545" s="664"/>
      <c r="AB545" s="664"/>
      <c r="AC545" s="664"/>
      <c r="AD545" s="664"/>
    </row>
    <row r="546" spans="1:30">
      <c r="A546" s="1239"/>
      <c r="B546" s="664"/>
      <c r="C546" s="664"/>
      <c r="D546" s="664"/>
      <c r="E546" s="664"/>
      <c r="F546" s="664"/>
      <c r="G546" s="664"/>
      <c r="H546" s="664"/>
      <c r="I546" s="664"/>
      <c r="J546" s="664"/>
      <c r="K546" s="664"/>
      <c r="L546" s="664"/>
      <c r="M546" s="664"/>
      <c r="N546" s="664"/>
      <c r="O546" s="664"/>
      <c r="P546" s="664"/>
      <c r="Q546" s="664"/>
      <c r="R546" s="664"/>
      <c r="S546" s="664"/>
      <c r="T546" s="664"/>
      <c r="U546" s="664"/>
      <c r="V546" s="664"/>
      <c r="W546" s="664"/>
      <c r="X546" s="664"/>
      <c r="Y546" s="664"/>
      <c r="Z546" s="664"/>
      <c r="AA546" s="664"/>
      <c r="AB546" s="664"/>
      <c r="AC546" s="664"/>
      <c r="AD546" s="664"/>
    </row>
    <row r="547" spans="1:30">
      <c r="A547" s="1239"/>
      <c r="B547" s="664"/>
      <c r="C547" s="664"/>
      <c r="D547" s="664"/>
      <c r="E547" s="664"/>
      <c r="F547" s="664"/>
      <c r="G547" s="664"/>
      <c r="H547" s="664"/>
      <c r="I547" s="664"/>
      <c r="J547" s="664"/>
      <c r="K547" s="664"/>
      <c r="L547" s="664"/>
      <c r="M547" s="664"/>
      <c r="N547" s="664"/>
      <c r="O547" s="664"/>
      <c r="P547" s="664"/>
      <c r="Q547" s="664"/>
      <c r="R547" s="664"/>
      <c r="S547" s="664"/>
      <c r="T547" s="664"/>
      <c r="U547" s="664"/>
      <c r="V547" s="664"/>
      <c r="W547" s="664"/>
      <c r="X547" s="664"/>
      <c r="Y547" s="664"/>
      <c r="Z547" s="664"/>
      <c r="AA547" s="664"/>
      <c r="AB547" s="664"/>
      <c r="AC547" s="664"/>
      <c r="AD547" s="664"/>
    </row>
    <row r="548" spans="1:30">
      <c r="A548" s="1239"/>
      <c r="B548" s="664"/>
      <c r="C548" s="664"/>
      <c r="D548" s="664"/>
      <c r="E548" s="664"/>
      <c r="F548" s="664"/>
      <c r="G548" s="664"/>
      <c r="H548" s="664"/>
      <c r="I548" s="664"/>
      <c r="J548" s="664"/>
      <c r="K548" s="664"/>
      <c r="L548" s="664"/>
      <c r="M548" s="664"/>
      <c r="N548" s="664"/>
      <c r="O548" s="664"/>
      <c r="P548" s="664"/>
      <c r="Q548" s="664"/>
      <c r="R548" s="664"/>
      <c r="S548" s="664"/>
      <c r="T548" s="664"/>
      <c r="U548" s="664"/>
      <c r="V548" s="664"/>
      <c r="W548" s="664"/>
      <c r="X548" s="664"/>
      <c r="Y548" s="664"/>
      <c r="Z548" s="664"/>
      <c r="AA548" s="664"/>
      <c r="AB548" s="664"/>
      <c r="AC548" s="664"/>
      <c r="AD548" s="664"/>
    </row>
    <row r="549" spans="1:30">
      <c r="A549" s="1239"/>
      <c r="B549" s="664"/>
      <c r="C549" s="664"/>
      <c r="D549" s="664"/>
      <c r="E549" s="664"/>
      <c r="F549" s="664"/>
      <c r="G549" s="664"/>
      <c r="H549" s="664"/>
      <c r="I549" s="664"/>
      <c r="J549" s="664"/>
      <c r="K549" s="664"/>
      <c r="L549" s="664"/>
      <c r="M549" s="664"/>
      <c r="N549" s="664"/>
      <c r="O549" s="664"/>
      <c r="P549" s="664"/>
      <c r="Q549" s="664"/>
      <c r="R549" s="664"/>
      <c r="S549" s="664"/>
      <c r="T549" s="664"/>
      <c r="U549" s="664"/>
      <c r="V549" s="664"/>
      <c r="W549" s="664"/>
      <c r="X549" s="664"/>
      <c r="Y549" s="664"/>
      <c r="Z549" s="664"/>
      <c r="AA549" s="664"/>
      <c r="AB549" s="664"/>
      <c r="AC549" s="664"/>
      <c r="AD549" s="664"/>
    </row>
    <row r="550" spans="1:30">
      <c r="A550" s="1239"/>
      <c r="B550" s="664"/>
      <c r="C550" s="664"/>
      <c r="D550" s="664"/>
      <c r="E550" s="664"/>
      <c r="F550" s="664"/>
      <c r="G550" s="664"/>
      <c r="H550" s="664"/>
      <c r="I550" s="664"/>
      <c r="J550" s="664"/>
      <c r="K550" s="664"/>
      <c r="L550" s="664"/>
      <c r="M550" s="664"/>
      <c r="N550" s="664"/>
      <c r="O550" s="664"/>
      <c r="P550" s="664"/>
      <c r="Q550" s="664"/>
      <c r="R550" s="664"/>
      <c r="S550" s="664"/>
      <c r="T550" s="664"/>
      <c r="U550" s="664"/>
      <c r="V550" s="664"/>
      <c r="W550" s="664"/>
      <c r="X550" s="664"/>
      <c r="Y550" s="664"/>
      <c r="Z550" s="664"/>
      <c r="AA550" s="664"/>
      <c r="AB550" s="664"/>
      <c r="AC550" s="664"/>
      <c r="AD550" s="664"/>
    </row>
    <row r="551" spans="1:30">
      <c r="A551" s="1239"/>
      <c r="B551" s="664"/>
      <c r="C551" s="664"/>
      <c r="D551" s="664"/>
      <c r="E551" s="664"/>
      <c r="F551" s="664"/>
      <c r="G551" s="664"/>
      <c r="H551" s="664"/>
      <c r="I551" s="664"/>
      <c r="J551" s="664"/>
      <c r="K551" s="664"/>
      <c r="L551" s="664"/>
      <c r="M551" s="664"/>
      <c r="N551" s="664"/>
      <c r="O551" s="664"/>
      <c r="P551" s="664"/>
      <c r="Q551" s="664"/>
      <c r="R551" s="664"/>
      <c r="S551" s="664"/>
      <c r="T551" s="664"/>
      <c r="U551" s="664"/>
      <c r="V551" s="664"/>
      <c r="W551" s="664"/>
      <c r="X551" s="664"/>
      <c r="Y551" s="664"/>
      <c r="Z551" s="664"/>
      <c r="AA551" s="664"/>
      <c r="AB551" s="664"/>
      <c r="AC551" s="664"/>
      <c r="AD551" s="664"/>
    </row>
    <row r="552" spans="1:30">
      <c r="A552" s="1239"/>
      <c r="B552" s="664"/>
      <c r="C552" s="664"/>
      <c r="D552" s="664"/>
      <c r="E552" s="664"/>
      <c r="F552" s="664"/>
      <c r="G552" s="664"/>
      <c r="H552" s="664"/>
      <c r="I552" s="664"/>
      <c r="J552" s="664"/>
      <c r="K552" s="664"/>
      <c r="L552" s="664"/>
      <c r="M552" s="664"/>
      <c r="N552" s="664"/>
      <c r="O552" s="664"/>
      <c r="P552" s="664"/>
      <c r="Q552" s="664"/>
      <c r="R552" s="664"/>
      <c r="S552" s="664"/>
      <c r="T552" s="664"/>
      <c r="U552" s="664"/>
      <c r="V552" s="664"/>
      <c r="W552" s="664"/>
      <c r="X552" s="664"/>
      <c r="Y552" s="664"/>
      <c r="Z552" s="664"/>
      <c r="AA552" s="664"/>
      <c r="AB552" s="664"/>
      <c r="AC552" s="664"/>
      <c r="AD552" s="664"/>
    </row>
    <row r="553" spans="1:30">
      <c r="A553" s="1239"/>
      <c r="B553" s="664"/>
      <c r="C553" s="664"/>
      <c r="D553" s="664"/>
      <c r="E553" s="664"/>
      <c r="F553" s="664"/>
      <c r="G553" s="664"/>
      <c r="H553" s="664"/>
      <c r="I553" s="664"/>
      <c r="J553" s="664"/>
      <c r="K553" s="664"/>
      <c r="L553" s="664"/>
      <c r="M553" s="664"/>
      <c r="N553" s="664"/>
      <c r="O553" s="664"/>
      <c r="P553" s="664"/>
      <c r="Q553" s="664"/>
      <c r="R553" s="664"/>
      <c r="S553" s="664"/>
      <c r="T553" s="664"/>
      <c r="U553" s="664"/>
      <c r="V553" s="664"/>
      <c r="W553" s="664"/>
      <c r="X553" s="664"/>
      <c r="Y553" s="664"/>
      <c r="Z553" s="664"/>
      <c r="AA553" s="664"/>
      <c r="AB553" s="664"/>
      <c r="AC553" s="664"/>
      <c r="AD553" s="664"/>
    </row>
    <row r="554" spans="1:30">
      <c r="A554" s="1239"/>
      <c r="B554" s="664"/>
      <c r="C554" s="664"/>
      <c r="D554" s="664"/>
      <c r="E554" s="664"/>
      <c r="F554" s="664"/>
      <c r="G554" s="664"/>
      <c r="H554" s="664"/>
      <c r="I554" s="664"/>
      <c r="J554" s="664"/>
      <c r="K554" s="664"/>
      <c r="L554" s="664"/>
      <c r="M554" s="664"/>
      <c r="N554" s="664"/>
      <c r="O554" s="664"/>
      <c r="P554" s="664"/>
      <c r="Q554" s="664"/>
      <c r="R554" s="664"/>
      <c r="S554" s="664"/>
      <c r="T554" s="664"/>
      <c r="U554" s="664"/>
      <c r="V554" s="664"/>
      <c r="W554" s="664"/>
      <c r="X554" s="664"/>
      <c r="Y554" s="664"/>
      <c r="Z554" s="664"/>
      <c r="AA554" s="664"/>
      <c r="AB554" s="664"/>
      <c r="AC554" s="664"/>
      <c r="AD554" s="664"/>
    </row>
    <row r="555" spans="1:30">
      <c r="A555" s="1239"/>
      <c r="B555" s="664"/>
      <c r="C555" s="664"/>
      <c r="D555" s="664"/>
      <c r="E555" s="664"/>
      <c r="F555" s="664"/>
      <c r="G555" s="664"/>
      <c r="H555" s="664"/>
      <c r="I555" s="664"/>
      <c r="J555" s="664"/>
      <c r="K555" s="664"/>
      <c r="L555" s="664"/>
      <c r="M555" s="664"/>
      <c r="N555" s="664"/>
      <c r="O555" s="664"/>
      <c r="P555" s="664"/>
      <c r="Q555" s="664"/>
      <c r="R555" s="664"/>
      <c r="S555" s="664"/>
      <c r="T555" s="664"/>
      <c r="U555" s="664"/>
      <c r="V555" s="664"/>
      <c r="W555" s="664"/>
      <c r="X555" s="664"/>
      <c r="Y555" s="664"/>
      <c r="Z555" s="664"/>
      <c r="AA555" s="664"/>
      <c r="AB555" s="664"/>
      <c r="AC555" s="664"/>
      <c r="AD555" s="664"/>
    </row>
    <row r="556" spans="1:30">
      <c r="A556" s="1239"/>
      <c r="B556" s="664"/>
      <c r="C556" s="664"/>
      <c r="D556" s="664"/>
      <c r="E556" s="664"/>
      <c r="F556" s="664"/>
      <c r="G556" s="664"/>
      <c r="H556" s="664"/>
      <c r="I556" s="664"/>
      <c r="J556" s="664"/>
      <c r="K556" s="664"/>
      <c r="L556" s="664"/>
      <c r="M556" s="664"/>
      <c r="N556" s="664"/>
      <c r="O556" s="664"/>
      <c r="P556" s="664"/>
      <c r="Q556" s="664"/>
      <c r="R556" s="664"/>
      <c r="S556" s="664"/>
      <c r="T556" s="664"/>
      <c r="U556" s="664"/>
      <c r="V556" s="664"/>
      <c r="W556" s="664"/>
      <c r="X556" s="664"/>
      <c r="Y556" s="664"/>
      <c r="Z556" s="664"/>
      <c r="AA556" s="664"/>
      <c r="AB556" s="664"/>
      <c r="AC556" s="664"/>
      <c r="AD556" s="664"/>
    </row>
    <row r="557" spans="1:30">
      <c r="A557" s="1239"/>
      <c r="B557" s="664"/>
      <c r="C557" s="664"/>
      <c r="D557" s="664"/>
      <c r="E557" s="664"/>
      <c r="F557" s="664"/>
      <c r="G557" s="664"/>
      <c r="H557" s="664"/>
      <c r="I557" s="664"/>
      <c r="J557" s="664"/>
      <c r="K557" s="664"/>
      <c r="L557" s="664"/>
      <c r="M557" s="664"/>
      <c r="N557" s="664"/>
      <c r="O557" s="664"/>
      <c r="P557" s="664"/>
      <c r="Q557" s="664"/>
      <c r="R557" s="664"/>
      <c r="S557" s="664"/>
      <c r="T557" s="664"/>
      <c r="U557" s="664"/>
      <c r="V557" s="664"/>
      <c r="W557" s="664"/>
      <c r="X557" s="664"/>
      <c r="Y557" s="664"/>
      <c r="Z557" s="664"/>
      <c r="AA557" s="664"/>
      <c r="AB557" s="664"/>
      <c r="AC557" s="664"/>
      <c r="AD557" s="664"/>
    </row>
    <row r="558" spans="1:30">
      <c r="A558" s="1239"/>
      <c r="B558" s="664"/>
      <c r="C558" s="664"/>
      <c r="D558" s="664"/>
      <c r="E558" s="664"/>
      <c r="F558" s="664"/>
      <c r="G558" s="664"/>
      <c r="H558" s="664"/>
      <c r="I558" s="664"/>
      <c r="J558" s="664"/>
      <c r="K558" s="664"/>
      <c r="L558" s="664"/>
      <c r="M558" s="664"/>
      <c r="N558" s="664"/>
      <c r="O558" s="664"/>
      <c r="P558" s="664"/>
      <c r="Q558" s="664"/>
      <c r="R558" s="664"/>
      <c r="S558" s="664"/>
      <c r="T558" s="664"/>
      <c r="U558" s="664"/>
      <c r="V558" s="664"/>
      <c r="W558" s="664"/>
      <c r="X558" s="664"/>
      <c r="Y558" s="664"/>
      <c r="Z558" s="664"/>
      <c r="AA558" s="664"/>
      <c r="AB558" s="664"/>
      <c r="AC558" s="664"/>
      <c r="AD558" s="664"/>
    </row>
    <row r="559" spans="1:30">
      <c r="A559" s="1239"/>
      <c r="B559" s="664"/>
      <c r="C559" s="664"/>
      <c r="D559" s="664"/>
      <c r="E559" s="664"/>
      <c r="F559" s="664"/>
      <c r="G559" s="664"/>
      <c r="H559" s="664"/>
      <c r="I559" s="664"/>
      <c r="J559" s="664"/>
      <c r="K559" s="664"/>
      <c r="L559" s="664"/>
      <c r="M559" s="664"/>
      <c r="N559" s="664"/>
      <c r="O559" s="664"/>
      <c r="P559" s="664"/>
      <c r="Q559" s="664"/>
      <c r="R559" s="664"/>
      <c r="S559" s="664"/>
      <c r="T559" s="664"/>
      <c r="U559" s="664"/>
      <c r="V559" s="664"/>
      <c r="W559" s="664"/>
      <c r="X559" s="664"/>
      <c r="Y559" s="664"/>
      <c r="Z559" s="664"/>
      <c r="AA559" s="664"/>
      <c r="AB559" s="664"/>
      <c r="AC559" s="664"/>
      <c r="AD559" s="664"/>
    </row>
    <row r="560" spans="1:30">
      <c r="A560" s="1239"/>
      <c r="B560" s="664"/>
      <c r="C560" s="664"/>
      <c r="D560" s="664"/>
      <c r="E560" s="664"/>
      <c r="F560" s="664"/>
      <c r="G560" s="664"/>
      <c r="H560" s="664"/>
      <c r="I560" s="664"/>
      <c r="J560" s="664"/>
      <c r="K560" s="664"/>
      <c r="L560" s="664"/>
      <c r="M560" s="664"/>
      <c r="N560" s="664"/>
      <c r="O560" s="664"/>
      <c r="P560" s="664"/>
      <c r="Q560" s="664"/>
      <c r="R560" s="664"/>
      <c r="S560" s="664"/>
      <c r="T560" s="664"/>
      <c r="U560" s="664"/>
      <c r="V560" s="664"/>
      <c r="W560" s="664"/>
      <c r="X560" s="664"/>
      <c r="Y560" s="664"/>
      <c r="Z560" s="664"/>
      <c r="AA560" s="664"/>
      <c r="AB560" s="664"/>
      <c r="AC560" s="664"/>
      <c r="AD560" s="664"/>
    </row>
    <row r="561" spans="1:30">
      <c r="A561" s="1239"/>
      <c r="B561" s="664"/>
      <c r="C561" s="664"/>
      <c r="D561" s="664"/>
      <c r="E561" s="664"/>
      <c r="F561" s="664"/>
      <c r="G561" s="664"/>
      <c r="H561" s="664"/>
      <c r="I561" s="664"/>
      <c r="J561" s="664"/>
      <c r="K561" s="664"/>
      <c r="L561" s="664"/>
      <c r="M561" s="664"/>
      <c r="N561" s="664"/>
      <c r="O561" s="664"/>
      <c r="P561" s="664"/>
      <c r="Q561" s="664"/>
      <c r="R561" s="664"/>
      <c r="S561" s="664"/>
      <c r="T561" s="664"/>
      <c r="U561" s="664"/>
      <c r="V561" s="664"/>
      <c r="W561" s="664"/>
      <c r="X561" s="664"/>
      <c r="Y561" s="664"/>
      <c r="Z561" s="664"/>
      <c r="AA561" s="664"/>
      <c r="AB561" s="664"/>
      <c r="AC561" s="664"/>
      <c r="AD561" s="664"/>
    </row>
    <row r="562" spans="1:30">
      <c r="A562" s="1239"/>
      <c r="B562" s="664"/>
      <c r="C562" s="664"/>
      <c r="D562" s="664"/>
      <c r="E562" s="664"/>
      <c r="F562" s="664"/>
      <c r="G562" s="664"/>
      <c r="H562" s="664"/>
      <c r="I562" s="664"/>
      <c r="J562" s="664"/>
      <c r="K562" s="664"/>
      <c r="L562" s="664"/>
      <c r="M562" s="664"/>
      <c r="N562" s="664"/>
      <c r="O562" s="664"/>
      <c r="P562" s="664"/>
      <c r="Q562" s="664"/>
      <c r="R562" s="664"/>
      <c r="S562" s="664"/>
      <c r="T562" s="664"/>
      <c r="U562" s="664"/>
      <c r="V562" s="664"/>
      <c r="W562" s="664"/>
      <c r="X562" s="664"/>
      <c r="Y562" s="664"/>
      <c r="Z562" s="664"/>
      <c r="AA562" s="664"/>
      <c r="AB562" s="664"/>
      <c r="AC562" s="664"/>
      <c r="AD562" s="664"/>
    </row>
    <row r="563" spans="1:30">
      <c r="A563" s="1239"/>
      <c r="B563" s="664"/>
      <c r="C563" s="664"/>
      <c r="D563" s="664"/>
      <c r="E563" s="664"/>
      <c r="F563" s="664"/>
      <c r="G563" s="664"/>
      <c r="H563" s="664"/>
      <c r="I563" s="664"/>
      <c r="J563" s="664"/>
      <c r="K563" s="664"/>
      <c r="L563" s="664"/>
      <c r="M563" s="664"/>
      <c r="N563" s="664"/>
      <c r="O563" s="664"/>
      <c r="P563" s="664"/>
      <c r="Q563" s="664"/>
      <c r="R563" s="664"/>
      <c r="S563" s="664"/>
      <c r="T563" s="664"/>
      <c r="U563" s="664"/>
      <c r="V563" s="664"/>
      <c r="W563" s="664"/>
      <c r="X563" s="664"/>
      <c r="Y563" s="664"/>
      <c r="Z563" s="664"/>
      <c r="AA563" s="664"/>
      <c r="AB563" s="664"/>
      <c r="AC563" s="664"/>
      <c r="AD563" s="664"/>
    </row>
    <row r="564" spans="1:30">
      <c r="A564" s="1239"/>
      <c r="B564" s="664"/>
      <c r="C564" s="664"/>
      <c r="D564" s="664"/>
      <c r="E564" s="664"/>
      <c r="F564" s="664"/>
      <c r="G564" s="664"/>
      <c r="H564" s="664"/>
      <c r="I564" s="664"/>
      <c r="J564" s="664"/>
      <c r="K564" s="664"/>
      <c r="L564" s="664"/>
      <c r="M564" s="664"/>
      <c r="N564" s="664"/>
      <c r="O564" s="664"/>
      <c r="P564" s="664"/>
      <c r="Q564" s="664"/>
      <c r="R564" s="664"/>
      <c r="S564" s="664"/>
      <c r="T564" s="664"/>
      <c r="U564" s="664"/>
      <c r="V564" s="664"/>
      <c r="W564" s="664"/>
      <c r="X564" s="664"/>
      <c r="Y564" s="664"/>
      <c r="Z564" s="664"/>
      <c r="AA564" s="664"/>
      <c r="AB564" s="664"/>
      <c r="AC564" s="664"/>
      <c r="AD564" s="664"/>
    </row>
    <row r="565" spans="1:30">
      <c r="A565" s="1239"/>
      <c r="B565" s="664"/>
      <c r="C565" s="664"/>
      <c r="D565" s="664"/>
      <c r="E565" s="664"/>
      <c r="F565" s="664"/>
      <c r="G565" s="664"/>
      <c r="H565" s="664"/>
      <c r="I565" s="664"/>
      <c r="J565" s="664"/>
      <c r="K565" s="664"/>
      <c r="L565" s="664"/>
      <c r="M565" s="664"/>
      <c r="N565" s="664"/>
      <c r="O565" s="664"/>
      <c r="P565" s="664"/>
      <c r="Q565" s="664"/>
      <c r="R565" s="664"/>
      <c r="S565" s="664"/>
      <c r="T565" s="664"/>
      <c r="U565" s="664"/>
      <c r="V565" s="664"/>
      <c r="W565" s="664"/>
      <c r="X565" s="664"/>
      <c r="Y565" s="664"/>
      <c r="Z565" s="664"/>
      <c r="AA565" s="664"/>
      <c r="AB565" s="664"/>
      <c r="AC565" s="664"/>
      <c r="AD565" s="664"/>
    </row>
    <row r="566" spans="1:30">
      <c r="A566" s="1239"/>
      <c r="B566" s="664"/>
      <c r="C566" s="664"/>
      <c r="D566" s="664"/>
      <c r="E566" s="664"/>
      <c r="F566" s="664"/>
      <c r="G566" s="664"/>
      <c r="H566" s="664"/>
      <c r="I566" s="664"/>
      <c r="J566" s="664"/>
      <c r="K566" s="664"/>
      <c r="L566" s="664"/>
      <c r="M566" s="664"/>
      <c r="N566" s="664"/>
      <c r="O566" s="664"/>
      <c r="P566" s="664"/>
      <c r="Q566" s="664"/>
      <c r="R566" s="664"/>
      <c r="S566" s="664"/>
      <c r="T566" s="664"/>
      <c r="U566" s="664"/>
      <c r="V566" s="664"/>
      <c r="W566" s="664"/>
      <c r="X566" s="664"/>
      <c r="Y566" s="664"/>
      <c r="Z566" s="664"/>
      <c r="AA566" s="664"/>
      <c r="AB566" s="664"/>
      <c r="AC566" s="664"/>
      <c r="AD566" s="664"/>
    </row>
    <row r="567" spans="1:30">
      <c r="A567" s="1239"/>
      <c r="B567" s="664"/>
      <c r="C567" s="664"/>
      <c r="D567" s="664"/>
      <c r="E567" s="664"/>
      <c r="F567" s="664"/>
      <c r="G567" s="664"/>
      <c r="H567" s="664"/>
      <c r="I567" s="664"/>
      <c r="J567" s="664"/>
      <c r="K567" s="664"/>
      <c r="L567" s="664"/>
      <c r="M567" s="664"/>
      <c r="N567" s="664"/>
      <c r="O567" s="664"/>
      <c r="P567" s="664"/>
      <c r="Q567" s="664"/>
      <c r="R567" s="664"/>
      <c r="S567" s="664"/>
      <c r="T567" s="664"/>
      <c r="U567" s="664"/>
      <c r="V567" s="664"/>
      <c r="W567" s="664"/>
      <c r="X567" s="664"/>
      <c r="Y567" s="664"/>
      <c r="Z567" s="664"/>
      <c r="AA567" s="664"/>
      <c r="AB567" s="664"/>
      <c r="AC567" s="664"/>
      <c r="AD567" s="664"/>
    </row>
    <row r="568" spans="1:30">
      <c r="A568" s="1239"/>
      <c r="B568" s="664"/>
      <c r="C568" s="664"/>
      <c r="D568" s="664"/>
      <c r="E568" s="664"/>
      <c r="F568" s="664"/>
      <c r="G568" s="664"/>
      <c r="H568" s="664"/>
      <c r="I568" s="664"/>
      <c r="J568" s="664"/>
      <c r="K568" s="664"/>
      <c r="L568" s="664"/>
      <c r="M568" s="664"/>
      <c r="N568" s="664"/>
      <c r="O568" s="664"/>
      <c r="P568" s="664"/>
      <c r="Q568" s="664"/>
      <c r="R568" s="664"/>
      <c r="S568" s="664"/>
      <c r="T568" s="664"/>
      <c r="U568" s="664"/>
      <c r="V568" s="664"/>
      <c r="W568" s="664"/>
      <c r="X568" s="664"/>
      <c r="Y568" s="664"/>
      <c r="Z568" s="664"/>
      <c r="AA568" s="664"/>
      <c r="AB568" s="664"/>
      <c r="AC568" s="664"/>
      <c r="AD568" s="664"/>
    </row>
    <row r="569" spans="1:30">
      <c r="A569" s="1239"/>
      <c r="B569" s="664"/>
      <c r="C569" s="664"/>
      <c r="D569" s="664"/>
      <c r="E569" s="664"/>
      <c r="F569" s="664"/>
      <c r="G569" s="664"/>
      <c r="H569" s="664"/>
      <c r="I569" s="664"/>
      <c r="J569" s="664"/>
      <c r="K569" s="664"/>
      <c r="L569" s="664"/>
      <c r="M569" s="664"/>
      <c r="N569" s="664"/>
      <c r="O569" s="664"/>
      <c r="P569" s="664"/>
      <c r="Q569" s="664"/>
      <c r="R569" s="664"/>
      <c r="S569" s="664"/>
      <c r="T569" s="664"/>
      <c r="U569" s="664"/>
      <c r="V569" s="664"/>
      <c r="W569" s="664"/>
      <c r="X569" s="664"/>
      <c r="Y569" s="664"/>
      <c r="Z569" s="664"/>
      <c r="AA569" s="664"/>
      <c r="AB569" s="664"/>
      <c r="AC569" s="664"/>
      <c r="AD569" s="664"/>
    </row>
    <row r="570" spans="1:30">
      <c r="A570" s="1239"/>
      <c r="B570" s="664"/>
      <c r="C570" s="664"/>
      <c r="D570" s="664"/>
      <c r="E570" s="664"/>
      <c r="F570" s="664"/>
      <c r="G570" s="664"/>
      <c r="H570" s="664"/>
      <c r="I570" s="664"/>
      <c r="J570" s="664"/>
      <c r="K570" s="664"/>
      <c r="L570" s="664"/>
      <c r="M570" s="664"/>
      <c r="N570" s="664"/>
      <c r="O570" s="664"/>
      <c r="P570" s="664"/>
      <c r="Q570" s="664"/>
      <c r="R570" s="664"/>
      <c r="S570" s="664"/>
      <c r="T570" s="664"/>
      <c r="U570" s="664"/>
      <c r="V570" s="664"/>
      <c r="W570" s="664"/>
      <c r="X570" s="664"/>
      <c r="Y570" s="664"/>
      <c r="Z570" s="664"/>
      <c r="AA570" s="664"/>
      <c r="AB570" s="664"/>
      <c r="AC570" s="664"/>
      <c r="AD570" s="664"/>
    </row>
    <row r="571" spans="1:30">
      <c r="A571" s="1239"/>
      <c r="B571" s="664"/>
      <c r="C571" s="664"/>
      <c r="D571" s="664"/>
      <c r="E571" s="664"/>
      <c r="F571" s="664"/>
      <c r="G571" s="664"/>
      <c r="H571" s="664"/>
      <c r="I571" s="664"/>
      <c r="J571" s="664"/>
      <c r="K571" s="664"/>
      <c r="L571" s="664"/>
      <c r="M571" s="664"/>
      <c r="N571" s="664"/>
      <c r="O571" s="664"/>
      <c r="P571" s="664"/>
      <c r="Q571" s="664"/>
      <c r="R571" s="664"/>
      <c r="S571" s="664"/>
      <c r="T571" s="664"/>
      <c r="U571" s="664"/>
      <c r="V571" s="664"/>
      <c r="W571" s="664"/>
      <c r="X571" s="664"/>
      <c r="Y571" s="664"/>
      <c r="Z571" s="664"/>
      <c r="AA571" s="664"/>
      <c r="AB571" s="664"/>
      <c r="AC571" s="664"/>
      <c r="AD571" s="664"/>
    </row>
    <row r="572" spans="1:30">
      <c r="A572" s="1239"/>
      <c r="B572" s="664"/>
      <c r="C572" s="664"/>
      <c r="D572" s="664"/>
      <c r="E572" s="664"/>
      <c r="F572" s="664"/>
      <c r="G572" s="664"/>
      <c r="H572" s="664"/>
      <c r="I572" s="664"/>
      <c r="J572" s="664"/>
      <c r="K572" s="664"/>
      <c r="L572" s="664"/>
      <c r="M572" s="664"/>
      <c r="N572" s="664"/>
      <c r="O572" s="664"/>
      <c r="P572" s="664"/>
      <c r="Q572" s="664"/>
      <c r="R572" s="664"/>
      <c r="S572" s="664"/>
      <c r="T572" s="664"/>
      <c r="U572" s="664"/>
      <c r="V572" s="664"/>
      <c r="W572" s="664"/>
      <c r="X572" s="664"/>
      <c r="Y572" s="664"/>
      <c r="Z572" s="664"/>
      <c r="AA572" s="664"/>
      <c r="AB572" s="664"/>
      <c r="AC572" s="664"/>
      <c r="AD572" s="664"/>
    </row>
    <row r="573" spans="1:30">
      <c r="A573" s="1239"/>
      <c r="B573" s="664"/>
      <c r="C573" s="664"/>
      <c r="D573" s="664"/>
      <c r="E573" s="664"/>
      <c r="F573" s="664"/>
      <c r="G573" s="664"/>
      <c r="H573" s="664"/>
      <c r="I573" s="664"/>
      <c r="J573" s="664"/>
      <c r="K573" s="664"/>
      <c r="L573" s="664"/>
      <c r="M573" s="664"/>
      <c r="N573" s="664"/>
      <c r="O573" s="664"/>
      <c r="P573" s="664"/>
      <c r="Q573" s="664"/>
      <c r="R573" s="664"/>
      <c r="S573" s="664"/>
      <c r="T573" s="664"/>
      <c r="U573" s="664"/>
      <c r="V573" s="664"/>
      <c r="W573" s="664"/>
      <c r="X573" s="664"/>
      <c r="Y573" s="664"/>
      <c r="Z573" s="664"/>
      <c r="AA573" s="664"/>
      <c r="AB573" s="664"/>
      <c r="AC573" s="664"/>
      <c r="AD573" s="664"/>
    </row>
    <row r="574" spans="1:30">
      <c r="A574" s="1239"/>
      <c r="B574" s="664"/>
      <c r="C574" s="664"/>
      <c r="D574" s="664"/>
      <c r="E574" s="664"/>
      <c r="F574" s="664"/>
      <c r="G574" s="664"/>
      <c r="H574" s="664"/>
      <c r="I574" s="664"/>
      <c r="J574" s="664"/>
      <c r="K574" s="664"/>
      <c r="L574" s="664"/>
      <c r="M574" s="664"/>
      <c r="N574" s="664"/>
      <c r="O574" s="664"/>
      <c r="P574" s="664"/>
      <c r="Q574" s="664"/>
      <c r="R574" s="664"/>
      <c r="S574" s="664"/>
      <c r="T574" s="664"/>
      <c r="U574" s="664"/>
      <c r="V574" s="664"/>
      <c r="W574" s="664"/>
      <c r="X574" s="664"/>
      <c r="Y574" s="664"/>
      <c r="Z574" s="664"/>
      <c r="AA574" s="664"/>
      <c r="AB574" s="664"/>
      <c r="AC574" s="664"/>
      <c r="AD574" s="664"/>
    </row>
    <row r="575" spans="1:30">
      <c r="A575" s="1239"/>
      <c r="B575" s="664"/>
      <c r="C575" s="664"/>
      <c r="D575" s="664"/>
      <c r="E575" s="664"/>
      <c r="F575" s="664"/>
      <c r="G575" s="664"/>
      <c r="H575" s="664"/>
      <c r="I575" s="664"/>
      <c r="J575" s="664"/>
      <c r="K575" s="664"/>
      <c r="L575" s="664"/>
      <c r="M575" s="664"/>
      <c r="N575" s="664"/>
      <c r="O575" s="664"/>
      <c r="P575" s="664"/>
      <c r="Q575" s="664"/>
      <c r="R575" s="664"/>
      <c r="S575" s="664"/>
      <c r="T575" s="664"/>
      <c r="U575" s="664"/>
      <c r="V575" s="664"/>
      <c r="W575" s="664"/>
      <c r="X575" s="664"/>
      <c r="Y575" s="664"/>
      <c r="Z575" s="664"/>
      <c r="AA575" s="664"/>
      <c r="AB575" s="664"/>
      <c r="AC575" s="664"/>
      <c r="AD575" s="664"/>
    </row>
    <row r="576" spans="1:30">
      <c r="A576" s="1239"/>
      <c r="B576" s="664"/>
      <c r="C576" s="664"/>
      <c r="D576" s="664"/>
      <c r="E576" s="664"/>
      <c r="F576" s="664"/>
      <c r="G576" s="664"/>
      <c r="H576" s="664"/>
      <c r="I576" s="664"/>
      <c r="J576" s="664"/>
      <c r="K576" s="664"/>
      <c r="L576" s="664"/>
      <c r="M576" s="664"/>
      <c r="N576" s="664"/>
      <c r="O576" s="664"/>
      <c r="P576" s="664"/>
      <c r="Q576" s="664"/>
      <c r="R576" s="664"/>
      <c r="S576" s="664"/>
      <c r="T576" s="664"/>
      <c r="U576" s="664"/>
      <c r="V576" s="664"/>
      <c r="W576" s="664"/>
      <c r="X576" s="664"/>
      <c r="Y576" s="664"/>
      <c r="Z576" s="664"/>
      <c r="AA576" s="664"/>
      <c r="AB576" s="664"/>
      <c r="AC576" s="664"/>
      <c r="AD576" s="664"/>
    </row>
    <row r="577" spans="1:30">
      <c r="A577" s="1239"/>
      <c r="B577" s="664"/>
      <c r="C577" s="664"/>
      <c r="D577" s="664"/>
      <c r="E577" s="664"/>
      <c r="F577" s="664"/>
      <c r="G577" s="664"/>
      <c r="H577" s="664"/>
      <c r="I577" s="664"/>
      <c r="J577" s="664"/>
      <c r="K577" s="664"/>
      <c r="L577" s="664"/>
      <c r="M577" s="664"/>
      <c r="N577" s="664"/>
      <c r="O577" s="664"/>
      <c r="P577" s="664"/>
      <c r="Q577" s="664"/>
      <c r="R577" s="664"/>
      <c r="S577" s="664"/>
      <c r="T577" s="664"/>
      <c r="U577" s="664"/>
      <c r="V577" s="664"/>
      <c r="W577" s="664"/>
      <c r="X577" s="664"/>
      <c r="Y577" s="664"/>
      <c r="Z577" s="664"/>
      <c r="AA577" s="664"/>
      <c r="AB577" s="664"/>
      <c r="AC577" s="664"/>
      <c r="AD577" s="664"/>
    </row>
    <row r="578" spans="1:30">
      <c r="A578" s="1239"/>
      <c r="B578" s="664"/>
      <c r="C578" s="664"/>
      <c r="D578" s="664"/>
      <c r="E578" s="664"/>
      <c r="F578" s="664"/>
      <c r="G578" s="664"/>
      <c r="H578" s="664"/>
      <c r="I578" s="664"/>
      <c r="J578" s="664"/>
      <c r="K578" s="664"/>
      <c r="L578" s="664"/>
      <c r="M578" s="664"/>
      <c r="N578" s="664"/>
      <c r="O578" s="664"/>
      <c r="P578" s="664"/>
      <c r="Q578" s="664"/>
      <c r="R578" s="664"/>
      <c r="S578" s="664"/>
      <c r="T578" s="664"/>
      <c r="U578" s="664"/>
      <c r="V578" s="664"/>
      <c r="W578" s="664"/>
      <c r="X578" s="664"/>
      <c r="Y578" s="664"/>
      <c r="Z578" s="664"/>
      <c r="AA578" s="664"/>
      <c r="AB578" s="664"/>
      <c r="AC578" s="664"/>
      <c r="AD578" s="664"/>
    </row>
    <row r="579" spans="1:30">
      <c r="A579" s="1239"/>
      <c r="B579" s="664"/>
      <c r="C579" s="664"/>
      <c r="D579" s="664"/>
      <c r="E579" s="664"/>
      <c r="F579" s="664"/>
      <c r="G579" s="664"/>
      <c r="H579" s="664"/>
      <c r="I579" s="664"/>
      <c r="J579" s="664"/>
      <c r="K579" s="664"/>
      <c r="L579" s="664"/>
      <c r="M579" s="664"/>
      <c r="N579" s="664"/>
      <c r="O579" s="664"/>
      <c r="P579" s="664"/>
      <c r="Q579" s="664"/>
      <c r="R579" s="664"/>
      <c r="S579" s="664"/>
      <c r="T579" s="664"/>
      <c r="U579" s="664"/>
      <c r="V579" s="664"/>
      <c r="W579" s="664"/>
      <c r="X579" s="664"/>
      <c r="Y579" s="664"/>
      <c r="Z579" s="664"/>
      <c r="AA579" s="664"/>
      <c r="AB579" s="664"/>
      <c r="AC579" s="664"/>
      <c r="AD579" s="664"/>
    </row>
    <row r="580" spans="1:30">
      <c r="A580" s="1239"/>
      <c r="B580" s="664"/>
      <c r="C580" s="664"/>
      <c r="D580" s="664"/>
      <c r="E580" s="664"/>
      <c r="F580" s="664"/>
      <c r="G580" s="664"/>
      <c r="H580" s="664"/>
      <c r="I580" s="664"/>
      <c r="J580" s="664"/>
      <c r="K580" s="664"/>
      <c r="L580" s="664"/>
      <c r="M580" s="664"/>
      <c r="N580" s="664"/>
      <c r="O580" s="664"/>
      <c r="P580" s="664"/>
      <c r="Q580" s="664"/>
      <c r="R580" s="664"/>
      <c r="S580" s="664"/>
      <c r="T580" s="664"/>
      <c r="U580" s="664"/>
      <c r="V580" s="664"/>
      <c r="W580" s="664"/>
      <c r="X580" s="664"/>
      <c r="Y580" s="664"/>
      <c r="Z580" s="664"/>
      <c r="AA580" s="664"/>
      <c r="AB580" s="664"/>
      <c r="AC580" s="664"/>
      <c r="AD580" s="664"/>
    </row>
    <row r="581" spans="1:30">
      <c r="A581" s="1239"/>
      <c r="B581" s="664"/>
      <c r="C581" s="664"/>
      <c r="D581" s="664"/>
      <c r="E581" s="664"/>
      <c r="F581" s="664"/>
      <c r="G581" s="664"/>
      <c r="H581" s="664"/>
      <c r="I581" s="664"/>
      <c r="J581" s="664"/>
      <c r="K581" s="664"/>
      <c r="L581" s="664"/>
      <c r="M581" s="664"/>
      <c r="N581" s="664"/>
      <c r="O581" s="664"/>
      <c r="P581" s="664"/>
      <c r="Q581" s="664"/>
      <c r="R581" s="664"/>
      <c r="S581" s="664"/>
      <c r="T581" s="664"/>
      <c r="U581" s="664"/>
      <c r="V581" s="664"/>
      <c r="W581" s="664"/>
      <c r="X581" s="664"/>
      <c r="Y581" s="664"/>
      <c r="Z581" s="664"/>
      <c r="AA581" s="664"/>
      <c r="AB581" s="664"/>
      <c r="AC581" s="664"/>
      <c r="AD581" s="664"/>
    </row>
    <row r="582" spans="1:30">
      <c r="A582" s="1239"/>
      <c r="B582" s="664"/>
      <c r="C582" s="664"/>
      <c r="D582" s="664"/>
      <c r="E582" s="664"/>
      <c r="F582" s="664"/>
      <c r="G582" s="664"/>
      <c r="H582" s="664"/>
      <c r="I582" s="664"/>
      <c r="J582" s="664"/>
      <c r="K582" s="664"/>
      <c r="L582" s="664"/>
      <c r="M582" s="664"/>
      <c r="N582" s="664"/>
      <c r="O582" s="664"/>
      <c r="P582" s="664"/>
      <c r="Q582" s="664"/>
      <c r="R582" s="664"/>
      <c r="S582" s="664"/>
      <c r="T582" s="664"/>
      <c r="U582" s="664"/>
      <c r="V582" s="664"/>
      <c r="W582" s="664"/>
      <c r="X582" s="664"/>
      <c r="Y582" s="664"/>
      <c r="Z582" s="664"/>
      <c r="AA582" s="664"/>
      <c r="AB582" s="664"/>
      <c r="AC582" s="664"/>
      <c r="AD582" s="664"/>
    </row>
    <row r="583" spans="1:30">
      <c r="A583" s="1239"/>
      <c r="B583" s="664"/>
      <c r="C583" s="664"/>
      <c r="D583" s="664"/>
      <c r="E583" s="664"/>
      <c r="F583" s="664"/>
      <c r="G583" s="664"/>
      <c r="H583" s="664"/>
      <c r="I583" s="664"/>
      <c r="J583" s="664"/>
      <c r="K583" s="664"/>
      <c r="L583" s="664"/>
      <c r="M583" s="664"/>
      <c r="N583" s="664"/>
      <c r="O583" s="664"/>
      <c r="P583" s="664"/>
      <c r="Q583" s="664"/>
      <c r="R583" s="664"/>
      <c r="S583" s="664"/>
      <c r="T583" s="664"/>
      <c r="U583" s="664"/>
      <c r="V583" s="664"/>
      <c r="W583" s="664"/>
      <c r="X583" s="664"/>
      <c r="Y583" s="664"/>
      <c r="Z583" s="664"/>
      <c r="AA583" s="664"/>
      <c r="AB583" s="664"/>
      <c r="AC583" s="664"/>
      <c r="AD583" s="664"/>
    </row>
    <row r="584" spans="1:30">
      <c r="A584" s="1239"/>
      <c r="B584" s="664"/>
      <c r="C584" s="664"/>
      <c r="D584" s="664"/>
      <c r="E584" s="664"/>
      <c r="F584" s="664"/>
      <c r="G584" s="664"/>
      <c r="H584" s="664"/>
      <c r="I584" s="664"/>
      <c r="J584" s="664"/>
      <c r="K584" s="664"/>
      <c r="L584" s="664"/>
      <c r="M584" s="664"/>
      <c r="N584" s="664"/>
      <c r="O584" s="664"/>
      <c r="P584" s="664"/>
      <c r="Q584" s="664"/>
      <c r="R584" s="664"/>
      <c r="S584" s="664"/>
      <c r="T584" s="664"/>
      <c r="U584" s="664"/>
      <c r="V584" s="664"/>
      <c r="W584" s="664"/>
      <c r="X584" s="664"/>
      <c r="Y584" s="664"/>
      <c r="Z584" s="664"/>
      <c r="AA584" s="664"/>
      <c r="AB584" s="664"/>
      <c r="AC584" s="664"/>
      <c r="AD584" s="664"/>
    </row>
    <row r="585" spans="1:30">
      <c r="A585" s="1239"/>
      <c r="B585" s="664"/>
      <c r="C585" s="664"/>
      <c r="D585" s="664"/>
      <c r="E585" s="664"/>
      <c r="F585" s="664"/>
      <c r="G585" s="664"/>
      <c r="H585" s="664"/>
      <c r="I585" s="664"/>
      <c r="J585" s="664"/>
      <c r="K585" s="664"/>
      <c r="L585" s="664"/>
      <c r="M585" s="664"/>
      <c r="N585" s="664"/>
      <c r="O585" s="664"/>
      <c r="P585" s="664"/>
      <c r="Q585" s="664"/>
      <c r="R585" s="664"/>
      <c r="S585" s="664"/>
      <c r="T585" s="664"/>
      <c r="U585" s="664"/>
      <c r="V585" s="664"/>
      <c r="W585" s="664"/>
      <c r="X585" s="664"/>
      <c r="Y585" s="664"/>
      <c r="Z585" s="664"/>
      <c r="AA585" s="664"/>
      <c r="AB585" s="664"/>
      <c r="AC585" s="664"/>
      <c r="AD585" s="664"/>
    </row>
    <row r="586" spans="1:30">
      <c r="A586" s="1239"/>
      <c r="B586" s="664"/>
      <c r="C586" s="664"/>
      <c r="D586" s="664"/>
      <c r="E586" s="664"/>
      <c r="F586" s="664"/>
      <c r="G586" s="664"/>
      <c r="H586" s="664"/>
      <c r="I586" s="664"/>
      <c r="J586" s="664"/>
      <c r="K586" s="664"/>
      <c r="L586" s="664"/>
      <c r="M586" s="664"/>
      <c r="N586" s="664"/>
      <c r="O586" s="664"/>
      <c r="P586" s="664"/>
      <c r="Q586" s="664"/>
      <c r="R586" s="664"/>
      <c r="S586" s="664"/>
      <c r="T586" s="664"/>
      <c r="U586" s="664"/>
      <c r="V586" s="664"/>
      <c r="W586" s="664"/>
      <c r="X586" s="664"/>
      <c r="Y586" s="664"/>
      <c r="Z586" s="664"/>
      <c r="AA586" s="664"/>
      <c r="AB586" s="664"/>
      <c r="AC586" s="664"/>
      <c r="AD586" s="664"/>
    </row>
    <row r="587" spans="1:30">
      <c r="A587" s="1239"/>
      <c r="B587" s="664"/>
      <c r="C587" s="664"/>
      <c r="D587" s="664"/>
      <c r="E587" s="664"/>
      <c r="F587" s="664"/>
      <c r="G587" s="664"/>
      <c r="H587" s="664"/>
      <c r="I587" s="664"/>
      <c r="J587" s="664"/>
      <c r="K587" s="664"/>
      <c r="L587" s="664"/>
      <c r="M587" s="664"/>
      <c r="N587" s="664"/>
      <c r="O587" s="664"/>
      <c r="P587" s="664"/>
      <c r="Q587" s="664"/>
      <c r="R587" s="664"/>
      <c r="S587" s="664"/>
      <c r="T587" s="664"/>
      <c r="U587" s="664"/>
      <c r="V587" s="664"/>
      <c r="W587" s="664"/>
      <c r="X587" s="664"/>
      <c r="Y587" s="664"/>
      <c r="Z587" s="664"/>
      <c r="AA587" s="664"/>
      <c r="AB587" s="664"/>
      <c r="AC587" s="664"/>
      <c r="AD587" s="664"/>
    </row>
    <row r="588" spans="1:30">
      <c r="A588" s="1239"/>
      <c r="B588" s="664"/>
      <c r="C588" s="664"/>
      <c r="D588" s="664"/>
      <c r="E588" s="664"/>
      <c r="F588" s="664"/>
      <c r="G588" s="664"/>
      <c r="H588" s="664"/>
      <c r="I588" s="664"/>
      <c r="J588" s="664"/>
      <c r="K588" s="664"/>
      <c r="L588" s="664"/>
      <c r="M588" s="664"/>
      <c r="N588" s="664"/>
      <c r="O588" s="664"/>
      <c r="P588" s="664"/>
      <c r="Q588" s="664"/>
      <c r="R588" s="664"/>
      <c r="S588" s="664"/>
      <c r="T588" s="664"/>
      <c r="U588" s="664"/>
      <c r="V588" s="664"/>
      <c r="W588" s="664"/>
      <c r="X588" s="664"/>
      <c r="Y588" s="664"/>
      <c r="Z588" s="664"/>
      <c r="AA588" s="664"/>
      <c r="AB588" s="664"/>
      <c r="AC588" s="664"/>
      <c r="AD588" s="664"/>
    </row>
    <row r="589" spans="1:30">
      <c r="A589" s="1239"/>
      <c r="B589" s="664"/>
      <c r="C589" s="664"/>
      <c r="D589" s="664"/>
      <c r="E589" s="664"/>
      <c r="F589" s="664"/>
      <c r="G589" s="664"/>
      <c r="H589" s="664"/>
      <c r="I589" s="664"/>
      <c r="J589" s="664"/>
      <c r="K589" s="664"/>
      <c r="L589" s="664"/>
      <c r="M589" s="664"/>
      <c r="N589" s="664"/>
      <c r="O589" s="664"/>
      <c r="P589" s="664"/>
      <c r="Q589" s="664"/>
      <c r="R589" s="664"/>
      <c r="S589" s="664"/>
      <c r="T589" s="664"/>
      <c r="U589" s="664"/>
      <c r="V589" s="664"/>
      <c r="W589" s="664"/>
      <c r="X589" s="664"/>
      <c r="Y589" s="664"/>
      <c r="Z589" s="664"/>
      <c r="AA589" s="664"/>
      <c r="AB589" s="664"/>
      <c r="AC589" s="664"/>
      <c r="AD589" s="664"/>
    </row>
    <row r="590" spans="1:30">
      <c r="A590" s="1239"/>
      <c r="B590" s="664"/>
      <c r="C590" s="664"/>
      <c r="D590" s="664"/>
      <c r="E590" s="664"/>
      <c r="F590" s="664"/>
      <c r="G590" s="664"/>
      <c r="H590" s="664"/>
      <c r="I590" s="664"/>
      <c r="J590" s="664"/>
      <c r="K590" s="664"/>
      <c r="L590" s="664"/>
      <c r="M590" s="664"/>
      <c r="N590" s="664"/>
      <c r="O590" s="664"/>
      <c r="P590" s="664"/>
      <c r="Q590" s="664"/>
      <c r="R590" s="664"/>
      <c r="S590" s="664"/>
      <c r="T590" s="664"/>
      <c r="U590" s="664"/>
      <c r="V590" s="664"/>
      <c r="W590" s="664"/>
      <c r="X590" s="664"/>
      <c r="Y590" s="664"/>
      <c r="Z590" s="664"/>
      <c r="AA590" s="664"/>
      <c r="AB590" s="664"/>
      <c r="AC590" s="664"/>
      <c r="AD590" s="664"/>
    </row>
    <row r="591" spans="1:30">
      <c r="A591" s="1239"/>
      <c r="B591" s="664"/>
      <c r="C591" s="664"/>
      <c r="D591" s="664"/>
      <c r="E591" s="664"/>
      <c r="F591" s="664"/>
      <c r="G591" s="664"/>
      <c r="H591" s="664"/>
      <c r="I591" s="664"/>
      <c r="J591" s="664"/>
      <c r="K591" s="664"/>
      <c r="L591" s="664"/>
      <c r="M591" s="664"/>
      <c r="N591" s="664"/>
      <c r="O591" s="664"/>
      <c r="P591" s="664"/>
      <c r="Q591" s="664"/>
      <c r="R591" s="664"/>
      <c r="S591" s="664"/>
      <c r="T591" s="664"/>
      <c r="U591" s="664"/>
      <c r="V591" s="664"/>
      <c r="W591" s="664"/>
      <c r="X591" s="664"/>
      <c r="Y591" s="664"/>
      <c r="Z591" s="664"/>
      <c r="AA591" s="664"/>
      <c r="AB591" s="664"/>
      <c r="AC591" s="664"/>
      <c r="AD591" s="664"/>
    </row>
    <row r="592" spans="1:30">
      <c r="A592" s="1239"/>
      <c r="B592" s="664"/>
      <c r="C592" s="664"/>
      <c r="D592" s="664"/>
      <c r="E592" s="664"/>
      <c r="F592" s="664"/>
      <c r="G592" s="664"/>
      <c r="H592" s="664"/>
      <c r="I592" s="664"/>
      <c r="J592" s="664"/>
      <c r="K592" s="664"/>
      <c r="L592" s="664"/>
      <c r="M592" s="664"/>
      <c r="N592" s="664"/>
      <c r="O592" s="664"/>
      <c r="P592" s="664"/>
      <c r="Q592" s="664"/>
      <c r="R592" s="664"/>
      <c r="S592" s="664"/>
      <c r="T592" s="664"/>
      <c r="U592" s="664"/>
      <c r="V592" s="664"/>
      <c r="W592" s="664"/>
      <c r="X592" s="664"/>
      <c r="Y592" s="664"/>
      <c r="Z592" s="664"/>
      <c r="AA592" s="664"/>
      <c r="AB592" s="664"/>
      <c r="AC592" s="664"/>
      <c r="AD592" s="664"/>
    </row>
    <row r="593" spans="1:30">
      <c r="A593" s="1239"/>
      <c r="B593" s="664"/>
      <c r="C593" s="664"/>
      <c r="D593" s="664"/>
      <c r="E593" s="664"/>
      <c r="F593" s="664"/>
      <c r="G593" s="664"/>
      <c r="H593" s="664"/>
      <c r="I593" s="664"/>
      <c r="J593" s="664"/>
      <c r="K593" s="664"/>
      <c r="L593" s="664"/>
      <c r="M593" s="664"/>
      <c r="N593" s="664"/>
      <c r="O593" s="664"/>
      <c r="P593" s="664"/>
      <c r="Q593" s="664"/>
      <c r="R593" s="664"/>
      <c r="S593" s="664"/>
      <c r="T593" s="664"/>
      <c r="U593" s="664"/>
      <c r="V593" s="664"/>
      <c r="W593" s="664"/>
      <c r="X593" s="664"/>
      <c r="Y593" s="664"/>
      <c r="Z593" s="664"/>
      <c r="AA593" s="664"/>
      <c r="AB593" s="664"/>
      <c r="AC593" s="664"/>
      <c r="AD593" s="664"/>
    </row>
    <row r="594" spans="1:30">
      <c r="A594" s="1239"/>
      <c r="B594" s="664"/>
      <c r="C594" s="664"/>
      <c r="D594" s="664"/>
      <c r="E594" s="664"/>
      <c r="F594" s="664"/>
      <c r="G594" s="664"/>
      <c r="H594" s="664"/>
      <c r="I594" s="664"/>
      <c r="J594" s="664"/>
      <c r="K594" s="664"/>
      <c r="L594" s="664"/>
      <c r="M594" s="664"/>
      <c r="N594" s="664"/>
      <c r="O594" s="664"/>
      <c r="P594" s="664"/>
      <c r="Q594" s="664"/>
      <c r="R594" s="664"/>
      <c r="S594" s="664"/>
      <c r="T594" s="664"/>
      <c r="U594" s="664"/>
      <c r="V594" s="664"/>
      <c r="W594" s="664"/>
      <c r="X594" s="664"/>
      <c r="Y594" s="664"/>
      <c r="Z594" s="664"/>
      <c r="AA594" s="664"/>
      <c r="AB594" s="664"/>
      <c r="AC594" s="664"/>
      <c r="AD594" s="664"/>
    </row>
    <row r="595" spans="1:30">
      <c r="A595" s="1239"/>
      <c r="B595" s="664"/>
      <c r="C595" s="664"/>
      <c r="D595" s="664"/>
      <c r="E595" s="664"/>
      <c r="F595" s="664"/>
      <c r="G595" s="664"/>
      <c r="H595" s="664"/>
      <c r="I595" s="664"/>
      <c r="J595" s="664"/>
      <c r="K595" s="664"/>
      <c r="L595" s="664"/>
      <c r="M595" s="664"/>
      <c r="N595" s="664"/>
      <c r="O595" s="664"/>
      <c r="P595" s="664"/>
      <c r="Q595" s="664"/>
      <c r="R595" s="664"/>
      <c r="S595" s="664"/>
      <c r="T595" s="664"/>
      <c r="U595" s="664"/>
      <c r="V595" s="664"/>
      <c r="W595" s="664"/>
      <c r="X595" s="664"/>
      <c r="Y595" s="664"/>
      <c r="Z595" s="664"/>
      <c r="AA595" s="664"/>
      <c r="AB595" s="664"/>
      <c r="AC595" s="664"/>
      <c r="AD595" s="664"/>
    </row>
    <row r="596" spans="1:30">
      <c r="A596" s="1239"/>
      <c r="B596" s="664"/>
      <c r="C596" s="664"/>
      <c r="D596" s="664"/>
      <c r="E596" s="664"/>
      <c r="F596" s="664"/>
      <c r="G596" s="664"/>
      <c r="H596" s="664"/>
      <c r="I596" s="664"/>
      <c r="J596" s="664"/>
      <c r="K596" s="664"/>
      <c r="L596" s="664"/>
      <c r="M596" s="664"/>
      <c r="N596" s="664"/>
      <c r="O596" s="664"/>
      <c r="P596" s="664"/>
      <c r="Q596" s="664"/>
      <c r="R596" s="664"/>
      <c r="S596" s="664"/>
      <c r="T596" s="664"/>
      <c r="U596" s="664"/>
      <c r="V596" s="664"/>
      <c r="W596" s="664"/>
      <c r="X596" s="664"/>
      <c r="Y596" s="664"/>
      <c r="Z596" s="664"/>
      <c r="AA596" s="664"/>
      <c r="AB596" s="664"/>
      <c r="AC596" s="664"/>
      <c r="AD596" s="664"/>
    </row>
    <row r="597" spans="1:30">
      <c r="A597" s="1239"/>
      <c r="B597" s="664"/>
      <c r="C597" s="664"/>
      <c r="D597" s="664"/>
      <c r="E597" s="664"/>
      <c r="F597" s="664"/>
      <c r="G597" s="664"/>
      <c r="H597" s="664"/>
      <c r="I597" s="664"/>
      <c r="J597" s="664"/>
      <c r="K597" s="664"/>
      <c r="L597" s="664"/>
      <c r="M597" s="664"/>
      <c r="N597" s="664"/>
      <c r="O597" s="664"/>
      <c r="P597" s="664"/>
      <c r="Q597" s="664"/>
      <c r="R597" s="664"/>
      <c r="S597" s="664"/>
      <c r="T597" s="664"/>
      <c r="U597" s="664"/>
      <c r="V597" s="664"/>
      <c r="W597" s="664"/>
      <c r="X597" s="664"/>
      <c r="Y597" s="664"/>
      <c r="Z597" s="664"/>
      <c r="AA597" s="664"/>
      <c r="AB597" s="664"/>
      <c r="AC597" s="664"/>
      <c r="AD597" s="664"/>
    </row>
    <row r="598" spans="1:30">
      <c r="A598" s="1239"/>
      <c r="B598" s="664"/>
      <c r="C598" s="664"/>
      <c r="D598" s="664"/>
      <c r="E598" s="664"/>
      <c r="F598" s="664"/>
      <c r="G598" s="664"/>
      <c r="H598" s="664"/>
      <c r="I598" s="664"/>
      <c r="J598" s="664"/>
      <c r="K598" s="664"/>
      <c r="L598" s="664"/>
      <c r="M598" s="664"/>
      <c r="N598" s="664"/>
      <c r="O598" s="664"/>
      <c r="P598" s="664"/>
      <c r="Q598" s="664"/>
      <c r="R598" s="664"/>
      <c r="S598" s="664"/>
      <c r="T598" s="664"/>
      <c r="U598" s="664"/>
      <c r="V598" s="664"/>
      <c r="W598" s="664"/>
      <c r="X598" s="664"/>
      <c r="Y598" s="664"/>
      <c r="Z598" s="664"/>
      <c r="AA598" s="664"/>
      <c r="AB598" s="664"/>
      <c r="AC598" s="664"/>
      <c r="AD598" s="664"/>
    </row>
    <row r="599" spans="1:30">
      <c r="A599" s="1239"/>
      <c r="B599" s="664"/>
      <c r="C599" s="664"/>
      <c r="D599" s="664"/>
      <c r="E599" s="664"/>
      <c r="F599" s="664"/>
      <c r="G599" s="664"/>
      <c r="H599" s="664"/>
      <c r="I599" s="664"/>
      <c r="J599" s="664"/>
      <c r="K599" s="664"/>
      <c r="L599" s="664"/>
      <c r="M599" s="664"/>
      <c r="N599" s="664"/>
      <c r="O599" s="664"/>
      <c r="P599" s="664"/>
      <c r="Q599" s="664"/>
      <c r="R599" s="664"/>
      <c r="S599" s="664"/>
      <c r="T599" s="664"/>
      <c r="U599" s="664"/>
      <c r="V599" s="664"/>
      <c r="W599" s="664"/>
      <c r="X599" s="664"/>
      <c r="Y599" s="664"/>
      <c r="Z599" s="664"/>
      <c r="AA599" s="664"/>
      <c r="AB599" s="664"/>
      <c r="AC599" s="664"/>
      <c r="AD599" s="664"/>
    </row>
    <row r="600" spans="1:30">
      <c r="A600" s="1239"/>
      <c r="B600" s="664"/>
      <c r="C600" s="664"/>
      <c r="D600" s="664"/>
      <c r="E600" s="664"/>
      <c r="F600" s="664"/>
      <c r="G600" s="664"/>
      <c r="H600" s="664"/>
      <c r="I600" s="664"/>
      <c r="J600" s="664"/>
      <c r="K600" s="664"/>
      <c r="L600" s="664"/>
      <c r="M600" s="664"/>
      <c r="N600" s="664"/>
      <c r="O600" s="664"/>
      <c r="P600" s="664"/>
      <c r="Q600" s="664"/>
      <c r="R600" s="664"/>
      <c r="S600" s="664"/>
      <c r="T600" s="664"/>
      <c r="U600" s="664"/>
      <c r="V600" s="664"/>
      <c r="W600" s="664"/>
      <c r="X600" s="664"/>
      <c r="Y600" s="664"/>
      <c r="Z600" s="664"/>
      <c r="AA600" s="664"/>
      <c r="AB600" s="664"/>
      <c r="AC600" s="664"/>
      <c r="AD600" s="664"/>
    </row>
    <row r="601" spans="1:30">
      <c r="A601" s="1239"/>
      <c r="B601" s="664"/>
      <c r="C601" s="664"/>
      <c r="D601" s="664"/>
      <c r="E601" s="664"/>
      <c r="F601" s="664"/>
      <c r="G601" s="664"/>
      <c r="H601" s="664"/>
      <c r="I601" s="664"/>
      <c r="J601" s="664"/>
      <c r="K601" s="664"/>
      <c r="L601" s="664"/>
      <c r="M601" s="664"/>
      <c r="N601" s="664"/>
      <c r="O601" s="664"/>
      <c r="P601" s="664"/>
      <c r="Q601" s="664"/>
      <c r="R601" s="664"/>
      <c r="S601" s="664"/>
      <c r="T601" s="664"/>
      <c r="U601" s="664"/>
      <c r="V601" s="664"/>
      <c r="W601" s="664"/>
      <c r="X601" s="664"/>
      <c r="Y601" s="664"/>
      <c r="Z601" s="664"/>
      <c r="AA601" s="664"/>
      <c r="AB601" s="664"/>
      <c r="AC601" s="664"/>
      <c r="AD601" s="664"/>
    </row>
    <row r="602" spans="1:30">
      <c r="A602" s="1239"/>
      <c r="B602" s="664"/>
      <c r="C602" s="664"/>
      <c r="D602" s="664"/>
      <c r="E602" s="664"/>
      <c r="F602" s="664"/>
      <c r="G602" s="664"/>
      <c r="H602" s="664"/>
      <c r="I602" s="664"/>
      <c r="J602" s="664"/>
      <c r="K602" s="664"/>
      <c r="L602" s="664"/>
      <c r="M602" s="664"/>
      <c r="N602" s="664"/>
      <c r="O602" s="664"/>
      <c r="P602" s="664"/>
      <c r="Q602" s="664"/>
      <c r="R602" s="664"/>
      <c r="S602" s="664"/>
      <c r="T602" s="664"/>
      <c r="U602" s="664"/>
      <c r="V602" s="664"/>
      <c r="W602" s="664"/>
      <c r="X602" s="664"/>
      <c r="Y602" s="664"/>
      <c r="Z602" s="664"/>
      <c r="AA602" s="664"/>
      <c r="AB602" s="664"/>
      <c r="AC602" s="664"/>
      <c r="AD602" s="664"/>
    </row>
    <row r="603" spans="1:30">
      <c r="A603" s="1239"/>
      <c r="B603" s="664"/>
      <c r="C603" s="664"/>
      <c r="D603" s="664"/>
      <c r="E603" s="664"/>
      <c r="F603" s="664"/>
      <c r="G603" s="664"/>
      <c r="H603" s="664"/>
      <c r="I603" s="664"/>
      <c r="J603" s="664"/>
      <c r="K603" s="664"/>
      <c r="L603" s="664"/>
      <c r="M603" s="664"/>
      <c r="N603" s="664"/>
      <c r="O603" s="664"/>
      <c r="P603" s="664"/>
      <c r="Q603" s="664"/>
      <c r="R603" s="664"/>
      <c r="S603" s="664"/>
      <c r="T603" s="664"/>
      <c r="U603" s="664"/>
      <c r="V603" s="664"/>
      <c r="W603" s="664"/>
      <c r="X603" s="664"/>
      <c r="Y603" s="664"/>
      <c r="Z603" s="664"/>
      <c r="AA603" s="664"/>
      <c r="AB603" s="664"/>
      <c r="AC603" s="664"/>
      <c r="AD603" s="664"/>
    </row>
    <row r="604" spans="1:30">
      <c r="A604" s="1239"/>
      <c r="B604" s="664"/>
      <c r="C604" s="664"/>
      <c r="D604" s="664"/>
      <c r="E604" s="664"/>
      <c r="F604" s="664"/>
      <c r="G604" s="664"/>
      <c r="H604" s="664"/>
      <c r="I604" s="664"/>
      <c r="J604" s="664"/>
      <c r="K604" s="664"/>
      <c r="L604" s="664"/>
      <c r="M604" s="664"/>
      <c r="N604" s="664"/>
      <c r="O604" s="664"/>
      <c r="P604" s="664"/>
      <c r="Q604" s="664"/>
      <c r="R604" s="664"/>
      <c r="S604" s="664"/>
      <c r="T604" s="664"/>
      <c r="U604" s="664"/>
      <c r="V604" s="664"/>
      <c r="W604" s="664"/>
      <c r="X604" s="664"/>
      <c r="Y604" s="664"/>
      <c r="Z604" s="664"/>
      <c r="AA604" s="664"/>
      <c r="AB604" s="664"/>
      <c r="AC604" s="664"/>
      <c r="AD604" s="664"/>
    </row>
    <row r="605" spans="1:30">
      <c r="A605" s="1239"/>
      <c r="B605" s="664"/>
      <c r="C605" s="664"/>
      <c r="D605" s="664"/>
      <c r="E605" s="664"/>
      <c r="F605" s="664"/>
      <c r="G605" s="664"/>
      <c r="H605" s="664"/>
      <c r="I605" s="664"/>
      <c r="J605" s="664"/>
      <c r="K605" s="664"/>
      <c r="L605" s="664"/>
      <c r="M605" s="664"/>
      <c r="N605" s="664"/>
      <c r="O605" s="664"/>
      <c r="P605" s="664"/>
      <c r="Q605" s="664"/>
      <c r="R605" s="664"/>
      <c r="S605" s="664"/>
      <c r="T605" s="664"/>
      <c r="U605" s="664"/>
      <c r="V605" s="664"/>
      <c r="W605" s="664"/>
      <c r="X605" s="664"/>
      <c r="Y605" s="664"/>
      <c r="Z605" s="664"/>
      <c r="AA605" s="664"/>
      <c r="AB605" s="664"/>
      <c r="AC605" s="664"/>
      <c r="AD605" s="664"/>
    </row>
    <row r="606" spans="1:30">
      <c r="A606" s="1239"/>
      <c r="B606" s="664"/>
      <c r="C606" s="664"/>
      <c r="D606" s="664"/>
      <c r="E606" s="664"/>
      <c r="F606" s="664"/>
      <c r="G606" s="664"/>
      <c r="H606" s="664"/>
      <c r="I606" s="664"/>
      <c r="J606" s="664"/>
      <c r="K606" s="664"/>
      <c r="L606" s="664"/>
      <c r="M606" s="664"/>
      <c r="N606" s="664"/>
      <c r="O606" s="664"/>
      <c r="P606" s="664"/>
      <c r="Q606" s="664"/>
      <c r="R606" s="664"/>
      <c r="S606" s="664"/>
      <c r="T606" s="664"/>
      <c r="U606" s="664"/>
      <c r="V606" s="664"/>
      <c r="W606" s="664"/>
      <c r="X606" s="664"/>
      <c r="Y606" s="664"/>
      <c r="Z606" s="664"/>
      <c r="AA606" s="664"/>
      <c r="AB606" s="664"/>
      <c r="AC606" s="664"/>
      <c r="AD606" s="664"/>
    </row>
    <row r="607" spans="1:30">
      <c r="A607" s="1239"/>
      <c r="B607" s="664"/>
      <c r="C607" s="664"/>
      <c r="D607" s="664"/>
      <c r="E607" s="664"/>
      <c r="F607" s="664"/>
      <c r="G607" s="664"/>
      <c r="H607" s="664"/>
      <c r="I607" s="664"/>
      <c r="J607" s="664"/>
      <c r="K607" s="664"/>
      <c r="L607" s="664"/>
      <c r="M607" s="664"/>
      <c r="N607" s="664"/>
      <c r="O607" s="664"/>
      <c r="P607" s="664"/>
      <c r="Q607" s="664"/>
      <c r="R607" s="664"/>
      <c r="S607" s="664"/>
      <c r="T607" s="664"/>
      <c r="U607" s="664"/>
      <c r="V607" s="664"/>
      <c r="W607" s="664"/>
      <c r="X607" s="664"/>
      <c r="Y607" s="664"/>
      <c r="Z607" s="664"/>
      <c r="AA607" s="664"/>
      <c r="AB607" s="664"/>
      <c r="AC607" s="664"/>
      <c r="AD607" s="664"/>
    </row>
    <row r="608" spans="1:30">
      <c r="A608" s="1239"/>
      <c r="B608" s="664"/>
      <c r="C608" s="664"/>
      <c r="D608" s="664"/>
      <c r="E608" s="664"/>
      <c r="F608" s="664"/>
      <c r="G608" s="664"/>
      <c r="H608" s="664"/>
      <c r="I608" s="664"/>
      <c r="J608" s="664"/>
      <c r="K608" s="664"/>
      <c r="L608" s="664"/>
      <c r="M608" s="664"/>
      <c r="N608" s="664"/>
      <c r="O608" s="664"/>
      <c r="P608" s="664"/>
      <c r="Q608" s="664"/>
      <c r="R608" s="664"/>
      <c r="S608" s="664"/>
      <c r="T608" s="664"/>
      <c r="U608" s="664"/>
      <c r="V608" s="664"/>
      <c r="W608" s="664"/>
      <c r="X608" s="664"/>
      <c r="Y608" s="664"/>
      <c r="Z608" s="664"/>
      <c r="AA608" s="664"/>
      <c r="AB608" s="664"/>
      <c r="AC608" s="664"/>
      <c r="AD608" s="664"/>
    </row>
    <row r="609" spans="1:30">
      <c r="A609" s="1239"/>
      <c r="B609" s="664"/>
      <c r="C609" s="664"/>
      <c r="D609" s="664"/>
      <c r="E609" s="664"/>
      <c r="F609" s="664"/>
      <c r="G609" s="664"/>
      <c r="H609" s="664"/>
      <c r="I609" s="664"/>
      <c r="J609" s="664"/>
      <c r="K609" s="664"/>
      <c r="L609" s="664"/>
      <c r="M609" s="664"/>
      <c r="N609" s="664"/>
      <c r="O609" s="664"/>
      <c r="P609" s="664"/>
      <c r="Q609" s="664"/>
      <c r="R609" s="664"/>
      <c r="S609" s="664"/>
      <c r="T609" s="664"/>
      <c r="U609" s="664"/>
      <c r="V609" s="664"/>
      <c r="W609" s="664"/>
      <c r="X609" s="664"/>
      <c r="Y609" s="664"/>
      <c r="Z609" s="664"/>
      <c r="AA609" s="664"/>
      <c r="AB609" s="664"/>
      <c r="AC609" s="664"/>
      <c r="AD609" s="664"/>
    </row>
    <row r="610" spans="1:30">
      <c r="A610" s="1239"/>
      <c r="B610" s="664"/>
      <c r="C610" s="664"/>
      <c r="D610" s="664"/>
      <c r="E610" s="664"/>
      <c r="F610" s="664"/>
      <c r="G610" s="664"/>
      <c r="H610" s="664"/>
      <c r="I610" s="664"/>
      <c r="J610" s="664"/>
      <c r="K610" s="664"/>
      <c r="L610" s="664"/>
      <c r="M610" s="664"/>
      <c r="N610" s="664"/>
      <c r="O610" s="664"/>
      <c r="P610" s="664"/>
      <c r="Q610" s="664"/>
      <c r="R610" s="664"/>
      <c r="S610" s="664"/>
      <c r="T610" s="664"/>
      <c r="U610" s="664"/>
      <c r="V610" s="664"/>
      <c r="W610" s="664"/>
      <c r="X610" s="664"/>
      <c r="Y610" s="664"/>
      <c r="Z610" s="664"/>
      <c r="AA610" s="664"/>
      <c r="AB610" s="664"/>
      <c r="AC610" s="664"/>
      <c r="AD610" s="664"/>
    </row>
    <row r="611" spans="1:30">
      <c r="A611" s="1239"/>
      <c r="B611" s="664"/>
      <c r="C611" s="664"/>
      <c r="D611" s="664"/>
      <c r="E611" s="664"/>
      <c r="F611" s="664"/>
      <c r="G611" s="664"/>
      <c r="H611" s="664"/>
      <c r="I611" s="664"/>
      <c r="J611" s="664"/>
      <c r="K611" s="664"/>
      <c r="L611" s="664"/>
      <c r="M611" s="664"/>
      <c r="N611" s="664"/>
      <c r="O611" s="664"/>
      <c r="P611" s="664"/>
      <c r="Q611" s="664"/>
      <c r="R611" s="664"/>
      <c r="S611" s="664"/>
      <c r="T611" s="664"/>
      <c r="U611" s="664"/>
      <c r="V611" s="664"/>
      <c r="W611" s="664"/>
      <c r="X611" s="664"/>
      <c r="Y611" s="664"/>
      <c r="Z611" s="664"/>
      <c r="AA611" s="664"/>
      <c r="AB611" s="664"/>
      <c r="AC611" s="664"/>
      <c r="AD611" s="664"/>
    </row>
    <row r="612" spans="1:30">
      <c r="A612" s="1239"/>
      <c r="B612" s="664"/>
      <c r="C612" s="664"/>
      <c r="D612" s="664"/>
      <c r="E612" s="664"/>
      <c r="F612" s="664"/>
      <c r="G612" s="664"/>
      <c r="H612" s="664"/>
      <c r="I612" s="664"/>
      <c r="J612" s="664"/>
      <c r="K612" s="664"/>
      <c r="L612" s="664"/>
      <c r="M612" s="664"/>
      <c r="N612" s="664"/>
      <c r="O612" s="664"/>
      <c r="P612" s="664"/>
      <c r="Q612" s="664"/>
      <c r="R612" s="664"/>
      <c r="S612" s="664"/>
      <c r="T612" s="664"/>
      <c r="U612" s="664"/>
      <c r="V612" s="664"/>
      <c r="W612" s="664"/>
      <c r="X612" s="664"/>
      <c r="Y612" s="664"/>
      <c r="Z612" s="664"/>
      <c r="AA612" s="664"/>
      <c r="AB612" s="664"/>
      <c r="AC612" s="664"/>
      <c r="AD612" s="664"/>
    </row>
    <row r="613" spans="1:30">
      <c r="A613" s="1239"/>
      <c r="B613" s="664"/>
      <c r="C613" s="664"/>
      <c r="D613" s="664"/>
      <c r="E613" s="664"/>
      <c r="F613" s="664"/>
      <c r="G613" s="664"/>
      <c r="H613" s="664"/>
      <c r="I613" s="664"/>
      <c r="J613" s="664"/>
      <c r="K613" s="664"/>
      <c r="L613" s="664"/>
      <c r="M613" s="664"/>
      <c r="N613" s="664"/>
      <c r="O613" s="664"/>
      <c r="P613" s="664"/>
      <c r="Q613" s="664"/>
      <c r="R613" s="664"/>
      <c r="S613" s="664"/>
      <c r="T613" s="664"/>
      <c r="U613" s="664"/>
      <c r="V613" s="664"/>
      <c r="W613" s="664"/>
      <c r="X613" s="664"/>
      <c r="Y613" s="664"/>
      <c r="Z613" s="664"/>
      <c r="AA613" s="664"/>
      <c r="AB613" s="664"/>
      <c r="AC613" s="664"/>
      <c r="AD613" s="664"/>
    </row>
    <row r="614" spans="1:30">
      <c r="A614" s="1239"/>
      <c r="B614" s="664"/>
      <c r="C614" s="664"/>
      <c r="D614" s="664"/>
      <c r="E614" s="664"/>
      <c r="F614" s="664"/>
      <c r="G614" s="664"/>
      <c r="H614" s="664"/>
      <c r="I614" s="664"/>
      <c r="J614" s="664"/>
      <c r="K614" s="664"/>
      <c r="L614" s="664"/>
      <c r="M614" s="664"/>
      <c r="N614" s="664"/>
      <c r="O614" s="664"/>
      <c r="P614" s="664"/>
      <c r="Q614" s="664"/>
      <c r="R614" s="664"/>
      <c r="S614" s="664"/>
      <c r="T614" s="664"/>
      <c r="U614" s="664"/>
      <c r="V614" s="664"/>
      <c r="W614" s="664"/>
      <c r="X614" s="664"/>
      <c r="Y614" s="664"/>
      <c r="Z614" s="664"/>
      <c r="AA614" s="664"/>
      <c r="AB614" s="664"/>
      <c r="AC614" s="664"/>
      <c r="AD614" s="664"/>
    </row>
    <row r="615" spans="1:30">
      <c r="A615" s="1239"/>
      <c r="B615" s="664"/>
      <c r="C615" s="664"/>
      <c r="D615" s="664"/>
      <c r="E615" s="664"/>
      <c r="F615" s="664"/>
      <c r="G615" s="664"/>
      <c r="H615" s="664"/>
      <c r="I615" s="664"/>
      <c r="J615" s="664"/>
      <c r="K615" s="664"/>
      <c r="L615" s="664"/>
      <c r="M615" s="664"/>
      <c r="N615" s="664"/>
      <c r="O615" s="664"/>
      <c r="P615" s="664"/>
      <c r="Q615" s="664"/>
      <c r="R615" s="664"/>
      <c r="S615" s="664"/>
      <c r="T615" s="664"/>
      <c r="U615" s="664"/>
      <c r="V615" s="664"/>
      <c r="W615" s="664"/>
      <c r="X615" s="664"/>
      <c r="Y615" s="664"/>
      <c r="Z615" s="664"/>
      <c r="AA615" s="664"/>
      <c r="AB615" s="664"/>
      <c r="AC615" s="664"/>
      <c r="AD615" s="664"/>
    </row>
    <row r="616" spans="1:30">
      <c r="A616" s="1239"/>
      <c r="B616" s="664"/>
      <c r="C616" s="664"/>
      <c r="D616" s="664"/>
      <c r="E616" s="664"/>
      <c r="F616" s="664"/>
      <c r="G616" s="664"/>
      <c r="H616" s="664"/>
      <c r="I616" s="664"/>
      <c r="J616" s="664"/>
      <c r="K616" s="664"/>
      <c r="L616" s="664"/>
      <c r="M616" s="664"/>
      <c r="N616" s="664"/>
      <c r="O616" s="664"/>
      <c r="P616" s="664"/>
      <c r="Q616" s="664"/>
      <c r="R616" s="664"/>
      <c r="S616" s="664"/>
      <c r="T616" s="664"/>
      <c r="U616" s="664"/>
      <c r="V616" s="664"/>
      <c r="W616" s="664"/>
      <c r="X616" s="664"/>
      <c r="Y616" s="664"/>
      <c r="Z616" s="664"/>
      <c r="AA616" s="664"/>
      <c r="AB616" s="664"/>
      <c r="AC616" s="664"/>
      <c r="AD616" s="664"/>
    </row>
    <row r="617" spans="1:30">
      <c r="A617" s="1239"/>
      <c r="B617" s="664"/>
      <c r="C617" s="664"/>
      <c r="D617" s="664"/>
      <c r="E617" s="664"/>
      <c r="F617" s="664"/>
      <c r="G617" s="664"/>
      <c r="H617" s="664"/>
      <c r="I617" s="664"/>
      <c r="J617" s="664"/>
      <c r="K617" s="664"/>
      <c r="L617" s="664"/>
      <c r="M617" s="664"/>
      <c r="N617" s="664"/>
      <c r="O617" s="664"/>
      <c r="P617" s="664"/>
      <c r="Q617" s="664"/>
      <c r="R617" s="664"/>
      <c r="S617" s="664"/>
      <c r="T617" s="664"/>
      <c r="U617" s="664"/>
      <c r="V617" s="664"/>
      <c r="W617" s="664"/>
      <c r="X617" s="664"/>
      <c r="Y617" s="664"/>
      <c r="Z617" s="664"/>
      <c r="AA617" s="664"/>
      <c r="AB617" s="664"/>
      <c r="AC617" s="664"/>
      <c r="AD617" s="664"/>
    </row>
    <row r="618" spans="1:30">
      <c r="A618" s="1239"/>
      <c r="B618" s="664"/>
      <c r="C618" s="664"/>
      <c r="D618" s="664"/>
      <c r="E618" s="664"/>
      <c r="F618" s="664"/>
      <c r="G618" s="664"/>
      <c r="H618" s="664"/>
      <c r="I618" s="664"/>
      <c r="J618" s="664"/>
      <c r="K618" s="664"/>
      <c r="L618" s="664"/>
      <c r="M618" s="664"/>
      <c r="N618" s="664"/>
      <c r="O618" s="664"/>
      <c r="P618" s="664"/>
      <c r="Q618" s="664"/>
      <c r="R618" s="664"/>
      <c r="S618" s="664"/>
      <c r="T618" s="664"/>
      <c r="U618" s="664"/>
      <c r="V618" s="664"/>
      <c r="W618" s="664"/>
      <c r="X618" s="664"/>
      <c r="Y618" s="664"/>
      <c r="Z618" s="664"/>
      <c r="AA618" s="664"/>
      <c r="AB618" s="664"/>
      <c r="AC618" s="664"/>
      <c r="AD618" s="664"/>
    </row>
    <row r="619" spans="1:30">
      <c r="A619" s="1239"/>
      <c r="B619" s="664"/>
      <c r="C619" s="664"/>
      <c r="D619" s="664"/>
      <c r="E619" s="664"/>
      <c r="F619" s="664"/>
      <c r="G619" s="664"/>
      <c r="H619" s="664"/>
      <c r="I619" s="664"/>
      <c r="J619" s="664"/>
      <c r="K619" s="664"/>
      <c r="L619" s="664"/>
      <c r="M619" s="664"/>
      <c r="N619" s="664"/>
      <c r="O619" s="664"/>
      <c r="P619" s="664"/>
      <c r="Q619" s="664"/>
      <c r="R619" s="664"/>
      <c r="S619" s="664"/>
      <c r="T619" s="664"/>
      <c r="U619" s="664"/>
      <c r="V619" s="664"/>
      <c r="W619" s="664"/>
      <c r="X619" s="664"/>
      <c r="Y619" s="664"/>
      <c r="Z619" s="664"/>
      <c r="AA619" s="664"/>
      <c r="AB619" s="664"/>
      <c r="AC619" s="664"/>
      <c r="AD619" s="664"/>
    </row>
    <row r="620" spans="1:30">
      <c r="A620" s="1239"/>
      <c r="B620" s="664"/>
      <c r="C620" s="664"/>
      <c r="D620" s="664"/>
      <c r="E620" s="664"/>
      <c r="F620" s="664"/>
      <c r="G620" s="664"/>
      <c r="H620" s="664"/>
      <c r="I620" s="664"/>
      <c r="J620" s="664"/>
      <c r="K620" s="664"/>
      <c r="L620" s="664"/>
      <c r="M620" s="664"/>
      <c r="N620" s="664"/>
      <c r="O620" s="664"/>
      <c r="P620" s="664"/>
      <c r="Q620" s="664"/>
      <c r="R620" s="664"/>
      <c r="S620" s="664"/>
      <c r="T620" s="664"/>
      <c r="U620" s="664"/>
      <c r="V620" s="664"/>
      <c r="W620" s="664"/>
      <c r="X620" s="664"/>
      <c r="Y620" s="664"/>
      <c r="Z620" s="664"/>
      <c r="AA620" s="664"/>
      <c r="AB620" s="664"/>
      <c r="AC620" s="664"/>
      <c r="AD620" s="664"/>
    </row>
    <row r="621" spans="1:30">
      <c r="A621" s="1239"/>
      <c r="B621" s="664"/>
      <c r="C621" s="664"/>
      <c r="D621" s="664"/>
      <c r="E621" s="664"/>
      <c r="F621" s="664"/>
      <c r="G621" s="664"/>
      <c r="H621" s="664"/>
      <c r="I621" s="664"/>
      <c r="J621" s="664"/>
      <c r="K621" s="664"/>
      <c r="L621" s="664"/>
      <c r="M621" s="664"/>
      <c r="N621" s="664"/>
      <c r="O621" s="664"/>
      <c r="P621" s="664"/>
      <c r="Q621" s="664"/>
      <c r="R621" s="664"/>
      <c r="S621" s="664"/>
      <c r="T621" s="664"/>
      <c r="U621" s="664"/>
      <c r="V621" s="664"/>
      <c r="W621" s="664"/>
      <c r="X621" s="664"/>
      <c r="Y621" s="664"/>
      <c r="Z621" s="664"/>
      <c r="AA621" s="664"/>
      <c r="AB621" s="664"/>
      <c r="AC621" s="664"/>
      <c r="AD621" s="664"/>
    </row>
    <row r="622" spans="1:30">
      <c r="A622" s="1239"/>
      <c r="B622" s="664"/>
      <c r="C622" s="664"/>
      <c r="D622" s="664"/>
      <c r="E622" s="664"/>
      <c r="F622" s="664"/>
      <c r="G622" s="664"/>
      <c r="H622" s="664"/>
      <c r="I622" s="664"/>
      <c r="J622" s="664"/>
      <c r="K622" s="664"/>
      <c r="L622" s="664"/>
      <c r="M622" s="664"/>
      <c r="N622" s="664"/>
      <c r="O622" s="664"/>
      <c r="P622" s="664"/>
      <c r="Q622" s="664"/>
      <c r="R622" s="664"/>
      <c r="S622" s="664"/>
      <c r="T622" s="664"/>
      <c r="U622" s="664"/>
      <c r="V622" s="664"/>
      <c r="W622" s="664"/>
      <c r="X622" s="664"/>
      <c r="Y622" s="664"/>
      <c r="Z622" s="664"/>
      <c r="AA622" s="664"/>
      <c r="AB622" s="664"/>
      <c r="AC622" s="664"/>
      <c r="AD622" s="664"/>
    </row>
    <row r="623" spans="1:30">
      <c r="A623" s="1239"/>
      <c r="B623" s="664"/>
      <c r="C623" s="664"/>
      <c r="D623" s="664"/>
      <c r="E623" s="664"/>
      <c r="F623" s="664"/>
      <c r="G623" s="664"/>
      <c r="H623" s="664"/>
      <c r="I623" s="664"/>
      <c r="J623" s="664"/>
      <c r="K623" s="664"/>
      <c r="L623" s="664"/>
      <c r="M623" s="664"/>
      <c r="N623" s="664"/>
      <c r="O623" s="664"/>
      <c r="P623" s="664"/>
      <c r="Q623" s="664"/>
      <c r="R623" s="664"/>
      <c r="S623" s="664"/>
      <c r="T623" s="664"/>
      <c r="U623" s="664"/>
      <c r="V623" s="664"/>
      <c r="W623" s="664"/>
      <c r="X623" s="664"/>
      <c r="Y623" s="664"/>
      <c r="Z623" s="664"/>
      <c r="AA623" s="664"/>
      <c r="AB623" s="664"/>
      <c r="AC623" s="664"/>
      <c r="AD623" s="664"/>
    </row>
    <row r="624" spans="1:30">
      <c r="A624" s="1239"/>
      <c r="B624" s="664"/>
      <c r="C624" s="664"/>
      <c r="D624" s="664"/>
      <c r="E624" s="664"/>
      <c r="F624" s="664"/>
      <c r="G624" s="664"/>
      <c r="H624" s="664"/>
      <c r="I624" s="664"/>
      <c r="J624" s="664"/>
      <c r="K624" s="664"/>
      <c r="L624" s="664"/>
      <c r="M624" s="664"/>
      <c r="N624" s="664"/>
      <c r="O624" s="664"/>
      <c r="P624" s="664"/>
      <c r="Q624" s="664"/>
      <c r="R624" s="664"/>
      <c r="S624" s="664"/>
      <c r="T624" s="664"/>
      <c r="U624" s="664"/>
      <c r="V624" s="664"/>
      <c r="W624" s="664"/>
      <c r="X624" s="664"/>
      <c r="Y624" s="664"/>
      <c r="Z624" s="664"/>
      <c r="AA624" s="664"/>
      <c r="AB624" s="664"/>
      <c r="AC624" s="664"/>
      <c r="AD624" s="664"/>
    </row>
    <row r="625" spans="1:30">
      <c r="A625" s="1239"/>
      <c r="B625" s="664"/>
      <c r="C625" s="664"/>
      <c r="D625" s="664"/>
      <c r="E625" s="664"/>
      <c r="F625" s="664"/>
      <c r="G625" s="664"/>
      <c r="H625" s="664"/>
      <c r="I625" s="664"/>
      <c r="J625" s="664"/>
      <c r="K625" s="664"/>
      <c r="L625" s="664"/>
      <c r="M625" s="664"/>
      <c r="N625" s="664"/>
      <c r="O625" s="664"/>
      <c r="P625" s="664"/>
      <c r="Q625" s="664"/>
      <c r="R625" s="664"/>
      <c r="S625" s="664"/>
      <c r="T625" s="664"/>
      <c r="U625" s="664"/>
      <c r="V625" s="664"/>
      <c r="W625" s="664"/>
      <c r="X625" s="664"/>
      <c r="Y625" s="664"/>
      <c r="Z625" s="664"/>
      <c r="AA625" s="664"/>
      <c r="AB625" s="664"/>
      <c r="AC625" s="664"/>
      <c r="AD625" s="664"/>
    </row>
    <row r="626" spans="1:30">
      <c r="A626" s="1239"/>
      <c r="B626" s="664"/>
      <c r="C626" s="664"/>
      <c r="D626" s="664"/>
      <c r="E626" s="664"/>
      <c r="F626" s="664"/>
      <c r="G626" s="664"/>
      <c r="H626" s="664"/>
      <c r="I626" s="664"/>
      <c r="J626" s="664"/>
      <c r="K626" s="664"/>
      <c r="L626" s="664"/>
      <c r="M626" s="664"/>
      <c r="N626" s="664"/>
      <c r="O626" s="664"/>
      <c r="P626" s="664"/>
      <c r="Q626" s="664"/>
      <c r="R626" s="664"/>
      <c r="S626" s="664"/>
      <c r="T626" s="664"/>
      <c r="U626" s="664"/>
      <c r="V626" s="664"/>
      <c r="W626" s="664"/>
      <c r="X626" s="664"/>
      <c r="Y626" s="664"/>
      <c r="Z626" s="664"/>
      <c r="AA626" s="664"/>
      <c r="AB626" s="664"/>
      <c r="AC626" s="664"/>
      <c r="AD626" s="664"/>
    </row>
    <row r="627" spans="1:30">
      <c r="A627" s="1239"/>
      <c r="B627" s="664"/>
      <c r="C627" s="664"/>
      <c r="D627" s="664"/>
      <c r="E627" s="664"/>
      <c r="F627" s="664"/>
      <c r="G627" s="664"/>
      <c r="H627" s="664"/>
      <c r="I627" s="664"/>
      <c r="J627" s="664"/>
      <c r="K627" s="664"/>
      <c r="L627" s="664"/>
      <c r="M627" s="664"/>
      <c r="N627" s="664"/>
      <c r="O627" s="664"/>
      <c r="P627" s="664"/>
      <c r="Q627" s="664"/>
      <c r="R627" s="664"/>
      <c r="S627" s="664"/>
      <c r="T627" s="664"/>
      <c r="U627" s="664"/>
      <c r="V627" s="664"/>
      <c r="W627" s="664"/>
      <c r="X627" s="664"/>
      <c r="Y627" s="664"/>
      <c r="Z627" s="664"/>
      <c r="AA627" s="664"/>
      <c r="AB627" s="664"/>
      <c r="AC627" s="664"/>
      <c r="AD627" s="664"/>
    </row>
    <row r="628" spans="1:30">
      <c r="A628" s="1239"/>
      <c r="B628" s="664"/>
      <c r="C628" s="664"/>
      <c r="D628" s="664"/>
      <c r="E628" s="664"/>
      <c r="F628" s="664"/>
      <c r="G628" s="664"/>
      <c r="H628" s="664"/>
      <c r="I628" s="664"/>
      <c r="J628" s="664"/>
      <c r="K628" s="664"/>
      <c r="L628" s="664"/>
      <c r="M628" s="664"/>
      <c r="N628" s="664"/>
      <c r="O628" s="664"/>
      <c r="P628" s="664"/>
      <c r="Q628" s="664"/>
      <c r="R628" s="664"/>
      <c r="S628" s="664"/>
      <c r="T628" s="664"/>
      <c r="U628" s="664"/>
      <c r="V628" s="664"/>
      <c r="W628" s="664"/>
      <c r="X628" s="664"/>
      <c r="Y628" s="664"/>
      <c r="Z628" s="664"/>
      <c r="AA628" s="664"/>
      <c r="AB628" s="664"/>
      <c r="AC628" s="664"/>
      <c r="AD628" s="664"/>
    </row>
    <row r="629" spans="1:30">
      <c r="A629" s="1239"/>
      <c r="B629" s="664"/>
      <c r="C629" s="664"/>
      <c r="D629" s="664"/>
      <c r="E629" s="664"/>
      <c r="F629" s="664"/>
      <c r="G629" s="664"/>
      <c r="H629" s="664"/>
      <c r="I629" s="664"/>
      <c r="J629" s="664"/>
      <c r="K629" s="664"/>
      <c r="L629" s="664"/>
      <c r="M629" s="664"/>
      <c r="N629" s="664"/>
      <c r="O629" s="664"/>
      <c r="P629" s="664"/>
      <c r="Q629" s="664"/>
      <c r="R629" s="664"/>
      <c r="S629" s="664"/>
      <c r="T629" s="664"/>
      <c r="U629" s="664"/>
      <c r="V629" s="664"/>
      <c r="W629" s="664"/>
      <c r="X629" s="664"/>
      <c r="Y629" s="664"/>
      <c r="Z629" s="664"/>
      <c r="AA629" s="664"/>
      <c r="AB629" s="664"/>
      <c r="AC629" s="664"/>
      <c r="AD629" s="664"/>
    </row>
    <row r="630" spans="1:30">
      <c r="A630" s="1239"/>
      <c r="B630" s="664"/>
      <c r="C630" s="664"/>
      <c r="D630" s="664"/>
      <c r="E630" s="664"/>
      <c r="F630" s="664"/>
      <c r="G630" s="664"/>
      <c r="H630" s="664"/>
      <c r="I630" s="664"/>
      <c r="J630" s="664"/>
      <c r="K630" s="664"/>
      <c r="L630" s="664"/>
      <c r="M630" s="664"/>
      <c r="N630" s="664"/>
      <c r="O630" s="664"/>
      <c r="P630" s="664"/>
      <c r="Q630" s="664"/>
      <c r="R630" s="664"/>
      <c r="S630" s="664"/>
      <c r="T630" s="664"/>
      <c r="U630" s="664"/>
      <c r="V630" s="664"/>
      <c r="W630" s="664"/>
      <c r="X630" s="664"/>
      <c r="Y630" s="664"/>
      <c r="Z630" s="664"/>
      <c r="AA630" s="664"/>
      <c r="AB630" s="664"/>
      <c r="AC630" s="664"/>
      <c r="AD630" s="664"/>
    </row>
    <row r="631" spans="1:30">
      <c r="A631" s="1239"/>
      <c r="B631" s="664"/>
      <c r="C631" s="664"/>
      <c r="D631" s="664"/>
      <c r="E631" s="664"/>
      <c r="F631" s="664"/>
      <c r="G631" s="664"/>
      <c r="H631" s="664"/>
      <c r="I631" s="664"/>
      <c r="J631" s="664"/>
      <c r="K631" s="664"/>
      <c r="L631" s="664"/>
      <c r="M631" s="664"/>
      <c r="N631" s="664"/>
      <c r="O631" s="664"/>
      <c r="P631" s="664"/>
      <c r="Q631" s="664"/>
      <c r="R631" s="664"/>
      <c r="S631" s="664"/>
      <c r="T631" s="664"/>
      <c r="U631" s="664"/>
      <c r="V631" s="664"/>
      <c r="W631" s="664"/>
      <c r="X631" s="664"/>
      <c r="Y631" s="664"/>
      <c r="Z631" s="664"/>
      <c r="AA631" s="664"/>
      <c r="AB631" s="664"/>
      <c r="AC631" s="664"/>
      <c r="AD631" s="664"/>
    </row>
    <row r="632" spans="1:30">
      <c r="A632" s="1239"/>
      <c r="B632" s="664"/>
      <c r="C632" s="664"/>
      <c r="D632" s="664"/>
      <c r="E632" s="664"/>
      <c r="F632" s="664"/>
      <c r="G632" s="664"/>
      <c r="H632" s="664"/>
      <c r="I632" s="664"/>
      <c r="J632" s="664"/>
      <c r="K632" s="664"/>
      <c r="L632" s="664"/>
      <c r="M632" s="664"/>
      <c r="N632" s="664"/>
      <c r="O632" s="664"/>
      <c r="P632" s="664"/>
      <c r="Q632" s="664"/>
      <c r="R632" s="664"/>
      <c r="S632" s="664"/>
      <c r="T632" s="664"/>
      <c r="U632" s="664"/>
      <c r="V632" s="664"/>
      <c r="W632" s="664"/>
      <c r="X632" s="664"/>
      <c r="Y632" s="664"/>
      <c r="Z632" s="664"/>
      <c r="AA632" s="664"/>
      <c r="AB632" s="664"/>
      <c r="AC632" s="664"/>
      <c r="AD632" s="664"/>
    </row>
    <row r="633" spans="1:30">
      <c r="A633" s="1239"/>
      <c r="B633" s="664"/>
      <c r="C633" s="664"/>
      <c r="D633" s="664"/>
      <c r="E633" s="664"/>
      <c r="F633" s="664"/>
      <c r="G633" s="664"/>
      <c r="H633" s="664"/>
      <c r="I633" s="664"/>
      <c r="J633" s="664"/>
      <c r="K633" s="664"/>
      <c r="L633" s="664"/>
      <c r="M633" s="664"/>
      <c r="N633" s="664"/>
      <c r="O633" s="664"/>
      <c r="P633" s="664"/>
      <c r="Q633" s="664"/>
      <c r="R633" s="664"/>
      <c r="S633" s="664"/>
      <c r="T633" s="664"/>
      <c r="U633" s="664"/>
      <c r="V633" s="664"/>
      <c r="W633" s="664"/>
      <c r="X633" s="664"/>
      <c r="Y633" s="664"/>
      <c r="Z633" s="664"/>
      <c r="AA633" s="664"/>
      <c r="AB633" s="664"/>
      <c r="AC633" s="664"/>
      <c r="AD633" s="664"/>
    </row>
    <row r="634" spans="1:30">
      <c r="A634" s="1239"/>
      <c r="B634" s="664"/>
      <c r="C634" s="664"/>
      <c r="D634" s="664"/>
      <c r="E634" s="664"/>
      <c r="F634" s="664"/>
      <c r="G634" s="664"/>
      <c r="H634" s="664"/>
      <c r="I634" s="664"/>
      <c r="J634" s="664"/>
      <c r="K634" s="664"/>
      <c r="L634" s="664"/>
      <c r="M634" s="664"/>
      <c r="N634" s="664"/>
      <c r="O634" s="664"/>
      <c r="P634" s="664"/>
      <c r="Q634" s="664"/>
      <c r="R634" s="664"/>
      <c r="S634" s="664"/>
      <c r="T634" s="664"/>
      <c r="U634" s="664"/>
      <c r="V634" s="664"/>
      <c r="W634" s="664"/>
      <c r="X634" s="664"/>
      <c r="Y634" s="664"/>
      <c r="Z634" s="664"/>
      <c r="AA634" s="664"/>
      <c r="AB634" s="664"/>
      <c r="AC634" s="664"/>
      <c r="AD634" s="664"/>
    </row>
    <row r="635" spans="1:30">
      <c r="A635" s="1239"/>
      <c r="B635" s="664"/>
      <c r="C635" s="664"/>
      <c r="D635" s="664"/>
      <c r="E635" s="664"/>
      <c r="F635" s="664"/>
      <c r="G635" s="664"/>
      <c r="H635" s="664"/>
      <c r="I635" s="664"/>
      <c r="J635" s="664"/>
      <c r="K635" s="664"/>
      <c r="L635" s="664"/>
      <c r="M635" s="664"/>
      <c r="N635" s="664"/>
      <c r="O635" s="664"/>
      <c r="P635" s="664"/>
      <c r="Q635" s="664"/>
      <c r="R635" s="664"/>
      <c r="S635" s="664"/>
      <c r="T635" s="664"/>
      <c r="U635" s="664"/>
      <c r="V635" s="664"/>
      <c r="W635" s="664"/>
      <c r="X635" s="664"/>
      <c r="Y635" s="664"/>
      <c r="Z635" s="664"/>
      <c r="AA635" s="664"/>
      <c r="AB635" s="664"/>
      <c r="AC635" s="664"/>
      <c r="AD635" s="664"/>
    </row>
    <row r="636" spans="1:30">
      <c r="A636" s="1239"/>
      <c r="B636" s="664"/>
      <c r="C636" s="664"/>
      <c r="D636" s="664"/>
      <c r="E636" s="664"/>
      <c r="F636" s="664"/>
      <c r="G636" s="664"/>
      <c r="H636" s="664"/>
      <c r="I636" s="664"/>
      <c r="J636" s="664"/>
      <c r="K636" s="664"/>
      <c r="L636" s="664"/>
      <c r="M636" s="664"/>
      <c r="N636" s="664"/>
      <c r="O636" s="664"/>
      <c r="P636" s="664"/>
      <c r="Q636" s="664"/>
      <c r="R636" s="664"/>
      <c r="S636" s="664"/>
      <c r="T636" s="664"/>
      <c r="U636" s="664"/>
      <c r="V636" s="664"/>
      <c r="W636" s="664"/>
      <c r="X636" s="664"/>
      <c r="Y636" s="664"/>
      <c r="Z636" s="664"/>
      <c r="AA636" s="664"/>
      <c r="AB636" s="664"/>
      <c r="AC636" s="664"/>
      <c r="AD636" s="664"/>
    </row>
    <row r="637" spans="1:30">
      <c r="A637" s="1239"/>
      <c r="B637" s="664"/>
      <c r="C637" s="664"/>
      <c r="D637" s="664"/>
      <c r="E637" s="664"/>
      <c r="F637" s="664"/>
      <c r="G637" s="664"/>
      <c r="H637" s="664"/>
      <c r="I637" s="664"/>
      <c r="J637" s="664"/>
      <c r="K637" s="664"/>
      <c r="L637" s="664"/>
      <c r="M637" s="664"/>
      <c r="N637" s="664"/>
      <c r="O637" s="664"/>
      <c r="P637" s="664"/>
      <c r="Q637" s="664"/>
      <c r="R637" s="664"/>
      <c r="S637" s="664"/>
      <c r="T637" s="664"/>
      <c r="U637" s="664"/>
      <c r="V637" s="664"/>
      <c r="W637" s="664"/>
      <c r="X637" s="664"/>
      <c r="Y637" s="664"/>
      <c r="Z637" s="664"/>
      <c r="AA637" s="664"/>
      <c r="AB637" s="664"/>
      <c r="AC637" s="664"/>
      <c r="AD637" s="664"/>
    </row>
    <row r="638" spans="1:30">
      <c r="A638" s="1239"/>
      <c r="B638" s="664"/>
      <c r="C638" s="664"/>
      <c r="D638" s="664"/>
      <c r="E638" s="664"/>
      <c r="F638" s="664"/>
      <c r="G638" s="664"/>
      <c r="H638" s="664"/>
      <c r="I638" s="664"/>
      <c r="J638" s="664"/>
      <c r="K638" s="664"/>
      <c r="L638" s="664"/>
      <c r="M638" s="664"/>
      <c r="N638" s="664"/>
      <c r="O638" s="664"/>
      <c r="P638" s="664"/>
      <c r="Q638" s="664"/>
      <c r="R638" s="664"/>
      <c r="S638" s="664"/>
      <c r="T638" s="664"/>
      <c r="U638" s="664"/>
      <c r="V638" s="664"/>
      <c r="W638" s="664"/>
      <c r="X638" s="664"/>
      <c r="Y638" s="664"/>
      <c r="Z638" s="664"/>
      <c r="AA638" s="664"/>
      <c r="AB638" s="664"/>
      <c r="AC638" s="664"/>
      <c r="AD638" s="664"/>
    </row>
    <row r="639" spans="1:30">
      <c r="A639" s="1239"/>
      <c r="B639" s="664"/>
      <c r="C639" s="664"/>
      <c r="D639" s="664"/>
      <c r="E639" s="664"/>
      <c r="F639" s="664"/>
      <c r="G639" s="664"/>
      <c r="H639" s="664"/>
      <c r="I639" s="664"/>
      <c r="J639" s="664"/>
      <c r="K639" s="664"/>
      <c r="L639" s="664"/>
      <c r="M639" s="664"/>
      <c r="N639" s="664"/>
      <c r="O639" s="664"/>
      <c r="P639" s="664"/>
      <c r="Q639" s="664"/>
      <c r="R639" s="664"/>
      <c r="S639" s="664"/>
      <c r="T639" s="664"/>
      <c r="U639" s="664"/>
      <c r="V639" s="664"/>
      <c r="W639" s="664"/>
      <c r="X639" s="664"/>
      <c r="Y639" s="664"/>
      <c r="Z639" s="664"/>
      <c r="AA639" s="664"/>
      <c r="AB639" s="664"/>
      <c r="AC639" s="664"/>
      <c r="AD639" s="664"/>
    </row>
    <row r="640" spans="1:30">
      <c r="A640" s="1239"/>
      <c r="B640" s="664"/>
      <c r="C640" s="664"/>
      <c r="D640" s="664"/>
      <c r="E640" s="664"/>
      <c r="F640" s="664"/>
      <c r="G640" s="664"/>
      <c r="H640" s="664"/>
      <c r="I640" s="664"/>
      <c r="J640" s="664"/>
      <c r="K640" s="664"/>
      <c r="L640" s="664"/>
      <c r="M640" s="664"/>
      <c r="N640" s="664"/>
      <c r="O640" s="664"/>
      <c r="P640" s="664"/>
      <c r="Q640" s="664"/>
      <c r="R640" s="664"/>
      <c r="S640" s="664"/>
      <c r="T640" s="664"/>
      <c r="U640" s="664"/>
      <c r="V640" s="664"/>
      <c r="W640" s="664"/>
      <c r="X640" s="664"/>
      <c r="Y640" s="664"/>
      <c r="Z640" s="664"/>
      <c r="AA640" s="664"/>
      <c r="AB640" s="664"/>
      <c r="AC640" s="664"/>
      <c r="AD640" s="664"/>
    </row>
    <row r="641" spans="1:30">
      <c r="A641" s="1239"/>
      <c r="B641" s="664"/>
      <c r="C641" s="664"/>
      <c r="D641" s="664"/>
      <c r="E641" s="664"/>
      <c r="F641" s="664"/>
      <c r="G641" s="664"/>
      <c r="H641" s="664"/>
      <c r="I641" s="664"/>
      <c r="J641" s="664"/>
      <c r="K641" s="664"/>
      <c r="L641" s="664"/>
      <c r="M641" s="664"/>
      <c r="N641" s="664"/>
      <c r="O641" s="664"/>
      <c r="P641" s="664"/>
      <c r="Q641" s="664"/>
      <c r="R641" s="664"/>
      <c r="S641" s="664"/>
      <c r="T641" s="664"/>
      <c r="U641" s="664"/>
      <c r="V641" s="664"/>
      <c r="W641" s="664"/>
      <c r="X641" s="664"/>
      <c r="Y641" s="664"/>
      <c r="Z641" s="664"/>
      <c r="AA641" s="664"/>
      <c r="AB641" s="664"/>
      <c r="AC641" s="664"/>
      <c r="AD641" s="664"/>
    </row>
    <row r="642" spans="1:30">
      <c r="A642" s="1239"/>
      <c r="B642" s="664"/>
      <c r="C642" s="664"/>
      <c r="D642" s="664"/>
      <c r="E642" s="664"/>
      <c r="F642" s="664"/>
      <c r="G642" s="664"/>
      <c r="H642" s="664"/>
      <c r="I642" s="664"/>
      <c r="J642" s="664"/>
      <c r="K642" s="664"/>
      <c r="L642" s="664"/>
      <c r="M642" s="664"/>
      <c r="N642" s="664"/>
      <c r="O642" s="664"/>
      <c r="P642" s="664"/>
      <c r="Q642" s="664"/>
      <c r="R642" s="664"/>
      <c r="S642" s="664"/>
      <c r="T642" s="664"/>
      <c r="U642" s="664"/>
      <c r="V642" s="664"/>
      <c r="W642" s="664"/>
      <c r="X642" s="664"/>
      <c r="Y642" s="664"/>
      <c r="Z642" s="664"/>
      <c r="AA642" s="664"/>
      <c r="AB642" s="664"/>
      <c r="AC642" s="664"/>
      <c r="AD642" s="664"/>
    </row>
    <row r="643" spans="1:30">
      <c r="A643" s="1239"/>
      <c r="B643" s="664"/>
      <c r="C643" s="664"/>
      <c r="D643" s="664"/>
      <c r="E643" s="664"/>
      <c r="F643" s="664"/>
      <c r="G643" s="664"/>
      <c r="H643" s="664"/>
      <c r="I643" s="664"/>
      <c r="J643" s="664"/>
      <c r="K643" s="664"/>
      <c r="L643" s="664"/>
      <c r="M643" s="664"/>
      <c r="N643" s="664"/>
      <c r="O643" s="664"/>
      <c r="P643" s="664"/>
      <c r="Q643" s="664"/>
      <c r="R643" s="664"/>
      <c r="S643" s="664"/>
      <c r="T643" s="664"/>
      <c r="U643" s="664"/>
      <c r="V643" s="664"/>
      <c r="W643" s="664"/>
      <c r="X643" s="664"/>
      <c r="Y643" s="664"/>
      <c r="Z643" s="664"/>
      <c r="AA643" s="664"/>
      <c r="AB643" s="664"/>
      <c r="AC643" s="664"/>
      <c r="AD643" s="664"/>
    </row>
    <row r="644" spans="1:30">
      <c r="A644" s="1239"/>
      <c r="B644" s="664"/>
      <c r="C644" s="664"/>
      <c r="D644" s="664"/>
      <c r="E644" s="664"/>
      <c r="F644" s="664"/>
      <c r="G644" s="664"/>
      <c r="H644" s="664"/>
      <c r="I644" s="664"/>
      <c r="J644" s="664"/>
      <c r="K644" s="664"/>
      <c r="L644" s="664"/>
      <c r="M644" s="664"/>
      <c r="N644" s="664"/>
      <c r="O644" s="664"/>
      <c r="P644" s="664"/>
      <c r="Q644" s="664"/>
      <c r="R644" s="664"/>
      <c r="S644" s="664"/>
      <c r="T644" s="664"/>
      <c r="U644" s="664"/>
      <c r="V644" s="664"/>
      <c r="W644" s="664"/>
      <c r="X644" s="664"/>
      <c r="Y644" s="664"/>
      <c r="Z644" s="664"/>
      <c r="AA644" s="664"/>
      <c r="AB644" s="664"/>
      <c r="AC644" s="664"/>
      <c r="AD644" s="664"/>
    </row>
    <row r="645" spans="1:30">
      <c r="A645" s="1239"/>
      <c r="B645" s="664"/>
      <c r="C645" s="664"/>
      <c r="D645" s="664"/>
      <c r="E645" s="664"/>
      <c r="F645" s="664"/>
      <c r="G645" s="664"/>
      <c r="H645" s="664"/>
      <c r="I645" s="664"/>
      <c r="J645" s="664"/>
      <c r="K645" s="664"/>
      <c r="L645" s="664"/>
      <c r="M645" s="664"/>
      <c r="N645" s="664"/>
      <c r="O645" s="664"/>
      <c r="P645" s="664"/>
      <c r="Q645" s="664"/>
      <c r="R645" s="664"/>
      <c r="S645" s="664"/>
      <c r="T645" s="664"/>
      <c r="U645" s="664"/>
      <c r="V645" s="664"/>
      <c r="W645" s="664"/>
      <c r="X645" s="664"/>
      <c r="Y645" s="664"/>
      <c r="Z645" s="664"/>
      <c r="AA645" s="664"/>
      <c r="AB645" s="664"/>
      <c r="AC645" s="664"/>
      <c r="AD645" s="664"/>
    </row>
    <row r="646" spans="1:30">
      <c r="A646" s="1239"/>
      <c r="B646" s="664"/>
      <c r="C646" s="664"/>
      <c r="D646" s="664"/>
      <c r="E646" s="664"/>
      <c r="F646" s="664"/>
      <c r="G646" s="664"/>
      <c r="H646" s="664"/>
      <c r="I646" s="664"/>
      <c r="J646" s="664"/>
      <c r="K646" s="664"/>
      <c r="L646" s="664"/>
      <c r="M646" s="664"/>
      <c r="N646" s="664"/>
      <c r="O646" s="664"/>
      <c r="P646" s="664"/>
      <c r="Q646" s="664"/>
      <c r="R646" s="664"/>
      <c r="S646" s="664"/>
      <c r="T646" s="664"/>
      <c r="U646" s="664"/>
      <c r="V646" s="664"/>
      <c r="W646" s="664"/>
      <c r="X646" s="664"/>
      <c r="Y646" s="664"/>
      <c r="Z646" s="664"/>
      <c r="AA646" s="664"/>
      <c r="AB646" s="664"/>
      <c r="AC646" s="664"/>
      <c r="AD646" s="664"/>
    </row>
    <row r="647" spans="1:30">
      <c r="A647" s="1239"/>
      <c r="B647" s="664"/>
      <c r="C647" s="664"/>
      <c r="D647" s="664"/>
      <c r="E647" s="664"/>
      <c r="F647" s="664"/>
      <c r="G647" s="664"/>
      <c r="H647" s="664"/>
      <c r="I647" s="664"/>
      <c r="J647" s="664"/>
      <c r="K647" s="664"/>
      <c r="L647" s="664"/>
      <c r="M647" s="664"/>
      <c r="N647" s="664"/>
      <c r="O647" s="664"/>
      <c r="P647" s="664"/>
      <c r="Q647" s="664"/>
      <c r="R647" s="664"/>
      <c r="S647" s="664"/>
      <c r="T647" s="664"/>
      <c r="U647" s="664"/>
      <c r="V647" s="664"/>
      <c r="W647" s="664"/>
      <c r="X647" s="664"/>
      <c r="Y647" s="664"/>
      <c r="Z647" s="664"/>
      <c r="AA647" s="664"/>
      <c r="AB647" s="664"/>
      <c r="AC647" s="664"/>
      <c r="AD647" s="664"/>
    </row>
    <row r="648" spans="1:30">
      <c r="A648" s="690"/>
    </row>
    <row r="649" spans="1:30">
      <c r="A649" s="690"/>
    </row>
    <row r="650" spans="1:30">
      <c r="A650" s="690"/>
    </row>
    <row r="651" spans="1:30">
      <c r="A651" s="690"/>
    </row>
    <row r="652" spans="1:30">
      <c r="A652" s="690"/>
    </row>
    <row r="653" spans="1:30">
      <c r="A653" s="690"/>
    </row>
    <row r="654" spans="1:30">
      <c r="A654" s="690"/>
    </row>
    <row r="655" spans="1:30">
      <c r="A655" s="690"/>
    </row>
    <row r="656" spans="1:30">
      <c r="A656" s="690"/>
    </row>
    <row r="657" spans="1:1">
      <c r="A657" s="690"/>
    </row>
    <row r="658" spans="1:1">
      <c r="A658" s="690"/>
    </row>
    <row r="659" spans="1:1">
      <c r="A659" s="690"/>
    </row>
    <row r="660" spans="1:1">
      <c r="A660" s="690"/>
    </row>
    <row r="661" spans="1:1">
      <c r="A661" s="690"/>
    </row>
    <row r="662" spans="1:1">
      <c r="A662" s="690"/>
    </row>
    <row r="663" spans="1:1">
      <c r="A663" s="690"/>
    </row>
    <row r="664" spans="1:1">
      <c r="A664" s="690"/>
    </row>
    <row r="665" spans="1:1">
      <c r="A665" s="690"/>
    </row>
    <row r="666" spans="1:1">
      <c r="A666" s="690"/>
    </row>
    <row r="667" spans="1:1">
      <c r="A667" s="690"/>
    </row>
    <row r="668" spans="1:1">
      <c r="A668" s="690"/>
    </row>
    <row r="669" spans="1:1">
      <c r="A669" s="150"/>
    </row>
    <row r="670" spans="1:1">
      <c r="A670" s="150"/>
    </row>
    <row r="671" spans="1:1">
      <c r="A671" s="150"/>
    </row>
    <row r="672" spans="1:1">
      <c r="A672" s="150"/>
    </row>
    <row r="673" spans="1:1">
      <c r="A673" s="150"/>
    </row>
    <row r="674" spans="1:1">
      <c r="A674" s="150"/>
    </row>
    <row r="675" spans="1:1">
      <c r="A675" s="150"/>
    </row>
    <row r="676" spans="1:1">
      <c r="A676" s="150"/>
    </row>
    <row r="677" spans="1:1">
      <c r="A677" s="150"/>
    </row>
    <row r="678" spans="1:1">
      <c r="A678" s="150"/>
    </row>
    <row r="679" spans="1:1">
      <c r="A679" s="150"/>
    </row>
    <row r="680" spans="1:1">
      <c r="A680" s="150"/>
    </row>
    <row r="681" spans="1:1">
      <c r="A681" s="150"/>
    </row>
    <row r="682" spans="1:1">
      <c r="A682" s="150"/>
    </row>
    <row r="683" spans="1:1">
      <c r="A683" s="150"/>
    </row>
    <row r="684" spans="1:1">
      <c r="A684" s="150"/>
    </row>
    <row r="685" spans="1:1">
      <c r="A685" s="150"/>
    </row>
    <row r="686" spans="1:1">
      <c r="A686" s="150"/>
    </row>
    <row r="687" spans="1:1">
      <c r="A687" s="150"/>
    </row>
    <row r="688" spans="1:1">
      <c r="A688" s="150"/>
    </row>
    <row r="689" spans="1:1">
      <c r="A689" s="150"/>
    </row>
    <row r="690" spans="1:1">
      <c r="A690" s="150"/>
    </row>
    <row r="691" spans="1:1">
      <c r="A691" s="150"/>
    </row>
    <row r="692" spans="1:1">
      <c r="A692" s="150"/>
    </row>
    <row r="693" spans="1:1">
      <c r="A693" s="150"/>
    </row>
    <row r="694" spans="1:1">
      <c r="A694" s="150"/>
    </row>
    <row r="695" spans="1:1">
      <c r="A695" s="150"/>
    </row>
    <row r="696" spans="1:1">
      <c r="A696" s="150"/>
    </row>
    <row r="697" spans="1:1">
      <c r="A697" s="150"/>
    </row>
    <row r="698" spans="1:1">
      <c r="A698" s="150"/>
    </row>
    <row r="699" spans="1:1">
      <c r="A699" s="150"/>
    </row>
    <row r="700" spans="1:1">
      <c r="A700" s="150"/>
    </row>
    <row r="701" spans="1:1">
      <c r="A701" s="150"/>
    </row>
    <row r="702" spans="1:1">
      <c r="A702" s="150"/>
    </row>
    <row r="703" spans="1:1">
      <c r="A703" s="150"/>
    </row>
    <row r="704" spans="1:1">
      <c r="A704" s="150"/>
    </row>
    <row r="705" spans="1:1">
      <c r="A705" s="150"/>
    </row>
    <row r="706" spans="1:1">
      <c r="A706" s="150"/>
    </row>
    <row r="707" spans="1:1">
      <c r="A707" s="150"/>
    </row>
    <row r="708" spans="1:1">
      <c r="A708" s="150"/>
    </row>
    <row r="709" spans="1:1">
      <c r="A709" s="150"/>
    </row>
    <row r="710" spans="1:1">
      <c r="A710" s="150"/>
    </row>
    <row r="711" spans="1:1">
      <c r="A711" s="150"/>
    </row>
    <row r="712" spans="1:1">
      <c r="A712" s="150"/>
    </row>
    <row r="713" spans="1:1">
      <c r="A713" s="150"/>
    </row>
    <row r="714" spans="1:1">
      <c r="A714" s="150"/>
    </row>
    <row r="715" spans="1:1">
      <c r="A715" s="150"/>
    </row>
    <row r="716" spans="1:1">
      <c r="A716" s="150"/>
    </row>
    <row r="717" spans="1:1">
      <c r="A717" s="150"/>
    </row>
    <row r="718" spans="1:1">
      <c r="A718" s="150"/>
    </row>
    <row r="719" spans="1:1">
      <c r="A719" s="150"/>
    </row>
    <row r="720" spans="1:1">
      <c r="A720" s="150"/>
    </row>
    <row r="721" spans="1:1">
      <c r="A721" s="150"/>
    </row>
    <row r="722" spans="1:1">
      <c r="A722" s="150"/>
    </row>
    <row r="723" spans="1:1">
      <c r="A723" s="150"/>
    </row>
    <row r="724" spans="1:1">
      <c r="A724" s="150"/>
    </row>
    <row r="725" spans="1:1">
      <c r="A725" s="150"/>
    </row>
    <row r="726" spans="1:1">
      <c r="A726" s="150"/>
    </row>
    <row r="727" spans="1:1">
      <c r="A727" s="150"/>
    </row>
    <row r="728" spans="1:1">
      <c r="A728" s="150"/>
    </row>
    <row r="729" spans="1:1">
      <c r="A729" s="150"/>
    </row>
    <row r="730" spans="1:1">
      <c r="A730" s="150"/>
    </row>
    <row r="731" spans="1:1">
      <c r="A731" s="150"/>
    </row>
    <row r="732" spans="1:1">
      <c r="A732" s="150"/>
    </row>
    <row r="733" spans="1:1">
      <c r="A733" s="150"/>
    </row>
    <row r="734" spans="1:1">
      <c r="A734" s="150"/>
    </row>
    <row r="735" spans="1:1">
      <c r="A735" s="150"/>
    </row>
    <row r="736" spans="1:1">
      <c r="A736" s="150"/>
    </row>
    <row r="737" spans="1:1">
      <c r="A737" s="150"/>
    </row>
    <row r="738" spans="1:1">
      <c r="A738" s="150"/>
    </row>
    <row r="739" spans="1:1">
      <c r="A739" s="150"/>
    </row>
    <row r="740" spans="1:1">
      <c r="A740" s="150"/>
    </row>
    <row r="741" spans="1:1">
      <c r="A741" s="150"/>
    </row>
    <row r="742" spans="1:1">
      <c r="A742" s="150"/>
    </row>
    <row r="743" spans="1:1">
      <c r="A743" s="150"/>
    </row>
    <row r="744" spans="1:1">
      <c r="A744" s="150"/>
    </row>
    <row r="745" spans="1:1">
      <c r="A745" s="150"/>
    </row>
    <row r="746" spans="1:1">
      <c r="A746" s="150"/>
    </row>
    <row r="747" spans="1:1">
      <c r="A747" s="150"/>
    </row>
    <row r="748" spans="1:1">
      <c r="A748" s="150"/>
    </row>
    <row r="749" spans="1:1">
      <c r="A749" s="150"/>
    </row>
    <row r="750" spans="1:1">
      <c r="A750" s="150"/>
    </row>
    <row r="751" spans="1:1">
      <c r="A751" s="150"/>
    </row>
    <row r="752" spans="1:1">
      <c r="A752" s="150"/>
    </row>
    <row r="753" spans="1:1">
      <c r="A753" s="150"/>
    </row>
    <row r="754" spans="1:1">
      <c r="A754" s="150"/>
    </row>
    <row r="755" spans="1:1">
      <c r="A755" s="150"/>
    </row>
    <row r="756" spans="1:1">
      <c r="A756" s="150"/>
    </row>
    <row r="757" spans="1:1">
      <c r="A757" s="150"/>
    </row>
    <row r="758" spans="1:1">
      <c r="A758" s="150"/>
    </row>
    <row r="759" spans="1:1">
      <c r="A759" s="150"/>
    </row>
    <row r="760" spans="1:1">
      <c r="A760" s="150"/>
    </row>
    <row r="761" spans="1:1">
      <c r="A761" s="150"/>
    </row>
    <row r="762" spans="1:1">
      <c r="A762" s="150"/>
    </row>
    <row r="763" spans="1:1">
      <c r="A763" s="150"/>
    </row>
    <row r="764" spans="1:1">
      <c r="A764" s="150"/>
    </row>
    <row r="765" spans="1:1">
      <c r="A765" s="150"/>
    </row>
    <row r="766" spans="1:1">
      <c r="A766" s="150"/>
    </row>
    <row r="767" spans="1:1">
      <c r="A767" s="150"/>
    </row>
    <row r="768" spans="1:1">
      <c r="A768" s="150"/>
    </row>
    <row r="769" spans="1:1">
      <c r="A769" s="150"/>
    </row>
    <row r="770" spans="1:1">
      <c r="A770" s="150"/>
    </row>
    <row r="771" spans="1:1">
      <c r="A771" s="150"/>
    </row>
    <row r="772" spans="1:1">
      <c r="A772" s="150"/>
    </row>
    <row r="773" spans="1:1">
      <c r="A773" s="150"/>
    </row>
    <row r="774" spans="1:1">
      <c r="A774" s="150"/>
    </row>
    <row r="775" spans="1:1">
      <c r="A775" s="150"/>
    </row>
    <row r="776" spans="1:1">
      <c r="A776" s="150"/>
    </row>
    <row r="777" spans="1:1">
      <c r="A777" s="150"/>
    </row>
    <row r="778" spans="1:1">
      <c r="A778" s="150"/>
    </row>
    <row r="779" spans="1:1">
      <c r="A779" s="150"/>
    </row>
    <row r="780" spans="1:1">
      <c r="A780" s="150"/>
    </row>
    <row r="781" spans="1:1">
      <c r="A781" s="150"/>
    </row>
    <row r="782" spans="1:1">
      <c r="A782" s="150"/>
    </row>
    <row r="783" spans="1:1">
      <c r="A783" s="150"/>
    </row>
    <row r="784" spans="1:1">
      <c r="A784" s="150"/>
    </row>
    <row r="785" spans="1:1">
      <c r="A785" s="150"/>
    </row>
    <row r="786" spans="1:1">
      <c r="A786" s="150"/>
    </row>
    <row r="787" spans="1:1">
      <c r="A787" s="150"/>
    </row>
    <row r="788" spans="1:1">
      <c r="A788" s="150"/>
    </row>
    <row r="789" spans="1:1">
      <c r="A789" s="150"/>
    </row>
    <row r="790" spans="1:1">
      <c r="A790" s="150"/>
    </row>
    <row r="791" spans="1:1">
      <c r="A791" s="150"/>
    </row>
    <row r="792" spans="1:1">
      <c r="A792" s="150"/>
    </row>
    <row r="793" spans="1:1">
      <c r="A793" s="150"/>
    </row>
    <row r="794" spans="1:1">
      <c r="A794" s="150"/>
    </row>
    <row r="795" spans="1:1">
      <c r="A795" s="150"/>
    </row>
    <row r="796" spans="1:1">
      <c r="A796" s="150"/>
    </row>
    <row r="797" spans="1:1">
      <c r="A797" s="150"/>
    </row>
    <row r="798" spans="1:1">
      <c r="A798" s="150"/>
    </row>
    <row r="799" spans="1:1">
      <c r="A799" s="150"/>
    </row>
    <row r="800" spans="1:1">
      <c r="A800" s="150"/>
    </row>
    <row r="801" spans="1:1">
      <c r="A801" s="150"/>
    </row>
    <row r="802" spans="1:1">
      <c r="A802" s="150"/>
    </row>
    <row r="803" spans="1:1">
      <c r="A803" s="150"/>
    </row>
    <row r="804" spans="1:1">
      <c r="A804" s="150"/>
    </row>
    <row r="805" spans="1:1">
      <c r="A805" s="150"/>
    </row>
    <row r="806" spans="1:1">
      <c r="A806" s="150"/>
    </row>
    <row r="807" spans="1:1">
      <c r="A807" s="150"/>
    </row>
    <row r="808" spans="1:1">
      <c r="A808" s="150"/>
    </row>
    <row r="809" spans="1:1">
      <c r="A809" s="150"/>
    </row>
    <row r="810" spans="1:1">
      <c r="A810" s="150"/>
    </row>
    <row r="811" spans="1:1">
      <c r="A811" s="150"/>
    </row>
    <row r="812" spans="1:1">
      <c r="A812" s="150"/>
    </row>
    <row r="813" spans="1:1">
      <c r="A813" s="150"/>
    </row>
    <row r="814" spans="1:1">
      <c r="A814" s="150"/>
    </row>
    <row r="815" spans="1:1">
      <c r="A815" s="150"/>
    </row>
    <row r="816" spans="1:1">
      <c r="A816" s="150"/>
    </row>
    <row r="817" spans="1:1">
      <c r="A817" s="150"/>
    </row>
    <row r="818" spans="1:1">
      <c r="A818" s="150"/>
    </row>
    <row r="819" spans="1:1">
      <c r="A819" s="150"/>
    </row>
    <row r="820" spans="1:1">
      <c r="A820" s="150"/>
    </row>
    <row r="821" spans="1:1">
      <c r="A821" s="150"/>
    </row>
    <row r="822" spans="1:1">
      <c r="A822" s="150"/>
    </row>
    <row r="823" spans="1:1">
      <c r="A823" s="150"/>
    </row>
    <row r="824" spans="1:1">
      <c r="A824" s="150"/>
    </row>
    <row r="825" spans="1:1">
      <c r="A825" s="150"/>
    </row>
    <row r="826" spans="1:1">
      <c r="A826" s="150"/>
    </row>
    <row r="827" spans="1:1">
      <c r="A827" s="150"/>
    </row>
    <row r="828" spans="1:1">
      <c r="A828" s="150"/>
    </row>
    <row r="829" spans="1:1">
      <c r="A829" s="150"/>
    </row>
    <row r="830" spans="1:1">
      <c r="A830" s="150"/>
    </row>
    <row r="831" spans="1:1">
      <c r="A831" s="150"/>
    </row>
    <row r="832" spans="1:1">
      <c r="A832" s="150"/>
    </row>
    <row r="833" spans="1:1">
      <c r="A833" s="150"/>
    </row>
    <row r="834" spans="1:1">
      <c r="A834" s="150"/>
    </row>
    <row r="835" spans="1:1">
      <c r="A835" s="150"/>
    </row>
    <row r="836" spans="1:1">
      <c r="A836" s="150"/>
    </row>
    <row r="837" spans="1:1">
      <c r="A837" s="150"/>
    </row>
    <row r="838" spans="1:1">
      <c r="A838" s="150"/>
    </row>
    <row r="839" spans="1:1">
      <c r="A839" s="150"/>
    </row>
    <row r="840" spans="1:1">
      <c r="A840" s="150"/>
    </row>
    <row r="841" spans="1:1">
      <c r="A841" s="150"/>
    </row>
    <row r="842" spans="1:1">
      <c r="A842" s="150"/>
    </row>
    <row r="843" spans="1:1">
      <c r="A843" s="150"/>
    </row>
    <row r="844" spans="1:1">
      <c r="A844" s="150"/>
    </row>
    <row r="845" spans="1:1">
      <c r="A845" s="150"/>
    </row>
    <row r="846" spans="1:1">
      <c r="A846" s="150"/>
    </row>
    <row r="847" spans="1:1">
      <c r="A847" s="150"/>
    </row>
    <row r="848" spans="1:1">
      <c r="A848" s="150"/>
    </row>
    <row r="849" spans="1:1">
      <c r="A849" s="150"/>
    </row>
    <row r="850" spans="1:1">
      <c r="A850" s="150"/>
    </row>
    <row r="851" spans="1:1">
      <c r="A851" s="150"/>
    </row>
    <row r="852" spans="1:1">
      <c r="A852" s="150"/>
    </row>
    <row r="853" spans="1:1">
      <c r="A853" s="150"/>
    </row>
    <row r="854" spans="1:1">
      <c r="A854" s="150"/>
    </row>
    <row r="855" spans="1:1">
      <c r="A855" s="150"/>
    </row>
    <row r="856" spans="1:1">
      <c r="A856" s="150"/>
    </row>
    <row r="857" spans="1:1">
      <c r="A857" s="150"/>
    </row>
    <row r="858" spans="1:1">
      <c r="A858" s="150"/>
    </row>
    <row r="859" spans="1:1">
      <c r="A859" s="150"/>
    </row>
    <row r="860" spans="1:1">
      <c r="A860" s="150"/>
    </row>
    <row r="861" spans="1:1">
      <c r="A861" s="150"/>
    </row>
    <row r="862" spans="1:1">
      <c r="A862" s="150"/>
    </row>
    <row r="863" spans="1:1">
      <c r="A863" s="150"/>
    </row>
    <row r="864" spans="1:1">
      <c r="A864" s="150"/>
    </row>
    <row r="865" spans="1:1">
      <c r="A865" s="150"/>
    </row>
    <row r="866" spans="1:1">
      <c r="A866" s="150"/>
    </row>
    <row r="867" spans="1:1">
      <c r="A867" s="150"/>
    </row>
    <row r="868" spans="1:1">
      <c r="A868" s="150"/>
    </row>
    <row r="869" spans="1:1">
      <c r="A869" s="150"/>
    </row>
    <row r="870" spans="1:1">
      <c r="A870" s="150"/>
    </row>
    <row r="871" spans="1:1">
      <c r="A871" s="150"/>
    </row>
    <row r="872" spans="1:1">
      <c r="A872" s="150"/>
    </row>
    <row r="873" spans="1:1">
      <c r="A873" s="150"/>
    </row>
    <row r="874" spans="1:1">
      <c r="A874" s="150"/>
    </row>
    <row r="875" spans="1:1">
      <c r="A875" s="150"/>
    </row>
    <row r="876" spans="1:1">
      <c r="A876" s="150"/>
    </row>
    <row r="877" spans="1:1">
      <c r="A877" s="150"/>
    </row>
    <row r="878" spans="1:1">
      <c r="A878" s="150"/>
    </row>
    <row r="879" spans="1:1">
      <c r="A879" s="150"/>
    </row>
    <row r="880" spans="1:1">
      <c r="A880" s="150"/>
    </row>
    <row r="881" spans="1:1">
      <c r="A881" s="150"/>
    </row>
    <row r="882" spans="1:1">
      <c r="A882" s="150"/>
    </row>
    <row r="883" spans="1:1">
      <c r="A883" s="150"/>
    </row>
    <row r="884" spans="1:1">
      <c r="A884" s="150"/>
    </row>
    <row r="885" spans="1:1">
      <c r="A885" s="150"/>
    </row>
    <row r="886" spans="1:1">
      <c r="A886" s="150"/>
    </row>
    <row r="887" spans="1:1">
      <c r="A887" s="150"/>
    </row>
    <row r="888" spans="1:1">
      <c r="A888" s="150"/>
    </row>
    <row r="889" spans="1:1">
      <c r="A889" s="150"/>
    </row>
    <row r="890" spans="1:1">
      <c r="A890" s="150"/>
    </row>
    <row r="891" spans="1:1">
      <c r="A891" s="150"/>
    </row>
    <row r="892" spans="1:1">
      <c r="A892" s="150"/>
    </row>
    <row r="893" spans="1:1">
      <c r="A893" s="150"/>
    </row>
    <row r="894" spans="1:1">
      <c r="A894" s="150"/>
    </row>
    <row r="895" spans="1:1">
      <c r="A895" s="150"/>
    </row>
    <row r="896" spans="1:1">
      <c r="A896" s="150"/>
    </row>
    <row r="897" spans="1:1">
      <c r="A897" s="150"/>
    </row>
    <row r="898" spans="1:1">
      <c r="A898" s="150"/>
    </row>
    <row r="899" spans="1:1">
      <c r="A899" s="150"/>
    </row>
    <row r="900" spans="1:1">
      <c r="A900" s="150"/>
    </row>
    <row r="901" spans="1:1">
      <c r="A901" s="150"/>
    </row>
    <row r="902" spans="1:1">
      <c r="A902" s="150"/>
    </row>
    <row r="903" spans="1:1">
      <c r="A903" s="150"/>
    </row>
    <row r="904" spans="1:1">
      <c r="A904" s="150"/>
    </row>
    <row r="905" spans="1:1">
      <c r="A905" s="150"/>
    </row>
    <row r="906" spans="1:1">
      <c r="A906" s="150"/>
    </row>
    <row r="907" spans="1:1">
      <c r="A907" s="150"/>
    </row>
    <row r="908" spans="1:1">
      <c r="A908" s="150"/>
    </row>
    <row r="909" spans="1:1">
      <c r="A909" s="150"/>
    </row>
    <row r="910" spans="1:1">
      <c r="A910" s="150"/>
    </row>
    <row r="911" spans="1:1">
      <c r="A911" s="150"/>
    </row>
    <row r="912" spans="1:1">
      <c r="A912" s="150"/>
    </row>
    <row r="913" spans="1:1">
      <c r="A913" s="150"/>
    </row>
    <row r="914" spans="1:1">
      <c r="A914" s="150"/>
    </row>
    <row r="915" spans="1:1">
      <c r="A915" s="150"/>
    </row>
    <row r="916" spans="1:1">
      <c r="A916" s="150"/>
    </row>
    <row r="917" spans="1:1">
      <c r="A917" s="150"/>
    </row>
    <row r="918" spans="1:1">
      <c r="A918" s="150"/>
    </row>
    <row r="919" spans="1:1">
      <c r="A919" s="150"/>
    </row>
    <row r="920" spans="1:1">
      <c r="A920" s="150"/>
    </row>
    <row r="921" spans="1:1">
      <c r="A921" s="150"/>
    </row>
    <row r="922" spans="1:1">
      <c r="A922" s="150"/>
    </row>
    <row r="923" spans="1:1">
      <c r="A923" s="150"/>
    </row>
    <row r="924" spans="1:1">
      <c r="A924" s="150"/>
    </row>
    <row r="925" spans="1:1">
      <c r="A925" s="150"/>
    </row>
    <row r="926" spans="1:1">
      <c r="A926" s="150"/>
    </row>
    <row r="927" spans="1:1">
      <c r="A927" s="150"/>
    </row>
    <row r="928" spans="1:1">
      <c r="A928" s="150"/>
    </row>
    <row r="929" spans="1:1">
      <c r="A929" s="150"/>
    </row>
    <row r="930" spans="1:1">
      <c r="A930" s="150"/>
    </row>
    <row r="931" spans="1:1">
      <c r="A931" s="150"/>
    </row>
    <row r="932" spans="1:1">
      <c r="A932" s="150"/>
    </row>
    <row r="933" spans="1:1">
      <c r="A933" s="150"/>
    </row>
    <row r="934" spans="1:1">
      <c r="A934" s="150"/>
    </row>
    <row r="935" spans="1:1">
      <c r="A935" s="150"/>
    </row>
    <row r="936" spans="1:1">
      <c r="A936" s="150"/>
    </row>
    <row r="937" spans="1:1">
      <c r="A937" s="150"/>
    </row>
    <row r="938" spans="1:1">
      <c r="A938" s="150"/>
    </row>
    <row r="939" spans="1:1">
      <c r="A939" s="150"/>
    </row>
    <row r="940" spans="1:1">
      <c r="A940" s="150"/>
    </row>
    <row r="941" spans="1:1">
      <c r="A941" s="150"/>
    </row>
    <row r="942" spans="1:1">
      <c r="A942" s="150"/>
    </row>
    <row r="943" spans="1:1">
      <c r="A943" s="150"/>
    </row>
    <row r="944" spans="1:1">
      <c r="A944" s="150"/>
    </row>
    <row r="945" spans="1:1">
      <c r="A945" s="150"/>
    </row>
    <row r="946" spans="1:1">
      <c r="A946" s="150"/>
    </row>
    <row r="947" spans="1:1">
      <c r="A947" s="150"/>
    </row>
    <row r="948" spans="1:1">
      <c r="A948" s="150"/>
    </row>
    <row r="949" spans="1:1">
      <c r="A949" s="150"/>
    </row>
    <row r="950" spans="1:1">
      <c r="A950" s="150"/>
    </row>
    <row r="951" spans="1:1">
      <c r="A951" s="150"/>
    </row>
    <row r="952" spans="1:1">
      <c r="A952" s="150"/>
    </row>
    <row r="953" spans="1:1">
      <c r="A953" s="150"/>
    </row>
    <row r="954" spans="1:1">
      <c r="A954" s="150"/>
    </row>
    <row r="955" spans="1:1">
      <c r="A955" s="150"/>
    </row>
    <row r="956" spans="1:1">
      <c r="A956" s="150"/>
    </row>
    <row r="957" spans="1:1">
      <c r="A957" s="150"/>
    </row>
    <row r="958" spans="1:1">
      <c r="A958" s="150"/>
    </row>
    <row r="959" spans="1:1">
      <c r="A959" s="150"/>
    </row>
    <row r="960" spans="1:1">
      <c r="A960" s="150"/>
    </row>
    <row r="961" spans="1:1">
      <c r="A961" s="150"/>
    </row>
    <row r="962" spans="1:1">
      <c r="A962" s="150"/>
    </row>
    <row r="963" spans="1:1">
      <c r="A963" s="150"/>
    </row>
    <row r="964" spans="1:1">
      <c r="A964" s="150"/>
    </row>
    <row r="965" spans="1:1">
      <c r="A965" s="150"/>
    </row>
    <row r="966" spans="1:1">
      <c r="A966" s="150"/>
    </row>
    <row r="967" spans="1:1">
      <c r="A967" s="150"/>
    </row>
    <row r="968" spans="1:1">
      <c r="A968" s="150"/>
    </row>
    <row r="969" spans="1:1">
      <c r="A969" s="150"/>
    </row>
    <row r="970" spans="1:1">
      <c r="A970" s="150"/>
    </row>
    <row r="971" spans="1:1">
      <c r="A971" s="150"/>
    </row>
    <row r="972" spans="1:1">
      <c r="A972" s="150"/>
    </row>
    <row r="973" spans="1:1">
      <c r="A973" s="150"/>
    </row>
    <row r="974" spans="1:1">
      <c r="A974" s="150"/>
    </row>
    <row r="975" spans="1:1">
      <c r="A975" s="150"/>
    </row>
    <row r="976" spans="1:1">
      <c r="A976" s="150"/>
    </row>
    <row r="977" spans="1:1">
      <c r="A977" s="150"/>
    </row>
    <row r="978" spans="1:1">
      <c r="A978" s="150"/>
    </row>
    <row r="979" spans="1:1">
      <c r="A979" s="150"/>
    </row>
    <row r="980" spans="1:1">
      <c r="A980" s="150"/>
    </row>
    <row r="981" spans="1:1">
      <c r="A981" s="150"/>
    </row>
    <row r="982" spans="1:1">
      <c r="A982" s="150"/>
    </row>
    <row r="983" spans="1:1">
      <c r="A983" s="150"/>
    </row>
    <row r="984" spans="1:1">
      <c r="A984" s="150"/>
    </row>
    <row r="985" spans="1:1">
      <c r="A985" s="150"/>
    </row>
    <row r="986" spans="1:1">
      <c r="A986" s="150"/>
    </row>
    <row r="987" spans="1:1">
      <c r="A987" s="150"/>
    </row>
    <row r="988" spans="1:1">
      <c r="A988" s="150"/>
    </row>
    <row r="989" spans="1:1">
      <c r="A989" s="150"/>
    </row>
    <row r="990" spans="1:1">
      <c r="A990" s="150"/>
    </row>
    <row r="991" spans="1:1">
      <c r="A991" s="150"/>
    </row>
    <row r="992" spans="1:1">
      <c r="A992" s="150"/>
    </row>
    <row r="993" spans="1:1">
      <c r="A993" s="150"/>
    </row>
    <row r="994" spans="1:1">
      <c r="A994" s="150"/>
    </row>
    <row r="995" spans="1:1">
      <c r="A995" s="150"/>
    </row>
    <row r="996" spans="1:1">
      <c r="A996" s="150"/>
    </row>
    <row r="997" spans="1:1">
      <c r="A997" s="150"/>
    </row>
    <row r="998" spans="1:1">
      <c r="A998" s="150"/>
    </row>
    <row r="999" spans="1:1">
      <c r="A999" s="150"/>
    </row>
    <row r="1000" spans="1:1">
      <c r="A1000" s="150"/>
    </row>
    <row r="1001" spans="1:1">
      <c r="A1001" s="150"/>
    </row>
    <row r="1002" spans="1:1">
      <c r="A1002" s="150"/>
    </row>
    <row r="1003" spans="1:1">
      <c r="A1003" s="150"/>
    </row>
    <row r="1004" spans="1:1">
      <c r="A1004" s="150"/>
    </row>
    <row r="1005" spans="1:1">
      <c r="A1005" s="150"/>
    </row>
    <row r="1006" spans="1:1">
      <c r="A1006" s="150"/>
    </row>
    <row r="1007" spans="1:1">
      <c r="A1007" s="150"/>
    </row>
    <row r="1008" spans="1:1">
      <c r="A1008" s="150"/>
    </row>
    <row r="1009" spans="1:1">
      <c r="A1009" s="150"/>
    </row>
    <row r="1010" spans="1:1">
      <c r="A1010" s="150"/>
    </row>
    <row r="1011" spans="1:1">
      <c r="A1011" s="150"/>
    </row>
    <row r="1012" spans="1:1">
      <c r="A1012" s="150"/>
    </row>
    <row r="1013" spans="1:1">
      <c r="A1013" s="150"/>
    </row>
    <row r="1014" spans="1:1">
      <c r="A1014" s="150"/>
    </row>
    <row r="1015" spans="1:1">
      <c r="A1015" s="150"/>
    </row>
    <row r="1016" spans="1:1">
      <c r="A1016" s="150"/>
    </row>
    <row r="1017" spans="1:1">
      <c r="A1017" s="150"/>
    </row>
    <row r="1018" spans="1:1">
      <c r="A1018" s="150"/>
    </row>
    <row r="1019" spans="1:1">
      <c r="A1019" s="150"/>
    </row>
    <row r="1020" spans="1:1">
      <c r="A1020" s="150"/>
    </row>
    <row r="1021" spans="1:1">
      <c r="A1021" s="150"/>
    </row>
    <row r="1022" spans="1:1">
      <c r="A1022" s="150"/>
    </row>
    <row r="1023" spans="1:1">
      <c r="A1023" s="150"/>
    </row>
    <row r="1024" spans="1:1">
      <c r="A1024" s="150"/>
    </row>
    <row r="1025" spans="1:1">
      <c r="A1025" s="150"/>
    </row>
    <row r="1026" spans="1:1">
      <c r="A1026" s="150"/>
    </row>
    <row r="1027" spans="1:1">
      <c r="A1027" s="150"/>
    </row>
    <row r="1028" spans="1:1">
      <c r="A1028" s="150"/>
    </row>
    <row r="1029" spans="1:1">
      <c r="A1029" s="150"/>
    </row>
    <row r="1030" spans="1:1">
      <c r="A1030" s="150"/>
    </row>
    <row r="1031" spans="1:1">
      <c r="A1031" s="150"/>
    </row>
    <row r="1032" spans="1:1">
      <c r="A1032" s="150"/>
    </row>
    <row r="1033" spans="1:1">
      <c r="A1033" s="150"/>
    </row>
    <row r="1034" spans="1:1">
      <c r="A1034" s="150"/>
    </row>
    <row r="1035" spans="1:1">
      <c r="A1035" s="150"/>
    </row>
    <row r="1036" spans="1:1">
      <c r="A1036" s="150"/>
    </row>
    <row r="1037" spans="1:1">
      <c r="A1037" s="150"/>
    </row>
    <row r="1038" spans="1:1">
      <c r="A1038" s="150"/>
    </row>
    <row r="1039" spans="1:1">
      <c r="A1039" s="150"/>
    </row>
    <row r="1040" spans="1:1">
      <c r="A1040" s="150"/>
    </row>
    <row r="1041" spans="1:1">
      <c r="A1041" s="150"/>
    </row>
    <row r="1042" spans="1:1">
      <c r="A1042" s="150"/>
    </row>
    <row r="1043" spans="1:1">
      <c r="A1043" s="150"/>
    </row>
    <row r="1044" spans="1:1">
      <c r="A1044" s="150"/>
    </row>
    <row r="1045" spans="1:1">
      <c r="A1045" s="150"/>
    </row>
    <row r="1046" spans="1:1">
      <c r="A1046" s="150"/>
    </row>
    <row r="1047" spans="1:1">
      <c r="A1047" s="150"/>
    </row>
    <row r="1048" spans="1:1">
      <c r="A1048" s="150"/>
    </row>
    <row r="1049" spans="1:1">
      <c r="A1049" s="150"/>
    </row>
    <row r="1050" spans="1:1">
      <c r="A1050" s="150"/>
    </row>
    <row r="1051" spans="1:1">
      <c r="A1051" s="150"/>
    </row>
    <row r="1052" spans="1:1">
      <c r="A1052" s="150"/>
    </row>
    <row r="1053" spans="1:1">
      <c r="A1053" s="150"/>
    </row>
    <row r="1054" spans="1:1">
      <c r="A1054" s="150"/>
    </row>
    <row r="1055" spans="1:1">
      <c r="A1055" s="150"/>
    </row>
    <row r="1056" spans="1:1">
      <c r="A1056" s="150"/>
    </row>
    <row r="1057" spans="1:1">
      <c r="A1057" s="150"/>
    </row>
    <row r="1058" spans="1:1">
      <c r="A1058" s="150"/>
    </row>
    <row r="1059" spans="1:1">
      <c r="A1059" s="150"/>
    </row>
    <row r="1060" spans="1:1">
      <c r="A1060" s="150"/>
    </row>
    <row r="1061" spans="1:1">
      <c r="A1061" s="150"/>
    </row>
    <row r="1062" spans="1:1">
      <c r="A1062" s="150"/>
    </row>
    <row r="1063" spans="1:1">
      <c r="A1063" s="150"/>
    </row>
    <row r="1064" spans="1:1">
      <c r="A1064" s="150"/>
    </row>
    <row r="1065" spans="1:1">
      <c r="A1065" s="150"/>
    </row>
    <row r="1066" spans="1:1">
      <c r="A1066" s="150"/>
    </row>
    <row r="1067" spans="1:1">
      <c r="A1067" s="150"/>
    </row>
    <row r="1068" spans="1:1">
      <c r="A1068" s="150"/>
    </row>
    <row r="1069" spans="1:1">
      <c r="A1069" s="150"/>
    </row>
    <row r="1070" spans="1:1">
      <c r="A1070" s="150"/>
    </row>
    <row r="1071" spans="1:1">
      <c r="A1071" s="150"/>
    </row>
    <row r="1072" spans="1:1">
      <c r="A1072" s="150"/>
    </row>
    <row r="1073" spans="1:1">
      <c r="A1073" s="150"/>
    </row>
    <row r="1074" spans="1:1">
      <c r="A1074" s="150"/>
    </row>
    <row r="1075" spans="1:1">
      <c r="A1075" s="150"/>
    </row>
    <row r="1076" spans="1:1">
      <c r="A1076" s="150"/>
    </row>
    <row r="1077" spans="1:1">
      <c r="A1077" s="150"/>
    </row>
    <row r="1078" spans="1:1">
      <c r="A1078" s="150"/>
    </row>
    <row r="1079" spans="1:1">
      <c r="A1079" s="150"/>
    </row>
    <row r="1080" spans="1:1">
      <c r="A1080" s="150"/>
    </row>
    <row r="1081" spans="1:1">
      <c r="A1081" s="150"/>
    </row>
    <row r="1082" spans="1:1">
      <c r="A1082" s="150"/>
    </row>
    <row r="1083" spans="1:1">
      <c r="A1083" s="150"/>
    </row>
    <row r="1084" spans="1:1">
      <c r="A1084" s="150"/>
    </row>
    <row r="1085" spans="1:1">
      <c r="A1085" s="150"/>
    </row>
    <row r="1086" spans="1:1">
      <c r="A1086" s="150"/>
    </row>
    <row r="1087" spans="1:1">
      <c r="A1087" s="150"/>
    </row>
    <row r="1088" spans="1:1">
      <c r="A1088" s="150"/>
    </row>
    <row r="1089" spans="1:1">
      <c r="A1089" s="150"/>
    </row>
    <row r="1090" spans="1:1">
      <c r="A1090" s="150"/>
    </row>
    <row r="1091" spans="1:1">
      <c r="A1091" s="150"/>
    </row>
    <row r="1092" spans="1:1">
      <c r="A1092" s="150"/>
    </row>
    <row r="1093" spans="1:1">
      <c r="A1093" s="150"/>
    </row>
    <row r="1094" spans="1:1">
      <c r="A1094" s="150"/>
    </row>
    <row r="1095" spans="1:1">
      <c r="A1095" s="150"/>
    </row>
    <row r="1096" spans="1:1">
      <c r="A1096" s="150"/>
    </row>
    <row r="1097" spans="1:1">
      <c r="A1097" s="150"/>
    </row>
    <row r="1098" spans="1:1">
      <c r="A1098" s="150"/>
    </row>
    <row r="1099" spans="1:1">
      <c r="A1099" s="150"/>
    </row>
    <row r="1100" spans="1:1">
      <c r="A1100" s="150"/>
    </row>
    <row r="1101" spans="1:1">
      <c r="A1101" s="150"/>
    </row>
    <row r="1102" spans="1:1">
      <c r="A1102" s="150"/>
    </row>
    <row r="1103" spans="1:1">
      <c r="A1103" s="150"/>
    </row>
    <row r="1104" spans="1:1">
      <c r="A1104" s="150"/>
    </row>
    <row r="1105" spans="1:1">
      <c r="A1105" s="150"/>
    </row>
    <row r="1106" spans="1:1">
      <c r="A1106" s="150"/>
    </row>
    <row r="1107" spans="1:1">
      <c r="A1107" s="150"/>
    </row>
    <row r="1108" spans="1:1">
      <c r="A1108" s="150"/>
    </row>
    <row r="1109" spans="1:1">
      <c r="A1109" s="150"/>
    </row>
    <row r="1110" spans="1:1">
      <c r="A1110" s="150"/>
    </row>
    <row r="1111" spans="1:1">
      <c r="A1111" s="150"/>
    </row>
    <row r="1112" spans="1:1">
      <c r="A1112" s="150"/>
    </row>
    <row r="1113" spans="1:1">
      <c r="A1113" s="150"/>
    </row>
    <row r="1114" spans="1:1">
      <c r="A1114" s="150"/>
    </row>
    <row r="1115" spans="1:1">
      <c r="A1115" s="150"/>
    </row>
    <row r="1116" spans="1:1">
      <c r="A1116" s="150"/>
    </row>
    <row r="1117" spans="1:1">
      <c r="A1117" s="150"/>
    </row>
    <row r="1118" spans="1:1">
      <c r="A1118" s="150"/>
    </row>
    <row r="1119" spans="1:1">
      <c r="A1119" s="150"/>
    </row>
    <row r="1120" spans="1:1">
      <c r="A1120" s="150"/>
    </row>
    <row r="1121" spans="1:1">
      <c r="A1121" s="150"/>
    </row>
    <row r="1122" spans="1:1">
      <c r="A1122" s="150"/>
    </row>
    <row r="1123" spans="1:1">
      <c r="A1123" s="150"/>
    </row>
    <row r="1124" spans="1:1">
      <c r="A1124" s="150"/>
    </row>
    <row r="1125" spans="1:1">
      <c r="A1125" s="150"/>
    </row>
    <row r="1126" spans="1:1">
      <c r="A1126" s="150"/>
    </row>
    <row r="1127" spans="1:1">
      <c r="A1127" s="150"/>
    </row>
    <row r="1128" spans="1:1">
      <c r="A1128" s="150"/>
    </row>
    <row r="1129" spans="1:1">
      <c r="A1129" s="150"/>
    </row>
    <row r="1130" spans="1:1">
      <c r="A1130" s="150"/>
    </row>
    <row r="1131" spans="1:1">
      <c r="A1131" s="150"/>
    </row>
    <row r="1132" spans="1:1">
      <c r="A1132" s="150"/>
    </row>
    <row r="1133" spans="1:1">
      <c r="A1133" s="150"/>
    </row>
    <row r="1134" spans="1:1">
      <c r="A1134" s="150"/>
    </row>
    <row r="1135" spans="1:1">
      <c r="A1135" s="150"/>
    </row>
    <row r="1136" spans="1:1">
      <c r="A1136" s="150"/>
    </row>
    <row r="1137" spans="1:1">
      <c r="A1137" s="150"/>
    </row>
    <row r="1138" spans="1:1">
      <c r="A1138" s="150"/>
    </row>
    <row r="1139" spans="1:1">
      <c r="A1139" s="150"/>
    </row>
    <row r="1140" spans="1:1">
      <c r="A1140" s="150"/>
    </row>
    <row r="1141" spans="1:1">
      <c r="A1141" s="150"/>
    </row>
    <row r="1142" spans="1:1">
      <c r="A1142" s="150"/>
    </row>
    <row r="1143" spans="1:1">
      <c r="A1143" s="150"/>
    </row>
    <row r="1144" spans="1:1">
      <c r="A1144" s="150"/>
    </row>
    <row r="1145" spans="1:1">
      <c r="A1145" s="150"/>
    </row>
    <row r="1146" spans="1:1">
      <c r="A1146" s="150"/>
    </row>
    <row r="1147" spans="1:1">
      <c r="A1147" s="150"/>
    </row>
    <row r="1148" spans="1:1">
      <c r="A1148" s="150"/>
    </row>
    <row r="1149" spans="1:1">
      <c r="A1149" s="150"/>
    </row>
    <row r="1150" spans="1:1">
      <c r="A1150" s="150"/>
    </row>
    <row r="1151" spans="1:1">
      <c r="A1151" s="150"/>
    </row>
    <row r="1152" spans="1:1">
      <c r="A1152" s="150"/>
    </row>
    <row r="1153" spans="1:1">
      <c r="A1153" s="150"/>
    </row>
    <row r="1154" spans="1:1">
      <c r="A1154" s="150"/>
    </row>
    <row r="1155" spans="1:1">
      <c r="A1155" s="150"/>
    </row>
    <row r="1156" spans="1:1">
      <c r="A1156" s="150"/>
    </row>
    <row r="1157" spans="1:1">
      <c r="A1157" s="150"/>
    </row>
    <row r="1158" spans="1:1">
      <c r="A1158" s="150"/>
    </row>
    <row r="1159" spans="1:1">
      <c r="A1159" s="150"/>
    </row>
    <row r="1160" spans="1:1">
      <c r="A1160" s="150"/>
    </row>
    <row r="1161" spans="1:1">
      <c r="A1161" s="150"/>
    </row>
    <row r="1162" spans="1:1">
      <c r="A1162" s="150"/>
    </row>
    <row r="1163" spans="1:1">
      <c r="A1163" s="150"/>
    </row>
    <row r="1164" spans="1:1">
      <c r="A1164" s="150"/>
    </row>
    <row r="1165" spans="1:1">
      <c r="A1165" s="150"/>
    </row>
    <row r="1166" spans="1:1">
      <c r="A1166" s="150"/>
    </row>
    <row r="1167" spans="1:1">
      <c r="A1167" s="150"/>
    </row>
    <row r="1168" spans="1:1">
      <c r="A1168" s="150"/>
    </row>
    <row r="1169" spans="1:1">
      <c r="A1169" s="150"/>
    </row>
    <row r="1170" spans="1:1">
      <c r="A1170" s="150"/>
    </row>
    <row r="1171" spans="1:1">
      <c r="A1171" s="150"/>
    </row>
    <row r="1172" spans="1:1">
      <c r="A1172" s="150"/>
    </row>
    <row r="1173" spans="1:1">
      <c r="A1173" s="150"/>
    </row>
    <row r="1174" spans="1:1">
      <c r="A1174" s="150"/>
    </row>
    <row r="1175" spans="1:1">
      <c r="A1175" s="150"/>
    </row>
    <row r="1176" spans="1:1">
      <c r="A1176" s="150"/>
    </row>
    <row r="1177" spans="1:1">
      <c r="A1177" s="150"/>
    </row>
    <row r="1178" spans="1:1">
      <c r="A1178" s="150"/>
    </row>
    <row r="1179" spans="1:1">
      <c r="A1179" s="150"/>
    </row>
    <row r="1180" spans="1:1">
      <c r="A1180" s="150"/>
    </row>
    <row r="1181" spans="1:1">
      <c r="A1181" s="150"/>
    </row>
    <row r="1182" spans="1:1">
      <c r="A1182" s="150"/>
    </row>
    <row r="1183" spans="1:1">
      <c r="A1183" s="150"/>
    </row>
    <row r="1184" spans="1:1">
      <c r="A1184" s="150"/>
    </row>
    <row r="1185" spans="1:1">
      <c r="A1185" s="150"/>
    </row>
    <row r="1186" spans="1:1">
      <c r="A1186" s="150"/>
    </row>
    <row r="1187" spans="1:1">
      <c r="A1187" s="150"/>
    </row>
    <row r="1188" spans="1:1">
      <c r="A1188" s="150"/>
    </row>
    <row r="1189" spans="1:1">
      <c r="A1189" s="150"/>
    </row>
    <row r="1190" spans="1:1">
      <c r="A1190" s="150"/>
    </row>
    <row r="1191" spans="1:1">
      <c r="A1191" s="150"/>
    </row>
    <row r="1192" spans="1:1">
      <c r="A1192" s="150"/>
    </row>
    <row r="1193" spans="1:1">
      <c r="A1193" s="150"/>
    </row>
    <row r="1194" spans="1:1">
      <c r="A1194" s="150"/>
    </row>
    <row r="1195" spans="1:1">
      <c r="A1195" s="150"/>
    </row>
    <row r="1196" spans="1:1">
      <c r="A1196" s="150"/>
    </row>
    <row r="1197" spans="1:1">
      <c r="A1197" s="150"/>
    </row>
    <row r="1198" spans="1:1">
      <c r="A1198" s="150"/>
    </row>
    <row r="1199" spans="1:1">
      <c r="A1199" s="150"/>
    </row>
    <row r="1200" spans="1:1">
      <c r="A1200" s="150"/>
    </row>
    <row r="1201" spans="1:1">
      <c r="A1201" s="150"/>
    </row>
    <row r="1202" spans="1:1">
      <c r="A1202" s="150"/>
    </row>
    <row r="1203" spans="1:1">
      <c r="A1203" s="150"/>
    </row>
    <row r="1204" spans="1:1">
      <c r="A1204" s="150"/>
    </row>
    <row r="1205" spans="1:1">
      <c r="A1205" s="150"/>
    </row>
    <row r="1206" spans="1:1">
      <c r="A1206" s="150"/>
    </row>
    <row r="1207" spans="1:1">
      <c r="A1207" s="150"/>
    </row>
    <row r="1208" spans="1:1">
      <c r="A1208" s="150"/>
    </row>
    <row r="1209" spans="1:1">
      <c r="A1209" s="150"/>
    </row>
    <row r="1210" spans="1:1">
      <c r="A1210" s="150"/>
    </row>
    <row r="1211" spans="1:1">
      <c r="A1211" s="150"/>
    </row>
    <row r="1212" spans="1:1">
      <c r="A1212" s="150"/>
    </row>
    <row r="1213" spans="1:1">
      <c r="A1213" s="150"/>
    </row>
    <row r="1214" spans="1:1">
      <c r="A1214" s="150"/>
    </row>
    <row r="1215" spans="1:1">
      <c r="A1215" s="150"/>
    </row>
    <row r="1216" spans="1:1">
      <c r="A1216" s="150"/>
    </row>
    <row r="1217" spans="1:1">
      <c r="A1217" s="150"/>
    </row>
    <row r="1218" spans="1:1">
      <c r="A1218" s="150"/>
    </row>
    <row r="1219" spans="1:1">
      <c r="A1219" s="150"/>
    </row>
    <row r="1220" spans="1:1">
      <c r="A1220" s="150"/>
    </row>
    <row r="1221" spans="1:1">
      <c r="A1221" s="150"/>
    </row>
    <row r="1222" spans="1:1">
      <c r="A1222" s="150"/>
    </row>
    <row r="1223" spans="1:1">
      <c r="A1223" s="150"/>
    </row>
    <row r="1224" spans="1:1">
      <c r="A1224" s="150"/>
    </row>
    <row r="1225" spans="1:1">
      <c r="A1225" s="150"/>
    </row>
    <row r="1226" spans="1:1">
      <c r="A1226" s="150"/>
    </row>
    <row r="1227" spans="1:1">
      <c r="A1227" s="150"/>
    </row>
    <row r="1228" spans="1:1">
      <c r="A1228" s="150"/>
    </row>
    <row r="1229" spans="1:1">
      <c r="A1229" s="150"/>
    </row>
    <row r="1230" spans="1:1">
      <c r="A1230" s="150"/>
    </row>
    <row r="1231" spans="1:1">
      <c r="A1231" s="150"/>
    </row>
    <row r="1232" spans="1:1">
      <c r="A1232" s="150"/>
    </row>
    <row r="1233" spans="1:1">
      <c r="A1233" s="150"/>
    </row>
    <row r="1234" spans="1:1">
      <c r="A1234" s="150"/>
    </row>
    <row r="1235" spans="1:1">
      <c r="A1235" s="150"/>
    </row>
    <row r="1236" spans="1:1">
      <c r="A1236" s="150"/>
    </row>
    <row r="1237" spans="1:1">
      <c r="A1237" s="150"/>
    </row>
    <row r="1238" spans="1:1">
      <c r="A1238" s="150"/>
    </row>
    <row r="1239" spans="1:1">
      <c r="A1239" s="150"/>
    </row>
    <row r="1240" spans="1:1">
      <c r="A1240" s="150"/>
    </row>
    <row r="1241" spans="1:1">
      <c r="A1241" s="150"/>
    </row>
    <row r="1242" spans="1:1">
      <c r="A1242" s="150"/>
    </row>
    <row r="1243" spans="1:1">
      <c r="A1243" s="150"/>
    </row>
    <row r="1244" spans="1:1">
      <c r="A1244" s="150"/>
    </row>
    <row r="1245" spans="1:1">
      <c r="A1245" s="150"/>
    </row>
    <row r="1246" spans="1:1">
      <c r="A1246" s="150"/>
    </row>
    <row r="1247" spans="1:1">
      <c r="A1247" s="150"/>
    </row>
    <row r="1248" spans="1:1">
      <c r="A1248" s="150"/>
    </row>
    <row r="1249" spans="1:1">
      <c r="A1249" s="150"/>
    </row>
    <row r="1250" spans="1:1">
      <c r="A1250" s="150"/>
    </row>
    <row r="1251" spans="1:1">
      <c r="A1251" s="150"/>
    </row>
    <row r="1252" spans="1:1">
      <c r="A1252" s="150"/>
    </row>
    <row r="1253" spans="1:1">
      <c r="A1253" s="150"/>
    </row>
    <row r="1254" spans="1:1">
      <c r="A1254" s="150"/>
    </row>
    <row r="1255" spans="1:1">
      <c r="A1255" s="150"/>
    </row>
    <row r="1256" spans="1:1">
      <c r="A1256" s="150"/>
    </row>
    <row r="1257" spans="1:1">
      <c r="A1257" s="150"/>
    </row>
    <row r="1258" spans="1:1">
      <c r="A1258" s="150"/>
    </row>
    <row r="1259" spans="1:1">
      <c r="A1259" s="150"/>
    </row>
    <row r="1260" spans="1:1">
      <c r="A1260" s="150"/>
    </row>
    <row r="1261" spans="1:1">
      <c r="A1261" s="150"/>
    </row>
    <row r="1262" spans="1:1">
      <c r="A1262" s="150"/>
    </row>
    <row r="1263" spans="1:1">
      <c r="A1263" s="150"/>
    </row>
    <row r="1264" spans="1:1">
      <c r="A1264" s="150"/>
    </row>
    <row r="1265" spans="1:1">
      <c r="A1265" s="150"/>
    </row>
    <row r="1266" spans="1:1">
      <c r="A1266" s="150"/>
    </row>
    <row r="1267" spans="1:1">
      <c r="A1267" s="150"/>
    </row>
    <row r="1268" spans="1:1">
      <c r="A1268" s="150"/>
    </row>
    <row r="1269" spans="1:1">
      <c r="A1269" s="150"/>
    </row>
    <row r="1270" spans="1:1">
      <c r="A1270" s="150"/>
    </row>
    <row r="1271" spans="1:1">
      <c r="A1271" s="150"/>
    </row>
    <row r="1272" spans="1:1">
      <c r="A1272" s="150"/>
    </row>
    <row r="1273" spans="1:1">
      <c r="A1273" s="150"/>
    </row>
    <row r="1274" spans="1:1">
      <c r="A1274" s="150"/>
    </row>
    <row r="1275" spans="1:1">
      <c r="A1275" s="150"/>
    </row>
    <row r="1276" spans="1:1">
      <c r="A1276" s="150"/>
    </row>
    <row r="1277" spans="1:1">
      <c r="A1277" s="150"/>
    </row>
    <row r="1278" spans="1:1">
      <c r="A1278" s="150"/>
    </row>
    <row r="1279" spans="1:1">
      <c r="A1279" s="150"/>
    </row>
    <row r="1280" spans="1:1">
      <c r="A1280" s="150"/>
    </row>
    <row r="1281" spans="1:1">
      <c r="A1281" s="150"/>
    </row>
    <row r="1282" spans="1:1">
      <c r="A1282" s="150"/>
    </row>
    <row r="1283" spans="1:1">
      <c r="A1283" s="150"/>
    </row>
    <row r="1284" spans="1:1">
      <c r="A1284" s="150"/>
    </row>
    <row r="1285" spans="1:1">
      <c r="A1285" s="150"/>
    </row>
    <row r="1286" spans="1:1">
      <c r="A1286" s="150"/>
    </row>
    <row r="1287" spans="1:1">
      <c r="A1287" s="150"/>
    </row>
    <row r="1288" spans="1:1">
      <c r="A1288" s="150"/>
    </row>
    <row r="1289" spans="1:1">
      <c r="A1289" s="150"/>
    </row>
    <row r="1290" spans="1:1">
      <c r="A1290" s="150"/>
    </row>
    <row r="1291" spans="1:1">
      <c r="A1291" s="150"/>
    </row>
    <row r="1292" spans="1:1">
      <c r="A1292" s="150"/>
    </row>
    <row r="1293" spans="1:1">
      <c r="A1293" s="150"/>
    </row>
    <row r="1294" spans="1:1">
      <c r="A1294" s="150"/>
    </row>
    <row r="1295" spans="1:1">
      <c r="A1295" s="150"/>
    </row>
    <row r="1296" spans="1:1">
      <c r="A1296" s="150"/>
    </row>
    <row r="1297" spans="1:1">
      <c r="A1297" s="150"/>
    </row>
    <row r="1298" spans="1:1">
      <c r="A1298" s="150"/>
    </row>
    <row r="1299" spans="1:1">
      <c r="A1299" s="150"/>
    </row>
    <row r="1300" spans="1:1">
      <c r="A1300" s="150"/>
    </row>
    <row r="1301" spans="1:1">
      <c r="A1301" s="150"/>
    </row>
    <row r="1302" spans="1:1">
      <c r="A1302" s="150"/>
    </row>
    <row r="1303" spans="1:1">
      <c r="A1303" s="150"/>
    </row>
    <row r="1304" spans="1:1">
      <c r="A1304" s="150"/>
    </row>
    <row r="1305" spans="1:1">
      <c r="A1305" s="150"/>
    </row>
    <row r="1306" spans="1:1">
      <c r="A1306" s="150"/>
    </row>
    <row r="1307" spans="1:1">
      <c r="A1307" s="150"/>
    </row>
    <row r="1308" spans="1:1">
      <c r="A1308" s="150"/>
    </row>
    <row r="1309" spans="1:1">
      <c r="A1309" s="150"/>
    </row>
    <row r="1310" spans="1:1">
      <c r="A1310" s="150"/>
    </row>
    <row r="1311" spans="1:1">
      <c r="A1311" s="150"/>
    </row>
    <row r="1312" spans="1:1">
      <c r="A1312" s="150"/>
    </row>
    <row r="1313" spans="1:1">
      <c r="A1313" s="150"/>
    </row>
    <row r="1314" spans="1:1">
      <c r="A1314" s="150"/>
    </row>
    <row r="1315" spans="1:1">
      <c r="A1315" s="150"/>
    </row>
    <row r="1316" spans="1:1">
      <c r="A1316" s="150"/>
    </row>
    <row r="1317" spans="1:1">
      <c r="A1317" s="150"/>
    </row>
    <row r="1318" spans="1:1">
      <c r="A1318" s="150"/>
    </row>
    <row r="1319" spans="1:1">
      <c r="A1319" s="150"/>
    </row>
    <row r="1320" spans="1:1">
      <c r="A1320" s="150"/>
    </row>
    <row r="1321" spans="1:1">
      <c r="A1321" s="150"/>
    </row>
    <row r="1322" spans="1:1">
      <c r="A1322" s="150"/>
    </row>
    <row r="1323" spans="1:1">
      <c r="A1323" s="150"/>
    </row>
    <row r="1324" spans="1:1">
      <c r="A1324" s="150"/>
    </row>
    <row r="1325" spans="1:1">
      <c r="A1325" s="150"/>
    </row>
    <row r="1326" spans="1:1">
      <c r="A1326" s="150"/>
    </row>
    <row r="1327" spans="1:1">
      <c r="A1327" s="150"/>
    </row>
    <row r="1328" spans="1:1">
      <c r="A1328" s="150"/>
    </row>
    <row r="1329" spans="1:1">
      <c r="A1329" s="150"/>
    </row>
    <row r="1330" spans="1:1">
      <c r="A1330" s="150"/>
    </row>
    <row r="1331" spans="1:1">
      <c r="A1331" s="150"/>
    </row>
    <row r="1332" spans="1:1">
      <c r="A1332" s="150"/>
    </row>
    <row r="1333" spans="1:1">
      <c r="A1333" s="150"/>
    </row>
    <row r="1334" spans="1:1">
      <c r="A1334" s="150"/>
    </row>
    <row r="1335" spans="1:1">
      <c r="A1335" s="150"/>
    </row>
    <row r="1336" spans="1:1">
      <c r="A1336" s="150"/>
    </row>
    <row r="1337" spans="1:1">
      <c r="A1337" s="150"/>
    </row>
    <row r="1338" spans="1:1">
      <c r="A1338" s="150"/>
    </row>
    <row r="1339" spans="1:1">
      <c r="A1339" s="150"/>
    </row>
    <row r="1340" spans="1:1">
      <c r="A1340" s="150"/>
    </row>
    <row r="1341" spans="1:1">
      <c r="A1341" s="150"/>
    </row>
    <row r="1342" spans="1:1">
      <c r="A1342" s="150"/>
    </row>
    <row r="1343" spans="1:1">
      <c r="A1343" s="150"/>
    </row>
    <row r="1344" spans="1:1">
      <c r="A1344" s="150"/>
    </row>
    <row r="1345" spans="1:1">
      <c r="A1345" s="150"/>
    </row>
    <row r="1346" spans="1:1">
      <c r="A1346" s="150"/>
    </row>
    <row r="1347" spans="1:1">
      <c r="A1347" s="150"/>
    </row>
    <row r="1348" spans="1:1">
      <c r="A1348" s="150"/>
    </row>
    <row r="1349" spans="1:1">
      <c r="A1349" s="150"/>
    </row>
    <row r="1350" spans="1:1">
      <c r="A1350" s="150"/>
    </row>
    <row r="1351" spans="1:1">
      <c r="A1351" s="150"/>
    </row>
    <row r="1352" spans="1:1">
      <c r="A1352" s="150"/>
    </row>
    <row r="1353" spans="1:1">
      <c r="A1353" s="150"/>
    </row>
    <row r="1354" spans="1:1">
      <c r="A1354" s="150"/>
    </row>
    <row r="1355" spans="1:1">
      <c r="A1355" s="150"/>
    </row>
    <row r="1356" spans="1:1">
      <c r="A1356" s="150"/>
    </row>
    <row r="1357" spans="1:1">
      <c r="A1357" s="150"/>
    </row>
    <row r="1358" spans="1:1">
      <c r="A1358" s="150"/>
    </row>
    <row r="1359" spans="1:1">
      <c r="A1359" s="150"/>
    </row>
    <row r="1360" spans="1:1">
      <c r="A1360" s="150"/>
    </row>
    <row r="1361" spans="1:1">
      <c r="A1361" s="150"/>
    </row>
    <row r="1362" spans="1:1">
      <c r="A1362" s="150"/>
    </row>
    <row r="1363" spans="1:1">
      <c r="A1363" s="150"/>
    </row>
    <row r="1364" spans="1:1">
      <c r="A1364" s="150"/>
    </row>
    <row r="1365" spans="1:1">
      <c r="A1365" s="150"/>
    </row>
    <row r="1366" spans="1:1">
      <c r="A1366" s="150"/>
    </row>
    <row r="1367" spans="1:1">
      <c r="A1367" s="150"/>
    </row>
    <row r="1368" spans="1:1">
      <c r="A1368" s="150"/>
    </row>
    <row r="1369" spans="1:1">
      <c r="A1369" s="150"/>
    </row>
    <row r="1370" spans="1:1">
      <c r="A1370" s="150"/>
    </row>
    <row r="1371" spans="1:1">
      <c r="A1371" s="150"/>
    </row>
    <row r="1372" spans="1:1">
      <c r="A1372" s="150"/>
    </row>
    <row r="1373" spans="1:1">
      <c r="A1373" s="150"/>
    </row>
    <row r="1374" spans="1:1">
      <c r="A1374" s="150"/>
    </row>
    <row r="1375" spans="1:1">
      <c r="A1375" s="150"/>
    </row>
    <row r="1376" spans="1:1">
      <c r="A1376" s="150"/>
    </row>
    <row r="1377" spans="1:1">
      <c r="A1377" s="150"/>
    </row>
    <row r="1378" spans="1:1">
      <c r="A1378" s="150"/>
    </row>
    <row r="1379" spans="1:1">
      <c r="A1379" s="150"/>
    </row>
    <row r="1380" spans="1:1">
      <c r="A1380" s="150"/>
    </row>
    <row r="1381" spans="1:1">
      <c r="A1381" s="150"/>
    </row>
    <row r="1382" spans="1:1">
      <c r="A1382" s="150"/>
    </row>
    <row r="1383" spans="1:1">
      <c r="A1383" s="150"/>
    </row>
    <row r="1384" spans="1:1">
      <c r="A1384" s="150"/>
    </row>
    <row r="1385" spans="1:1">
      <c r="A1385" s="150"/>
    </row>
    <row r="1386" spans="1:1">
      <c r="A1386" s="150"/>
    </row>
    <row r="1387" spans="1:1">
      <c r="A1387" s="150"/>
    </row>
    <row r="1388" spans="1:1">
      <c r="A1388" s="150"/>
    </row>
    <row r="1389" spans="1:1">
      <c r="A1389" s="150"/>
    </row>
    <row r="1390" spans="1:1">
      <c r="A1390" s="150"/>
    </row>
    <row r="1391" spans="1:1">
      <c r="A1391" s="150"/>
    </row>
    <row r="1392" spans="1:1">
      <c r="A1392" s="150"/>
    </row>
    <row r="1393" spans="1:1">
      <c r="A1393" s="150"/>
    </row>
    <row r="1394" spans="1:1">
      <c r="A1394" s="150"/>
    </row>
    <row r="1395" spans="1:1">
      <c r="A1395" s="150"/>
    </row>
    <row r="1396" spans="1:1">
      <c r="A1396" s="150"/>
    </row>
    <row r="1397" spans="1:1">
      <c r="A1397" s="150"/>
    </row>
    <row r="1398" spans="1:1">
      <c r="A1398" s="150"/>
    </row>
    <row r="1399" spans="1:1">
      <c r="A1399" s="150"/>
    </row>
    <row r="1400" spans="1:1">
      <c r="A1400" s="150"/>
    </row>
    <row r="1401" spans="1:1">
      <c r="A1401" s="150"/>
    </row>
    <row r="1402" spans="1:1">
      <c r="A1402" s="150"/>
    </row>
    <row r="1403" spans="1:1">
      <c r="A1403" s="150"/>
    </row>
    <row r="1404" spans="1:1">
      <c r="A1404" s="150"/>
    </row>
    <row r="1405" spans="1:1">
      <c r="A1405" s="150"/>
    </row>
    <row r="1406" spans="1:1">
      <c r="A1406" s="150"/>
    </row>
    <row r="1407" spans="1:1">
      <c r="A1407" s="150"/>
    </row>
    <row r="1408" spans="1:1">
      <c r="A1408" s="150"/>
    </row>
    <row r="1409" spans="1:1">
      <c r="A1409" s="150"/>
    </row>
    <row r="1410" spans="1:1">
      <c r="A1410" s="150"/>
    </row>
    <row r="1411" spans="1:1">
      <c r="A1411" s="150"/>
    </row>
    <row r="1412" spans="1:1">
      <c r="A1412" s="150"/>
    </row>
    <row r="1413" spans="1:1">
      <c r="A1413" s="150"/>
    </row>
    <row r="1414" spans="1:1">
      <c r="A1414" s="150"/>
    </row>
    <row r="1415" spans="1:1">
      <c r="A1415" s="150"/>
    </row>
    <row r="1416" spans="1:1">
      <c r="A1416" s="150"/>
    </row>
    <row r="1417" spans="1:1">
      <c r="A1417" s="150"/>
    </row>
    <row r="1418" spans="1:1">
      <c r="A1418" s="150"/>
    </row>
    <row r="1419" spans="1:1">
      <c r="A1419" s="150"/>
    </row>
    <row r="1420" spans="1:1">
      <c r="A1420" s="150"/>
    </row>
    <row r="1421" spans="1:1">
      <c r="A1421" s="150"/>
    </row>
    <row r="1422" spans="1:1">
      <c r="A1422" s="150"/>
    </row>
    <row r="1423" spans="1:1">
      <c r="A1423" s="150"/>
    </row>
    <row r="1424" spans="1:1">
      <c r="A1424" s="150"/>
    </row>
    <row r="1425" spans="1:1">
      <c r="A1425" s="150"/>
    </row>
    <row r="1426" spans="1:1">
      <c r="A1426" s="150"/>
    </row>
    <row r="1427" spans="1:1">
      <c r="A1427" s="150"/>
    </row>
    <row r="1428" spans="1:1">
      <c r="A1428" s="150"/>
    </row>
    <row r="1429" spans="1:1">
      <c r="A1429" s="150"/>
    </row>
    <row r="1430" spans="1:1">
      <c r="A1430" s="150"/>
    </row>
    <row r="1431" spans="1:1">
      <c r="A1431" s="150"/>
    </row>
    <row r="1432" spans="1:1">
      <c r="A1432" s="150"/>
    </row>
    <row r="1433" spans="1:1">
      <c r="A1433" s="150"/>
    </row>
    <row r="1434" spans="1:1">
      <c r="A1434" s="150"/>
    </row>
    <row r="1435" spans="1:1">
      <c r="A1435" s="150"/>
    </row>
    <row r="1436" spans="1:1">
      <c r="A1436" s="150"/>
    </row>
    <row r="1437" spans="1:1">
      <c r="A1437" s="150"/>
    </row>
    <row r="1438" spans="1:1">
      <c r="A1438" s="150"/>
    </row>
    <row r="1439" spans="1:1">
      <c r="A1439" s="150"/>
    </row>
    <row r="1440" spans="1:1">
      <c r="A1440" s="150"/>
    </row>
    <row r="1441" spans="1:1">
      <c r="A1441" s="150"/>
    </row>
    <row r="1442" spans="1:1">
      <c r="A1442" s="150"/>
    </row>
    <row r="1443" spans="1:1">
      <c r="A1443" s="150"/>
    </row>
    <row r="1444" spans="1:1">
      <c r="A1444" s="150"/>
    </row>
    <row r="1445" spans="1:1">
      <c r="A1445" s="150"/>
    </row>
    <row r="1446" spans="1:1">
      <c r="A1446" s="150"/>
    </row>
    <row r="1447" spans="1:1">
      <c r="A1447" s="150"/>
    </row>
    <row r="1448" spans="1:1">
      <c r="A1448" s="150"/>
    </row>
    <row r="1449" spans="1:1">
      <c r="A1449" s="150"/>
    </row>
    <row r="1450" spans="1:1">
      <c r="A1450" s="150"/>
    </row>
    <row r="1451" spans="1:1">
      <c r="A1451" s="150"/>
    </row>
    <row r="1452" spans="1:1">
      <c r="A1452" s="150"/>
    </row>
    <row r="1453" spans="1:1">
      <c r="A1453" s="150"/>
    </row>
    <row r="1454" spans="1:1">
      <c r="A1454" s="150"/>
    </row>
    <row r="1455" spans="1:1">
      <c r="A1455" s="150"/>
    </row>
    <row r="1456" spans="1:1">
      <c r="A1456" s="150"/>
    </row>
    <row r="1457" spans="1:1">
      <c r="A1457" s="150"/>
    </row>
    <row r="1458" spans="1:1">
      <c r="A1458" s="150"/>
    </row>
    <row r="1459" spans="1:1">
      <c r="A1459" s="150"/>
    </row>
    <row r="1460" spans="1:1">
      <c r="A1460" s="150"/>
    </row>
    <row r="1461" spans="1:1">
      <c r="A1461" s="150"/>
    </row>
    <row r="1462" spans="1:1">
      <c r="A1462" s="150"/>
    </row>
    <row r="1463" spans="1:1">
      <c r="A1463" s="150"/>
    </row>
    <row r="1464" spans="1:1">
      <c r="A1464" s="150"/>
    </row>
    <row r="1465" spans="1:1">
      <c r="A1465" s="150"/>
    </row>
    <row r="1466" spans="1:1">
      <c r="A1466" s="150"/>
    </row>
    <row r="1467" spans="1:1">
      <c r="A1467" s="150"/>
    </row>
    <row r="1468" spans="1:1">
      <c r="A1468" s="150"/>
    </row>
    <row r="1469" spans="1:1">
      <c r="A1469" s="150"/>
    </row>
    <row r="1470" spans="1:1">
      <c r="A1470" s="150"/>
    </row>
    <row r="1471" spans="1:1">
      <c r="A1471" s="150"/>
    </row>
    <row r="1472" spans="1:1">
      <c r="A1472" s="150"/>
    </row>
    <row r="1473" spans="1:1">
      <c r="A1473" s="150"/>
    </row>
    <row r="1474" spans="1:1">
      <c r="A1474" s="150"/>
    </row>
    <row r="1475" spans="1:1">
      <c r="A1475" s="150"/>
    </row>
    <row r="1476" spans="1:1">
      <c r="A1476" s="150"/>
    </row>
    <row r="1477" spans="1:1">
      <c r="A1477" s="150"/>
    </row>
    <row r="1478" spans="1:1">
      <c r="A1478" s="150"/>
    </row>
    <row r="1479" spans="1:1">
      <c r="A1479" s="150"/>
    </row>
    <row r="1480" spans="1:1">
      <c r="A1480" s="150"/>
    </row>
    <row r="1481" spans="1:1">
      <c r="A1481" s="150"/>
    </row>
    <row r="1482" spans="1:1">
      <c r="A1482" s="150"/>
    </row>
    <row r="1483" spans="1:1">
      <c r="A1483" s="150"/>
    </row>
    <row r="1484" spans="1:1">
      <c r="A1484" s="150"/>
    </row>
    <row r="1485" spans="1:1">
      <c r="A1485" s="150"/>
    </row>
    <row r="1486" spans="1:1">
      <c r="A1486" s="150"/>
    </row>
    <row r="1487" spans="1:1">
      <c r="A1487" s="150"/>
    </row>
    <row r="1488" spans="1:1">
      <c r="A1488" s="150"/>
    </row>
    <row r="1489" spans="1:1">
      <c r="A1489" s="150"/>
    </row>
    <row r="1490" spans="1:1">
      <c r="A1490" s="150"/>
    </row>
    <row r="1491" spans="1:1">
      <c r="A1491" s="150"/>
    </row>
    <row r="1492" spans="1:1">
      <c r="A1492" s="150"/>
    </row>
    <row r="1493" spans="1:1">
      <c r="A1493" s="150"/>
    </row>
    <row r="1494" spans="1:1">
      <c r="A1494" s="150"/>
    </row>
    <row r="1495" spans="1:1">
      <c r="A1495" s="150"/>
    </row>
    <row r="1496" spans="1:1">
      <c r="A1496" s="150"/>
    </row>
    <row r="1497" spans="1:1">
      <c r="A1497" s="150"/>
    </row>
    <row r="1498" spans="1:1">
      <c r="A1498" s="150"/>
    </row>
    <row r="1499" spans="1:1">
      <c r="A1499" s="150"/>
    </row>
    <row r="1500" spans="1:1">
      <c r="A1500" s="150"/>
    </row>
    <row r="1501" spans="1:1">
      <c r="A1501" s="150"/>
    </row>
    <row r="1502" spans="1:1">
      <c r="A1502" s="150"/>
    </row>
    <row r="1503" spans="1:1">
      <c r="A1503" s="150"/>
    </row>
    <row r="1504" spans="1:1">
      <c r="A1504" s="150"/>
    </row>
    <row r="1505" spans="1:1">
      <c r="A1505" s="150"/>
    </row>
    <row r="1506" spans="1:1">
      <c r="A1506" s="150"/>
    </row>
    <row r="1507" spans="1:1">
      <c r="A1507" s="150"/>
    </row>
    <row r="1508" spans="1:1">
      <c r="A1508" s="150"/>
    </row>
    <row r="1509" spans="1:1">
      <c r="A1509" s="150"/>
    </row>
    <row r="1510" spans="1:1">
      <c r="A1510" s="150"/>
    </row>
    <row r="1511" spans="1:1">
      <c r="A1511" s="150"/>
    </row>
    <row r="1512" spans="1:1">
      <c r="A1512" s="150"/>
    </row>
    <row r="1513" spans="1:1">
      <c r="A1513" s="150"/>
    </row>
    <row r="1514" spans="1:1">
      <c r="A1514" s="150"/>
    </row>
    <row r="1515" spans="1:1">
      <c r="A1515" s="150"/>
    </row>
    <row r="1516" spans="1:1">
      <c r="A1516" s="150"/>
    </row>
    <row r="1517" spans="1:1">
      <c r="A1517" s="150"/>
    </row>
    <row r="1518" spans="1:1">
      <c r="A1518" s="150"/>
    </row>
    <row r="1519" spans="1:1">
      <c r="A1519" s="150"/>
    </row>
    <row r="1520" spans="1:1">
      <c r="A1520" s="150"/>
    </row>
    <row r="1521" spans="1:1">
      <c r="A1521" s="150"/>
    </row>
    <row r="1522" spans="1:1">
      <c r="A1522" s="150"/>
    </row>
    <row r="1523" spans="1:1">
      <c r="A1523" s="150"/>
    </row>
    <row r="1524" spans="1:1">
      <c r="A1524" s="150"/>
    </row>
    <row r="1525" spans="1:1">
      <c r="A1525" s="150"/>
    </row>
    <row r="1526" spans="1:1">
      <c r="A1526" s="150"/>
    </row>
    <row r="1527" spans="1:1">
      <c r="A1527" s="150"/>
    </row>
    <row r="1528" spans="1:1">
      <c r="A1528" s="150"/>
    </row>
    <row r="1529" spans="1:1">
      <c r="A1529" s="150"/>
    </row>
    <row r="1530" spans="1:1">
      <c r="A1530" s="150"/>
    </row>
    <row r="1531" spans="1:1">
      <c r="A1531" s="150"/>
    </row>
    <row r="1532" spans="1:1">
      <c r="A1532" s="150"/>
    </row>
    <row r="1533" spans="1:1">
      <c r="A1533" s="150"/>
    </row>
    <row r="1534" spans="1:1">
      <c r="A1534" s="150"/>
    </row>
    <row r="1535" spans="1:1">
      <c r="A1535" s="150"/>
    </row>
    <row r="1536" spans="1:1">
      <c r="A1536" s="150"/>
    </row>
    <row r="1537" spans="1:1">
      <c r="A1537" s="150"/>
    </row>
    <row r="1538" spans="1:1">
      <c r="A1538" s="150"/>
    </row>
    <row r="1539" spans="1:1">
      <c r="A1539" s="150"/>
    </row>
    <row r="1540" spans="1:1">
      <c r="A1540" s="150"/>
    </row>
    <row r="1541" spans="1:1">
      <c r="A1541" s="150"/>
    </row>
    <row r="1542" spans="1:1">
      <c r="A1542" s="150"/>
    </row>
    <row r="1543" spans="1:1">
      <c r="A1543" s="150"/>
    </row>
    <row r="1544" spans="1:1">
      <c r="A1544" s="150"/>
    </row>
    <row r="1545" spans="1:1">
      <c r="A1545" s="150"/>
    </row>
    <row r="1546" spans="1:1">
      <c r="A1546" s="150"/>
    </row>
    <row r="1547" spans="1:1">
      <c r="A1547" s="150"/>
    </row>
    <row r="1548" spans="1:1">
      <c r="A1548" s="150"/>
    </row>
    <row r="1549" spans="1:1">
      <c r="A1549" s="150"/>
    </row>
    <row r="1550" spans="1:1">
      <c r="A1550" s="150"/>
    </row>
    <row r="1551" spans="1:1">
      <c r="A1551" s="150"/>
    </row>
    <row r="1552" spans="1:1">
      <c r="A1552" s="150"/>
    </row>
    <row r="1553" spans="1:1">
      <c r="A1553" s="150"/>
    </row>
    <row r="1554" spans="1:1">
      <c r="A1554" s="150"/>
    </row>
    <row r="1555" spans="1:1">
      <c r="A1555" s="150"/>
    </row>
    <row r="1556" spans="1:1">
      <c r="A1556" s="150"/>
    </row>
    <row r="1557" spans="1:1">
      <c r="A1557" s="150"/>
    </row>
    <row r="1558" spans="1:1">
      <c r="A1558" s="150"/>
    </row>
    <row r="1559" spans="1:1">
      <c r="A1559" s="150"/>
    </row>
    <row r="1560" spans="1:1">
      <c r="A1560" s="150"/>
    </row>
    <row r="1561" spans="1:1">
      <c r="A1561" s="150"/>
    </row>
    <row r="1562" spans="1:1">
      <c r="A1562" s="150"/>
    </row>
    <row r="1563" spans="1:1">
      <c r="A1563" s="150"/>
    </row>
    <row r="1564" spans="1:1">
      <c r="A1564" s="150"/>
    </row>
    <row r="1565" spans="1:1">
      <c r="A1565" s="150"/>
    </row>
    <row r="1566" spans="1:1">
      <c r="A1566" s="150"/>
    </row>
    <row r="1567" spans="1:1">
      <c r="A1567" s="150"/>
    </row>
    <row r="1568" spans="1:1">
      <c r="A1568" s="150"/>
    </row>
    <row r="1569" spans="1:1">
      <c r="A1569" s="150"/>
    </row>
    <row r="1570" spans="1:1">
      <c r="A1570" s="150"/>
    </row>
    <row r="1571" spans="1:1">
      <c r="A1571" s="150"/>
    </row>
    <row r="1572" spans="1:1">
      <c r="A1572" s="150"/>
    </row>
    <row r="1573" spans="1:1">
      <c r="A1573" s="150"/>
    </row>
    <row r="1574" spans="1:1">
      <c r="A1574" s="150"/>
    </row>
    <row r="1575" spans="1:1">
      <c r="A1575" s="150"/>
    </row>
    <row r="1576" spans="1:1">
      <c r="A1576" s="150"/>
    </row>
    <row r="1577" spans="1:1">
      <c r="A1577" s="150"/>
    </row>
    <row r="1578" spans="1:1">
      <c r="A1578" s="150"/>
    </row>
    <row r="1579" spans="1:1">
      <c r="A1579" s="150"/>
    </row>
    <row r="1580" spans="1:1">
      <c r="A1580" s="150"/>
    </row>
    <row r="1581" spans="1:1">
      <c r="A1581" s="150"/>
    </row>
    <row r="1582" spans="1:1">
      <c r="A1582" s="150"/>
    </row>
    <row r="1583" spans="1:1">
      <c r="A1583" s="150"/>
    </row>
    <row r="1584" spans="1:1">
      <c r="A1584" s="150"/>
    </row>
    <row r="1585" spans="1:1">
      <c r="A1585" s="150"/>
    </row>
    <row r="1586" spans="1:1">
      <c r="A1586" s="150"/>
    </row>
    <row r="1587" spans="1:1">
      <c r="A1587" s="150"/>
    </row>
    <row r="1588" spans="1:1">
      <c r="A1588" s="150"/>
    </row>
    <row r="1589" spans="1:1">
      <c r="A1589" s="150"/>
    </row>
    <row r="1590" spans="1:1">
      <c r="A1590" s="150"/>
    </row>
    <row r="1591" spans="1:1">
      <c r="A1591" s="150"/>
    </row>
    <row r="1592" spans="1:1">
      <c r="A1592" s="150"/>
    </row>
    <row r="1593" spans="1:1">
      <c r="A1593" s="150"/>
    </row>
    <row r="1594" spans="1:1">
      <c r="A1594" s="150"/>
    </row>
    <row r="1595" spans="1:1">
      <c r="A1595" s="150"/>
    </row>
    <row r="1596" spans="1:1">
      <c r="A1596" s="150"/>
    </row>
    <row r="1597" spans="1:1">
      <c r="A1597" s="150"/>
    </row>
    <row r="1598" spans="1:1">
      <c r="A1598" s="150"/>
    </row>
    <row r="1599" spans="1:1">
      <c r="A1599" s="150"/>
    </row>
    <row r="1600" spans="1:1">
      <c r="A1600" s="150"/>
    </row>
    <row r="1601" spans="1:1">
      <c r="A1601" s="150"/>
    </row>
    <row r="1602" spans="1:1">
      <c r="A1602" s="150"/>
    </row>
    <row r="1603" spans="1:1">
      <c r="A1603" s="150"/>
    </row>
    <row r="1604" spans="1:1">
      <c r="A1604" s="150"/>
    </row>
    <row r="1605" spans="1:1">
      <c r="A1605" s="150"/>
    </row>
    <row r="1606" spans="1:1">
      <c r="A1606" s="150"/>
    </row>
    <row r="1607" spans="1:1">
      <c r="A1607" s="150"/>
    </row>
    <row r="1608" spans="1:1">
      <c r="A1608" s="150"/>
    </row>
    <row r="1609" spans="1:1">
      <c r="A1609" s="150"/>
    </row>
    <row r="1610" spans="1:1">
      <c r="A1610" s="150"/>
    </row>
    <row r="1611" spans="1:1">
      <c r="A1611" s="150"/>
    </row>
    <row r="1612" spans="1:1">
      <c r="A1612" s="150"/>
    </row>
    <row r="1613" spans="1:1">
      <c r="A1613" s="150"/>
    </row>
    <row r="1614" spans="1:1">
      <c r="A1614" s="150"/>
    </row>
    <row r="1615" spans="1:1">
      <c r="A1615" s="150"/>
    </row>
    <row r="1616" spans="1:1">
      <c r="A1616" s="150"/>
    </row>
    <row r="1617" spans="1:1">
      <c r="A1617" s="150"/>
    </row>
    <row r="1618" spans="1:1">
      <c r="A1618" s="150"/>
    </row>
    <row r="1619" spans="1:1">
      <c r="A1619" s="150"/>
    </row>
    <row r="1620" spans="1:1">
      <c r="A1620" s="150"/>
    </row>
    <row r="1621" spans="1:1">
      <c r="A1621" s="150"/>
    </row>
    <row r="1622" spans="1:1">
      <c r="A1622" s="150"/>
    </row>
    <row r="1623" spans="1:1">
      <c r="A1623" s="150"/>
    </row>
    <row r="1624" spans="1:1">
      <c r="A1624" s="150"/>
    </row>
    <row r="1625" spans="1:1">
      <c r="A1625" s="150"/>
    </row>
    <row r="1626" spans="1:1">
      <c r="A1626" s="150"/>
    </row>
    <row r="1627" spans="1:1">
      <c r="A1627" s="150"/>
    </row>
    <row r="1628" spans="1:1">
      <c r="A1628" s="150"/>
    </row>
    <row r="1629" spans="1:1">
      <c r="A1629" s="150"/>
    </row>
    <row r="1630" spans="1:1">
      <c r="A1630" s="150"/>
    </row>
    <row r="1631" spans="1:1">
      <c r="A1631" s="150"/>
    </row>
    <row r="1632" spans="1:1">
      <c r="A1632" s="150"/>
    </row>
    <row r="1633" spans="1:1">
      <c r="A1633" s="150"/>
    </row>
    <row r="1634" spans="1:1">
      <c r="A1634" s="150"/>
    </row>
    <row r="1635" spans="1:1">
      <c r="A1635" s="150"/>
    </row>
    <row r="1636" spans="1:1">
      <c r="A1636" s="150"/>
    </row>
    <row r="1637" spans="1:1">
      <c r="A1637" s="150"/>
    </row>
    <row r="1638" spans="1:1">
      <c r="A1638" s="150"/>
    </row>
    <row r="1639" spans="1:1">
      <c r="A1639" s="150"/>
    </row>
    <row r="1640" spans="1:1">
      <c r="A1640" s="150"/>
    </row>
    <row r="1641" spans="1:1">
      <c r="A1641" s="150"/>
    </row>
    <row r="1642" spans="1:1">
      <c r="A1642" s="150"/>
    </row>
    <row r="1643" spans="1:1">
      <c r="A1643" s="150"/>
    </row>
    <row r="1644" spans="1:1">
      <c r="A1644" s="150"/>
    </row>
    <row r="1645" spans="1:1">
      <c r="A1645" s="150"/>
    </row>
    <row r="1646" spans="1:1">
      <c r="A1646" s="150"/>
    </row>
    <row r="1647" spans="1:1">
      <c r="A1647" s="150"/>
    </row>
    <row r="1648" spans="1:1">
      <c r="A1648" s="150"/>
    </row>
    <row r="1649" spans="1:1">
      <c r="A1649" s="150"/>
    </row>
    <row r="1650" spans="1:1">
      <c r="A1650" s="150"/>
    </row>
    <row r="1651" spans="1:1">
      <c r="A1651" s="150"/>
    </row>
    <row r="1652" spans="1:1">
      <c r="A1652" s="150"/>
    </row>
    <row r="1653" spans="1:1">
      <c r="A1653" s="150"/>
    </row>
    <row r="1654" spans="1:1">
      <c r="A1654" s="150"/>
    </row>
    <row r="1655" spans="1:1">
      <c r="A1655" s="150"/>
    </row>
    <row r="1656" spans="1:1">
      <c r="A1656" s="150"/>
    </row>
    <row r="1657" spans="1:1">
      <c r="A1657" s="150"/>
    </row>
    <row r="1658" spans="1:1">
      <c r="A1658" s="150"/>
    </row>
    <row r="1659" spans="1:1">
      <c r="A1659" s="150"/>
    </row>
    <row r="1660" spans="1:1">
      <c r="A1660" s="150"/>
    </row>
    <row r="1661" spans="1:1">
      <c r="A1661" s="150"/>
    </row>
    <row r="1662" spans="1:1">
      <c r="A1662" s="150"/>
    </row>
    <row r="1663" spans="1:1">
      <c r="A1663" s="150"/>
    </row>
    <row r="1664" spans="1:1">
      <c r="A1664" s="150"/>
    </row>
    <row r="1665" spans="1:1">
      <c r="A1665" s="150"/>
    </row>
    <row r="1666" spans="1:1">
      <c r="A1666" s="150"/>
    </row>
    <row r="1667" spans="1:1">
      <c r="A1667" s="150"/>
    </row>
    <row r="1668" spans="1:1">
      <c r="A1668" s="150"/>
    </row>
    <row r="1669" spans="1:1">
      <c r="A1669" s="150"/>
    </row>
    <row r="1670" spans="1:1">
      <c r="A1670" s="150"/>
    </row>
    <row r="1671" spans="1:1">
      <c r="A1671" s="150"/>
    </row>
    <row r="1672" spans="1:1">
      <c r="A1672" s="150"/>
    </row>
    <row r="1673" spans="1:1">
      <c r="A1673" s="150"/>
    </row>
    <row r="1674" spans="1:1">
      <c r="A1674" s="150"/>
    </row>
    <row r="1675" spans="1:1">
      <c r="A1675" s="150"/>
    </row>
    <row r="1676" spans="1:1">
      <c r="A1676" s="150"/>
    </row>
    <row r="1677" spans="1:1">
      <c r="A1677" s="150"/>
    </row>
    <row r="1678" spans="1:1">
      <c r="A1678" s="150"/>
    </row>
    <row r="1679" spans="1:1">
      <c r="A1679" s="150"/>
    </row>
    <row r="1680" spans="1:1">
      <c r="A1680" s="150"/>
    </row>
    <row r="1681" spans="1:1">
      <c r="A1681" s="150"/>
    </row>
    <row r="1682" spans="1:1">
      <c r="A1682" s="150"/>
    </row>
    <row r="1683" spans="1:1">
      <c r="A1683" s="150"/>
    </row>
    <row r="1684" spans="1:1">
      <c r="A1684" s="150"/>
    </row>
    <row r="1685" spans="1:1">
      <c r="A1685" s="150"/>
    </row>
    <row r="1686" spans="1:1">
      <c r="A1686" s="150"/>
    </row>
    <row r="1687" spans="1:1">
      <c r="A1687" s="150"/>
    </row>
    <row r="1688" spans="1:1">
      <c r="A1688" s="150"/>
    </row>
    <row r="1689" spans="1:1">
      <c r="A1689" s="150"/>
    </row>
    <row r="1690" spans="1:1">
      <c r="A1690" s="150"/>
    </row>
    <row r="1691" spans="1:1">
      <c r="A1691" s="150"/>
    </row>
    <row r="1692" spans="1:1">
      <c r="A1692" s="150"/>
    </row>
    <row r="1693" spans="1:1">
      <c r="A1693" s="150"/>
    </row>
    <row r="1694" spans="1:1">
      <c r="A1694" s="150"/>
    </row>
    <row r="1695" spans="1:1">
      <c r="A1695" s="150"/>
    </row>
    <row r="1696" spans="1:1">
      <c r="A1696" s="150"/>
    </row>
    <row r="1697" spans="1:1">
      <c r="A1697" s="150"/>
    </row>
    <row r="1698" spans="1:1">
      <c r="A1698" s="150"/>
    </row>
    <row r="1699" spans="1:1">
      <c r="A1699" s="150"/>
    </row>
    <row r="1700" spans="1:1">
      <c r="A1700" s="150"/>
    </row>
    <row r="1701" spans="1:1">
      <c r="A1701" s="150"/>
    </row>
    <row r="1702" spans="1:1">
      <c r="A1702" s="150"/>
    </row>
    <row r="1703" spans="1:1">
      <c r="A1703" s="150"/>
    </row>
    <row r="1704" spans="1:1">
      <c r="A1704" s="150"/>
    </row>
    <row r="1705" spans="1:1">
      <c r="A1705" s="150"/>
    </row>
    <row r="1706" spans="1:1">
      <c r="A1706" s="150"/>
    </row>
    <row r="1707" spans="1:1">
      <c r="A1707" s="150"/>
    </row>
    <row r="1708" spans="1:1">
      <c r="A1708" s="150"/>
    </row>
    <row r="1709" spans="1:1">
      <c r="A1709" s="150"/>
    </row>
    <row r="1710" spans="1:1">
      <c r="A1710" s="150"/>
    </row>
    <row r="1711" spans="1:1">
      <c r="A1711" s="150"/>
    </row>
    <row r="1712" spans="1:1">
      <c r="A1712" s="150"/>
    </row>
    <row r="1713" spans="1:1">
      <c r="A1713" s="150"/>
    </row>
    <row r="1714" spans="1:1">
      <c r="A1714" s="150"/>
    </row>
    <row r="1715" spans="1:1">
      <c r="A1715" s="150"/>
    </row>
    <row r="1716" spans="1:1">
      <c r="A1716" s="150"/>
    </row>
    <row r="1717" spans="1:1">
      <c r="A1717" s="150"/>
    </row>
    <row r="1718" spans="1:1">
      <c r="A1718" s="150"/>
    </row>
    <row r="1719" spans="1:1">
      <c r="A1719" s="150"/>
    </row>
    <row r="1720" spans="1:1">
      <c r="A1720" s="150"/>
    </row>
    <row r="1721" spans="1:1">
      <c r="A1721" s="150"/>
    </row>
    <row r="1722" spans="1:1">
      <c r="A1722" s="150"/>
    </row>
    <row r="1723" spans="1:1">
      <c r="A1723" s="150"/>
    </row>
    <row r="1724" spans="1:1">
      <c r="A1724" s="150"/>
    </row>
    <row r="1725" spans="1:1">
      <c r="A1725" s="150"/>
    </row>
    <row r="1726" spans="1:1">
      <c r="A1726" s="150"/>
    </row>
    <row r="1727" spans="1:1">
      <c r="A1727" s="150"/>
    </row>
    <row r="1728" spans="1:1">
      <c r="A1728" s="150"/>
    </row>
    <row r="1729" spans="1:1">
      <c r="A1729" s="150"/>
    </row>
    <row r="1730" spans="1:1">
      <c r="A1730" s="150"/>
    </row>
    <row r="1731" spans="1:1">
      <c r="A1731" s="150"/>
    </row>
    <row r="1732" spans="1:1">
      <c r="A1732" s="150"/>
    </row>
    <row r="1733" spans="1:1">
      <c r="A1733" s="150"/>
    </row>
    <row r="1734" spans="1:1">
      <c r="A1734" s="150"/>
    </row>
    <row r="1735" spans="1:1">
      <c r="A1735" s="150"/>
    </row>
    <row r="1736" spans="1:1">
      <c r="A1736" s="150"/>
    </row>
    <row r="1737" spans="1:1">
      <c r="A1737" s="150"/>
    </row>
    <row r="1738" spans="1:1">
      <c r="A1738" s="150"/>
    </row>
    <row r="1739" spans="1:1">
      <c r="A1739" s="150"/>
    </row>
    <row r="1740" spans="1:1">
      <c r="A1740" s="150"/>
    </row>
    <row r="1741" spans="1:1">
      <c r="A1741" s="150"/>
    </row>
    <row r="1742" spans="1:1">
      <c r="A1742" s="150"/>
    </row>
    <row r="1743" spans="1:1">
      <c r="A1743" s="150"/>
    </row>
    <row r="1744" spans="1:1">
      <c r="A1744" s="150"/>
    </row>
    <row r="1745" spans="1:1">
      <c r="A1745" s="150"/>
    </row>
    <row r="1746" spans="1:1">
      <c r="A1746" s="150"/>
    </row>
    <row r="1747" spans="1:1">
      <c r="A1747" s="150"/>
    </row>
    <row r="1748" spans="1:1">
      <c r="A1748" s="150"/>
    </row>
    <row r="1749" spans="1:1">
      <c r="A1749" s="150"/>
    </row>
    <row r="1750" spans="1:1">
      <c r="A1750" s="150"/>
    </row>
    <row r="1751" spans="1:1">
      <c r="A1751" s="150"/>
    </row>
    <row r="1752" spans="1:1">
      <c r="A1752" s="150"/>
    </row>
    <row r="1753" spans="1:1">
      <c r="A1753" s="150"/>
    </row>
    <row r="1754" spans="1:1">
      <c r="A1754" s="150"/>
    </row>
    <row r="1755" spans="1:1">
      <c r="A1755" s="150"/>
    </row>
    <row r="1756" spans="1:1">
      <c r="A1756" s="150"/>
    </row>
    <row r="1757" spans="1:1">
      <c r="A1757" s="150"/>
    </row>
    <row r="1758" spans="1:1">
      <c r="A1758" s="150"/>
    </row>
    <row r="1759" spans="1:1">
      <c r="A1759" s="150"/>
    </row>
    <row r="1760" spans="1:1">
      <c r="A1760" s="150"/>
    </row>
    <row r="1761" spans="1:1">
      <c r="A1761" s="150"/>
    </row>
    <row r="1762" spans="1:1">
      <c r="A1762" s="150"/>
    </row>
    <row r="1763" spans="1:1">
      <c r="A1763" s="150"/>
    </row>
    <row r="1764" spans="1:1">
      <c r="A1764" s="150"/>
    </row>
    <row r="1765" spans="1:1">
      <c r="A1765" s="150"/>
    </row>
    <row r="1766" spans="1:1">
      <c r="A1766" s="150"/>
    </row>
    <row r="1767" spans="1:1">
      <c r="A1767" s="150"/>
    </row>
    <row r="1768" spans="1:1">
      <c r="A1768" s="150"/>
    </row>
    <row r="1769" spans="1:1">
      <c r="A1769" s="150"/>
    </row>
    <row r="1770" spans="1:1">
      <c r="A1770" s="150"/>
    </row>
    <row r="1771" spans="1:1">
      <c r="A1771" s="150"/>
    </row>
    <row r="1772" spans="1:1">
      <c r="A1772" s="150"/>
    </row>
    <row r="1773" spans="1:1">
      <c r="A1773" s="150"/>
    </row>
    <row r="1774" spans="1:1">
      <c r="A1774" s="150"/>
    </row>
    <row r="1775" spans="1:1">
      <c r="A1775" s="150"/>
    </row>
    <row r="1776" spans="1:1">
      <c r="A1776" s="150"/>
    </row>
    <row r="1777" spans="1:1">
      <c r="A1777" s="150"/>
    </row>
    <row r="1778" spans="1:1">
      <c r="A1778" s="150"/>
    </row>
    <row r="1779" spans="1:1">
      <c r="A1779" s="150"/>
    </row>
    <row r="1780" spans="1:1">
      <c r="A1780" s="150"/>
    </row>
    <row r="1781" spans="1:1">
      <c r="A1781" s="150"/>
    </row>
    <row r="1782" spans="1:1">
      <c r="A1782" s="150"/>
    </row>
    <row r="1783" spans="1:1">
      <c r="A1783" s="150"/>
    </row>
    <row r="1784" spans="1:1">
      <c r="A1784" s="150"/>
    </row>
    <row r="1785" spans="1:1">
      <c r="A1785" s="150"/>
    </row>
    <row r="1786" spans="1:1">
      <c r="A1786" s="150"/>
    </row>
    <row r="1787" spans="1:1">
      <c r="A1787" s="150"/>
    </row>
    <row r="1788" spans="1:1">
      <c r="A1788" s="150"/>
    </row>
    <row r="1789" spans="1:1">
      <c r="A1789" s="150"/>
    </row>
    <row r="1790" spans="1:1">
      <c r="A1790" s="150"/>
    </row>
    <row r="1791" spans="1:1">
      <c r="A1791" s="150"/>
    </row>
    <row r="1792" spans="1:1">
      <c r="A1792" s="150"/>
    </row>
    <row r="1793" spans="1:1">
      <c r="A1793" s="150"/>
    </row>
    <row r="1794" spans="1:1">
      <c r="A1794" s="150"/>
    </row>
    <row r="1795" spans="1:1">
      <c r="A1795" s="150"/>
    </row>
    <row r="1796" spans="1:1">
      <c r="A1796" s="150"/>
    </row>
    <row r="1797" spans="1:1">
      <c r="A1797" s="150"/>
    </row>
    <row r="1798" spans="1:1">
      <c r="A1798" s="150"/>
    </row>
    <row r="1799" spans="1:1">
      <c r="A1799" s="150"/>
    </row>
    <row r="1800" spans="1:1">
      <c r="A1800" s="150"/>
    </row>
    <row r="1801" spans="1:1">
      <c r="A1801" s="150"/>
    </row>
    <row r="1802" spans="1:1">
      <c r="A1802" s="150"/>
    </row>
    <row r="1803" spans="1:1">
      <c r="A1803" s="150"/>
    </row>
    <row r="1804" spans="1:1">
      <c r="A1804" s="150"/>
    </row>
    <row r="1805" spans="1:1">
      <c r="A1805" s="150"/>
    </row>
    <row r="1806" spans="1:1">
      <c r="A1806" s="150"/>
    </row>
    <row r="1807" spans="1:1">
      <c r="A1807" s="150"/>
    </row>
    <row r="1808" spans="1:1">
      <c r="A1808" s="150"/>
    </row>
    <row r="1809" spans="1:1">
      <c r="A1809" s="150"/>
    </row>
    <row r="1810" spans="1:1">
      <c r="A1810" s="150"/>
    </row>
    <row r="1811" spans="1:1">
      <c r="A1811" s="150"/>
    </row>
    <row r="1812" spans="1:1">
      <c r="A1812" s="150"/>
    </row>
    <row r="1813" spans="1:1">
      <c r="A1813" s="150"/>
    </row>
    <row r="1814" spans="1:1">
      <c r="A1814" s="150"/>
    </row>
    <row r="1815" spans="1:1">
      <c r="A1815" s="150"/>
    </row>
    <row r="1816" spans="1:1">
      <c r="A1816" s="150"/>
    </row>
    <row r="1817" spans="1:1">
      <c r="A1817" s="150"/>
    </row>
    <row r="1818" spans="1:1">
      <c r="A1818" s="150"/>
    </row>
    <row r="1819" spans="1:1">
      <c r="A1819" s="150"/>
    </row>
    <row r="1820" spans="1:1">
      <c r="A1820" s="150"/>
    </row>
    <row r="1821" spans="1:1">
      <c r="A1821" s="150"/>
    </row>
    <row r="1822" spans="1:1">
      <c r="A1822" s="150"/>
    </row>
    <row r="1823" spans="1:1">
      <c r="A1823" s="150"/>
    </row>
    <row r="1824" spans="1:1">
      <c r="A1824" s="150"/>
    </row>
    <row r="1825" spans="1:1">
      <c r="A1825" s="150"/>
    </row>
    <row r="1826" spans="1:1">
      <c r="A1826" s="150"/>
    </row>
    <row r="1827" spans="1:1">
      <c r="A1827" s="150"/>
    </row>
    <row r="1828" spans="1:1">
      <c r="A1828" s="150"/>
    </row>
    <row r="1829" spans="1:1">
      <c r="A1829" s="150"/>
    </row>
    <row r="1830" spans="1:1">
      <c r="A1830" s="150"/>
    </row>
    <row r="1831" spans="1:1">
      <c r="A1831" s="150"/>
    </row>
    <row r="1832" spans="1:1">
      <c r="A1832" s="150"/>
    </row>
    <row r="1833" spans="1:1">
      <c r="A1833" s="150"/>
    </row>
    <row r="1834" spans="1:1">
      <c r="A1834" s="150"/>
    </row>
    <row r="1835" spans="1:1">
      <c r="A1835" s="150"/>
    </row>
    <row r="1836" spans="1:1">
      <c r="A1836" s="150"/>
    </row>
    <row r="1837" spans="1:1">
      <c r="A1837" s="150"/>
    </row>
    <row r="1838" spans="1:1">
      <c r="A1838" s="150"/>
    </row>
    <row r="1839" spans="1:1">
      <c r="A1839" s="150"/>
    </row>
    <row r="1840" spans="1:1">
      <c r="A1840" s="150"/>
    </row>
    <row r="1841" spans="1:1">
      <c r="A1841" s="150"/>
    </row>
    <row r="1842" spans="1:1">
      <c r="A1842" s="150"/>
    </row>
    <row r="1843" spans="1:1">
      <c r="A1843" s="150"/>
    </row>
    <row r="1844" spans="1:1">
      <c r="A1844" s="150"/>
    </row>
    <row r="1845" spans="1:1">
      <c r="A1845" s="150"/>
    </row>
    <row r="1846" spans="1:1">
      <c r="A1846" s="150"/>
    </row>
    <row r="1847" spans="1:1">
      <c r="A1847" s="150"/>
    </row>
    <row r="1848" spans="1:1">
      <c r="A1848" s="150"/>
    </row>
    <row r="1849" spans="1:1">
      <c r="A1849" s="150"/>
    </row>
    <row r="1850" spans="1:1">
      <c r="A1850" s="150"/>
    </row>
    <row r="1851" spans="1:1">
      <c r="A1851" s="150"/>
    </row>
    <row r="1852" spans="1:1">
      <c r="A1852" s="150"/>
    </row>
    <row r="1853" spans="1:1">
      <c r="A1853" s="150"/>
    </row>
    <row r="1854" spans="1:1">
      <c r="A1854" s="150"/>
    </row>
    <row r="1855" spans="1:1">
      <c r="A1855" s="150"/>
    </row>
    <row r="1856" spans="1:1">
      <c r="A1856" s="150"/>
    </row>
    <row r="1857" spans="1:1">
      <c r="A1857" s="150"/>
    </row>
    <row r="1858" spans="1:1">
      <c r="A1858" s="150"/>
    </row>
    <row r="1859" spans="1:1">
      <c r="A1859" s="150"/>
    </row>
    <row r="1860" spans="1:1">
      <c r="A1860" s="150"/>
    </row>
    <row r="1861" spans="1:1">
      <c r="A1861" s="150"/>
    </row>
    <row r="1862" spans="1:1">
      <c r="A1862" s="150"/>
    </row>
    <row r="1863" spans="1:1">
      <c r="A1863" s="150"/>
    </row>
    <row r="1864" spans="1:1">
      <c r="A1864" s="150"/>
    </row>
    <row r="1865" spans="1:1">
      <c r="A1865" s="150"/>
    </row>
    <row r="1866" spans="1:1">
      <c r="A1866" s="150"/>
    </row>
    <row r="1867" spans="1:1">
      <c r="A1867" s="150"/>
    </row>
    <row r="1868" spans="1:1">
      <c r="A1868" s="150"/>
    </row>
    <row r="1869" spans="1:1">
      <c r="A1869" s="150"/>
    </row>
    <row r="1870" spans="1:1">
      <c r="A1870" s="150"/>
    </row>
    <row r="1871" spans="1:1">
      <c r="A1871" s="150"/>
    </row>
    <row r="1872" spans="1:1">
      <c r="A1872" s="150"/>
    </row>
    <row r="1873" spans="1:1">
      <c r="A1873" s="150"/>
    </row>
    <row r="1874" spans="1:1">
      <c r="A1874" s="150"/>
    </row>
    <row r="1875" spans="1:1">
      <c r="A1875" s="150"/>
    </row>
    <row r="1876" spans="1:1">
      <c r="A1876" s="150"/>
    </row>
    <row r="1877" spans="1:1">
      <c r="A1877" s="150"/>
    </row>
    <row r="1878" spans="1:1">
      <c r="A1878" s="150"/>
    </row>
    <row r="1879" spans="1:1">
      <c r="A1879" s="150"/>
    </row>
    <row r="1880" spans="1:1">
      <c r="A1880" s="150"/>
    </row>
    <row r="1881" spans="1:1">
      <c r="A1881" s="150"/>
    </row>
    <row r="1882" spans="1:1">
      <c r="A1882" s="150"/>
    </row>
    <row r="1883" spans="1:1">
      <c r="A1883" s="150"/>
    </row>
    <row r="1884" spans="1:1">
      <c r="A1884" s="150"/>
    </row>
    <row r="1885" spans="1:1">
      <c r="A1885" s="150"/>
    </row>
    <row r="1886" spans="1:1">
      <c r="A1886" s="150"/>
    </row>
    <row r="1887" spans="1:1">
      <c r="A1887" s="150"/>
    </row>
    <row r="1888" spans="1:1">
      <c r="A1888" s="150"/>
    </row>
    <row r="1889" spans="1:1">
      <c r="A1889" s="150"/>
    </row>
    <row r="1890" spans="1:1">
      <c r="A1890" s="150"/>
    </row>
    <row r="1891" spans="1:1">
      <c r="A1891" s="150"/>
    </row>
    <row r="1892" spans="1:1">
      <c r="A1892" s="150"/>
    </row>
    <row r="1893" spans="1:1">
      <c r="A1893" s="150"/>
    </row>
    <row r="1894" spans="1:1">
      <c r="A1894" s="150"/>
    </row>
    <row r="1895" spans="1:1">
      <c r="A1895" s="150"/>
    </row>
    <row r="1896" spans="1:1">
      <c r="A1896" s="150"/>
    </row>
    <row r="1897" spans="1:1">
      <c r="A1897" s="150"/>
    </row>
    <row r="1898" spans="1:1">
      <c r="A1898" s="150"/>
    </row>
    <row r="1899" spans="1:1">
      <c r="A1899" s="150"/>
    </row>
    <row r="1900" spans="1:1">
      <c r="A1900" s="150"/>
    </row>
    <row r="1901" spans="1:1">
      <c r="A1901" s="150"/>
    </row>
    <row r="1902" spans="1:1">
      <c r="A1902" s="150"/>
    </row>
    <row r="1903" spans="1:1">
      <c r="A1903" s="150"/>
    </row>
    <row r="1904" spans="1:1">
      <c r="A1904" s="150"/>
    </row>
    <row r="1905" spans="1:1">
      <c r="A1905" s="150"/>
    </row>
    <row r="1906" spans="1:1">
      <c r="A1906" s="150"/>
    </row>
    <row r="1907" spans="1:1">
      <c r="A1907" s="150"/>
    </row>
    <row r="1908" spans="1:1">
      <c r="A1908" s="150"/>
    </row>
    <row r="1909" spans="1:1">
      <c r="A1909" s="150"/>
    </row>
    <row r="1910" spans="1:1">
      <c r="A1910" s="150"/>
    </row>
    <row r="1911" spans="1:1">
      <c r="A1911" s="150"/>
    </row>
    <row r="1912" spans="1:1">
      <c r="A1912" s="150"/>
    </row>
    <row r="1913" spans="1:1">
      <c r="A1913" s="150"/>
    </row>
    <row r="1914" spans="1:1">
      <c r="A1914" s="150"/>
    </row>
    <row r="1915" spans="1:1">
      <c r="A1915" s="150"/>
    </row>
    <row r="1916" spans="1:1">
      <c r="A1916" s="150"/>
    </row>
    <row r="1917" spans="1:1">
      <c r="A1917" s="150"/>
    </row>
    <row r="1918" spans="1:1">
      <c r="A1918" s="150"/>
    </row>
    <row r="1919" spans="1:1">
      <c r="A1919" s="150"/>
    </row>
    <row r="1920" spans="1:1">
      <c r="A1920" s="150"/>
    </row>
    <row r="1921" spans="1:1">
      <c r="A1921" s="150"/>
    </row>
    <row r="1922" spans="1:1">
      <c r="A1922" s="150"/>
    </row>
    <row r="1923" spans="1:1">
      <c r="A1923" s="150"/>
    </row>
    <row r="1924" spans="1:1">
      <c r="A1924" s="150"/>
    </row>
    <row r="1925" spans="1:1">
      <c r="A1925" s="150"/>
    </row>
    <row r="1926" spans="1:1">
      <c r="A1926" s="150"/>
    </row>
    <row r="1927" spans="1:1">
      <c r="A1927" s="150"/>
    </row>
    <row r="1928" spans="1:1">
      <c r="A1928" s="150"/>
    </row>
    <row r="1929" spans="1:1">
      <c r="A1929" s="150"/>
    </row>
    <row r="1930" spans="1:1">
      <c r="A1930" s="150"/>
    </row>
    <row r="1931" spans="1:1">
      <c r="A1931" s="150"/>
    </row>
    <row r="1932" spans="1:1">
      <c r="A1932" s="150"/>
    </row>
    <row r="1933" spans="1:1">
      <c r="A1933" s="150"/>
    </row>
    <row r="1934" spans="1:1">
      <c r="A1934" s="150"/>
    </row>
    <row r="1935" spans="1:1">
      <c r="A1935" s="150"/>
    </row>
    <row r="1936" spans="1:1">
      <c r="A1936" s="150"/>
    </row>
    <row r="1937" spans="1:1">
      <c r="A1937" s="150"/>
    </row>
    <row r="1938" spans="1:1">
      <c r="A1938" s="150"/>
    </row>
    <row r="1939" spans="1:1">
      <c r="A1939" s="150"/>
    </row>
    <row r="1940" spans="1:1">
      <c r="A1940" s="150"/>
    </row>
    <row r="1941" spans="1:1">
      <c r="A1941" s="150"/>
    </row>
    <row r="1942" spans="1:1">
      <c r="A1942" s="150"/>
    </row>
    <row r="1943" spans="1:1">
      <c r="A1943" s="150"/>
    </row>
    <row r="1944" spans="1:1">
      <c r="A1944" s="150"/>
    </row>
    <row r="1945" spans="1:1">
      <c r="A1945" s="150"/>
    </row>
    <row r="1946" spans="1:1">
      <c r="A1946" s="150"/>
    </row>
    <row r="1947" spans="1:1">
      <c r="A1947" s="150"/>
    </row>
    <row r="1948" spans="1:1">
      <c r="A1948" s="150"/>
    </row>
    <row r="1949" spans="1:1">
      <c r="A1949" s="150"/>
    </row>
    <row r="1950" spans="1:1">
      <c r="A1950" s="150"/>
    </row>
    <row r="1951" spans="1:1">
      <c r="A1951" s="150"/>
    </row>
    <row r="1952" spans="1:1">
      <c r="A1952" s="150"/>
    </row>
    <row r="1953" spans="1:1">
      <c r="A1953" s="150"/>
    </row>
    <row r="1954" spans="1:1">
      <c r="A1954" s="150"/>
    </row>
    <row r="1955" spans="1:1">
      <c r="A1955" s="150"/>
    </row>
    <row r="1956" spans="1:1">
      <c r="A1956" s="150"/>
    </row>
    <row r="1957" spans="1:1">
      <c r="A1957" s="150"/>
    </row>
    <row r="1958" spans="1:1">
      <c r="A1958" s="150"/>
    </row>
    <row r="1959" spans="1:1">
      <c r="A1959" s="150"/>
    </row>
    <row r="1960" spans="1:1">
      <c r="A1960" s="150"/>
    </row>
    <row r="1961" spans="1:1">
      <c r="A1961" s="150"/>
    </row>
    <row r="1962" spans="1:1">
      <c r="A1962" s="150"/>
    </row>
    <row r="1963" spans="1:1">
      <c r="A1963" s="150"/>
    </row>
    <row r="1964" spans="1:1">
      <c r="A1964" s="150"/>
    </row>
    <row r="1965" spans="1:1">
      <c r="A1965" s="150"/>
    </row>
    <row r="1966" spans="1:1">
      <c r="A1966" s="150"/>
    </row>
    <row r="1967" spans="1:1">
      <c r="A1967" s="150"/>
    </row>
    <row r="1968" spans="1:1">
      <c r="A1968" s="150"/>
    </row>
    <row r="1969" spans="1:1">
      <c r="A1969" s="150"/>
    </row>
    <row r="1970" spans="1:1">
      <c r="A1970" s="150"/>
    </row>
    <row r="1971" spans="1:1">
      <c r="A1971" s="150"/>
    </row>
    <row r="1972" spans="1:1">
      <c r="A1972" s="150"/>
    </row>
    <row r="1973" spans="1:1">
      <c r="A1973" s="150"/>
    </row>
    <row r="1974" spans="1:1">
      <c r="A1974" s="150"/>
    </row>
    <row r="1975" spans="1:1">
      <c r="A1975" s="150"/>
    </row>
    <row r="1976" spans="1:1">
      <c r="A1976" s="150"/>
    </row>
    <row r="1977" spans="1:1">
      <c r="A1977" s="150"/>
    </row>
    <row r="1978" spans="1:1">
      <c r="A1978" s="150"/>
    </row>
    <row r="1979" spans="1:1">
      <c r="A1979" s="150"/>
    </row>
    <row r="1980" spans="1:1">
      <c r="A1980" s="150"/>
    </row>
    <row r="1981" spans="1:1">
      <c r="A1981" s="150"/>
    </row>
    <row r="1982" spans="1:1">
      <c r="A1982" s="150"/>
    </row>
    <row r="1983" spans="1:1">
      <c r="A1983" s="150"/>
    </row>
    <row r="1984" spans="1:1">
      <c r="A1984" s="150"/>
    </row>
    <row r="1985" spans="1:1">
      <c r="A1985" s="150"/>
    </row>
    <row r="1986" spans="1:1">
      <c r="A1986" s="150"/>
    </row>
    <row r="1987" spans="1:1">
      <c r="A1987" s="150"/>
    </row>
    <row r="1988" spans="1:1">
      <c r="A1988" s="150"/>
    </row>
    <row r="1989" spans="1:1">
      <c r="A1989" s="150"/>
    </row>
    <row r="1990" spans="1:1">
      <c r="A1990" s="150"/>
    </row>
    <row r="1991" spans="1:1">
      <c r="A1991" s="150"/>
    </row>
    <row r="1992" spans="1:1">
      <c r="A1992" s="150"/>
    </row>
    <row r="1993" spans="1:1">
      <c r="A1993" s="150"/>
    </row>
    <row r="1994" spans="1:1">
      <c r="A1994" s="150"/>
    </row>
    <row r="1995" spans="1:1">
      <c r="A1995" s="150"/>
    </row>
    <row r="1996" spans="1:1">
      <c r="A1996" s="150"/>
    </row>
    <row r="1997" spans="1:1">
      <c r="A1997" s="150"/>
    </row>
    <row r="1998" spans="1:1">
      <c r="A1998" s="150"/>
    </row>
    <row r="1999" spans="1:1">
      <c r="A1999" s="150"/>
    </row>
    <row r="2000" spans="1:1">
      <c r="A2000" s="150"/>
    </row>
    <row r="2001" spans="1:1">
      <c r="A2001" s="150"/>
    </row>
    <row r="2002" spans="1:1">
      <c r="A2002" s="150"/>
    </row>
    <row r="2003" spans="1:1">
      <c r="A2003" s="150"/>
    </row>
    <row r="2004" spans="1:1">
      <c r="A2004" s="150"/>
    </row>
    <row r="2005" spans="1:1">
      <c r="A2005" s="150"/>
    </row>
    <row r="2006" spans="1:1">
      <c r="A2006" s="150"/>
    </row>
    <row r="2007" spans="1:1">
      <c r="A2007" s="150"/>
    </row>
    <row r="2008" spans="1:1">
      <c r="A2008" s="150"/>
    </row>
    <row r="2009" spans="1:1">
      <c r="A2009" s="150"/>
    </row>
    <row r="2010" spans="1:1">
      <c r="A2010" s="150"/>
    </row>
    <row r="2011" spans="1:1">
      <c r="A2011" s="150"/>
    </row>
    <row r="2012" spans="1:1">
      <c r="A2012" s="150"/>
    </row>
    <row r="2013" spans="1:1">
      <c r="A2013" s="150"/>
    </row>
    <row r="2014" spans="1:1">
      <c r="A2014" s="150"/>
    </row>
    <row r="2015" spans="1:1">
      <c r="A2015" s="150"/>
    </row>
    <row r="2016" spans="1:1">
      <c r="A2016" s="150"/>
    </row>
    <row r="2017" spans="1:1">
      <c r="A2017" s="150"/>
    </row>
    <row r="2018" spans="1:1">
      <c r="A2018" s="150"/>
    </row>
    <row r="2019" spans="1:1">
      <c r="A2019" s="150"/>
    </row>
    <row r="2020" spans="1:1">
      <c r="A2020" s="150"/>
    </row>
    <row r="2021" spans="1:1">
      <c r="A2021" s="150"/>
    </row>
    <row r="2022" spans="1:1">
      <c r="A2022" s="150"/>
    </row>
    <row r="2023" spans="1:1">
      <c r="A2023" s="150"/>
    </row>
    <row r="2024" spans="1:1">
      <c r="A2024" s="150"/>
    </row>
    <row r="2025" spans="1:1">
      <c r="A2025" s="150"/>
    </row>
    <row r="2026" spans="1:1">
      <c r="A2026" s="150"/>
    </row>
    <row r="2027" spans="1:1">
      <c r="A2027" s="150"/>
    </row>
    <row r="2028" spans="1:1">
      <c r="A2028" s="150"/>
    </row>
    <row r="2029" spans="1:1">
      <c r="A2029" s="150"/>
    </row>
    <row r="2030" spans="1:1">
      <c r="A2030" s="150"/>
    </row>
    <row r="2031" spans="1:1">
      <c r="A2031" s="150"/>
    </row>
    <row r="2032" spans="1:1">
      <c r="A2032" s="150"/>
    </row>
    <row r="2033" spans="1:1">
      <c r="A2033" s="150"/>
    </row>
    <row r="2034" spans="1:1">
      <c r="A2034" s="150"/>
    </row>
    <row r="2035" spans="1:1">
      <c r="A2035" s="150"/>
    </row>
    <row r="2036" spans="1:1">
      <c r="A2036" s="150"/>
    </row>
    <row r="2037" spans="1:1">
      <c r="A2037" s="150"/>
    </row>
    <row r="2038" spans="1:1">
      <c r="A2038" s="150"/>
    </row>
    <row r="2039" spans="1:1">
      <c r="A2039" s="150"/>
    </row>
    <row r="2040" spans="1:1">
      <c r="A2040" s="150"/>
    </row>
    <row r="2041" spans="1:1">
      <c r="A2041" s="150"/>
    </row>
    <row r="2042" spans="1:1">
      <c r="A2042" s="150"/>
    </row>
    <row r="2043" spans="1:1">
      <c r="A2043" s="150"/>
    </row>
    <row r="2044" spans="1:1">
      <c r="A2044" s="150"/>
    </row>
    <row r="2045" spans="1:1">
      <c r="A2045" s="150"/>
    </row>
    <row r="2046" spans="1:1">
      <c r="A2046" s="150"/>
    </row>
    <row r="2047" spans="1:1">
      <c r="A2047" s="150"/>
    </row>
    <row r="2048" spans="1:1">
      <c r="A2048" s="150"/>
    </row>
    <row r="2049" spans="1:1">
      <c r="A2049" s="150"/>
    </row>
    <row r="2050" spans="1:1">
      <c r="A2050" s="150"/>
    </row>
    <row r="2051" spans="1:1">
      <c r="A2051" s="150"/>
    </row>
    <row r="2052" spans="1:1">
      <c r="A2052" s="150"/>
    </row>
    <row r="2053" spans="1:1">
      <c r="A2053" s="150"/>
    </row>
    <row r="2054" spans="1:1">
      <c r="A2054" s="150"/>
    </row>
    <row r="2055" spans="1:1">
      <c r="A2055" s="150"/>
    </row>
    <row r="2056" spans="1:1">
      <c r="A2056" s="150"/>
    </row>
    <row r="2057" spans="1:1">
      <c r="A2057" s="150"/>
    </row>
    <row r="2058" spans="1:1">
      <c r="A2058" s="150"/>
    </row>
    <row r="2059" spans="1:1">
      <c r="A2059" s="150"/>
    </row>
    <row r="2060" spans="1:1">
      <c r="A2060" s="150"/>
    </row>
    <row r="2061" spans="1:1">
      <c r="A2061" s="150"/>
    </row>
    <row r="2062" spans="1:1">
      <c r="A2062" s="150"/>
    </row>
    <row r="2063" spans="1:1">
      <c r="A2063" s="150"/>
    </row>
    <row r="2064" spans="1:1">
      <c r="A2064" s="150"/>
    </row>
    <row r="2065" spans="1:1">
      <c r="A2065" s="150"/>
    </row>
    <row r="2066" spans="1:1">
      <c r="A2066" s="150"/>
    </row>
    <row r="2067" spans="1:1">
      <c r="A2067" s="150"/>
    </row>
    <row r="2068" spans="1:1">
      <c r="A2068" s="150"/>
    </row>
    <row r="2069" spans="1:1">
      <c r="A2069" s="150"/>
    </row>
    <row r="2070" spans="1:1">
      <c r="A2070" s="150"/>
    </row>
    <row r="2071" spans="1:1">
      <c r="A2071" s="150"/>
    </row>
    <row r="2072" spans="1:1">
      <c r="A2072" s="150"/>
    </row>
    <row r="2073" spans="1:1">
      <c r="A2073" s="150"/>
    </row>
    <row r="2074" spans="1:1">
      <c r="A2074" s="150"/>
    </row>
    <row r="2075" spans="1:1">
      <c r="A2075" s="150"/>
    </row>
    <row r="2076" spans="1:1">
      <c r="A2076" s="150"/>
    </row>
    <row r="2077" spans="1:1">
      <c r="A2077" s="150"/>
    </row>
    <row r="2078" spans="1:1">
      <c r="A2078" s="150"/>
    </row>
    <row r="2079" spans="1:1">
      <c r="A2079" s="150"/>
    </row>
    <row r="2080" spans="1:1">
      <c r="A2080" s="150"/>
    </row>
    <row r="2081" spans="1:1">
      <c r="A2081" s="150"/>
    </row>
    <row r="2082" spans="1:1">
      <c r="A2082" s="150"/>
    </row>
    <row r="2083" spans="1:1">
      <c r="A2083" s="150"/>
    </row>
    <row r="2084" spans="1:1">
      <c r="A2084" s="150"/>
    </row>
    <row r="2085" spans="1:1">
      <c r="A2085" s="150"/>
    </row>
    <row r="2086" spans="1:1">
      <c r="A2086" s="150"/>
    </row>
    <row r="2087" spans="1:1">
      <c r="A2087" s="150"/>
    </row>
    <row r="2088" spans="1:1">
      <c r="A2088" s="150"/>
    </row>
    <row r="2089" spans="1:1">
      <c r="A2089" s="150"/>
    </row>
    <row r="2090" spans="1:1">
      <c r="A2090" s="150"/>
    </row>
    <row r="2091" spans="1:1">
      <c r="A2091" s="150"/>
    </row>
    <row r="2092" spans="1:1">
      <c r="A2092" s="150"/>
    </row>
    <row r="2093" spans="1:1">
      <c r="A2093" s="150"/>
    </row>
    <row r="2094" spans="1:1">
      <c r="A2094" s="150"/>
    </row>
    <row r="2095" spans="1:1">
      <c r="A2095" s="150"/>
    </row>
    <row r="2096" spans="1:1">
      <c r="A2096" s="150"/>
    </row>
    <row r="2097" spans="1:1">
      <c r="A2097" s="150"/>
    </row>
    <row r="2098" spans="1:1">
      <c r="A2098" s="150"/>
    </row>
    <row r="2099" spans="1:1">
      <c r="A2099" s="150"/>
    </row>
    <row r="2100" spans="1:1">
      <c r="A2100" s="150"/>
    </row>
    <row r="2101" spans="1:1">
      <c r="A2101" s="150"/>
    </row>
    <row r="2102" spans="1:1">
      <c r="A2102" s="150"/>
    </row>
    <row r="2103" spans="1:1">
      <c r="A2103" s="150"/>
    </row>
    <row r="2104" spans="1:1">
      <c r="A2104" s="150"/>
    </row>
    <row r="2105" spans="1:1">
      <c r="A2105" s="150"/>
    </row>
    <row r="2106" spans="1:1">
      <c r="A2106" s="150"/>
    </row>
    <row r="2107" spans="1:1">
      <c r="A2107" s="150"/>
    </row>
    <row r="2108" spans="1:1">
      <c r="A2108" s="150"/>
    </row>
    <row r="2109" spans="1:1">
      <c r="A2109" s="150"/>
    </row>
    <row r="2110" spans="1:1">
      <c r="A2110" s="150"/>
    </row>
    <row r="2111" spans="1:1">
      <c r="A2111" s="150"/>
    </row>
    <row r="2112" spans="1:1">
      <c r="A2112" s="150"/>
    </row>
    <row r="2113" spans="1:1">
      <c r="A2113" s="150"/>
    </row>
    <row r="2114" spans="1:1">
      <c r="A2114" s="150"/>
    </row>
    <row r="2115" spans="1:1">
      <c r="A2115" s="150"/>
    </row>
    <row r="2116" spans="1:1">
      <c r="A2116" s="150"/>
    </row>
    <row r="2117" spans="1:1">
      <c r="A2117" s="150"/>
    </row>
    <row r="2118" spans="1:1">
      <c r="A2118" s="150"/>
    </row>
    <row r="2119" spans="1:1">
      <c r="A2119" s="150"/>
    </row>
    <row r="2120" spans="1:1">
      <c r="A2120" s="150"/>
    </row>
    <row r="2121" spans="1:1">
      <c r="A2121" s="150"/>
    </row>
    <row r="2122" spans="1:1">
      <c r="A2122" s="150"/>
    </row>
    <row r="2123" spans="1:1">
      <c r="A2123" s="150"/>
    </row>
    <row r="2124" spans="1:1">
      <c r="A2124" s="150"/>
    </row>
    <row r="2125" spans="1:1">
      <c r="A2125" s="150"/>
    </row>
    <row r="2126" spans="1:1">
      <c r="A2126" s="150"/>
    </row>
    <row r="2127" spans="1:1">
      <c r="A2127" s="150"/>
    </row>
    <row r="2128" spans="1:1">
      <c r="A2128" s="150"/>
    </row>
    <row r="2129" spans="1:1">
      <c r="A2129" s="150"/>
    </row>
    <row r="2130" spans="1:1">
      <c r="A2130" s="150"/>
    </row>
    <row r="2131" spans="1:1">
      <c r="A2131" s="150"/>
    </row>
    <row r="2132" spans="1:1">
      <c r="A2132" s="150"/>
    </row>
    <row r="2133" spans="1:1">
      <c r="A2133" s="150"/>
    </row>
    <row r="2134" spans="1:1">
      <c r="A2134" s="150"/>
    </row>
    <row r="2135" spans="1:1">
      <c r="A2135" s="150"/>
    </row>
    <row r="2136" spans="1:1">
      <c r="A2136" s="150"/>
    </row>
    <row r="2137" spans="1:1">
      <c r="A2137" s="150"/>
    </row>
    <row r="2138" spans="1:1">
      <c r="A2138" s="150"/>
    </row>
    <row r="2139" spans="1:1">
      <c r="A2139" s="150"/>
    </row>
    <row r="2140" spans="1:1">
      <c r="A2140" s="150"/>
    </row>
    <row r="2141" spans="1:1">
      <c r="A2141" s="150"/>
    </row>
    <row r="2142" spans="1:1">
      <c r="A2142" s="150"/>
    </row>
    <row r="2143" spans="1:1">
      <c r="A2143" s="150"/>
    </row>
    <row r="2144" spans="1:1">
      <c r="A2144" s="150"/>
    </row>
    <row r="2145" spans="1:1">
      <c r="A2145" s="150"/>
    </row>
    <row r="2146" spans="1:1">
      <c r="A2146" s="150"/>
    </row>
    <row r="2147" spans="1:1">
      <c r="A2147" s="150"/>
    </row>
    <row r="2148" spans="1:1">
      <c r="A2148" s="150"/>
    </row>
    <row r="2149" spans="1:1">
      <c r="A2149" s="150"/>
    </row>
    <row r="2150" spans="1:1">
      <c r="A2150" s="150"/>
    </row>
    <row r="2151" spans="1:1">
      <c r="A2151" s="150"/>
    </row>
    <row r="2152" spans="1:1">
      <c r="A2152" s="150"/>
    </row>
    <row r="2153" spans="1:1">
      <c r="A2153" s="150"/>
    </row>
    <row r="2154" spans="1:1">
      <c r="A2154" s="150"/>
    </row>
    <row r="2155" spans="1:1">
      <c r="A2155" s="150"/>
    </row>
    <row r="2156" spans="1:1">
      <c r="A2156" s="150"/>
    </row>
    <row r="2157" spans="1:1">
      <c r="A2157" s="150"/>
    </row>
    <row r="2158" spans="1:1">
      <c r="A2158" s="150"/>
    </row>
    <row r="2159" spans="1:1">
      <c r="A2159" s="150"/>
    </row>
    <row r="2160" spans="1:1">
      <c r="A2160" s="150"/>
    </row>
    <row r="2161" spans="1:1">
      <c r="A2161" s="150"/>
    </row>
    <row r="2162" spans="1:1">
      <c r="A2162" s="150"/>
    </row>
    <row r="2163" spans="1:1">
      <c r="A2163" s="150"/>
    </row>
    <row r="2164" spans="1:1">
      <c r="A2164" s="150"/>
    </row>
    <row r="2165" spans="1:1">
      <c r="A2165" s="150"/>
    </row>
    <row r="2166" spans="1:1">
      <c r="A2166" s="150"/>
    </row>
    <row r="2167" spans="1:1">
      <c r="A2167" s="150"/>
    </row>
    <row r="2168" spans="1:1">
      <c r="A2168" s="150"/>
    </row>
    <row r="2169" spans="1:1">
      <c r="A2169" s="150"/>
    </row>
    <row r="2170" spans="1:1">
      <c r="A2170" s="150"/>
    </row>
    <row r="2171" spans="1:1">
      <c r="A2171" s="150"/>
    </row>
    <row r="2172" spans="1:1">
      <c r="A2172" s="150"/>
    </row>
    <row r="2173" spans="1:1">
      <c r="A2173" s="150"/>
    </row>
    <row r="2174" spans="1:1">
      <c r="A2174" s="150"/>
    </row>
    <row r="2175" spans="1:1">
      <c r="A2175" s="150"/>
    </row>
    <row r="2176" spans="1:1">
      <c r="A2176" s="150"/>
    </row>
    <row r="2177" spans="1:1">
      <c r="A2177" s="150"/>
    </row>
    <row r="2178" spans="1:1">
      <c r="A2178" s="150"/>
    </row>
    <row r="2179" spans="1:1">
      <c r="A2179" s="150"/>
    </row>
    <row r="2180" spans="1:1">
      <c r="A2180" s="150"/>
    </row>
    <row r="2181" spans="1:1">
      <c r="A2181" s="150"/>
    </row>
    <row r="2182" spans="1:1">
      <c r="A2182" s="150"/>
    </row>
    <row r="2183" spans="1:1">
      <c r="A2183" s="150"/>
    </row>
    <row r="2184" spans="1:1">
      <c r="A2184" s="150"/>
    </row>
    <row r="2185" spans="1:1">
      <c r="A2185" s="150"/>
    </row>
    <row r="2186" spans="1:1">
      <c r="A2186" s="150"/>
    </row>
    <row r="2187" spans="1:1">
      <c r="A2187" s="150"/>
    </row>
    <row r="2188" spans="1:1">
      <c r="A2188" s="150"/>
    </row>
    <row r="2189" spans="1:1">
      <c r="A2189" s="150"/>
    </row>
    <row r="2190" spans="1:1">
      <c r="A2190" s="150"/>
    </row>
    <row r="2191" spans="1:1">
      <c r="A2191" s="150"/>
    </row>
    <row r="2192" spans="1:1">
      <c r="A2192" s="150"/>
    </row>
    <row r="2193" spans="1:1">
      <c r="A2193" s="150"/>
    </row>
    <row r="2194" spans="1:1">
      <c r="A2194" s="150"/>
    </row>
    <row r="2195" spans="1:1">
      <c r="A2195" s="150"/>
    </row>
    <row r="2196" spans="1:1">
      <c r="A2196" s="150"/>
    </row>
    <row r="2197" spans="1:1">
      <c r="A2197" s="150"/>
    </row>
    <row r="2198" spans="1:1">
      <c r="A2198" s="150"/>
    </row>
    <row r="2199" spans="1:1">
      <c r="A2199" s="150"/>
    </row>
    <row r="2200" spans="1:1">
      <c r="A2200" s="150"/>
    </row>
    <row r="2201" spans="1:1">
      <c r="A2201" s="150"/>
    </row>
    <row r="2202" spans="1:1">
      <c r="A2202" s="150"/>
    </row>
    <row r="2203" spans="1:1">
      <c r="A2203" s="150"/>
    </row>
    <row r="2204" spans="1:1">
      <c r="A2204" s="150"/>
    </row>
    <row r="2205" spans="1:1">
      <c r="A2205" s="150"/>
    </row>
    <row r="2206" spans="1:1">
      <c r="A2206" s="150"/>
    </row>
    <row r="2207" spans="1:1">
      <c r="A2207" s="150"/>
    </row>
    <row r="2208" spans="1:1">
      <c r="A2208" s="150"/>
    </row>
    <row r="2209" spans="1:1">
      <c r="A2209" s="150"/>
    </row>
    <row r="2210" spans="1:1">
      <c r="A2210" s="150"/>
    </row>
    <row r="2211" spans="1:1">
      <c r="A2211" s="150"/>
    </row>
    <row r="2212" spans="1:1">
      <c r="A2212" s="150"/>
    </row>
    <row r="2213" spans="1:1">
      <c r="A2213" s="150"/>
    </row>
    <row r="2214" spans="1:1">
      <c r="A2214" s="150"/>
    </row>
    <row r="2215" spans="1:1">
      <c r="A2215" s="150"/>
    </row>
    <row r="2216" spans="1:1">
      <c r="A2216" s="150"/>
    </row>
    <row r="2217" spans="1:1">
      <c r="A2217" s="150"/>
    </row>
    <row r="2218" spans="1:1">
      <c r="A2218" s="150"/>
    </row>
    <row r="2219" spans="1:1">
      <c r="A2219" s="150"/>
    </row>
    <row r="2220" spans="1:1">
      <c r="A2220" s="150"/>
    </row>
    <row r="2221" spans="1:1">
      <c r="A2221" s="150"/>
    </row>
    <row r="2222" spans="1:1">
      <c r="A2222" s="150"/>
    </row>
    <row r="2223" spans="1:1">
      <c r="A2223" s="150"/>
    </row>
    <row r="2224" spans="1:1">
      <c r="A2224" s="150"/>
    </row>
    <row r="2225" spans="1:1">
      <c r="A2225" s="150"/>
    </row>
    <row r="2226" spans="1:1">
      <c r="A2226" s="150"/>
    </row>
    <row r="2227" spans="1:1">
      <c r="A2227" s="150"/>
    </row>
    <row r="2228" spans="1:1">
      <c r="A2228" s="150"/>
    </row>
    <row r="2229" spans="1:1">
      <c r="A2229" s="150"/>
    </row>
    <row r="2230" spans="1:1">
      <c r="A2230" s="150"/>
    </row>
    <row r="2231" spans="1:1">
      <c r="A2231" s="150"/>
    </row>
    <row r="2232" spans="1:1">
      <c r="A2232" s="150"/>
    </row>
    <row r="2233" spans="1:1">
      <c r="A2233" s="150"/>
    </row>
    <row r="2234" spans="1:1">
      <c r="A2234" s="150"/>
    </row>
    <row r="2235" spans="1:1">
      <c r="A2235" s="150"/>
    </row>
    <row r="2236" spans="1:1">
      <c r="A2236" s="150"/>
    </row>
    <row r="2237" spans="1:1">
      <c r="A2237" s="150"/>
    </row>
    <row r="2238" spans="1:1">
      <c r="A2238" s="150"/>
    </row>
    <row r="2239" spans="1:1">
      <c r="A2239" s="150"/>
    </row>
    <row r="2240" spans="1:1">
      <c r="A2240" s="150"/>
    </row>
    <row r="2241" spans="1:1">
      <c r="A2241" s="150"/>
    </row>
    <row r="2242" spans="1:1">
      <c r="A2242" s="150"/>
    </row>
    <row r="2243" spans="1:1">
      <c r="A2243" s="150"/>
    </row>
    <row r="2244" spans="1:1">
      <c r="A2244" s="150"/>
    </row>
    <row r="2245" spans="1:1">
      <c r="A2245" s="150"/>
    </row>
    <row r="2246" spans="1:1">
      <c r="A2246" s="150"/>
    </row>
    <row r="2247" spans="1:1">
      <c r="A2247" s="150"/>
    </row>
    <row r="2248" spans="1:1">
      <c r="A2248" s="150"/>
    </row>
    <row r="2249" spans="1:1">
      <c r="A2249" s="150"/>
    </row>
    <row r="2250" spans="1:1">
      <c r="A2250" s="150"/>
    </row>
    <row r="2251" spans="1:1">
      <c r="A2251" s="150"/>
    </row>
    <row r="2252" spans="1:1">
      <c r="A2252" s="150"/>
    </row>
    <row r="2253" spans="1:1">
      <c r="A2253" s="150"/>
    </row>
    <row r="2254" spans="1:1">
      <c r="A2254" s="150"/>
    </row>
    <row r="2255" spans="1:1">
      <c r="A2255" s="150"/>
    </row>
    <row r="2256" spans="1:1">
      <c r="A2256" s="150"/>
    </row>
    <row r="2257" spans="1:1">
      <c r="A2257" s="150"/>
    </row>
    <row r="2258" spans="1:1">
      <c r="A2258" s="150"/>
    </row>
    <row r="2259" spans="1:1">
      <c r="A2259" s="150"/>
    </row>
    <row r="2260" spans="1:1">
      <c r="A2260" s="150"/>
    </row>
    <row r="2261" spans="1:1">
      <c r="A2261" s="150"/>
    </row>
    <row r="2262" spans="1:1">
      <c r="A2262" s="150"/>
    </row>
    <row r="2263" spans="1:1">
      <c r="A2263" s="150"/>
    </row>
    <row r="2264" spans="1:1">
      <c r="A2264" s="150"/>
    </row>
    <row r="2265" spans="1:1">
      <c r="A2265" s="150"/>
    </row>
    <row r="2266" spans="1:1">
      <c r="A2266" s="150"/>
    </row>
    <row r="2267" spans="1:1">
      <c r="A2267" s="150"/>
    </row>
    <row r="2268" spans="1:1">
      <c r="A2268" s="150"/>
    </row>
    <row r="2269" spans="1:1">
      <c r="A2269" s="150"/>
    </row>
    <row r="2270" spans="1:1">
      <c r="A2270" s="150"/>
    </row>
    <row r="2271" spans="1:1">
      <c r="A2271" s="150"/>
    </row>
    <row r="2272" spans="1:1">
      <c r="A2272" s="150"/>
    </row>
    <row r="2273" spans="1:1">
      <c r="A2273" s="150"/>
    </row>
    <row r="2274" spans="1:1">
      <c r="A2274" s="150"/>
    </row>
    <row r="2275" spans="1:1">
      <c r="A2275" s="150"/>
    </row>
    <row r="2276" spans="1:1">
      <c r="A2276" s="150"/>
    </row>
    <row r="2277" spans="1:1">
      <c r="A2277" s="150"/>
    </row>
    <row r="2278" spans="1:1">
      <c r="A2278" s="150"/>
    </row>
    <row r="2279" spans="1:1">
      <c r="A2279" s="150"/>
    </row>
    <row r="2280" spans="1:1">
      <c r="A2280" s="150"/>
    </row>
    <row r="2281" spans="1:1">
      <c r="A2281" s="150"/>
    </row>
    <row r="2282" spans="1:1">
      <c r="A2282" s="150"/>
    </row>
    <row r="2283" spans="1:1">
      <c r="A2283" s="150"/>
    </row>
    <row r="2284" spans="1:1">
      <c r="A2284" s="150"/>
    </row>
    <row r="2285" spans="1:1">
      <c r="A2285" s="150"/>
    </row>
    <row r="2286" spans="1:1">
      <c r="A2286" s="150"/>
    </row>
    <row r="2287" spans="1:1">
      <c r="A2287" s="150"/>
    </row>
    <row r="2288" spans="1:1">
      <c r="A2288" s="150"/>
    </row>
    <row r="2289" spans="1:1">
      <c r="A2289" s="150"/>
    </row>
    <row r="2290" spans="1:1">
      <c r="A2290" s="150"/>
    </row>
    <row r="2291" spans="1:1">
      <c r="A2291" s="150"/>
    </row>
    <row r="2292" spans="1:1">
      <c r="A2292" s="150"/>
    </row>
    <row r="2293" spans="1:1">
      <c r="A2293" s="150"/>
    </row>
    <row r="2294" spans="1:1">
      <c r="A2294" s="150"/>
    </row>
    <row r="2295" spans="1:1">
      <c r="A2295" s="150"/>
    </row>
    <row r="2296" spans="1:1">
      <c r="A2296" s="150"/>
    </row>
    <row r="2297" spans="1:1">
      <c r="A2297" s="150"/>
    </row>
    <row r="2298" spans="1:1">
      <c r="A2298" s="150"/>
    </row>
    <row r="2299" spans="1:1">
      <c r="A2299" s="150"/>
    </row>
    <row r="2300" spans="1:1">
      <c r="A2300" s="150"/>
    </row>
    <row r="2301" spans="1:1">
      <c r="A2301" s="150"/>
    </row>
    <row r="2302" spans="1:1">
      <c r="A2302" s="150"/>
    </row>
    <row r="2303" spans="1:1">
      <c r="A2303" s="150"/>
    </row>
    <row r="2304" spans="1:1">
      <c r="A2304" s="150"/>
    </row>
    <row r="2305" spans="1:1">
      <c r="A2305" s="150"/>
    </row>
    <row r="2306" spans="1:1">
      <c r="A2306" s="150"/>
    </row>
    <row r="2307" spans="1:1">
      <c r="A2307" s="150"/>
    </row>
    <row r="2308" spans="1:1">
      <c r="A2308" s="150"/>
    </row>
    <row r="2309" spans="1:1">
      <c r="A2309" s="150"/>
    </row>
    <row r="2310" spans="1:1">
      <c r="A2310" s="150"/>
    </row>
    <row r="2311" spans="1:1">
      <c r="A2311" s="150"/>
    </row>
    <row r="2312" spans="1:1">
      <c r="A2312" s="150"/>
    </row>
    <row r="2313" spans="1:1">
      <c r="A2313" s="150"/>
    </row>
    <row r="2314" spans="1:1">
      <c r="A2314" s="150"/>
    </row>
    <row r="2315" spans="1:1">
      <c r="A2315" s="150"/>
    </row>
    <row r="2316" spans="1:1">
      <c r="A2316" s="150"/>
    </row>
    <row r="2317" spans="1:1">
      <c r="A2317" s="150"/>
    </row>
    <row r="2318" spans="1:1">
      <c r="A2318" s="150"/>
    </row>
    <row r="2319" spans="1:1">
      <c r="A2319" s="150"/>
    </row>
    <row r="2320" spans="1:1">
      <c r="A2320" s="150"/>
    </row>
    <row r="2321" spans="1:1">
      <c r="A2321" s="150"/>
    </row>
    <row r="2322" spans="1:1">
      <c r="A2322" s="150"/>
    </row>
    <row r="2323" spans="1:1">
      <c r="A2323" s="150"/>
    </row>
    <row r="2324" spans="1:1">
      <c r="A2324" s="150"/>
    </row>
    <row r="2325" spans="1:1">
      <c r="A2325" s="150"/>
    </row>
    <row r="2326" spans="1:1">
      <c r="A2326" s="150"/>
    </row>
    <row r="2327" spans="1:1">
      <c r="A2327" s="150"/>
    </row>
    <row r="2328" spans="1:1">
      <c r="A2328" s="150"/>
    </row>
    <row r="2329" spans="1:1">
      <c r="A2329" s="150"/>
    </row>
    <row r="2330" spans="1:1">
      <c r="A2330" s="150"/>
    </row>
    <row r="2331" spans="1:1">
      <c r="A2331" s="150"/>
    </row>
    <row r="2332" spans="1:1">
      <c r="A2332" s="150"/>
    </row>
    <row r="2333" spans="1:1">
      <c r="A2333" s="150"/>
    </row>
    <row r="2334" spans="1:1">
      <c r="A2334" s="150"/>
    </row>
    <row r="2335" spans="1:1">
      <c r="A2335" s="150"/>
    </row>
    <row r="2336" spans="1:1">
      <c r="A2336" s="150"/>
    </row>
    <row r="2337" spans="1:1">
      <c r="A2337" s="150"/>
    </row>
    <row r="2338" spans="1:1">
      <c r="A2338" s="150"/>
    </row>
    <row r="2339" spans="1:1">
      <c r="A2339" s="150"/>
    </row>
    <row r="2340" spans="1:1">
      <c r="A2340" s="150"/>
    </row>
    <row r="2341" spans="1:1">
      <c r="A2341" s="150"/>
    </row>
    <row r="2342" spans="1:1">
      <c r="A2342" s="150"/>
    </row>
    <row r="2343" spans="1:1">
      <c r="A2343" s="150"/>
    </row>
    <row r="2344" spans="1:1">
      <c r="A2344" s="150"/>
    </row>
    <row r="2345" spans="1:1">
      <c r="A2345" s="150"/>
    </row>
    <row r="2346" spans="1:1">
      <c r="A2346" s="150"/>
    </row>
    <row r="2347" spans="1:1">
      <c r="A2347" s="150"/>
    </row>
    <row r="2348" spans="1:1">
      <c r="A2348" s="150"/>
    </row>
    <row r="2349" spans="1:1">
      <c r="A2349" s="150"/>
    </row>
    <row r="2350" spans="1:1">
      <c r="A2350" s="150"/>
    </row>
    <row r="2351" spans="1:1">
      <c r="A2351" s="150"/>
    </row>
    <row r="2352" spans="1:1">
      <c r="A2352" s="150"/>
    </row>
    <row r="2353" spans="1:1">
      <c r="A2353" s="150"/>
    </row>
    <row r="2354" spans="1:1">
      <c r="A2354" s="150"/>
    </row>
    <row r="2355" spans="1:1">
      <c r="A2355" s="150"/>
    </row>
    <row r="2356" spans="1:1">
      <c r="A2356" s="150"/>
    </row>
    <row r="2357" spans="1:1">
      <c r="A2357" s="150"/>
    </row>
    <row r="2358" spans="1:1">
      <c r="A2358" s="150"/>
    </row>
    <row r="2359" spans="1:1">
      <c r="A2359" s="150"/>
    </row>
    <row r="2360" spans="1:1">
      <c r="A2360" s="150"/>
    </row>
    <row r="2361" spans="1:1">
      <c r="A2361" s="150"/>
    </row>
    <row r="2362" spans="1:1">
      <c r="A2362" s="150"/>
    </row>
    <row r="2363" spans="1:1">
      <c r="A2363" s="150"/>
    </row>
    <row r="2364" spans="1:1">
      <c r="A2364" s="150"/>
    </row>
    <row r="2365" spans="1:1">
      <c r="A2365" s="150"/>
    </row>
    <row r="2366" spans="1:1">
      <c r="A2366" s="150"/>
    </row>
    <row r="2367" spans="1:1">
      <c r="A2367" s="150"/>
    </row>
    <row r="2368" spans="1:1">
      <c r="A2368" s="150"/>
    </row>
    <row r="2369" spans="1:1">
      <c r="A2369" s="150"/>
    </row>
    <row r="2370" spans="1:1">
      <c r="A2370" s="150"/>
    </row>
    <row r="2371" spans="1:1">
      <c r="A2371" s="150"/>
    </row>
    <row r="2372" spans="1:1">
      <c r="A2372" s="150"/>
    </row>
    <row r="2373" spans="1:1">
      <c r="A2373" s="150"/>
    </row>
    <row r="2374" spans="1:1">
      <c r="A2374" s="150"/>
    </row>
    <row r="2375" spans="1:1">
      <c r="A2375" s="150"/>
    </row>
    <row r="2376" spans="1:1">
      <c r="A2376" s="150"/>
    </row>
    <row r="2377" spans="1:1">
      <c r="A2377" s="150"/>
    </row>
    <row r="2378" spans="1:1">
      <c r="A2378" s="150"/>
    </row>
    <row r="2379" spans="1:1">
      <c r="A2379" s="150"/>
    </row>
    <row r="2380" spans="1:1">
      <c r="A2380" s="150"/>
    </row>
    <row r="2381" spans="1:1">
      <c r="A2381" s="150"/>
    </row>
    <row r="2382" spans="1:1">
      <c r="A2382" s="150"/>
    </row>
    <row r="2383" spans="1:1">
      <c r="A2383" s="150"/>
    </row>
    <row r="2384" spans="1:1">
      <c r="A2384" s="150"/>
    </row>
    <row r="2385" spans="1:1">
      <c r="A2385" s="150"/>
    </row>
    <row r="2386" spans="1:1">
      <c r="A2386" s="150"/>
    </row>
    <row r="2387" spans="1:1">
      <c r="A2387" s="150"/>
    </row>
    <row r="2388" spans="1:1">
      <c r="A2388" s="150"/>
    </row>
    <row r="2389" spans="1:1">
      <c r="A2389" s="150"/>
    </row>
    <row r="2390" spans="1:1">
      <c r="A2390" s="150"/>
    </row>
    <row r="2391" spans="1:1">
      <c r="A2391" s="150"/>
    </row>
    <row r="2392" spans="1:1">
      <c r="A2392" s="150"/>
    </row>
    <row r="2393" spans="1:1">
      <c r="A2393" s="150"/>
    </row>
    <row r="2394" spans="1:1">
      <c r="A2394" s="150"/>
    </row>
    <row r="2395" spans="1:1">
      <c r="A2395" s="150"/>
    </row>
    <row r="2396" spans="1:1">
      <c r="A2396" s="150"/>
    </row>
    <row r="2397" spans="1:1">
      <c r="A2397" s="150"/>
    </row>
    <row r="2398" spans="1:1">
      <c r="A2398" s="150"/>
    </row>
    <row r="2399" spans="1:1">
      <c r="A2399" s="150"/>
    </row>
    <row r="2400" spans="1:1">
      <c r="A2400" s="150"/>
    </row>
    <row r="2401" spans="1:1">
      <c r="A2401" s="150"/>
    </row>
    <row r="2402" spans="1:1">
      <c r="A2402" s="150"/>
    </row>
    <row r="2403" spans="1:1">
      <c r="A2403" s="150"/>
    </row>
    <row r="2404" spans="1:1">
      <c r="A2404" s="150"/>
    </row>
    <row r="2405" spans="1:1">
      <c r="A2405" s="150"/>
    </row>
    <row r="2406" spans="1:1">
      <c r="A2406" s="150"/>
    </row>
    <row r="2407" spans="1:1">
      <c r="A2407" s="150"/>
    </row>
    <row r="2408" spans="1:1">
      <c r="A2408" s="150"/>
    </row>
    <row r="2409" spans="1:1">
      <c r="A2409" s="150"/>
    </row>
    <row r="2410" spans="1:1">
      <c r="A2410" s="150"/>
    </row>
    <row r="2411" spans="1:1">
      <c r="A2411" s="150"/>
    </row>
    <row r="2412" spans="1:1">
      <c r="A2412" s="150"/>
    </row>
    <row r="2413" spans="1:1">
      <c r="A2413" s="150"/>
    </row>
    <row r="2414" spans="1:1">
      <c r="A2414" s="150"/>
    </row>
    <row r="2415" spans="1:1">
      <c r="A2415" s="150"/>
    </row>
    <row r="2416" spans="1:1">
      <c r="A2416" s="150"/>
    </row>
    <row r="2417" spans="1:1">
      <c r="A2417" s="150"/>
    </row>
    <row r="2418" spans="1:1">
      <c r="A2418" s="150"/>
    </row>
    <row r="2419" spans="1:1">
      <c r="A2419" s="150"/>
    </row>
    <row r="2420" spans="1:1">
      <c r="A2420" s="150"/>
    </row>
    <row r="2421" spans="1:1">
      <c r="A2421" s="150"/>
    </row>
    <row r="2422" spans="1:1">
      <c r="A2422" s="150"/>
    </row>
    <row r="2423" spans="1:1">
      <c r="A2423" s="150"/>
    </row>
    <row r="2424" spans="1:1">
      <c r="A2424" s="150"/>
    </row>
    <row r="2425" spans="1:1">
      <c r="A2425" s="150"/>
    </row>
    <row r="2426" spans="1:1">
      <c r="A2426" s="150"/>
    </row>
    <row r="2427" spans="1:1">
      <c r="A2427" s="150"/>
    </row>
    <row r="2428" spans="1:1">
      <c r="A2428" s="150"/>
    </row>
    <row r="2429" spans="1:1">
      <c r="A2429" s="150"/>
    </row>
    <row r="2430" spans="1:1">
      <c r="A2430" s="150"/>
    </row>
    <row r="2431" spans="1:1">
      <c r="A2431" s="150"/>
    </row>
    <row r="2432" spans="1:1">
      <c r="A2432" s="150"/>
    </row>
    <row r="2433" spans="1:1">
      <c r="A2433" s="150"/>
    </row>
    <row r="2434" spans="1:1">
      <c r="A2434" s="150"/>
    </row>
    <row r="2435" spans="1:1">
      <c r="A2435" s="150"/>
    </row>
    <row r="2436" spans="1:1">
      <c r="A2436" s="150"/>
    </row>
    <row r="2437" spans="1:1">
      <c r="A2437" s="150"/>
    </row>
    <row r="2438" spans="1:1">
      <c r="A2438" s="150"/>
    </row>
    <row r="2439" spans="1:1">
      <c r="A2439" s="150"/>
    </row>
    <row r="2440" spans="1:1">
      <c r="A2440" s="150"/>
    </row>
    <row r="2441" spans="1:1">
      <c r="A2441" s="150"/>
    </row>
    <row r="2442" spans="1:1">
      <c r="A2442" s="150"/>
    </row>
    <row r="2443" spans="1:1">
      <c r="A2443" s="150"/>
    </row>
    <row r="2444" spans="1:1">
      <c r="A2444" s="150"/>
    </row>
    <row r="2445" spans="1:1">
      <c r="A2445" s="150"/>
    </row>
    <row r="2446" spans="1:1">
      <c r="A2446" s="150"/>
    </row>
    <row r="2447" spans="1:1">
      <c r="A2447" s="150"/>
    </row>
    <row r="2448" spans="1:1">
      <c r="A2448" s="150"/>
    </row>
    <row r="2449" spans="1:1">
      <c r="A2449" s="150"/>
    </row>
    <row r="2450" spans="1:1">
      <c r="A2450" s="150"/>
    </row>
    <row r="2451" spans="1:1">
      <c r="A2451" s="150"/>
    </row>
    <row r="2452" spans="1:1">
      <c r="A2452" s="150"/>
    </row>
    <row r="2453" spans="1:1">
      <c r="A2453" s="150"/>
    </row>
    <row r="2454" spans="1:1">
      <c r="A2454" s="150"/>
    </row>
    <row r="2455" spans="1:1">
      <c r="A2455" s="150"/>
    </row>
    <row r="2456" spans="1:1">
      <c r="A2456" s="150"/>
    </row>
    <row r="2457" spans="1:1">
      <c r="A2457" s="150"/>
    </row>
    <row r="2458" spans="1:1">
      <c r="A2458" s="150"/>
    </row>
    <row r="2459" spans="1:1">
      <c r="A2459" s="150"/>
    </row>
    <row r="2460" spans="1:1">
      <c r="A2460" s="150"/>
    </row>
    <row r="2461" spans="1:1">
      <c r="A2461" s="150"/>
    </row>
    <row r="2462" spans="1:1">
      <c r="A2462" s="150"/>
    </row>
    <row r="2463" spans="1:1">
      <c r="A2463" s="150"/>
    </row>
    <row r="2464" spans="1:1">
      <c r="A2464" s="150"/>
    </row>
    <row r="2465" spans="1:1">
      <c r="A2465" s="150"/>
    </row>
    <row r="2466" spans="1:1">
      <c r="A2466" s="150"/>
    </row>
    <row r="2467" spans="1:1">
      <c r="A2467" s="150"/>
    </row>
    <row r="2468" spans="1:1">
      <c r="A2468" s="150"/>
    </row>
    <row r="2469" spans="1:1">
      <c r="A2469" s="150"/>
    </row>
    <row r="2470" spans="1:1">
      <c r="A2470" s="150"/>
    </row>
    <row r="2471" spans="1:1">
      <c r="A2471" s="150"/>
    </row>
    <row r="2472" spans="1:1">
      <c r="A2472" s="150"/>
    </row>
    <row r="2473" spans="1:1">
      <c r="A2473" s="150"/>
    </row>
    <row r="2474" spans="1:1">
      <c r="A2474" s="150"/>
    </row>
    <row r="2475" spans="1:1">
      <c r="A2475" s="150"/>
    </row>
    <row r="2476" spans="1:1">
      <c r="A2476" s="150"/>
    </row>
    <row r="2477" spans="1:1">
      <c r="A2477" s="150"/>
    </row>
    <row r="2478" spans="1:1">
      <c r="A2478" s="150"/>
    </row>
    <row r="2479" spans="1:1">
      <c r="A2479" s="150"/>
    </row>
    <row r="2480" spans="1:1">
      <c r="A2480" s="150"/>
    </row>
    <row r="2481" spans="1:1">
      <c r="A2481" s="150"/>
    </row>
    <row r="2482" spans="1:1">
      <c r="A2482" s="150"/>
    </row>
    <row r="2483" spans="1:1">
      <c r="A2483" s="150"/>
    </row>
    <row r="2484" spans="1:1">
      <c r="A2484" s="150"/>
    </row>
    <row r="2485" spans="1:1">
      <c r="A2485" s="150"/>
    </row>
    <row r="2486" spans="1:1">
      <c r="A2486" s="150"/>
    </row>
    <row r="2487" spans="1:1">
      <c r="A2487" s="150"/>
    </row>
    <row r="2488" spans="1:1">
      <c r="A2488" s="150"/>
    </row>
    <row r="2489" spans="1:1">
      <c r="A2489" s="150"/>
    </row>
    <row r="2490" spans="1:1">
      <c r="A2490" s="150"/>
    </row>
    <row r="2491" spans="1:1">
      <c r="A2491" s="150"/>
    </row>
    <row r="2492" spans="1:1">
      <c r="A2492" s="150"/>
    </row>
    <row r="2493" spans="1:1">
      <c r="A2493" s="150"/>
    </row>
    <row r="2494" spans="1:1">
      <c r="A2494" s="150"/>
    </row>
    <row r="2495" spans="1:1">
      <c r="A2495" s="150"/>
    </row>
    <row r="2496" spans="1:1">
      <c r="A2496" s="150"/>
    </row>
    <row r="2497" spans="1:1">
      <c r="A2497" s="150"/>
    </row>
    <row r="2498" spans="1:1">
      <c r="A2498" s="150"/>
    </row>
    <row r="2499" spans="1:1">
      <c r="A2499" s="150"/>
    </row>
    <row r="2500" spans="1:1">
      <c r="A2500" s="150"/>
    </row>
    <row r="2501" spans="1:1">
      <c r="A2501" s="150"/>
    </row>
    <row r="2502" spans="1:1">
      <c r="A2502" s="150"/>
    </row>
    <row r="2503" spans="1:1">
      <c r="A2503" s="150"/>
    </row>
    <row r="2504" spans="1:1">
      <c r="A2504" s="150"/>
    </row>
    <row r="2505" spans="1:1">
      <c r="A2505" s="150"/>
    </row>
    <row r="2506" spans="1:1">
      <c r="A2506" s="150"/>
    </row>
    <row r="2507" spans="1:1">
      <c r="A2507" s="150"/>
    </row>
    <row r="2508" spans="1:1">
      <c r="A2508" s="150"/>
    </row>
    <row r="2509" spans="1:1">
      <c r="A2509" s="150"/>
    </row>
    <row r="2510" spans="1:1">
      <c r="A2510" s="150"/>
    </row>
    <row r="2511" spans="1:1">
      <c r="A2511" s="150"/>
    </row>
    <row r="2512" spans="1:1">
      <c r="A2512" s="150"/>
    </row>
    <row r="2513" spans="1:1">
      <c r="A2513" s="150"/>
    </row>
    <row r="2514" spans="1:1">
      <c r="A2514" s="150"/>
    </row>
    <row r="2515" spans="1:1">
      <c r="A2515" s="150"/>
    </row>
    <row r="2516" spans="1:1">
      <c r="A2516" s="150"/>
    </row>
    <row r="2517" spans="1:1">
      <c r="A2517" s="150"/>
    </row>
    <row r="2518" spans="1:1">
      <c r="A2518" s="150"/>
    </row>
    <row r="2519" spans="1:1">
      <c r="A2519" s="150"/>
    </row>
    <row r="2520" spans="1:1">
      <c r="A2520" s="150"/>
    </row>
    <row r="2521" spans="1:1">
      <c r="A2521" s="150"/>
    </row>
    <row r="2522" spans="1:1">
      <c r="A2522" s="150"/>
    </row>
    <row r="2523" spans="1:1">
      <c r="A2523" s="150"/>
    </row>
    <row r="2524" spans="1:1">
      <c r="A2524" s="150"/>
    </row>
    <row r="2525" spans="1:1">
      <c r="A2525" s="150"/>
    </row>
    <row r="2526" spans="1:1">
      <c r="A2526" s="150"/>
    </row>
    <row r="2527" spans="1:1">
      <c r="A2527" s="150"/>
    </row>
    <row r="2528" spans="1:1">
      <c r="A2528" s="150"/>
    </row>
    <row r="2529" spans="1:1">
      <c r="A2529" s="150"/>
    </row>
    <row r="2530" spans="1:1">
      <c r="A2530" s="150"/>
    </row>
    <row r="2531" spans="1:1">
      <c r="A2531" s="150"/>
    </row>
    <row r="2532" spans="1:1">
      <c r="A2532" s="150"/>
    </row>
    <row r="2533" spans="1:1">
      <c r="A2533" s="150"/>
    </row>
    <row r="2534" spans="1:1">
      <c r="A2534" s="150"/>
    </row>
    <row r="2535" spans="1:1">
      <c r="A2535" s="150"/>
    </row>
    <row r="2536" spans="1:1">
      <c r="A2536" s="150"/>
    </row>
    <row r="2537" spans="1:1">
      <c r="A2537" s="150"/>
    </row>
    <row r="2538" spans="1:1">
      <c r="A2538" s="150"/>
    </row>
    <row r="2539" spans="1:1">
      <c r="A2539" s="150"/>
    </row>
    <row r="2540" spans="1:1">
      <c r="A2540" s="150"/>
    </row>
    <row r="2541" spans="1:1">
      <c r="A2541" s="150"/>
    </row>
    <row r="2542" spans="1:1">
      <c r="A2542" s="150"/>
    </row>
    <row r="2543" spans="1:1">
      <c r="A2543" s="150"/>
    </row>
    <row r="2544" spans="1:1">
      <c r="A2544" s="150"/>
    </row>
    <row r="2545" spans="1:1">
      <c r="A2545" s="150"/>
    </row>
    <row r="2546" spans="1:1">
      <c r="A2546" s="150"/>
    </row>
    <row r="2547" spans="1:1">
      <c r="A2547" s="150"/>
    </row>
    <row r="2548" spans="1:1">
      <c r="A2548" s="150"/>
    </row>
    <row r="2549" spans="1:1">
      <c r="A2549" s="150"/>
    </row>
    <row r="2550" spans="1:1">
      <c r="A2550" s="150"/>
    </row>
    <row r="2551" spans="1:1">
      <c r="A2551" s="150"/>
    </row>
    <row r="2552" spans="1:1">
      <c r="A2552" s="150"/>
    </row>
    <row r="2553" spans="1:1">
      <c r="A2553" s="150"/>
    </row>
    <row r="2554" spans="1:1">
      <c r="A2554" s="150"/>
    </row>
    <row r="2555" spans="1:1">
      <c r="A2555" s="150"/>
    </row>
    <row r="2556" spans="1:1">
      <c r="A2556" s="150"/>
    </row>
    <row r="2557" spans="1:1">
      <c r="A2557" s="150"/>
    </row>
    <row r="2558" spans="1:1">
      <c r="A2558" s="150"/>
    </row>
    <row r="2559" spans="1:1">
      <c r="A2559" s="150"/>
    </row>
    <row r="2560" spans="1:1">
      <c r="A2560" s="150"/>
    </row>
    <row r="2561" spans="1:1">
      <c r="A2561" s="150"/>
    </row>
    <row r="2562" spans="1:1">
      <c r="A2562" s="150"/>
    </row>
    <row r="2563" spans="1:1">
      <c r="A2563" s="150"/>
    </row>
    <row r="2564" spans="1:1">
      <c r="A2564" s="150"/>
    </row>
    <row r="2565" spans="1:1">
      <c r="A2565" s="150"/>
    </row>
    <row r="2566" spans="1:1">
      <c r="A2566" s="150"/>
    </row>
    <row r="2567" spans="1:1">
      <c r="A2567" s="150"/>
    </row>
    <row r="2568" spans="1:1">
      <c r="A2568" s="150"/>
    </row>
    <row r="2569" spans="1:1">
      <c r="A2569" s="150"/>
    </row>
    <row r="2570" spans="1:1">
      <c r="A2570" s="150"/>
    </row>
    <row r="2571" spans="1:1">
      <c r="A2571" s="150"/>
    </row>
    <row r="2572" spans="1:1">
      <c r="A2572" s="150"/>
    </row>
    <row r="2573" spans="1:1">
      <c r="A2573" s="150"/>
    </row>
    <row r="2574" spans="1:1">
      <c r="A2574" s="150"/>
    </row>
    <row r="2575" spans="1:1">
      <c r="A2575" s="150"/>
    </row>
    <row r="2576" spans="1:1">
      <c r="A2576" s="150"/>
    </row>
    <row r="2577" spans="1:1">
      <c r="A2577" s="150"/>
    </row>
    <row r="2578" spans="1:1">
      <c r="A2578" s="150"/>
    </row>
    <row r="2579" spans="1:1">
      <c r="A2579" s="150"/>
    </row>
    <row r="2580" spans="1:1">
      <c r="A2580" s="150"/>
    </row>
    <row r="2581" spans="1:1">
      <c r="A2581" s="150"/>
    </row>
    <row r="2582" spans="1:1">
      <c r="A2582" s="150"/>
    </row>
    <row r="2583" spans="1:1">
      <c r="A2583" s="150"/>
    </row>
    <row r="2584" spans="1:1">
      <c r="A2584" s="150"/>
    </row>
    <row r="2585" spans="1:1">
      <c r="A2585" s="150"/>
    </row>
    <row r="2586" spans="1:1">
      <c r="A2586" s="150"/>
    </row>
    <row r="2587" spans="1:1">
      <c r="A2587" s="150"/>
    </row>
    <row r="2588" spans="1:1">
      <c r="A2588" s="150"/>
    </row>
    <row r="2589" spans="1:1">
      <c r="A2589" s="150"/>
    </row>
    <row r="2590" spans="1:1">
      <c r="A2590" s="150"/>
    </row>
    <row r="2591" spans="1:1">
      <c r="A2591" s="150"/>
    </row>
    <row r="2592" spans="1:1">
      <c r="A2592" s="150"/>
    </row>
    <row r="2593" spans="1:1">
      <c r="A2593" s="150"/>
    </row>
    <row r="2594" spans="1:1">
      <c r="A2594" s="150"/>
    </row>
    <row r="2595" spans="1:1">
      <c r="A2595" s="150"/>
    </row>
    <row r="2596" spans="1:1">
      <c r="A2596" s="150"/>
    </row>
    <row r="2597" spans="1:1">
      <c r="A2597" s="150"/>
    </row>
    <row r="2598" spans="1:1">
      <c r="A2598" s="150"/>
    </row>
    <row r="2599" spans="1:1">
      <c r="A2599" s="150"/>
    </row>
    <row r="2600" spans="1:1">
      <c r="A2600" s="150"/>
    </row>
    <row r="2601" spans="1:1">
      <c r="A2601" s="150"/>
    </row>
    <row r="2602" spans="1:1">
      <c r="A2602" s="150"/>
    </row>
    <row r="2603" spans="1:1">
      <c r="A2603" s="150"/>
    </row>
    <row r="2604" spans="1:1">
      <c r="A2604" s="150"/>
    </row>
    <row r="2605" spans="1:1">
      <c r="A2605" s="150"/>
    </row>
    <row r="2606" spans="1:1">
      <c r="A2606" s="150"/>
    </row>
    <row r="2607" spans="1:1">
      <c r="A2607" s="150"/>
    </row>
    <row r="2608" spans="1:1">
      <c r="A2608" s="150"/>
    </row>
    <row r="2609" spans="1:1">
      <c r="A2609" s="150"/>
    </row>
    <row r="2610" spans="1:1">
      <c r="A2610" s="150"/>
    </row>
    <row r="2611" spans="1:1">
      <c r="A2611" s="150"/>
    </row>
    <row r="2612" spans="1:1">
      <c r="A2612" s="150"/>
    </row>
    <row r="2613" spans="1:1">
      <c r="A2613" s="150"/>
    </row>
    <row r="2614" spans="1:1">
      <c r="A2614" s="150"/>
    </row>
    <row r="2615" spans="1:1">
      <c r="A2615" s="150"/>
    </row>
    <row r="2616" spans="1:1">
      <c r="A2616" s="150"/>
    </row>
    <row r="2617" spans="1:1">
      <c r="A2617" s="150"/>
    </row>
    <row r="2618" spans="1:1">
      <c r="A2618" s="150"/>
    </row>
    <row r="2619" spans="1:1">
      <c r="A2619" s="150"/>
    </row>
    <row r="2620" spans="1:1">
      <c r="A2620" s="150"/>
    </row>
    <row r="2621" spans="1:1">
      <c r="A2621" s="150"/>
    </row>
    <row r="2622" spans="1:1">
      <c r="A2622" s="150"/>
    </row>
    <row r="2623" spans="1:1">
      <c r="A2623" s="150"/>
    </row>
    <row r="2624" spans="1:1">
      <c r="A2624" s="150"/>
    </row>
    <row r="2625" spans="1:1">
      <c r="A2625" s="150"/>
    </row>
    <row r="2626" spans="1:1">
      <c r="A2626" s="150"/>
    </row>
    <row r="2627" spans="1:1">
      <c r="A2627" s="150"/>
    </row>
    <row r="2628" spans="1:1">
      <c r="A2628" s="150"/>
    </row>
    <row r="2629" spans="1:1">
      <c r="A2629" s="150"/>
    </row>
    <row r="2630" spans="1:1">
      <c r="A2630" s="150"/>
    </row>
    <row r="2631" spans="1:1">
      <c r="A2631" s="150"/>
    </row>
    <row r="2632" spans="1:1">
      <c r="A2632" s="150"/>
    </row>
    <row r="2633" spans="1:1">
      <c r="A2633" s="150"/>
    </row>
    <row r="2634" spans="1:1">
      <c r="A2634" s="150"/>
    </row>
    <row r="2635" spans="1:1">
      <c r="A2635" s="150"/>
    </row>
    <row r="2636" spans="1:1">
      <c r="A2636" s="150"/>
    </row>
    <row r="2637" spans="1:1">
      <c r="A2637" s="150"/>
    </row>
    <row r="2638" spans="1:1">
      <c r="A2638" s="150"/>
    </row>
    <row r="2639" spans="1:1">
      <c r="A2639" s="150"/>
    </row>
    <row r="2640" spans="1:1">
      <c r="A2640" s="150"/>
    </row>
    <row r="2641" spans="1:1">
      <c r="A2641" s="150"/>
    </row>
    <row r="2642" spans="1:1">
      <c r="A2642" s="150"/>
    </row>
    <row r="2643" spans="1:1">
      <c r="A2643" s="150"/>
    </row>
    <row r="2644" spans="1:1">
      <c r="A2644" s="150"/>
    </row>
    <row r="2645" spans="1:1">
      <c r="A2645" s="150"/>
    </row>
    <row r="2646" spans="1:1">
      <c r="A2646" s="150"/>
    </row>
    <row r="2647" spans="1:1">
      <c r="A2647" s="150"/>
    </row>
    <row r="2648" spans="1:1">
      <c r="A2648" s="150"/>
    </row>
    <row r="2649" spans="1:1">
      <c r="A2649" s="150"/>
    </row>
    <row r="2650" spans="1:1">
      <c r="A2650" s="150"/>
    </row>
    <row r="2651" spans="1:1">
      <c r="A2651" s="150"/>
    </row>
    <row r="2652" spans="1:1">
      <c r="A2652" s="150"/>
    </row>
    <row r="2653" spans="1:1">
      <c r="A2653" s="150"/>
    </row>
    <row r="2654" spans="1:1">
      <c r="A2654" s="150"/>
    </row>
    <row r="2655" spans="1:1">
      <c r="A2655" s="150"/>
    </row>
    <row r="2656" spans="1:1">
      <c r="A2656" s="150"/>
    </row>
    <row r="2657" spans="1:1">
      <c r="A2657" s="150"/>
    </row>
    <row r="2658" spans="1:1">
      <c r="A2658" s="150"/>
    </row>
    <row r="2659" spans="1:1">
      <c r="A2659" s="150"/>
    </row>
    <row r="2660" spans="1:1">
      <c r="A2660" s="150"/>
    </row>
    <row r="2661" spans="1:1">
      <c r="A2661" s="150"/>
    </row>
    <row r="2662" spans="1:1">
      <c r="A2662" s="150"/>
    </row>
    <row r="2663" spans="1:1">
      <c r="A2663" s="150"/>
    </row>
    <row r="2664" spans="1:1">
      <c r="A2664" s="150"/>
    </row>
    <row r="2665" spans="1:1">
      <c r="A2665" s="150"/>
    </row>
    <row r="2666" spans="1:1">
      <c r="A2666" s="150"/>
    </row>
    <row r="2667" spans="1:1">
      <c r="A2667" s="150"/>
    </row>
    <row r="2668" spans="1:1">
      <c r="A2668" s="150"/>
    </row>
    <row r="2669" spans="1:1">
      <c r="A2669" s="150"/>
    </row>
    <row r="2670" spans="1:1">
      <c r="A2670" s="150"/>
    </row>
    <row r="2671" spans="1:1">
      <c r="A2671" s="150"/>
    </row>
    <row r="2672" spans="1:1">
      <c r="A2672" s="150"/>
    </row>
    <row r="2673" spans="1:1">
      <c r="A2673" s="150"/>
    </row>
    <row r="2674" spans="1:1">
      <c r="A2674" s="150"/>
    </row>
    <row r="2675" spans="1:1">
      <c r="A2675" s="150"/>
    </row>
    <row r="2676" spans="1:1">
      <c r="A2676" s="150"/>
    </row>
    <row r="2677" spans="1:1">
      <c r="A2677" s="150"/>
    </row>
    <row r="2678" spans="1:1">
      <c r="A2678" s="150"/>
    </row>
    <row r="2679" spans="1:1">
      <c r="A2679" s="150"/>
    </row>
    <row r="2680" spans="1:1">
      <c r="A2680" s="150"/>
    </row>
    <row r="2681" spans="1:1">
      <c r="A2681" s="150"/>
    </row>
    <row r="2682" spans="1:1">
      <c r="A2682" s="150"/>
    </row>
    <row r="2683" spans="1:1">
      <c r="A2683" s="150"/>
    </row>
    <row r="2684" spans="1:1">
      <c r="A2684" s="150"/>
    </row>
    <row r="2685" spans="1:1">
      <c r="A2685" s="150"/>
    </row>
    <row r="2686" spans="1:1">
      <c r="A2686" s="150"/>
    </row>
    <row r="2687" spans="1:1">
      <c r="A2687" s="150"/>
    </row>
    <row r="2688" spans="1:1">
      <c r="A2688" s="150"/>
    </row>
    <row r="2689" spans="1:1">
      <c r="A2689" s="150"/>
    </row>
    <row r="2690" spans="1:1">
      <c r="A2690" s="150"/>
    </row>
    <row r="2691" spans="1:1">
      <c r="A2691" s="150"/>
    </row>
    <row r="2692" spans="1:1">
      <c r="A2692" s="150"/>
    </row>
    <row r="2693" spans="1:1">
      <c r="A2693" s="150"/>
    </row>
    <row r="2694" spans="1:1">
      <c r="A2694" s="150"/>
    </row>
    <row r="2695" spans="1:1">
      <c r="A2695" s="150"/>
    </row>
    <row r="2696" spans="1:1">
      <c r="A2696" s="150"/>
    </row>
    <row r="2697" spans="1:1">
      <c r="A2697" s="150"/>
    </row>
    <row r="2698" spans="1:1">
      <c r="A2698" s="150"/>
    </row>
    <row r="2699" spans="1:1">
      <c r="A2699" s="150"/>
    </row>
    <row r="2700" spans="1:1">
      <c r="A2700" s="150"/>
    </row>
    <row r="2701" spans="1:1">
      <c r="A2701" s="150"/>
    </row>
    <row r="2702" spans="1:1">
      <c r="A2702" s="150"/>
    </row>
    <row r="2703" spans="1:1">
      <c r="A2703" s="150"/>
    </row>
    <row r="2704" spans="1:1">
      <c r="A2704" s="150"/>
    </row>
    <row r="2705" spans="1:1">
      <c r="A2705" s="150"/>
    </row>
    <row r="2706" spans="1:1">
      <c r="A2706" s="150"/>
    </row>
    <row r="2707" spans="1:1">
      <c r="A2707" s="150"/>
    </row>
    <row r="2708" spans="1:1">
      <c r="A2708" s="150"/>
    </row>
    <row r="2709" spans="1:1">
      <c r="A2709" s="150"/>
    </row>
    <row r="2710" spans="1:1">
      <c r="A2710" s="150"/>
    </row>
    <row r="2711" spans="1:1">
      <c r="A2711" s="150"/>
    </row>
    <row r="2712" spans="1:1">
      <c r="A2712" s="150"/>
    </row>
    <row r="2713" spans="1:1">
      <c r="A2713" s="150"/>
    </row>
    <row r="2714" spans="1:1">
      <c r="A2714" s="150"/>
    </row>
    <row r="2715" spans="1:1">
      <c r="A2715" s="150"/>
    </row>
    <row r="2716" spans="1:1">
      <c r="A2716" s="150"/>
    </row>
    <row r="2717" spans="1:1">
      <c r="A2717" s="150"/>
    </row>
    <row r="2718" spans="1:1">
      <c r="A2718" s="150"/>
    </row>
    <row r="2719" spans="1:1">
      <c r="A2719" s="150"/>
    </row>
    <row r="2720" spans="1:1">
      <c r="A2720" s="150"/>
    </row>
    <row r="2721" spans="1:1">
      <c r="A2721" s="150"/>
    </row>
    <row r="2722" spans="1:1">
      <c r="A2722" s="150"/>
    </row>
    <row r="2723" spans="1:1">
      <c r="A2723" s="150"/>
    </row>
    <row r="2724" spans="1:1">
      <c r="A2724" s="150"/>
    </row>
    <row r="2725" spans="1:1">
      <c r="A2725" s="150"/>
    </row>
    <row r="2726" spans="1:1">
      <c r="A2726" s="150"/>
    </row>
    <row r="2727" spans="1:1">
      <c r="A2727" s="150"/>
    </row>
    <row r="2728" spans="1:1">
      <c r="A2728" s="150"/>
    </row>
    <row r="2729" spans="1:1">
      <c r="A2729" s="150"/>
    </row>
    <row r="2730" spans="1:1">
      <c r="A2730" s="150"/>
    </row>
    <row r="2731" spans="1:1">
      <c r="A2731" s="150"/>
    </row>
    <row r="2732" spans="1:1">
      <c r="A2732" s="150"/>
    </row>
    <row r="2733" spans="1:1">
      <c r="A2733" s="150"/>
    </row>
    <row r="2734" spans="1:1">
      <c r="A2734" s="150"/>
    </row>
    <row r="2735" spans="1:1">
      <c r="A2735" s="150"/>
    </row>
    <row r="2736" spans="1:1">
      <c r="A2736" s="150"/>
    </row>
    <row r="2737" spans="1:1">
      <c r="A2737" s="150"/>
    </row>
    <row r="2738" spans="1:1">
      <c r="A2738" s="150"/>
    </row>
    <row r="2739" spans="1:1">
      <c r="A2739" s="150"/>
    </row>
    <row r="2740" spans="1:1">
      <c r="A2740" s="150"/>
    </row>
    <row r="2741" spans="1:1">
      <c r="A2741" s="150"/>
    </row>
    <row r="2742" spans="1:1">
      <c r="A2742" s="150"/>
    </row>
    <row r="2743" spans="1:1">
      <c r="A2743" s="150"/>
    </row>
    <row r="2744" spans="1:1">
      <c r="A2744" s="150"/>
    </row>
    <row r="2745" spans="1:1">
      <c r="A2745" s="150"/>
    </row>
    <row r="2746" spans="1:1">
      <c r="A2746" s="150"/>
    </row>
    <row r="2747" spans="1:1">
      <c r="A2747" s="150"/>
    </row>
    <row r="2748" spans="1:1">
      <c r="A2748" s="150"/>
    </row>
    <row r="2749" spans="1:1">
      <c r="A2749" s="150"/>
    </row>
    <row r="2750" spans="1:1">
      <c r="A2750" s="150"/>
    </row>
    <row r="2751" spans="1:1">
      <c r="A2751" s="150"/>
    </row>
    <row r="2752" spans="1:1">
      <c r="A2752" s="150"/>
    </row>
    <row r="2753" spans="1:1">
      <c r="A2753" s="150"/>
    </row>
    <row r="2754" spans="1:1">
      <c r="A2754" s="150"/>
    </row>
    <row r="2755" spans="1:1">
      <c r="A2755" s="150"/>
    </row>
    <row r="2756" spans="1:1">
      <c r="A2756" s="150"/>
    </row>
    <row r="2757" spans="1:1">
      <c r="A2757" s="150"/>
    </row>
    <row r="2758" spans="1:1">
      <c r="A2758" s="150"/>
    </row>
    <row r="2759" spans="1:1">
      <c r="A2759" s="150"/>
    </row>
    <row r="2760" spans="1:1">
      <c r="A2760" s="150"/>
    </row>
    <row r="2761" spans="1:1">
      <c r="A2761" s="150"/>
    </row>
    <row r="2762" spans="1:1">
      <c r="A2762" s="150"/>
    </row>
    <row r="2763" spans="1:1">
      <c r="A2763" s="150"/>
    </row>
    <row r="2764" spans="1:1">
      <c r="A2764" s="150"/>
    </row>
    <row r="2765" spans="1:1">
      <c r="A2765" s="150"/>
    </row>
    <row r="2766" spans="1:1">
      <c r="A2766" s="150"/>
    </row>
    <row r="2767" spans="1:1">
      <c r="A2767" s="150"/>
    </row>
    <row r="2768" spans="1:1">
      <c r="A2768" s="150"/>
    </row>
    <row r="2769" spans="1:1">
      <c r="A2769" s="150"/>
    </row>
    <row r="2770" spans="1:1">
      <c r="A2770" s="150"/>
    </row>
    <row r="2771" spans="1:1">
      <c r="A2771" s="150"/>
    </row>
    <row r="2772" spans="1:1">
      <c r="A2772" s="150"/>
    </row>
    <row r="2773" spans="1:1">
      <c r="A2773" s="150"/>
    </row>
    <row r="2774" spans="1:1">
      <c r="A2774" s="150"/>
    </row>
    <row r="2775" spans="1:1">
      <c r="A2775" s="150"/>
    </row>
    <row r="2776" spans="1:1">
      <c r="A2776" s="150"/>
    </row>
    <row r="2777" spans="1:1">
      <c r="A2777" s="150"/>
    </row>
    <row r="2778" spans="1:1">
      <c r="A2778" s="150"/>
    </row>
    <row r="2779" spans="1:1">
      <c r="A2779" s="150"/>
    </row>
    <row r="2780" spans="1:1">
      <c r="A2780" s="150"/>
    </row>
    <row r="2781" spans="1:1">
      <c r="A2781" s="150"/>
    </row>
    <row r="2782" spans="1:1">
      <c r="A2782" s="150"/>
    </row>
    <row r="2783" spans="1:1">
      <c r="A2783" s="150"/>
    </row>
    <row r="2784" spans="1:1">
      <c r="A2784" s="150"/>
    </row>
    <row r="2785" spans="1:1">
      <c r="A2785" s="150"/>
    </row>
    <row r="2786" spans="1:1">
      <c r="A2786" s="150"/>
    </row>
    <row r="2787" spans="1:1">
      <c r="A2787" s="150"/>
    </row>
    <row r="2788" spans="1:1">
      <c r="A2788" s="150"/>
    </row>
    <row r="2789" spans="1:1">
      <c r="A2789" s="150"/>
    </row>
    <row r="2790" spans="1:1">
      <c r="A2790" s="150"/>
    </row>
    <row r="2791" spans="1:1">
      <c r="A2791" s="150"/>
    </row>
    <row r="2792" spans="1:1">
      <c r="A2792" s="150"/>
    </row>
    <row r="2793" spans="1:1">
      <c r="A2793" s="150"/>
    </row>
    <row r="2794" spans="1:1">
      <c r="A2794" s="150"/>
    </row>
    <row r="2795" spans="1:1">
      <c r="A2795" s="150"/>
    </row>
    <row r="2796" spans="1:1">
      <c r="A2796" s="150"/>
    </row>
    <row r="2797" spans="1:1">
      <c r="A2797" s="150"/>
    </row>
    <row r="2798" spans="1:1">
      <c r="A2798" s="150"/>
    </row>
    <row r="2799" spans="1:1">
      <c r="A2799" s="150"/>
    </row>
    <row r="2800" spans="1:1">
      <c r="A2800" s="150"/>
    </row>
    <row r="2801" spans="1:1">
      <c r="A2801" s="150"/>
    </row>
    <row r="2802" spans="1:1">
      <c r="A2802" s="150"/>
    </row>
    <row r="2803" spans="1:1">
      <c r="A2803" s="150"/>
    </row>
    <row r="2804" spans="1:1">
      <c r="A2804" s="150"/>
    </row>
    <row r="2805" spans="1:1">
      <c r="A2805" s="150"/>
    </row>
    <row r="2806" spans="1:1">
      <c r="A2806" s="150"/>
    </row>
    <row r="2807" spans="1:1">
      <c r="A2807" s="150"/>
    </row>
    <row r="2808" spans="1:1">
      <c r="A2808" s="150"/>
    </row>
    <row r="2809" spans="1:1">
      <c r="A2809" s="150"/>
    </row>
    <row r="2810" spans="1:1">
      <c r="A2810" s="150"/>
    </row>
    <row r="2811" spans="1:1">
      <c r="A2811" s="150"/>
    </row>
    <row r="2812" spans="1:1">
      <c r="A2812" s="150"/>
    </row>
    <row r="2813" spans="1:1">
      <c r="A2813" s="150"/>
    </row>
    <row r="2814" spans="1:1">
      <c r="A2814" s="150"/>
    </row>
    <row r="2815" spans="1:1">
      <c r="A2815" s="150"/>
    </row>
    <row r="2816" spans="1:1">
      <c r="A2816" s="150"/>
    </row>
    <row r="2817" spans="1:1">
      <c r="A2817" s="150"/>
    </row>
    <row r="2818" spans="1:1">
      <c r="A2818" s="150"/>
    </row>
    <row r="2819" spans="1:1">
      <c r="A2819" s="150"/>
    </row>
    <row r="2820" spans="1:1">
      <c r="A2820" s="150"/>
    </row>
    <row r="2821" spans="1:1">
      <c r="A2821" s="150"/>
    </row>
    <row r="2822" spans="1:1">
      <c r="A2822" s="150"/>
    </row>
    <row r="2823" spans="1:1">
      <c r="A2823" s="150"/>
    </row>
    <row r="2824" spans="1:1">
      <c r="A2824" s="150"/>
    </row>
    <row r="2825" spans="1:1">
      <c r="A2825" s="150"/>
    </row>
    <row r="2826" spans="1:1">
      <c r="A2826" s="150"/>
    </row>
    <row r="2827" spans="1:1">
      <c r="A2827" s="150"/>
    </row>
    <row r="2828" spans="1:1">
      <c r="A2828" s="150"/>
    </row>
    <row r="2829" spans="1:1">
      <c r="A2829" s="150"/>
    </row>
    <row r="2830" spans="1:1">
      <c r="A2830" s="150"/>
    </row>
    <row r="2831" spans="1:1">
      <c r="A2831" s="150"/>
    </row>
    <row r="2832" spans="1:1">
      <c r="A2832" s="150"/>
    </row>
    <row r="2833" spans="1:1">
      <c r="A2833" s="150"/>
    </row>
    <row r="2834" spans="1:1">
      <c r="A2834" s="150"/>
    </row>
    <row r="2835" spans="1:1">
      <c r="A2835" s="150"/>
    </row>
    <row r="2836" spans="1:1">
      <c r="A2836" s="150"/>
    </row>
    <row r="2837" spans="1:1">
      <c r="A2837" s="150"/>
    </row>
    <row r="2838" spans="1:1">
      <c r="A2838" s="150"/>
    </row>
    <row r="2839" spans="1:1">
      <c r="A2839" s="150"/>
    </row>
    <row r="2840" spans="1:1">
      <c r="A2840" s="150"/>
    </row>
    <row r="2841" spans="1:1">
      <c r="A2841" s="150"/>
    </row>
    <row r="2842" spans="1:1">
      <c r="A2842" s="150"/>
    </row>
    <row r="2843" spans="1:1">
      <c r="A2843" s="150"/>
    </row>
    <row r="2844" spans="1:1">
      <c r="A2844" s="150"/>
    </row>
    <row r="2845" spans="1:1">
      <c r="A2845" s="150"/>
    </row>
    <row r="2846" spans="1:1">
      <c r="A2846" s="150"/>
    </row>
    <row r="2847" spans="1:1">
      <c r="A2847" s="150"/>
    </row>
    <row r="2848" spans="1:1">
      <c r="A2848" s="150"/>
    </row>
    <row r="2849" spans="1:1">
      <c r="A2849" s="150"/>
    </row>
    <row r="2850" spans="1:1">
      <c r="A2850" s="150"/>
    </row>
    <row r="2851" spans="1:1">
      <c r="A2851" s="150"/>
    </row>
    <row r="2852" spans="1:1">
      <c r="A2852" s="150"/>
    </row>
    <row r="2853" spans="1:1">
      <c r="A2853" s="150"/>
    </row>
    <row r="2854" spans="1:1">
      <c r="A2854" s="150"/>
    </row>
    <row r="2855" spans="1:1">
      <c r="A2855" s="150"/>
    </row>
    <row r="2856" spans="1:1">
      <c r="A2856" s="150"/>
    </row>
    <row r="2857" spans="1:1">
      <c r="A2857" s="150"/>
    </row>
    <row r="2858" spans="1:1">
      <c r="A2858" s="150"/>
    </row>
    <row r="2859" spans="1:1">
      <c r="A2859" s="150"/>
    </row>
    <row r="2860" spans="1:1">
      <c r="A2860" s="150"/>
    </row>
    <row r="2861" spans="1:1">
      <c r="A2861" s="150"/>
    </row>
    <row r="2862" spans="1:1">
      <c r="A2862" s="150"/>
    </row>
    <row r="2863" spans="1:1">
      <c r="A2863" s="150"/>
    </row>
    <row r="2864" spans="1:1">
      <c r="A2864" s="150"/>
    </row>
    <row r="2865" spans="1:1">
      <c r="A2865" s="150"/>
    </row>
    <row r="2866" spans="1:1">
      <c r="A2866" s="150"/>
    </row>
    <row r="2867" spans="1:1">
      <c r="A2867" s="150"/>
    </row>
    <row r="2868" spans="1:1">
      <c r="A2868" s="150"/>
    </row>
    <row r="2869" spans="1:1">
      <c r="A2869" s="150"/>
    </row>
    <row r="2870" spans="1:1">
      <c r="A2870" s="150"/>
    </row>
    <row r="2871" spans="1:1">
      <c r="A2871" s="150"/>
    </row>
    <row r="2872" spans="1:1">
      <c r="A2872" s="150"/>
    </row>
    <row r="2873" spans="1:1">
      <c r="A2873" s="150"/>
    </row>
    <row r="2874" spans="1:1">
      <c r="A2874" s="150"/>
    </row>
    <row r="2875" spans="1:1">
      <c r="A2875" s="150"/>
    </row>
    <row r="2876" spans="1:1">
      <c r="A2876" s="150"/>
    </row>
    <row r="2877" spans="1:1">
      <c r="A2877" s="150"/>
    </row>
    <row r="2878" spans="1:1">
      <c r="A2878" s="150"/>
    </row>
    <row r="2879" spans="1:1">
      <c r="A2879" s="150"/>
    </row>
    <row r="2880" spans="1:1">
      <c r="A2880" s="150"/>
    </row>
    <row r="2881" spans="1:1">
      <c r="A2881" s="150"/>
    </row>
    <row r="2882" spans="1:1">
      <c r="A2882" s="150"/>
    </row>
    <row r="2883" spans="1:1">
      <c r="A2883" s="150"/>
    </row>
    <row r="2884" spans="1:1">
      <c r="A2884" s="150"/>
    </row>
    <row r="2885" spans="1:1">
      <c r="A2885" s="150"/>
    </row>
    <row r="2886" spans="1:1">
      <c r="A2886" s="150"/>
    </row>
    <row r="2887" spans="1:1">
      <c r="A2887" s="150"/>
    </row>
    <row r="2888" spans="1:1">
      <c r="A2888" s="150"/>
    </row>
    <row r="2889" spans="1:1">
      <c r="A2889" s="150"/>
    </row>
    <row r="2890" spans="1:1">
      <c r="A2890" s="150"/>
    </row>
    <row r="2891" spans="1:1">
      <c r="A2891" s="150"/>
    </row>
    <row r="2892" spans="1:1">
      <c r="A2892" s="150"/>
    </row>
    <row r="2893" spans="1:1">
      <c r="A2893" s="150"/>
    </row>
    <row r="2894" spans="1:1">
      <c r="A2894" s="150"/>
    </row>
    <row r="2895" spans="1:1">
      <c r="A2895" s="150"/>
    </row>
    <row r="2896" spans="1:1">
      <c r="A2896" s="150"/>
    </row>
    <row r="2897" spans="1:1">
      <c r="A2897" s="150"/>
    </row>
    <row r="2898" spans="1:1">
      <c r="A2898" s="150"/>
    </row>
    <row r="2899" spans="1:1">
      <c r="A2899" s="150"/>
    </row>
    <row r="2900" spans="1:1">
      <c r="A2900" s="150"/>
    </row>
    <row r="2901" spans="1:1">
      <c r="A2901" s="150"/>
    </row>
    <row r="2902" spans="1:1">
      <c r="A2902" s="150"/>
    </row>
    <row r="2903" spans="1:1">
      <c r="A2903" s="150"/>
    </row>
    <row r="2904" spans="1:1">
      <c r="A2904" s="150"/>
    </row>
    <row r="2905" spans="1:1">
      <c r="A2905" s="150"/>
    </row>
    <row r="2906" spans="1:1">
      <c r="A2906" s="150"/>
    </row>
    <row r="2907" spans="1:1">
      <c r="A2907" s="150"/>
    </row>
    <row r="2908" spans="1:1">
      <c r="A2908" s="150"/>
    </row>
    <row r="2909" spans="1:1">
      <c r="A2909" s="150"/>
    </row>
    <row r="2910" spans="1:1">
      <c r="A2910" s="150"/>
    </row>
    <row r="2911" spans="1:1">
      <c r="A2911" s="150"/>
    </row>
    <row r="2912" spans="1:1">
      <c r="A2912" s="150"/>
    </row>
    <row r="2913" spans="1:1">
      <c r="A2913" s="150"/>
    </row>
    <row r="2914" spans="1:1">
      <c r="A2914" s="150"/>
    </row>
    <row r="2915" spans="1:1">
      <c r="A2915" s="150"/>
    </row>
    <row r="2916" spans="1:1">
      <c r="A2916" s="150"/>
    </row>
    <row r="2917" spans="1:1">
      <c r="A2917" s="150"/>
    </row>
    <row r="2918" spans="1:1">
      <c r="A2918" s="150"/>
    </row>
    <row r="2919" spans="1:1">
      <c r="A2919" s="150"/>
    </row>
    <row r="2920" spans="1:1">
      <c r="A2920" s="150"/>
    </row>
    <row r="2921" spans="1:1">
      <c r="A2921" s="150"/>
    </row>
    <row r="2922" spans="1:1">
      <c r="A2922" s="150"/>
    </row>
    <row r="2923" spans="1:1">
      <c r="A2923" s="150"/>
    </row>
    <row r="2924" spans="1:1">
      <c r="A2924" s="150"/>
    </row>
    <row r="2925" spans="1:1">
      <c r="A2925" s="150"/>
    </row>
    <row r="2926" spans="1:1">
      <c r="A2926" s="150"/>
    </row>
    <row r="2927" spans="1:1">
      <c r="A2927" s="150"/>
    </row>
    <row r="2928" spans="1:1">
      <c r="A2928" s="150"/>
    </row>
    <row r="2929" spans="1:1">
      <c r="A2929" s="150"/>
    </row>
    <row r="2930" spans="1:1">
      <c r="A2930" s="150"/>
    </row>
    <row r="2931" spans="1:1">
      <c r="A2931" s="150"/>
    </row>
    <row r="2932" spans="1:1">
      <c r="A2932" s="150"/>
    </row>
    <row r="2933" spans="1:1">
      <c r="A2933" s="150"/>
    </row>
    <row r="2934" spans="1:1">
      <c r="A2934" s="150"/>
    </row>
    <row r="2935" spans="1:1">
      <c r="A2935" s="150"/>
    </row>
    <row r="2936" spans="1:1">
      <c r="A2936" s="150"/>
    </row>
    <row r="2937" spans="1:1">
      <c r="A2937" s="150"/>
    </row>
    <row r="2938" spans="1:1">
      <c r="A2938" s="150"/>
    </row>
    <row r="2939" spans="1:1">
      <c r="A2939" s="150"/>
    </row>
    <row r="2940" spans="1:1">
      <c r="A2940" s="150"/>
    </row>
    <row r="2941" spans="1:1">
      <c r="A2941" s="150"/>
    </row>
    <row r="2942" spans="1:1">
      <c r="A2942" s="150"/>
    </row>
    <row r="2943" spans="1:1">
      <c r="A2943" s="150"/>
    </row>
    <row r="2944" spans="1:1">
      <c r="A2944" s="150"/>
    </row>
    <row r="2945" spans="1:1">
      <c r="A2945" s="150"/>
    </row>
    <row r="2946" spans="1:1">
      <c r="A2946" s="150"/>
    </row>
    <row r="2947" spans="1:1">
      <c r="A2947" s="150"/>
    </row>
    <row r="2948" spans="1:1">
      <c r="A2948" s="150"/>
    </row>
    <row r="2949" spans="1:1">
      <c r="A2949" s="150"/>
    </row>
    <row r="2950" spans="1:1">
      <c r="A2950" s="150"/>
    </row>
    <row r="2951" spans="1:1">
      <c r="A2951" s="150"/>
    </row>
    <row r="2952" spans="1:1">
      <c r="A2952" s="150"/>
    </row>
    <row r="2953" spans="1:1">
      <c r="A2953" s="150"/>
    </row>
    <row r="2954" spans="1:1">
      <c r="A2954" s="150"/>
    </row>
    <row r="2955" spans="1:1">
      <c r="A2955" s="150"/>
    </row>
    <row r="2956" spans="1:1">
      <c r="A2956" s="150"/>
    </row>
    <row r="2957" spans="1:1">
      <c r="A2957" s="150"/>
    </row>
    <row r="2958" spans="1:1">
      <c r="A2958" s="150"/>
    </row>
    <row r="2959" spans="1:1">
      <c r="A2959" s="150"/>
    </row>
    <row r="2960" spans="1:1">
      <c r="A2960" s="150"/>
    </row>
    <row r="2961" spans="1:1">
      <c r="A2961" s="150"/>
    </row>
    <row r="2962" spans="1:1">
      <c r="A2962" s="150"/>
    </row>
    <row r="2963" spans="1:1">
      <c r="A2963" s="150"/>
    </row>
    <row r="2964" spans="1:1">
      <c r="A2964" s="150"/>
    </row>
    <row r="2965" spans="1:1">
      <c r="A2965" s="150"/>
    </row>
    <row r="2966" spans="1:1">
      <c r="A2966" s="150"/>
    </row>
    <row r="2967" spans="1:1">
      <c r="A2967" s="150"/>
    </row>
    <row r="2968" spans="1:1">
      <c r="A2968" s="150"/>
    </row>
    <row r="2969" spans="1:1">
      <c r="A2969" s="150"/>
    </row>
    <row r="2970" spans="1:1">
      <c r="A2970" s="150"/>
    </row>
    <row r="2971" spans="1:1">
      <c r="A2971" s="150"/>
    </row>
    <row r="2972" spans="1:1">
      <c r="A2972" s="150"/>
    </row>
    <row r="2973" spans="1:1">
      <c r="A2973" s="150"/>
    </row>
    <row r="2974" spans="1:1">
      <c r="A2974" s="150"/>
    </row>
    <row r="2975" spans="1:1">
      <c r="A2975" s="150"/>
    </row>
    <row r="2976" spans="1:1">
      <c r="A2976" s="150"/>
    </row>
    <row r="2977" spans="1:1">
      <c r="A2977" s="150"/>
    </row>
    <row r="2978" spans="1:1">
      <c r="A2978" s="150"/>
    </row>
    <row r="2979" spans="1:1">
      <c r="A2979" s="150"/>
    </row>
    <row r="2980" spans="1:1">
      <c r="A2980" s="150"/>
    </row>
    <row r="2981" spans="1:1">
      <c r="A2981" s="150"/>
    </row>
    <row r="2982" spans="1:1">
      <c r="A2982" s="150"/>
    </row>
    <row r="2983" spans="1:1">
      <c r="A2983" s="150"/>
    </row>
    <row r="2984" spans="1:1">
      <c r="A2984" s="150"/>
    </row>
    <row r="2985" spans="1:1">
      <c r="A2985" s="150"/>
    </row>
    <row r="2986" spans="1:1">
      <c r="A2986" s="150"/>
    </row>
    <row r="2987" spans="1:1">
      <c r="A2987" s="150"/>
    </row>
    <row r="2988" spans="1:1">
      <c r="A2988" s="150"/>
    </row>
    <row r="2989" spans="1:1">
      <c r="A2989" s="150"/>
    </row>
    <row r="2990" spans="1:1">
      <c r="A2990" s="150"/>
    </row>
    <row r="2991" spans="1:1">
      <c r="A2991" s="150"/>
    </row>
    <row r="2992" spans="1:1">
      <c r="A2992" s="150"/>
    </row>
    <row r="2993" spans="1:1">
      <c r="A2993" s="150"/>
    </row>
    <row r="2994" spans="1:1">
      <c r="A2994" s="150"/>
    </row>
    <row r="2995" spans="1:1">
      <c r="A2995" s="150"/>
    </row>
    <row r="2996" spans="1:1">
      <c r="A2996" s="150"/>
    </row>
    <row r="2997" spans="1:1">
      <c r="A2997" s="150"/>
    </row>
    <row r="2998" spans="1:1">
      <c r="A2998" s="150"/>
    </row>
    <row r="2999" spans="1:1">
      <c r="A2999" s="150"/>
    </row>
    <row r="3000" spans="1:1">
      <c r="A3000" s="150"/>
    </row>
    <row r="3001" spans="1:1">
      <c r="A3001" s="150"/>
    </row>
    <row r="3002" spans="1:1">
      <c r="A3002" s="150"/>
    </row>
    <row r="3003" spans="1:1">
      <c r="A3003" s="150"/>
    </row>
    <row r="3004" spans="1:1">
      <c r="A3004" s="150"/>
    </row>
    <row r="3005" spans="1:1">
      <c r="A3005" s="150"/>
    </row>
    <row r="3006" spans="1:1">
      <c r="A3006" s="150"/>
    </row>
    <row r="3007" spans="1:1">
      <c r="A3007" s="150"/>
    </row>
    <row r="3008" spans="1:1">
      <c r="A3008" s="150"/>
    </row>
    <row r="3009" spans="1:1">
      <c r="A3009" s="150"/>
    </row>
    <row r="3010" spans="1:1">
      <c r="A3010" s="150"/>
    </row>
    <row r="3011" spans="1:1">
      <c r="A3011" s="150"/>
    </row>
    <row r="3012" spans="1:1">
      <c r="A3012" s="150"/>
    </row>
    <row r="3013" spans="1:1">
      <c r="A3013" s="150"/>
    </row>
    <row r="3014" spans="1:1">
      <c r="A3014" s="150"/>
    </row>
    <row r="3015" spans="1:1">
      <c r="A3015" s="150"/>
    </row>
    <row r="3016" spans="1:1">
      <c r="A3016" s="150"/>
    </row>
    <row r="3017" spans="1:1">
      <c r="A3017" s="150"/>
    </row>
    <row r="3018" spans="1:1">
      <c r="A3018" s="150"/>
    </row>
    <row r="3019" spans="1:1">
      <c r="A3019" s="150"/>
    </row>
    <row r="3020" spans="1:1">
      <c r="A3020" s="150"/>
    </row>
    <row r="3021" spans="1:1">
      <c r="A3021" s="150"/>
    </row>
    <row r="3022" spans="1:1">
      <c r="A3022" s="150"/>
    </row>
    <row r="3023" spans="1:1">
      <c r="A3023" s="150"/>
    </row>
    <row r="3024" spans="1:1">
      <c r="A3024" s="150"/>
    </row>
    <row r="3025" spans="1:1">
      <c r="A3025" s="150"/>
    </row>
    <row r="3026" spans="1:1">
      <c r="A3026" s="150"/>
    </row>
    <row r="3027" spans="1:1">
      <c r="A3027" s="150"/>
    </row>
    <row r="3028" spans="1:1">
      <c r="A3028" s="150"/>
    </row>
    <row r="3029" spans="1:1">
      <c r="A3029" s="150"/>
    </row>
    <row r="3030" spans="1:1">
      <c r="A3030" s="150"/>
    </row>
    <row r="3031" spans="1:1">
      <c r="A3031" s="150"/>
    </row>
    <row r="3032" spans="1:1">
      <c r="A3032" s="150"/>
    </row>
    <row r="3033" spans="1:1">
      <c r="A3033" s="150"/>
    </row>
    <row r="3034" spans="1:1">
      <c r="A3034" s="150"/>
    </row>
    <row r="3035" spans="1:1">
      <c r="A3035" s="150"/>
    </row>
    <row r="3036" spans="1:1">
      <c r="A3036" s="150"/>
    </row>
    <row r="3037" spans="1:1">
      <c r="A3037" s="150"/>
    </row>
    <row r="3038" spans="1:1">
      <c r="A3038" s="150"/>
    </row>
    <row r="3039" spans="1:1">
      <c r="A3039" s="150"/>
    </row>
    <row r="3040" spans="1:1">
      <c r="A3040" s="150"/>
    </row>
    <row r="3041" spans="1:1">
      <c r="A3041" s="150"/>
    </row>
    <row r="3042" spans="1:1">
      <c r="A3042" s="150"/>
    </row>
    <row r="3043" spans="1:1">
      <c r="A3043" s="150"/>
    </row>
    <row r="3044" spans="1:1">
      <c r="A3044" s="150"/>
    </row>
    <row r="3045" spans="1:1">
      <c r="A3045" s="150"/>
    </row>
    <row r="3046" spans="1:1">
      <c r="A3046" s="150"/>
    </row>
    <row r="3047" spans="1:1">
      <c r="A3047" s="150"/>
    </row>
    <row r="3048" spans="1:1">
      <c r="A3048" s="150"/>
    </row>
    <row r="3049" spans="1:1">
      <c r="A3049" s="150"/>
    </row>
    <row r="3050" spans="1:1">
      <c r="A3050" s="150"/>
    </row>
    <row r="3051" spans="1:1">
      <c r="A3051" s="150"/>
    </row>
    <row r="3052" spans="1:1">
      <c r="A3052" s="150"/>
    </row>
    <row r="3053" spans="1:1">
      <c r="A3053" s="150"/>
    </row>
    <row r="3054" spans="1:1">
      <c r="A3054" s="150"/>
    </row>
    <row r="3055" spans="1:1">
      <c r="A3055" s="150"/>
    </row>
    <row r="3056" spans="1:1">
      <c r="A3056" s="150"/>
    </row>
    <row r="3057" spans="1:1">
      <c r="A3057" s="150"/>
    </row>
    <row r="3058" spans="1:1">
      <c r="A3058" s="150"/>
    </row>
    <row r="3059" spans="1:1">
      <c r="A3059" s="150"/>
    </row>
    <row r="3060" spans="1:1">
      <c r="A3060" s="150"/>
    </row>
    <row r="3061" spans="1:1">
      <c r="A3061" s="150"/>
    </row>
    <row r="3062" spans="1:1">
      <c r="A3062" s="150"/>
    </row>
    <row r="3063" spans="1:1">
      <c r="A3063" s="150"/>
    </row>
    <row r="3064" spans="1:1">
      <c r="A3064" s="150"/>
    </row>
    <row r="3065" spans="1:1">
      <c r="A3065" s="150"/>
    </row>
    <row r="3066" spans="1:1">
      <c r="A3066" s="150"/>
    </row>
    <row r="3067" spans="1:1">
      <c r="A3067" s="150"/>
    </row>
    <row r="3068" spans="1:1">
      <c r="A3068" s="150"/>
    </row>
    <row r="3069" spans="1:1">
      <c r="A3069" s="150"/>
    </row>
    <row r="3070" spans="1:1">
      <c r="A3070" s="150"/>
    </row>
    <row r="3071" spans="1:1">
      <c r="A3071" s="150"/>
    </row>
    <row r="3072" spans="1:1">
      <c r="A3072" s="150"/>
    </row>
    <row r="3073" spans="1:1">
      <c r="A3073" s="150"/>
    </row>
    <row r="3074" spans="1:1">
      <c r="A3074" s="150"/>
    </row>
    <row r="3075" spans="1:1">
      <c r="A3075" s="150"/>
    </row>
    <row r="3076" spans="1:1">
      <c r="A3076" s="150"/>
    </row>
    <row r="3077" spans="1:1">
      <c r="A3077" s="150"/>
    </row>
    <row r="3078" spans="1:1">
      <c r="A3078" s="150"/>
    </row>
    <row r="3079" spans="1:1">
      <c r="A3079" s="150"/>
    </row>
    <row r="3080" spans="1:1">
      <c r="A3080" s="150"/>
    </row>
    <row r="3081" spans="1:1">
      <c r="A3081" s="150"/>
    </row>
    <row r="3082" spans="1:1">
      <c r="A3082" s="150"/>
    </row>
    <row r="3083" spans="1:1">
      <c r="A3083" s="150"/>
    </row>
    <row r="3084" spans="1:1">
      <c r="A3084" s="150"/>
    </row>
    <row r="3085" spans="1:1">
      <c r="A3085" s="150"/>
    </row>
    <row r="3086" spans="1:1">
      <c r="A3086" s="150"/>
    </row>
    <row r="3087" spans="1:1">
      <c r="A3087" s="150"/>
    </row>
    <row r="3088" spans="1:1">
      <c r="A3088" s="150"/>
    </row>
    <row r="3089" spans="1:1">
      <c r="A3089" s="150"/>
    </row>
    <row r="3090" spans="1:1">
      <c r="A3090" s="150"/>
    </row>
    <row r="3091" spans="1:1">
      <c r="A3091" s="150"/>
    </row>
    <row r="3092" spans="1:1">
      <c r="A3092" s="150"/>
    </row>
    <row r="3093" spans="1:1">
      <c r="A3093" s="150"/>
    </row>
    <row r="3094" spans="1:1">
      <c r="A3094" s="150"/>
    </row>
    <row r="3095" spans="1:1">
      <c r="A3095" s="150"/>
    </row>
    <row r="3096" spans="1:1">
      <c r="A3096" s="150"/>
    </row>
    <row r="3097" spans="1:1">
      <c r="A3097" s="150"/>
    </row>
    <row r="3098" spans="1:1">
      <c r="A3098" s="150"/>
    </row>
    <row r="3099" spans="1:1">
      <c r="A3099" s="150"/>
    </row>
    <row r="3100" spans="1:1">
      <c r="A3100" s="150"/>
    </row>
    <row r="3101" spans="1:1">
      <c r="A3101" s="150"/>
    </row>
    <row r="3102" spans="1:1">
      <c r="A3102" s="150"/>
    </row>
    <row r="3103" spans="1:1">
      <c r="A3103" s="150"/>
    </row>
    <row r="3104" spans="1:1">
      <c r="A3104" s="150"/>
    </row>
    <row r="3105" spans="1:1">
      <c r="A3105" s="150"/>
    </row>
    <row r="3106" spans="1:1">
      <c r="A3106" s="150"/>
    </row>
    <row r="3107" spans="1:1">
      <c r="A3107" s="150"/>
    </row>
    <row r="3108" spans="1:1">
      <c r="A3108" s="150"/>
    </row>
    <row r="3109" spans="1:1">
      <c r="A3109" s="150"/>
    </row>
    <row r="3110" spans="1:1">
      <c r="A3110" s="150"/>
    </row>
    <row r="3111" spans="1:1">
      <c r="A3111" s="150"/>
    </row>
    <row r="3112" spans="1:1">
      <c r="A3112" s="150"/>
    </row>
    <row r="3113" spans="1:1">
      <c r="A3113" s="150"/>
    </row>
    <row r="3114" spans="1:1">
      <c r="A3114" s="150"/>
    </row>
    <row r="3115" spans="1:1">
      <c r="A3115" s="150"/>
    </row>
    <row r="3116" spans="1:1">
      <c r="A3116" s="150"/>
    </row>
    <row r="3117" spans="1:1">
      <c r="A3117" s="150"/>
    </row>
    <row r="3118" spans="1:1">
      <c r="A3118" s="150"/>
    </row>
    <row r="3119" spans="1:1">
      <c r="A3119" s="150"/>
    </row>
    <row r="3120" spans="1:1">
      <c r="A3120" s="150"/>
    </row>
    <row r="3121" spans="1:1">
      <c r="A3121" s="150"/>
    </row>
    <row r="3122" spans="1:1">
      <c r="A3122" s="150"/>
    </row>
    <row r="3123" spans="1:1">
      <c r="A3123" s="150"/>
    </row>
    <row r="3124" spans="1:1">
      <c r="A3124" s="150"/>
    </row>
    <row r="3125" spans="1:1">
      <c r="A3125" s="150"/>
    </row>
    <row r="3126" spans="1:1">
      <c r="A3126" s="150"/>
    </row>
    <row r="3127" spans="1:1">
      <c r="A3127" s="150"/>
    </row>
    <row r="3128" spans="1:1">
      <c r="A3128" s="150"/>
    </row>
    <row r="3129" spans="1:1">
      <c r="A3129" s="150"/>
    </row>
    <row r="3130" spans="1:1">
      <c r="A3130" s="150"/>
    </row>
    <row r="3131" spans="1:1">
      <c r="A3131" s="150"/>
    </row>
    <row r="3132" spans="1:1">
      <c r="A3132" s="150"/>
    </row>
    <row r="3133" spans="1:1">
      <c r="A3133" s="150"/>
    </row>
    <row r="3134" spans="1:1">
      <c r="A3134" s="150"/>
    </row>
    <row r="3135" spans="1:1">
      <c r="A3135" s="150"/>
    </row>
    <row r="3136" spans="1:1">
      <c r="A3136" s="150"/>
    </row>
    <row r="3137" spans="1:1">
      <c r="A3137" s="150"/>
    </row>
    <row r="3138" spans="1:1">
      <c r="A3138" s="150"/>
    </row>
    <row r="3139" spans="1:1">
      <c r="A3139" s="150"/>
    </row>
    <row r="3140" spans="1:1">
      <c r="A3140" s="150"/>
    </row>
    <row r="3141" spans="1:1">
      <c r="A3141" s="150"/>
    </row>
    <row r="3142" spans="1:1">
      <c r="A3142" s="150"/>
    </row>
    <row r="3143" spans="1:1">
      <c r="A3143" s="150"/>
    </row>
    <row r="3144" spans="1:1">
      <c r="A3144" s="150"/>
    </row>
    <row r="3145" spans="1:1">
      <c r="A3145" s="150"/>
    </row>
    <row r="3146" spans="1:1">
      <c r="A3146" s="150"/>
    </row>
    <row r="3147" spans="1:1">
      <c r="A3147" s="150"/>
    </row>
    <row r="3148" spans="1:1">
      <c r="A3148" s="150"/>
    </row>
    <row r="3149" spans="1:1">
      <c r="A3149" s="150"/>
    </row>
    <row r="3150" spans="1:1">
      <c r="A3150" s="150"/>
    </row>
    <row r="3151" spans="1:1">
      <c r="A3151" s="150"/>
    </row>
    <row r="3152" spans="1:1">
      <c r="A3152" s="150"/>
    </row>
    <row r="3153" spans="1:1">
      <c r="A3153" s="150"/>
    </row>
    <row r="3154" spans="1:1">
      <c r="A3154" s="150"/>
    </row>
    <row r="3155" spans="1:1">
      <c r="A3155" s="150"/>
    </row>
    <row r="3156" spans="1:1">
      <c r="A3156" s="150"/>
    </row>
    <row r="3157" spans="1:1">
      <c r="A3157" s="150"/>
    </row>
    <row r="3158" spans="1:1">
      <c r="A3158" s="150"/>
    </row>
    <row r="3159" spans="1:1">
      <c r="A3159" s="150"/>
    </row>
    <row r="3160" spans="1:1">
      <c r="A3160" s="150"/>
    </row>
    <row r="3161" spans="1:1">
      <c r="A3161" s="150"/>
    </row>
    <row r="3162" spans="1:1">
      <c r="A3162" s="150"/>
    </row>
    <row r="3163" spans="1:1">
      <c r="A3163" s="150"/>
    </row>
    <row r="3164" spans="1:1">
      <c r="A3164" s="150"/>
    </row>
    <row r="3165" spans="1:1">
      <c r="A3165" s="150"/>
    </row>
    <row r="3166" spans="1:1">
      <c r="A3166" s="150"/>
    </row>
    <row r="3167" spans="1:1">
      <c r="A3167" s="150"/>
    </row>
    <row r="3168" spans="1:1">
      <c r="A3168" s="150"/>
    </row>
    <row r="3169" spans="1:1">
      <c r="A3169" s="150"/>
    </row>
    <row r="3170" spans="1:1">
      <c r="A3170" s="150"/>
    </row>
    <row r="3171" spans="1:1">
      <c r="A3171" s="150"/>
    </row>
    <row r="3172" spans="1:1">
      <c r="A3172" s="150"/>
    </row>
    <row r="3173" spans="1:1">
      <c r="A3173" s="150"/>
    </row>
    <row r="3174" spans="1:1">
      <c r="A3174" s="150"/>
    </row>
    <row r="3175" spans="1:1">
      <c r="A3175" s="150"/>
    </row>
    <row r="3176" spans="1:1">
      <c r="A3176" s="150"/>
    </row>
    <row r="3177" spans="1:1">
      <c r="A3177" s="150"/>
    </row>
    <row r="3178" spans="1:1">
      <c r="A3178" s="150"/>
    </row>
    <row r="3179" spans="1:1">
      <c r="A3179" s="150"/>
    </row>
    <row r="3180" spans="1:1">
      <c r="A3180" s="150"/>
    </row>
    <row r="3181" spans="1:1">
      <c r="A3181" s="150"/>
    </row>
    <row r="3182" spans="1:1">
      <c r="A3182" s="150"/>
    </row>
    <row r="3183" spans="1:1">
      <c r="A3183" s="150"/>
    </row>
    <row r="3184" spans="1:1">
      <c r="A3184" s="150"/>
    </row>
    <row r="3185" spans="1:1">
      <c r="A3185" s="150"/>
    </row>
    <row r="3186" spans="1:1">
      <c r="A3186" s="150"/>
    </row>
    <row r="3187" spans="1:1">
      <c r="A3187" s="150"/>
    </row>
    <row r="3188" spans="1:1">
      <c r="A3188" s="150"/>
    </row>
    <row r="3189" spans="1:1">
      <c r="A3189" s="150"/>
    </row>
    <row r="3190" spans="1:1">
      <c r="A3190" s="150"/>
    </row>
    <row r="3191" spans="1:1">
      <c r="A3191" s="150"/>
    </row>
    <row r="3192" spans="1:1">
      <c r="A3192" s="150"/>
    </row>
    <row r="3193" spans="1:1">
      <c r="A3193" s="150"/>
    </row>
    <row r="3194" spans="1:1">
      <c r="A3194" s="150"/>
    </row>
    <row r="3195" spans="1:1">
      <c r="A3195" s="150"/>
    </row>
    <row r="3196" spans="1:1">
      <c r="A3196" s="150"/>
    </row>
    <row r="3197" spans="1:1">
      <c r="A3197" s="150"/>
    </row>
    <row r="3198" spans="1:1">
      <c r="A3198" s="150"/>
    </row>
    <row r="3199" spans="1:1">
      <c r="A3199" s="150"/>
    </row>
    <row r="3200" spans="1:1">
      <c r="A3200" s="150"/>
    </row>
    <row r="3201" spans="1:1">
      <c r="A3201" s="150"/>
    </row>
    <row r="3202" spans="1:1">
      <c r="A3202" s="150"/>
    </row>
    <row r="3203" spans="1:1">
      <c r="A3203" s="150"/>
    </row>
    <row r="3204" spans="1:1">
      <c r="A3204" s="150"/>
    </row>
    <row r="3205" spans="1:1">
      <c r="A3205" s="150"/>
    </row>
    <row r="3206" spans="1:1">
      <c r="A3206" s="150"/>
    </row>
    <row r="3207" spans="1:1">
      <c r="A3207" s="150"/>
    </row>
    <row r="3208" spans="1:1">
      <c r="A3208" s="150"/>
    </row>
    <row r="3209" spans="1:1">
      <c r="A3209" s="150"/>
    </row>
    <row r="3210" spans="1:1">
      <c r="A3210" s="150"/>
    </row>
    <row r="3211" spans="1:1">
      <c r="A3211" s="150"/>
    </row>
    <row r="3212" spans="1:1">
      <c r="A3212" s="150"/>
    </row>
    <row r="3213" spans="1:1">
      <c r="A3213" s="150"/>
    </row>
    <row r="3214" spans="1:1">
      <c r="A3214" s="150"/>
    </row>
    <row r="3215" spans="1:1">
      <c r="A3215" s="150"/>
    </row>
    <row r="3216" spans="1:1">
      <c r="A3216" s="150"/>
    </row>
    <row r="3217" spans="1:1">
      <c r="A3217" s="150"/>
    </row>
    <row r="3218" spans="1:1">
      <c r="A3218" s="150"/>
    </row>
    <row r="3219" spans="1:1">
      <c r="A3219" s="150"/>
    </row>
    <row r="3220" spans="1:1">
      <c r="A3220" s="150"/>
    </row>
    <row r="3221" spans="1:1">
      <c r="A3221" s="150"/>
    </row>
    <row r="3222" spans="1:1">
      <c r="A3222" s="150"/>
    </row>
    <row r="3223" spans="1:1">
      <c r="A3223" s="150"/>
    </row>
    <row r="3224" spans="1:1">
      <c r="A3224" s="150"/>
    </row>
    <row r="3225" spans="1:1">
      <c r="A3225" s="150"/>
    </row>
    <row r="3226" spans="1:1">
      <c r="A3226" s="150"/>
    </row>
    <row r="3227" spans="1:1">
      <c r="A3227" s="150"/>
    </row>
    <row r="3228" spans="1:1">
      <c r="A3228" s="150"/>
    </row>
    <row r="3229" spans="1:1">
      <c r="A3229" s="150"/>
    </row>
    <row r="3230" spans="1:1">
      <c r="A3230" s="150"/>
    </row>
    <row r="3231" spans="1:1">
      <c r="A3231" s="150"/>
    </row>
    <row r="3232" spans="1:1">
      <c r="A3232" s="150"/>
    </row>
    <row r="3233" spans="1:1">
      <c r="A3233" s="150"/>
    </row>
    <row r="3234" spans="1:1">
      <c r="A3234" s="150"/>
    </row>
    <row r="3235" spans="1:1">
      <c r="A3235" s="150"/>
    </row>
    <row r="3236" spans="1:1">
      <c r="A3236" s="150"/>
    </row>
    <row r="3237" spans="1:1">
      <c r="A3237" s="150"/>
    </row>
    <row r="3238" spans="1:1">
      <c r="A3238" s="150"/>
    </row>
    <row r="3239" spans="1:1">
      <c r="A3239" s="150"/>
    </row>
    <row r="3240" spans="1:1">
      <c r="A3240" s="150"/>
    </row>
    <row r="3241" spans="1:1">
      <c r="A3241" s="150"/>
    </row>
    <row r="3242" spans="1:1">
      <c r="A3242" s="150"/>
    </row>
    <row r="3243" spans="1:1">
      <c r="A3243" s="150"/>
    </row>
    <row r="3244" spans="1:1">
      <c r="A3244" s="150"/>
    </row>
    <row r="3245" spans="1:1">
      <c r="A3245" s="150"/>
    </row>
    <row r="3246" spans="1:1">
      <c r="A3246" s="150"/>
    </row>
    <row r="3247" spans="1:1">
      <c r="A3247" s="150"/>
    </row>
    <row r="3248" spans="1:1">
      <c r="A3248" s="150"/>
    </row>
    <row r="3249" spans="1:1">
      <c r="A3249" s="150"/>
    </row>
    <row r="3250" spans="1:1">
      <c r="A3250" s="150"/>
    </row>
    <row r="3251" spans="1:1">
      <c r="A3251" s="150"/>
    </row>
    <row r="3252" spans="1:1">
      <c r="A3252" s="150"/>
    </row>
    <row r="3253" spans="1:1">
      <c r="A3253" s="150"/>
    </row>
    <row r="3254" spans="1:1">
      <c r="A3254" s="150"/>
    </row>
    <row r="3255" spans="1:1">
      <c r="A3255" s="150"/>
    </row>
    <row r="3256" spans="1:1">
      <c r="A3256" s="150"/>
    </row>
    <row r="3257" spans="1:1">
      <c r="A3257" s="150"/>
    </row>
    <row r="3258" spans="1:1">
      <c r="A3258" s="150"/>
    </row>
    <row r="3259" spans="1:1">
      <c r="A3259" s="150"/>
    </row>
    <row r="3260" spans="1:1">
      <c r="A3260" s="150"/>
    </row>
    <row r="3261" spans="1:1">
      <c r="A3261" s="150"/>
    </row>
    <row r="3262" spans="1:1">
      <c r="A3262" s="150"/>
    </row>
    <row r="3263" spans="1:1">
      <c r="A3263" s="150"/>
    </row>
    <row r="3264" spans="1:1">
      <c r="A3264" s="150"/>
    </row>
    <row r="3265" spans="1:1">
      <c r="A3265" s="150"/>
    </row>
    <row r="3266" spans="1:1">
      <c r="A3266" s="150"/>
    </row>
    <row r="3267" spans="1:1">
      <c r="A3267" s="150"/>
    </row>
    <row r="3268" spans="1:1">
      <c r="A3268" s="150"/>
    </row>
    <row r="3269" spans="1:1">
      <c r="A3269" s="150"/>
    </row>
    <row r="3270" spans="1:1">
      <c r="A3270" s="150"/>
    </row>
    <row r="3271" spans="1:1">
      <c r="A3271" s="150"/>
    </row>
    <row r="3272" spans="1:1">
      <c r="A3272" s="150"/>
    </row>
    <row r="3273" spans="1:1">
      <c r="A3273" s="150"/>
    </row>
    <row r="3274" spans="1:1">
      <c r="A3274" s="150"/>
    </row>
    <row r="3275" spans="1:1">
      <c r="A3275" s="150"/>
    </row>
    <row r="3276" spans="1:1">
      <c r="A3276" s="150"/>
    </row>
    <row r="3277" spans="1:1">
      <c r="A3277" s="150"/>
    </row>
    <row r="3278" spans="1:1">
      <c r="A3278" s="150"/>
    </row>
    <row r="3279" spans="1:1">
      <c r="A3279" s="150"/>
    </row>
    <row r="3280" spans="1:1">
      <c r="A3280" s="150"/>
    </row>
    <row r="3281" spans="1:1">
      <c r="A3281" s="150"/>
    </row>
    <row r="3282" spans="1:1">
      <c r="A3282" s="150"/>
    </row>
    <row r="3283" spans="1:1">
      <c r="A3283" s="150"/>
    </row>
    <row r="3284" spans="1:1">
      <c r="A3284" s="150"/>
    </row>
    <row r="3285" spans="1:1">
      <c r="A3285" s="150"/>
    </row>
    <row r="3286" spans="1:1">
      <c r="A3286" s="150"/>
    </row>
    <row r="3287" spans="1:1">
      <c r="A3287" s="150"/>
    </row>
    <row r="3288" spans="1:1">
      <c r="A3288" s="150"/>
    </row>
    <row r="3289" spans="1:1">
      <c r="A3289" s="150"/>
    </row>
    <row r="3290" spans="1:1">
      <c r="A3290" s="150"/>
    </row>
    <row r="3291" spans="1:1">
      <c r="A3291" s="150"/>
    </row>
    <row r="3292" spans="1:1">
      <c r="A3292" s="150"/>
    </row>
    <row r="3293" spans="1:1">
      <c r="A3293" s="150"/>
    </row>
    <row r="3294" spans="1:1">
      <c r="A3294" s="150"/>
    </row>
    <row r="3295" spans="1:1">
      <c r="A3295" s="150"/>
    </row>
    <row r="3296" spans="1:1">
      <c r="A3296" s="150"/>
    </row>
    <row r="3297" spans="1:1">
      <c r="A3297" s="150"/>
    </row>
    <row r="3298" spans="1:1">
      <c r="A3298" s="150"/>
    </row>
    <row r="3299" spans="1:1">
      <c r="A3299" s="150"/>
    </row>
    <row r="3300" spans="1:1">
      <c r="A3300" s="150"/>
    </row>
    <row r="3301" spans="1:1">
      <c r="A3301" s="150"/>
    </row>
    <row r="3302" spans="1:1">
      <c r="A3302" s="150"/>
    </row>
    <row r="3303" spans="1:1">
      <c r="A3303" s="150"/>
    </row>
    <row r="3304" spans="1:1">
      <c r="A3304" s="150"/>
    </row>
    <row r="3305" spans="1:1">
      <c r="A3305" s="150"/>
    </row>
    <row r="3306" spans="1:1">
      <c r="A3306" s="150"/>
    </row>
    <row r="3307" spans="1:1">
      <c r="A3307" s="150"/>
    </row>
    <row r="3308" spans="1:1">
      <c r="A3308" s="150"/>
    </row>
    <row r="3309" spans="1:1">
      <c r="A3309" s="150"/>
    </row>
    <row r="3310" spans="1:1">
      <c r="A3310" s="150"/>
    </row>
    <row r="3311" spans="1:1">
      <c r="A3311" s="150"/>
    </row>
    <row r="3312" spans="1:1">
      <c r="A3312" s="150"/>
    </row>
    <row r="3313" spans="1:1">
      <c r="A3313" s="150"/>
    </row>
    <row r="3314" spans="1:1">
      <c r="A3314" s="150"/>
    </row>
    <row r="3315" spans="1:1">
      <c r="A3315" s="150"/>
    </row>
    <row r="3316" spans="1:1">
      <c r="A3316" s="150"/>
    </row>
    <row r="3317" spans="1:1">
      <c r="A3317" s="150"/>
    </row>
    <row r="3318" spans="1:1">
      <c r="A3318" s="150"/>
    </row>
    <row r="3319" spans="1:1">
      <c r="A3319" s="150"/>
    </row>
    <row r="3320" spans="1:1">
      <c r="A3320" s="150"/>
    </row>
    <row r="3321" spans="1:1">
      <c r="A3321" s="150"/>
    </row>
    <row r="3322" spans="1:1">
      <c r="A3322" s="150"/>
    </row>
    <row r="3323" spans="1:1">
      <c r="A3323" s="150"/>
    </row>
    <row r="3324" spans="1:1">
      <c r="A3324" s="150"/>
    </row>
    <row r="3325" spans="1:1">
      <c r="A3325" s="150"/>
    </row>
    <row r="3326" spans="1:1">
      <c r="A3326" s="150"/>
    </row>
    <row r="3327" spans="1:1">
      <c r="A3327" s="150"/>
    </row>
    <row r="3328" spans="1:1">
      <c r="A3328" s="150"/>
    </row>
    <row r="3329" spans="1:1">
      <c r="A3329" s="150"/>
    </row>
    <row r="3330" spans="1:1">
      <c r="A3330" s="150"/>
    </row>
    <row r="3331" spans="1:1">
      <c r="A3331" s="150"/>
    </row>
    <row r="3332" spans="1:1">
      <c r="A3332" s="150"/>
    </row>
    <row r="3333" spans="1:1">
      <c r="A3333" s="150"/>
    </row>
    <row r="3334" spans="1:1">
      <c r="A3334" s="150"/>
    </row>
    <row r="3335" spans="1:1">
      <c r="A3335" s="150"/>
    </row>
    <row r="3336" spans="1:1">
      <c r="A3336" s="150"/>
    </row>
    <row r="3337" spans="1:1">
      <c r="A3337" s="150"/>
    </row>
    <row r="3338" spans="1:1">
      <c r="A3338" s="150"/>
    </row>
    <row r="3339" spans="1:1">
      <c r="A3339" s="150"/>
    </row>
    <row r="3340" spans="1:1">
      <c r="A3340" s="150"/>
    </row>
    <row r="3341" spans="1:1">
      <c r="A3341" s="150"/>
    </row>
    <row r="3342" spans="1:1">
      <c r="A3342" s="150"/>
    </row>
    <row r="3343" spans="1:1">
      <c r="A3343" s="150"/>
    </row>
    <row r="3344" spans="1:1">
      <c r="A3344" s="150"/>
    </row>
    <row r="3345" spans="1:1">
      <c r="A3345" s="150"/>
    </row>
    <row r="3346" spans="1:1">
      <c r="A3346" s="150"/>
    </row>
    <row r="3347" spans="1:1">
      <c r="A3347" s="150"/>
    </row>
    <row r="3348" spans="1:1">
      <c r="A3348" s="150"/>
    </row>
    <row r="3349" spans="1:1">
      <c r="A3349" s="150"/>
    </row>
    <row r="3350" spans="1:1">
      <c r="A3350" s="150"/>
    </row>
    <row r="3351" spans="1:1">
      <c r="A3351" s="150"/>
    </row>
    <row r="3352" spans="1:1">
      <c r="A3352" s="150"/>
    </row>
    <row r="3353" spans="1:1">
      <c r="A3353" s="150"/>
    </row>
    <row r="3354" spans="1:1">
      <c r="A3354" s="150"/>
    </row>
    <row r="3355" spans="1:1">
      <c r="A3355" s="150"/>
    </row>
    <row r="3356" spans="1:1">
      <c r="A3356" s="150"/>
    </row>
    <row r="3357" spans="1:1">
      <c r="A3357" s="150"/>
    </row>
    <row r="3358" spans="1:1">
      <c r="A3358" s="150"/>
    </row>
    <row r="3359" spans="1:1">
      <c r="A3359" s="150"/>
    </row>
    <row r="3360" spans="1:1">
      <c r="A3360" s="150"/>
    </row>
    <row r="3361" spans="1:1">
      <c r="A3361" s="150"/>
    </row>
    <row r="3362" spans="1:1">
      <c r="A3362" s="150"/>
    </row>
    <row r="3363" spans="1:1">
      <c r="A3363" s="150"/>
    </row>
    <row r="3364" spans="1:1">
      <c r="A3364" s="150"/>
    </row>
    <row r="3365" spans="1:1">
      <c r="A3365" s="150"/>
    </row>
    <row r="3366" spans="1:1">
      <c r="A3366" s="150"/>
    </row>
    <row r="3367" spans="1:1">
      <c r="A3367" s="150"/>
    </row>
    <row r="3368" spans="1:1">
      <c r="A3368" s="150"/>
    </row>
    <row r="3369" spans="1:1">
      <c r="A3369" s="150"/>
    </row>
    <row r="3370" spans="1:1">
      <c r="A3370" s="150"/>
    </row>
    <row r="3371" spans="1:1">
      <c r="A3371" s="150"/>
    </row>
    <row r="3372" spans="1:1">
      <c r="A3372" s="150"/>
    </row>
    <row r="3373" spans="1:1">
      <c r="A3373" s="150"/>
    </row>
    <row r="3374" spans="1:1">
      <c r="A3374" s="150"/>
    </row>
    <row r="3375" spans="1:1">
      <c r="A3375" s="150"/>
    </row>
    <row r="3376" spans="1:1">
      <c r="A3376" s="150"/>
    </row>
    <row r="3377" spans="1:1">
      <c r="A3377" s="150"/>
    </row>
    <row r="3378" spans="1:1">
      <c r="A3378" s="150"/>
    </row>
    <row r="3379" spans="1:1">
      <c r="A3379" s="150"/>
    </row>
    <row r="3380" spans="1:1">
      <c r="A3380" s="150"/>
    </row>
    <row r="3381" spans="1:1">
      <c r="A3381" s="150"/>
    </row>
    <row r="3382" spans="1:1">
      <c r="A3382" s="150"/>
    </row>
    <row r="3383" spans="1:1">
      <c r="A3383" s="150"/>
    </row>
    <row r="3384" spans="1:1">
      <c r="A3384" s="150"/>
    </row>
    <row r="3385" spans="1:1">
      <c r="A3385" s="150"/>
    </row>
    <row r="3386" spans="1:1">
      <c r="A3386" s="150"/>
    </row>
    <row r="3387" spans="1:1">
      <c r="A3387" s="150"/>
    </row>
    <row r="3388" spans="1:1">
      <c r="A3388" s="150"/>
    </row>
    <row r="3389" spans="1:1">
      <c r="A3389" s="150"/>
    </row>
    <row r="3390" spans="1:1">
      <c r="A3390" s="150"/>
    </row>
    <row r="3391" spans="1:1">
      <c r="A3391" s="150"/>
    </row>
    <row r="3392" spans="1:1">
      <c r="A3392" s="150"/>
    </row>
    <row r="3393" spans="1:1">
      <c r="A3393" s="150"/>
    </row>
    <row r="3394" spans="1:1">
      <c r="A3394" s="150"/>
    </row>
    <row r="3395" spans="1:1">
      <c r="A3395" s="150"/>
    </row>
    <row r="3396" spans="1:1">
      <c r="A3396" s="150"/>
    </row>
    <row r="3397" spans="1:1">
      <c r="A3397" s="150"/>
    </row>
    <row r="3398" spans="1:1">
      <c r="A3398" s="150"/>
    </row>
    <row r="3399" spans="1:1">
      <c r="A3399" s="150"/>
    </row>
    <row r="3400" spans="1:1">
      <c r="A3400" s="150"/>
    </row>
    <row r="3401" spans="1:1">
      <c r="A3401" s="150"/>
    </row>
    <row r="3402" spans="1:1">
      <c r="A3402" s="150"/>
    </row>
    <row r="3403" spans="1:1">
      <c r="A3403" s="150"/>
    </row>
    <row r="3404" spans="1:1">
      <c r="A3404" s="150"/>
    </row>
    <row r="3405" spans="1:1">
      <c r="A3405" s="150"/>
    </row>
    <row r="3406" spans="1:1">
      <c r="A3406" s="150"/>
    </row>
    <row r="3407" spans="1:1">
      <c r="A3407" s="150"/>
    </row>
    <row r="3408" spans="1:1">
      <c r="A3408" s="150"/>
    </row>
    <row r="3409" spans="1:1">
      <c r="A3409" s="150"/>
    </row>
    <row r="3410" spans="1:1">
      <c r="A3410" s="150"/>
    </row>
    <row r="3411" spans="1:1">
      <c r="A3411" s="150"/>
    </row>
    <row r="3412" spans="1:1">
      <c r="A3412" s="150"/>
    </row>
    <row r="3413" spans="1:1">
      <c r="A3413" s="150"/>
    </row>
    <row r="3414" spans="1:1">
      <c r="A3414" s="150"/>
    </row>
    <row r="3415" spans="1:1">
      <c r="A3415" s="150"/>
    </row>
    <row r="3416" spans="1:1">
      <c r="A3416" s="150"/>
    </row>
    <row r="3417" spans="1:1">
      <c r="A3417" s="150"/>
    </row>
    <row r="3418" spans="1:1">
      <c r="A3418" s="150"/>
    </row>
    <row r="3419" spans="1:1">
      <c r="A3419" s="150"/>
    </row>
    <row r="3420" spans="1:1">
      <c r="A3420" s="150"/>
    </row>
    <row r="3421" spans="1:1">
      <c r="A3421" s="150"/>
    </row>
    <row r="3422" spans="1:1">
      <c r="A3422" s="150"/>
    </row>
    <row r="3423" spans="1:1">
      <c r="A3423" s="150"/>
    </row>
    <row r="3424" spans="1:1">
      <c r="A3424" s="150"/>
    </row>
    <row r="3425" spans="1:1">
      <c r="A3425" s="150"/>
    </row>
    <row r="3426" spans="1:1">
      <c r="A3426" s="150"/>
    </row>
    <row r="3427" spans="1:1">
      <c r="A3427" s="150"/>
    </row>
    <row r="3428" spans="1:1">
      <c r="A3428" s="150"/>
    </row>
    <row r="3429" spans="1:1">
      <c r="A3429" s="150"/>
    </row>
    <row r="3430" spans="1:1">
      <c r="A3430" s="150"/>
    </row>
    <row r="3431" spans="1:1">
      <c r="A3431" s="150"/>
    </row>
    <row r="3432" spans="1:1">
      <c r="A3432" s="150"/>
    </row>
    <row r="3433" spans="1:1">
      <c r="A3433" s="150"/>
    </row>
    <row r="3434" spans="1:1">
      <c r="A3434" s="150"/>
    </row>
    <row r="3435" spans="1:1">
      <c r="A3435" s="150"/>
    </row>
    <row r="3436" spans="1:1">
      <c r="A3436" s="150"/>
    </row>
    <row r="3437" spans="1:1">
      <c r="A3437" s="150"/>
    </row>
    <row r="3438" spans="1:1">
      <c r="A3438" s="150"/>
    </row>
    <row r="3439" spans="1:1">
      <c r="A3439" s="150"/>
    </row>
    <row r="3440" spans="1:1">
      <c r="A3440" s="150"/>
    </row>
    <row r="3441" spans="1:1">
      <c r="A3441" s="150"/>
    </row>
    <row r="3442" spans="1:1">
      <c r="A3442" s="150"/>
    </row>
    <row r="3443" spans="1:1">
      <c r="A3443" s="150"/>
    </row>
    <row r="3444" spans="1:1">
      <c r="A3444" s="150"/>
    </row>
    <row r="3445" spans="1:1">
      <c r="A3445" s="150"/>
    </row>
    <row r="3446" spans="1:1">
      <c r="A3446" s="150"/>
    </row>
    <row r="3447" spans="1:1">
      <c r="A3447" s="150"/>
    </row>
    <row r="3448" spans="1:1">
      <c r="A3448" s="150"/>
    </row>
    <row r="3449" spans="1:1">
      <c r="A3449" s="150"/>
    </row>
    <row r="3450" spans="1:1">
      <c r="A3450" s="150"/>
    </row>
    <row r="3451" spans="1:1">
      <c r="A3451" s="150"/>
    </row>
    <row r="3452" spans="1:1">
      <c r="A3452" s="150"/>
    </row>
    <row r="3453" spans="1:1">
      <c r="A3453" s="150"/>
    </row>
    <row r="3454" spans="1:1">
      <c r="A3454" s="150"/>
    </row>
    <row r="3455" spans="1:1">
      <c r="A3455" s="150"/>
    </row>
    <row r="3456" spans="1:1">
      <c r="A3456" s="150"/>
    </row>
    <row r="3457" spans="1:1">
      <c r="A3457" s="150"/>
    </row>
    <row r="3458" spans="1:1">
      <c r="A3458" s="150"/>
    </row>
    <row r="3459" spans="1:1">
      <c r="A3459" s="150"/>
    </row>
    <row r="3460" spans="1:1">
      <c r="A3460" s="150"/>
    </row>
    <row r="3461" spans="1:1">
      <c r="A3461" s="150"/>
    </row>
    <row r="3462" spans="1:1">
      <c r="A3462" s="150"/>
    </row>
    <row r="3463" spans="1:1">
      <c r="A3463" s="150"/>
    </row>
    <row r="3464" spans="1:1">
      <c r="A3464" s="150"/>
    </row>
    <row r="3465" spans="1:1">
      <c r="A3465" s="150"/>
    </row>
    <row r="3466" spans="1:1">
      <c r="A3466" s="150"/>
    </row>
    <row r="3467" spans="1:1">
      <c r="A3467" s="150"/>
    </row>
    <row r="3468" spans="1:1">
      <c r="A3468" s="150"/>
    </row>
    <row r="3469" spans="1:1">
      <c r="A3469" s="150"/>
    </row>
    <row r="3470" spans="1:1">
      <c r="A3470" s="150"/>
    </row>
    <row r="3471" spans="1:1">
      <c r="A3471" s="150"/>
    </row>
    <row r="3472" spans="1:1">
      <c r="A3472" s="150"/>
    </row>
    <row r="3473" spans="1:1">
      <c r="A3473" s="150"/>
    </row>
    <row r="3474" spans="1:1">
      <c r="A3474" s="150"/>
    </row>
    <row r="3475" spans="1:1">
      <c r="A3475" s="150"/>
    </row>
    <row r="3476" spans="1:1">
      <c r="A3476" s="150"/>
    </row>
    <row r="3477" spans="1:1">
      <c r="A3477" s="150"/>
    </row>
    <row r="3478" spans="1:1">
      <c r="A3478" s="150"/>
    </row>
    <row r="3479" spans="1:1">
      <c r="A3479" s="150"/>
    </row>
    <row r="3480" spans="1:1">
      <c r="A3480" s="150"/>
    </row>
    <row r="3481" spans="1:1">
      <c r="A3481" s="150"/>
    </row>
    <row r="3482" spans="1:1">
      <c r="A3482" s="150"/>
    </row>
    <row r="3483" spans="1:1">
      <c r="A3483" s="150"/>
    </row>
    <row r="3484" spans="1:1">
      <c r="A3484" s="150"/>
    </row>
    <row r="3485" spans="1:1">
      <c r="A3485" s="150"/>
    </row>
    <row r="3486" spans="1:1">
      <c r="A3486" s="150"/>
    </row>
    <row r="3487" spans="1:1">
      <c r="A3487" s="150"/>
    </row>
    <row r="3488" spans="1:1">
      <c r="A3488" s="150"/>
    </row>
    <row r="3489" spans="1:1">
      <c r="A3489" s="150"/>
    </row>
    <row r="3490" spans="1:1">
      <c r="A3490" s="150"/>
    </row>
    <row r="3491" spans="1:1">
      <c r="A3491" s="150"/>
    </row>
    <row r="3492" spans="1:1">
      <c r="A3492" s="150"/>
    </row>
    <row r="3493" spans="1:1">
      <c r="A3493" s="150"/>
    </row>
    <row r="3494" spans="1:1">
      <c r="A3494" s="150"/>
    </row>
    <row r="3495" spans="1:1">
      <c r="A3495" s="150"/>
    </row>
    <row r="3496" spans="1:1">
      <c r="A3496" s="150"/>
    </row>
    <row r="3497" spans="1:1">
      <c r="A3497" s="150"/>
    </row>
    <row r="3498" spans="1:1">
      <c r="A3498" s="150"/>
    </row>
    <row r="3499" spans="1:1">
      <c r="A3499" s="150"/>
    </row>
    <row r="3500" spans="1:1">
      <c r="A3500" s="150"/>
    </row>
    <row r="3501" spans="1:1">
      <c r="A3501" s="150"/>
    </row>
    <row r="3502" spans="1:1">
      <c r="A3502" s="150"/>
    </row>
    <row r="3503" spans="1:1">
      <c r="A3503" s="150"/>
    </row>
    <row r="3504" spans="1:1">
      <c r="A3504" s="150"/>
    </row>
    <row r="3505" spans="1:1">
      <c r="A3505" s="150"/>
    </row>
    <row r="3506" spans="1:1">
      <c r="A3506" s="150"/>
    </row>
    <row r="3507" spans="1:1">
      <c r="A3507" s="150"/>
    </row>
    <row r="3508" spans="1:1">
      <c r="A3508" s="150"/>
    </row>
    <row r="3509" spans="1:1">
      <c r="A3509" s="150"/>
    </row>
    <row r="3510" spans="1:1">
      <c r="A3510" s="150"/>
    </row>
    <row r="3511" spans="1:1">
      <c r="A3511" s="150"/>
    </row>
    <row r="3512" spans="1:1">
      <c r="A3512" s="150"/>
    </row>
    <row r="3513" spans="1:1">
      <c r="A3513" s="150"/>
    </row>
    <row r="3514" spans="1:1">
      <c r="A3514" s="150"/>
    </row>
    <row r="3515" spans="1:1">
      <c r="A3515" s="150"/>
    </row>
    <row r="3516" spans="1:1">
      <c r="A3516" s="150"/>
    </row>
    <row r="3517" spans="1:1">
      <c r="A3517" s="150"/>
    </row>
    <row r="3518" spans="1:1">
      <c r="A3518" s="150"/>
    </row>
    <row r="3519" spans="1:1">
      <c r="A3519" s="150"/>
    </row>
    <row r="3520" spans="1:1">
      <c r="A3520" s="150"/>
    </row>
    <row r="3521" spans="1:1">
      <c r="A3521" s="150"/>
    </row>
    <row r="3522" spans="1:1">
      <c r="A3522" s="150"/>
    </row>
    <row r="3523" spans="1:1">
      <c r="A3523" s="150"/>
    </row>
    <row r="3524" spans="1:1">
      <c r="A3524" s="150"/>
    </row>
    <row r="3525" spans="1:1">
      <c r="A3525" s="150"/>
    </row>
    <row r="3526" spans="1:1">
      <c r="A3526" s="150"/>
    </row>
    <row r="3527" spans="1:1">
      <c r="A3527" s="150"/>
    </row>
    <row r="3528" spans="1:1">
      <c r="A3528" s="150"/>
    </row>
    <row r="3529" spans="1:1">
      <c r="A3529" s="150"/>
    </row>
    <row r="3530" spans="1:1">
      <c r="A3530" s="150"/>
    </row>
    <row r="3531" spans="1:1">
      <c r="A3531" s="150"/>
    </row>
    <row r="3532" spans="1:1">
      <c r="A3532" s="150"/>
    </row>
    <row r="3533" spans="1:1">
      <c r="A3533" s="150"/>
    </row>
    <row r="3534" spans="1:1">
      <c r="A3534" s="150"/>
    </row>
    <row r="3535" spans="1:1">
      <c r="A3535" s="150"/>
    </row>
  </sheetData>
  <sheetProtection formatColumns="0" formatRows="0"/>
  <dataConsolidate/>
  <phoneticPr fontId="3" type="noConversion"/>
  <pageMargins left="0.75" right="0.75" top="1" bottom="1" header="0.5" footer="0.5"/>
  <pageSetup orientation="portrait" r:id="rId1"/>
  <headerFooter alignWithMargins="0">
    <oddFooter>&amp;CAT&amp;&amp;T Proprietary (Internal Use Only)</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47809" r:id="rId4" name="Button 1">
              <controlPr defaultSize="0" print="0" autoFill="0" autoPict="0" macro="[0]!debugit">
                <anchor moveWithCells="1" sizeWithCells="1">
                  <from>
                    <xdr:col>10</xdr:col>
                    <xdr:colOff>38100</xdr:colOff>
                    <xdr:row>1</xdr:row>
                    <xdr:rowOff>28575</xdr:rowOff>
                  </from>
                  <to>
                    <xdr:col>10</xdr:col>
                    <xdr:colOff>1076325</xdr:colOff>
                    <xdr:row>3</xdr:row>
                    <xdr:rowOff>28575</xdr:rowOff>
                  </to>
                </anchor>
              </controlPr>
            </control>
          </mc:Choice>
        </mc:AlternateContent>
        <mc:AlternateContent xmlns:mc="http://schemas.openxmlformats.org/markup-compatibility/2006">
          <mc:Choice Requires="x14">
            <control shapeId="247810" r:id="rId5" name="Button 2">
              <controlPr defaultSize="0" print="0" autoFill="0" autoPict="0" macro="[0]!groundstate">
                <anchor moveWithCells="1" sizeWithCells="1">
                  <from>
                    <xdr:col>10</xdr:col>
                    <xdr:colOff>38100</xdr:colOff>
                    <xdr:row>5</xdr:row>
                    <xdr:rowOff>28575</xdr:rowOff>
                  </from>
                  <to>
                    <xdr:col>10</xdr:col>
                    <xdr:colOff>1076325</xdr:colOff>
                    <xdr:row>7</xdr:row>
                    <xdr:rowOff>28575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wsAisFormatting"/>
  <dimension ref="A1:AM73"/>
  <sheetViews>
    <sheetView workbookViewId="0"/>
  </sheetViews>
  <sheetFormatPr defaultRowHeight="12.75"/>
  <cols>
    <col min="12" max="12" width="4.42578125" customWidth="1"/>
    <col min="27" max="27" width="3.7109375" customWidth="1"/>
  </cols>
  <sheetData>
    <row r="1" spans="1:39" ht="20.25">
      <c r="A1" s="414"/>
      <c r="B1" s="415"/>
      <c r="C1" s="167"/>
      <c r="D1" s="416"/>
      <c r="E1" s="417"/>
      <c r="F1" s="417"/>
      <c r="G1" s="417"/>
      <c r="H1" s="417"/>
      <c r="I1" s="417"/>
      <c r="J1" s="417"/>
      <c r="K1" s="417"/>
      <c r="M1" s="414"/>
      <c r="N1" s="415"/>
      <c r="O1" s="167"/>
      <c r="P1" s="416"/>
      <c r="Q1" s="417"/>
      <c r="R1" s="417"/>
      <c r="S1" s="417"/>
      <c r="T1" s="417"/>
      <c r="U1" s="417"/>
      <c r="V1" s="417"/>
      <c r="W1" s="417"/>
      <c r="X1" s="553"/>
      <c r="Y1" s="435"/>
      <c r="Z1" s="435"/>
      <c r="AB1" s="435"/>
      <c r="AC1" s="435"/>
      <c r="AD1" s="435"/>
      <c r="AE1" s="435"/>
      <c r="AF1" s="435"/>
      <c r="AG1" s="435"/>
      <c r="AH1" s="435"/>
      <c r="AI1" s="435"/>
      <c r="AJ1" s="435"/>
      <c r="AK1" s="435"/>
      <c r="AL1" s="435"/>
      <c r="AM1" s="435"/>
    </row>
    <row r="2" spans="1:39" ht="23.25">
      <c r="A2" s="418"/>
      <c r="B2" s="417"/>
      <c r="C2" s="419"/>
      <c r="D2" s="417"/>
      <c r="E2" s="417"/>
      <c r="F2" s="417"/>
      <c r="G2" s="417"/>
      <c r="H2" s="417"/>
      <c r="I2" s="417"/>
      <c r="J2" s="417"/>
      <c r="K2" s="417"/>
      <c r="M2" s="418"/>
      <c r="N2" s="417"/>
      <c r="O2" s="419"/>
      <c r="P2" s="417"/>
      <c r="Q2" s="417"/>
      <c r="R2" s="417"/>
      <c r="S2" s="417"/>
      <c r="T2" s="417"/>
      <c r="U2" s="417"/>
      <c r="V2" s="417"/>
      <c r="W2" s="417"/>
      <c r="X2" s="417"/>
      <c r="Y2" s="435"/>
      <c r="Z2" s="435"/>
      <c r="AB2" s="435"/>
      <c r="AC2" s="604"/>
      <c r="AD2" s="167"/>
      <c r="AE2" s="435"/>
      <c r="AF2" s="435"/>
      <c r="AG2" s="435"/>
      <c r="AH2" s="435"/>
      <c r="AI2" s="435"/>
      <c r="AJ2" s="435"/>
      <c r="AK2" s="435"/>
      <c r="AL2" s="435"/>
      <c r="AM2" s="435"/>
    </row>
    <row r="3" spans="1:39" ht="24" thickBot="1">
      <c r="A3" s="420"/>
      <c r="B3" s="415"/>
      <c r="C3" s="421"/>
      <c r="D3" s="422"/>
      <c r="E3" s="423"/>
      <c r="F3" s="424"/>
      <c r="G3" s="425"/>
      <c r="H3" s="426"/>
      <c r="I3" s="427"/>
      <c r="J3" s="428"/>
      <c r="K3" s="429"/>
      <c r="M3" s="420"/>
      <c r="N3" s="415"/>
      <c r="O3" s="421"/>
      <c r="P3" s="554"/>
      <c r="Q3" s="423"/>
      <c r="R3" s="424"/>
      <c r="S3" s="425"/>
      <c r="T3" s="426"/>
      <c r="U3" s="427"/>
      <c r="V3" s="555"/>
      <c r="W3" s="556"/>
      <c r="X3" s="417"/>
      <c r="Y3" s="435"/>
      <c r="Z3" s="435"/>
      <c r="AB3" s="435"/>
      <c r="AC3" s="435"/>
      <c r="AD3" s="605"/>
      <c r="AE3" s="167"/>
      <c r="AF3" s="435"/>
      <c r="AG3" s="435"/>
      <c r="AH3" s="435"/>
      <c r="AI3" s="435"/>
      <c r="AJ3" s="435"/>
      <c r="AK3" s="435"/>
      <c r="AL3" s="435"/>
      <c r="AM3" s="435"/>
    </row>
    <row r="4" spans="1:39" ht="15.75" thickBot="1">
      <c r="A4" s="430"/>
      <c r="B4" s="431"/>
      <c r="C4" s="631"/>
      <c r="D4" s="632"/>
      <c r="E4" s="633"/>
      <c r="F4" s="634"/>
      <c r="G4" s="635"/>
      <c r="H4" s="636"/>
      <c r="I4" s="432"/>
      <c r="J4" s="433"/>
      <c r="K4" s="433"/>
      <c r="M4" s="557"/>
      <c r="N4" s="431"/>
      <c r="O4" s="631"/>
      <c r="P4" s="632"/>
      <c r="Q4" s="633"/>
      <c r="R4" s="634"/>
      <c r="S4" s="635"/>
      <c r="T4" s="636"/>
      <c r="U4" s="432"/>
      <c r="V4" s="433"/>
      <c r="W4" s="433"/>
      <c r="X4" s="431"/>
      <c r="Y4" s="435"/>
      <c r="Z4" s="435"/>
      <c r="AB4" s="435"/>
      <c r="AC4" s="606"/>
      <c r="AD4" s="607"/>
      <c r="AE4" s="608"/>
      <c r="AF4" s="606"/>
      <c r="AG4" s="607"/>
      <c r="AH4" s="608"/>
      <c r="AI4" s="606"/>
      <c r="AJ4" s="607"/>
      <c r="AK4" s="608"/>
      <c r="AL4" s="435"/>
      <c r="AM4" s="435"/>
    </row>
    <row r="5" spans="1:39" ht="15.75" thickBot="1">
      <c r="A5" s="434"/>
      <c r="B5" s="435"/>
      <c r="C5" s="631"/>
      <c r="D5" s="637"/>
      <c r="E5" s="436"/>
      <c r="F5" s="638"/>
      <c r="G5" s="639"/>
      <c r="H5" s="640"/>
      <c r="I5" s="437"/>
      <c r="J5" s="433"/>
      <c r="K5" s="433"/>
      <c r="M5" s="434"/>
      <c r="N5" s="435"/>
      <c r="O5" s="631"/>
      <c r="P5" s="637"/>
      <c r="Q5" s="436"/>
      <c r="R5" s="638"/>
      <c r="S5" s="639"/>
      <c r="T5" s="640"/>
      <c r="U5" s="437"/>
      <c r="V5" s="433"/>
      <c r="W5" s="433"/>
      <c r="X5" s="431"/>
      <c r="Y5" s="435"/>
      <c r="Z5" s="435"/>
      <c r="AB5" s="435"/>
      <c r="AC5" s="609"/>
      <c r="AD5" s="610"/>
      <c r="AE5" s="611"/>
      <c r="AF5" s="609"/>
      <c r="AG5" s="610"/>
      <c r="AH5" s="611"/>
      <c r="AI5" s="609"/>
      <c r="AJ5" s="610"/>
      <c r="AK5" s="611"/>
      <c r="AL5" s="435"/>
      <c r="AM5" s="435"/>
    </row>
    <row r="6" spans="1:39" ht="15">
      <c r="A6" s="438"/>
      <c r="B6" s="439"/>
      <c r="C6" s="641"/>
      <c r="D6" s="639"/>
      <c r="E6" s="437"/>
      <c r="F6" s="631"/>
      <c r="G6" s="639"/>
      <c r="H6" s="642"/>
      <c r="I6" s="425"/>
      <c r="J6" s="440"/>
      <c r="K6" s="439"/>
      <c r="M6" s="558"/>
      <c r="N6" s="559"/>
      <c r="O6" s="631"/>
      <c r="P6" s="639"/>
      <c r="Q6" s="437"/>
      <c r="R6" s="631"/>
      <c r="S6" s="644"/>
      <c r="T6" s="642"/>
      <c r="U6" s="425"/>
      <c r="V6" s="440"/>
      <c r="W6" s="439"/>
      <c r="X6" s="560"/>
      <c r="Y6" s="435"/>
      <c r="Z6" s="435"/>
      <c r="AB6" s="647"/>
      <c r="AC6" s="612"/>
      <c r="AD6" s="613"/>
      <c r="AE6" s="614"/>
      <c r="AF6" s="612"/>
      <c r="AG6" s="615"/>
      <c r="AH6" s="614"/>
      <c r="AI6" s="612"/>
      <c r="AJ6" s="615"/>
      <c r="AK6" s="614"/>
      <c r="AL6" s="435"/>
      <c r="AM6" s="435"/>
    </row>
    <row r="7" spans="1:39" ht="16.5">
      <c r="A7" s="438"/>
      <c r="B7" s="441"/>
      <c r="C7" s="641"/>
      <c r="D7" s="442"/>
      <c r="E7" s="443"/>
      <c r="F7" s="444"/>
      <c r="G7" s="445"/>
      <c r="H7" s="445"/>
      <c r="I7" s="446"/>
      <c r="J7" s="447"/>
      <c r="K7" s="448"/>
      <c r="M7" s="558"/>
      <c r="N7" s="561"/>
      <c r="O7" s="631"/>
      <c r="P7" s="562"/>
      <c r="Q7" s="443"/>
      <c r="R7" s="444"/>
      <c r="S7" s="445"/>
      <c r="T7" s="445"/>
      <c r="U7" s="446"/>
      <c r="V7" s="447"/>
      <c r="W7" s="448"/>
      <c r="X7" s="563"/>
      <c r="Y7" s="435"/>
      <c r="Z7" s="435"/>
      <c r="AB7" s="647"/>
      <c r="AC7" s="612"/>
      <c r="AD7" s="613"/>
      <c r="AE7" s="614"/>
      <c r="AF7" s="612"/>
      <c r="AG7" s="615"/>
      <c r="AH7" s="614"/>
      <c r="AI7" s="612"/>
      <c r="AJ7" s="615"/>
      <c r="AK7" s="614"/>
      <c r="AL7" s="435"/>
      <c r="AM7" s="435"/>
    </row>
    <row r="8" spans="1:39" ht="17.25" thickBot="1">
      <c r="A8" s="449"/>
      <c r="B8" s="450"/>
      <c r="C8" s="643"/>
      <c r="D8" s="451"/>
      <c r="E8" s="451"/>
      <c r="F8" s="452"/>
      <c r="G8" s="452"/>
      <c r="H8" s="452"/>
      <c r="I8" s="453"/>
      <c r="J8" s="454"/>
      <c r="K8" s="455"/>
      <c r="M8" s="564"/>
      <c r="N8" s="565"/>
      <c r="O8" s="643"/>
      <c r="P8" s="451"/>
      <c r="Q8" s="451"/>
      <c r="R8" s="452"/>
      <c r="S8" s="452"/>
      <c r="T8" s="452"/>
      <c r="U8" s="453"/>
      <c r="V8" s="454"/>
      <c r="W8" s="455"/>
      <c r="X8" s="435"/>
      <c r="Y8" s="435"/>
      <c r="Z8" s="435"/>
      <c r="AB8" s="647"/>
      <c r="AC8" s="612"/>
      <c r="AD8" s="613"/>
      <c r="AE8" s="614"/>
      <c r="AF8" s="612"/>
      <c r="AG8" s="615"/>
      <c r="AH8" s="614"/>
      <c r="AI8" s="612"/>
      <c r="AJ8" s="615"/>
      <c r="AK8" s="614"/>
      <c r="AL8" s="435"/>
      <c r="AM8" s="435"/>
    </row>
    <row r="9" spans="1:39" ht="17.25" thickBot="1">
      <c r="A9" s="456"/>
      <c r="B9" s="457"/>
      <c r="C9" s="458"/>
      <c r="D9" s="459"/>
      <c r="E9" s="460"/>
      <c r="F9" s="461"/>
      <c r="G9" s="462"/>
      <c r="H9" s="455"/>
      <c r="I9" s="463"/>
      <c r="J9" s="464"/>
      <c r="K9" s="464"/>
      <c r="M9" s="566"/>
      <c r="N9" s="567"/>
      <c r="O9" s="568"/>
      <c r="P9" s="568"/>
      <c r="Q9" s="569"/>
      <c r="R9" s="569"/>
      <c r="S9" s="570"/>
      <c r="T9" s="571"/>
      <c r="U9" s="569"/>
      <c r="V9" s="569"/>
      <c r="W9" s="572"/>
      <c r="X9" s="573"/>
      <c r="Y9" s="117"/>
      <c r="Z9" s="574"/>
      <c r="AB9" s="647"/>
      <c r="AC9" s="612"/>
      <c r="AD9" s="613"/>
      <c r="AE9" s="614"/>
      <c r="AF9" s="612"/>
      <c r="AG9" s="615"/>
      <c r="AH9" s="614"/>
      <c r="AI9" s="612"/>
      <c r="AJ9" s="615"/>
      <c r="AK9" s="614"/>
      <c r="AL9" s="435"/>
      <c r="AM9" s="435"/>
    </row>
    <row r="10" spans="1:39" ht="17.25" thickBot="1">
      <c r="A10" s="465"/>
      <c r="B10" s="466"/>
      <c r="C10" s="467"/>
      <c r="D10" s="468"/>
      <c r="E10" s="467"/>
      <c r="F10" s="469"/>
      <c r="G10" s="470"/>
      <c r="H10" s="471"/>
      <c r="I10" s="463"/>
      <c r="J10" s="472"/>
      <c r="K10" s="472"/>
      <c r="M10" s="575"/>
      <c r="N10" s="576"/>
      <c r="O10" s="577"/>
      <c r="P10" s="578"/>
      <c r="Q10" s="577"/>
      <c r="R10" s="578"/>
      <c r="S10" s="577"/>
      <c r="T10" s="578"/>
      <c r="U10" s="577"/>
      <c r="V10" s="579"/>
      <c r="W10" s="580"/>
      <c r="X10" s="581"/>
      <c r="Y10" s="582"/>
      <c r="Z10" s="583"/>
      <c r="AB10" s="647"/>
      <c r="AC10" s="612"/>
      <c r="AD10" s="613"/>
      <c r="AE10" s="614"/>
      <c r="AF10" s="612"/>
      <c r="AG10" s="615"/>
      <c r="AH10" s="614"/>
      <c r="AI10" s="612"/>
      <c r="AJ10" s="615"/>
      <c r="AK10" s="614"/>
      <c r="AL10" s="435"/>
      <c r="AM10" s="435"/>
    </row>
    <row r="11" spans="1:39" ht="17.25" thickBot="1">
      <c r="A11" s="473"/>
      <c r="B11" s="474"/>
      <c r="C11" s="475"/>
      <c r="D11" s="476"/>
      <c r="E11" s="475"/>
      <c r="F11" s="477"/>
      <c r="G11" s="478"/>
      <c r="H11" s="479"/>
      <c r="I11" s="480"/>
      <c r="J11" s="481"/>
      <c r="K11" s="481"/>
      <c r="M11" s="473"/>
      <c r="N11" s="584"/>
      <c r="O11" s="585"/>
      <c r="P11" s="586"/>
      <c r="Q11" s="587"/>
      <c r="R11" s="586"/>
      <c r="S11" s="585"/>
      <c r="T11" s="586"/>
      <c r="U11" s="588"/>
      <c r="V11" s="589"/>
      <c r="W11" s="590"/>
      <c r="X11" s="589"/>
      <c r="Y11" s="591"/>
      <c r="Z11" s="592"/>
      <c r="AB11" s="647"/>
      <c r="AC11" s="616"/>
      <c r="AD11" s="617"/>
      <c r="AE11" s="618"/>
      <c r="AF11" s="616"/>
      <c r="AG11" s="619"/>
      <c r="AH11" s="618"/>
      <c r="AI11" s="616"/>
      <c r="AJ11" s="619"/>
      <c r="AK11" s="618"/>
      <c r="AL11" s="435"/>
      <c r="AM11" s="435"/>
    </row>
    <row r="12" spans="1:39" ht="15">
      <c r="A12" s="482"/>
      <c r="B12" s="483"/>
      <c r="C12" s="484"/>
      <c r="D12" s="485"/>
      <c r="E12" s="484"/>
      <c r="F12" s="486"/>
      <c r="G12" s="487"/>
      <c r="H12" s="488"/>
      <c r="I12" s="489"/>
      <c r="J12" s="487"/>
      <c r="K12" s="488"/>
      <c r="M12" s="482"/>
      <c r="N12" s="593"/>
      <c r="O12" s="594"/>
      <c r="P12" s="595"/>
      <c r="Q12" s="596"/>
      <c r="R12" s="595"/>
      <c r="S12" s="594"/>
      <c r="T12" s="595"/>
      <c r="U12" s="597"/>
      <c r="V12" s="597"/>
      <c r="W12" s="595"/>
      <c r="X12" s="595"/>
      <c r="Y12" s="595"/>
      <c r="Z12" s="595"/>
      <c r="AB12" s="620"/>
      <c r="AC12" s="645"/>
      <c r="AD12" s="646"/>
      <c r="AE12" s="645"/>
      <c r="AF12" s="621"/>
      <c r="AG12" s="621"/>
      <c r="AH12" s="621"/>
      <c r="AI12" s="621"/>
      <c r="AJ12" s="621"/>
      <c r="AK12" s="621"/>
      <c r="AL12" s="622"/>
      <c r="AM12" s="622"/>
    </row>
    <row r="13" spans="1:39" ht="15">
      <c r="A13" s="490"/>
      <c r="B13" s="491"/>
      <c r="C13" s="492"/>
      <c r="D13" s="493"/>
      <c r="E13" s="494"/>
      <c r="F13" s="495"/>
      <c r="G13" s="495"/>
      <c r="H13" s="496"/>
      <c r="I13" s="497"/>
      <c r="J13" s="495"/>
      <c r="K13" s="498"/>
      <c r="M13" s="490"/>
      <c r="N13" s="598"/>
      <c r="O13" s="599"/>
      <c r="P13" s="599"/>
      <c r="Q13" s="599"/>
      <c r="R13" s="599"/>
      <c r="S13" s="599"/>
      <c r="T13" s="599"/>
      <c r="U13" s="599"/>
      <c r="V13" s="599"/>
      <c r="W13" s="599"/>
      <c r="X13" s="599"/>
      <c r="Y13" s="599"/>
      <c r="Z13" s="493"/>
      <c r="AB13" s="1641"/>
      <c r="AC13" s="1813"/>
      <c r="AD13" s="1814"/>
      <c r="AE13" s="1646"/>
      <c r="AF13" s="1644"/>
      <c r="AG13" s="1815"/>
      <c r="AH13" s="1815"/>
      <c r="AI13" s="1815"/>
      <c r="AJ13" s="1646"/>
      <c r="AK13" s="1644"/>
      <c r="AL13" s="623"/>
      <c r="AM13" s="623"/>
    </row>
    <row r="14" spans="1:39" ht="14.25">
      <c r="A14" s="499"/>
      <c r="B14" s="500"/>
      <c r="C14" s="492"/>
      <c r="D14" s="493"/>
      <c r="E14" s="494"/>
      <c r="F14" s="495"/>
      <c r="G14" s="495"/>
      <c r="H14" s="496"/>
      <c r="I14" s="497"/>
      <c r="J14" s="495"/>
      <c r="K14" s="498"/>
      <c r="M14" s="499"/>
      <c r="N14" s="500"/>
      <c r="O14" s="599"/>
      <c r="P14" s="599"/>
      <c r="Q14" s="599"/>
      <c r="R14" s="599"/>
      <c r="S14" s="599"/>
      <c r="T14" s="599"/>
      <c r="U14" s="599"/>
      <c r="V14" s="599"/>
      <c r="W14" s="599"/>
      <c r="X14" s="599"/>
      <c r="Y14" s="599"/>
      <c r="Z14" s="493"/>
      <c r="AB14" s="1633"/>
      <c r="AC14" s="1628"/>
      <c r="AD14" s="1627"/>
      <c r="AE14" s="624"/>
      <c r="AF14" s="625"/>
      <c r="AG14" s="626"/>
      <c r="AH14" s="627"/>
      <c r="AI14" s="627"/>
      <c r="AJ14" s="628"/>
      <c r="AK14" s="629"/>
      <c r="AL14" s="623"/>
      <c r="AM14" s="623"/>
    </row>
    <row r="15" spans="1:39" ht="14.25">
      <c r="A15" s="501"/>
      <c r="B15" s="502"/>
      <c r="C15" s="492"/>
      <c r="D15" s="493"/>
      <c r="E15" s="494"/>
      <c r="F15" s="495"/>
      <c r="G15" s="495"/>
      <c r="H15" s="496"/>
      <c r="I15" s="497"/>
      <c r="J15" s="495"/>
      <c r="K15" s="498"/>
      <c r="M15" s="501"/>
      <c r="N15" s="502"/>
      <c r="O15" s="599"/>
      <c r="P15" s="599"/>
      <c r="Q15" s="599"/>
      <c r="R15" s="599"/>
      <c r="S15" s="599"/>
      <c r="T15" s="599"/>
      <c r="U15" s="599"/>
      <c r="V15" s="599"/>
      <c r="W15" s="599"/>
      <c r="X15" s="599"/>
      <c r="Y15" s="599"/>
      <c r="Z15" s="493"/>
      <c r="AB15" s="1633"/>
      <c r="AC15" s="1813"/>
      <c r="AD15" s="1814"/>
      <c r="AE15" s="1646"/>
      <c r="AF15" s="1644"/>
      <c r="AG15" s="1813"/>
      <c r="AH15" s="1816"/>
      <c r="AI15" s="1814"/>
      <c r="AJ15" s="1646"/>
      <c r="AK15" s="1644"/>
      <c r="AL15" s="623"/>
      <c r="AM15" s="623"/>
    </row>
    <row r="16" spans="1:39" ht="14.25">
      <c r="A16" s="503"/>
      <c r="B16" s="502"/>
      <c r="C16" s="492"/>
      <c r="D16" s="493"/>
      <c r="E16" s="494"/>
      <c r="F16" s="495"/>
      <c r="G16" s="495"/>
      <c r="H16" s="496"/>
      <c r="I16" s="497"/>
      <c r="J16" s="495"/>
      <c r="K16" s="498"/>
      <c r="M16" s="503"/>
      <c r="N16" s="502"/>
      <c r="O16" s="599"/>
      <c r="P16" s="599"/>
      <c r="Q16" s="599"/>
      <c r="R16" s="599"/>
      <c r="S16" s="599"/>
      <c r="T16" s="599"/>
      <c r="U16" s="599"/>
      <c r="V16" s="599"/>
      <c r="W16" s="599"/>
      <c r="X16" s="599"/>
      <c r="Y16" s="599"/>
      <c r="Z16" s="493"/>
      <c r="AB16" s="1633"/>
      <c r="AC16" s="1628"/>
      <c r="AD16" s="1627"/>
      <c r="AE16" s="624"/>
      <c r="AF16" s="625"/>
      <c r="AG16" s="626"/>
      <c r="AH16" s="627"/>
      <c r="AI16" s="627"/>
      <c r="AJ16" s="628"/>
      <c r="AK16" s="629"/>
      <c r="AL16" s="623"/>
      <c r="AM16" s="623"/>
    </row>
    <row r="17" spans="1:39" ht="15">
      <c r="A17" s="503"/>
      <c r="B17" s="491"/>
      <c r="C17" s="492"/>
      <c r="D17" s="493"/>
      <c r="E17" s="494"/>
      <c r="F17" s="495"/>
      <c r="G17" s="495"/>
      <c r="H17" s="496"/>
      <c r="I17" s="497"/>
      <c r="J17" s="495"/>
      <c r="K17" s="498"/>
      <c r="M17" s="503"/>
      <c r="N17" s="491"/>
      <c r="O17" s="599"/>
      <c r="P17" s="599"/>
      <c r="Q17" s="599"/>
      <c r="R17" s="599"/>
      <c r="S17" s="599"/>
      <c r="T17" s="599"/>
      <c r="U17" s="599"/>
      <c r="V17" s="599"/>
      <c r="W17" s="599"/>
      <c r="X17" s="599"/>
      <c r="Y17" s="599"/>
      <c r="Z17" s="493"/>
      <c r="AB17" s="1633"/>
      <c r="AC17" s="1813"/>
      <c r="AD17" s="1814"/>
      <c r="AE17" s="1646"/>
      <c r="AF17" s="1644"/>
      <c r="AG17" s="1815"/>
      <c r="AH17" s="1815"/>
      <c r="AI17" s="1815"/>
      <c r="AJ17" s="1646"/>
      <c r="AK17" s="1644"/>
      <c r="AL17" s="623"/>
      <c r="AM17" s="623"/>
    </row>
    <row r="18" spans="1:39" ht="14.25">
      <c r="A18" s="503"/>
      <c r="B18" s="491"/>
      <c r="C18" s="492"/>
      <c r="D18" s="493"/>
      <c r="E18" s="494"/>
      <c r="F18" s="495"/>
      <c r="G18" s="495"/>
      <c r="H18" s="496"/>
      <c r="I18" s="497"/>
      <c r="J18" s="495"/>
      <c r="K18" s="498"/>
      <c r="M18" s="503"/>
      <c r="N18" s="491"/>
      <c r="O18" s="599"/>
      <c r="P18" s="599"/>
      <c r="Q18" s="599"/>
      <c r="R18" s="599"/>
      <c r="S18" s="599"/>
      <c r="T18" s="599"/>
      <c r="U18" s="599"/>
      <c r="V18" s="599"/>
      <c r="W18" s="599"/>
      <c r="X18" s="599"/>
      <c r="Y18" s="599"/>
      <c r="Z18" s="493"/>
      <c r="AB18" s="1633"/>
      <c r="AC18" s="1628"/>
      <c r="AD18" s="1634"/>
      <c r="AE18" s="630"/>
      <c r="AF18" s="1645"/>
      <c r="AG18" s="1626"/>
      <c r="AH18" s="1626"/>
      <c r="AI18" s="1638"/>
      <c r="AJ18" s="1638"/>
      <c r="AK18" s="1645"/>
      <c r="AL18" s="623"/>
      <c r="AM18" s="623"/>
    </row>
    <row r="19" spans="1:39" ht="15">
      <c r="A19" s="503"/>
      <c r="B19" s="502"/>
      <c r="C19" s="492"/>
      <c r="D19" s="493"/>
      <c r="E19" s="494"/>
      <c r="F19" s="495"/>
      <c r="G19" s="495"/>
      <c r="H19" s="496"/>
      <c r="I19" s="497"/>
      <c r="J19" s="495"/>
      <c r="K19" s="498"/>
      <c r="M19" s="503"/>
      <c r="N19" s="502"/>
      <c r="O19" s="599"/>
      <c r="P19" s="599"/>
      <c r="Q19" s="599"/>
      <c r="R19" s="599"/>
      <c r="S19" s="599"/>
      <c r="T19" s="599"/>
      <c r="U19" s="599"/>
      <c r="V19" s="599"/>
      <c r="W19" s="599"/>
      <c r="X19" s="599"/>
      <c r="Y19" s="599"/>
      <c r="Z19" s="493"/>
      <c r="AB19" s="1815"/>
      <c r="AC19" s="1815"/>
      <c r="AD19" s="1815"/>
      <c r="AE19" s="1646"/>
      <c r="AF19" s="1644"/>
      <c r="AG19" s="1815"/>
      <c r="AH19" s="1815"/>
      <c r="AI19" s="1815"/>
      <c r="AJ19" s="1646"/>
      <c r="AK19" s="1644"/>
      <c r="AL19" s="623"/>
      <c r="AM19" s="623"/>
    </row>
    <row r="20" spans="1:39" ht="14.25">
      <c r="A20" s="503"/>
      <c r="B20" s="502"/>
      <c r="C20" s="492"/>
      <c r="D20" s="493"/>
      <c r="E20" s="494"/>
      <c r="F20" s="495"/>
      <c r="G20" s="495"/>
      <c r="H20" s="496"/>
      <c r="I20" s="497"/>
      <c r="J20" s="495"/>
      <c r="K20" s="498"/>
      <c r="M20" s="503"/>
      <c r="N20" s="502"/>
      <c r="O20" s="599"/>
      <c r="P20" s="599"/>
      <c r="Q20" s="599"/>
      <c r="R20" s="599"/>
      <c r="S20" s="599"/>
      <c r="T20" s="599"/>
      <c r="U20" s="599"/>
      <c r="V20" s="599"/>
      <c r="W20" s="599"/>
      <c r="X20" s="599"/>
      <c r="Y20" s="599"/>
      <c r="Z20" s="493"/>
      <c r="AB20" s="1819"/>
      <c r="AC20" s="1819"/>
      <c r="AD20" s="1820"/>
      <c r="AE20" s="1821"/>
      <c r="AF20" s="1822"/>
      <c r="AG20" s="1640"/>
      <c r="AH20" s="1640"/>
      <c r="AI20" s="1640"/>
      <c r="AJ20" s="1821"/>
      <c r="AK20" s="1822"/>
      <c r="AL20" s="623"/>
      <c r="AM20" s="623"/>
    </row>
    <row r="21" spans="1:39" ht="14.25">
      <c r="A21" s="503"/>
      <c r="B21" s="502"/>
      <c r="C21" s="492"/>
      <c r="D21" s="493"/>
      <c r="E21" s="494"/>
      <c r="F21" s="495"/>
      <c r="G21" s="495"/>
      <c r="H21" s="496"/>
      <c r="I21" s="497"/>
      <c r="J21" s="495"/>
      <c r="K21" s="498"/>
      <c r="M21" s="503"/>
      <c r="N21" s="502"/>
      <c r="O21" s="599"/>
      <c r="P21" s="599"/>
      <c r="Q21" s="599"/>
      <c r="R21" s="599"/>
      <c r="S21" s="599"/>
      <c r="T21" s="599"/>
      <c r="U21" s="599"/>
      <c r="V21" s="599"/>
      <c r="W21" s="599"/>
      <c r="X21" s="599"/>
      <c r="Y21" s="599"/>
      <c r="Z21" s="493"/>
      <c r="AB21" s="1813"/>
      <c r="AC21" s="1816"/>
      <c r="AD21" s="1814"/>
      <c r="AE21" s="1646"/>
      <c r="AF21" s="1644"/>
      <c r="AG21" s="1642"/>
      <c r="AH21" s="1639"/>
      <c r="AI21" s="1643"/>
      <c r="AJ21" s="1646"/>
      <c r="AK21" s="1644"/>
      <c r="AL21" s="623"/>
      <c r="AM21" s="623"/>
    </row>
    <row r="22" spans="1:39" ht="14.25">
      <c r="A22" s="503"/>
      <c r="B22" s="502"/>
      <c r="C22" s="492"/>
      <c r="D22" s="493"/>
      <c r="E22" s="494"/>
      <c r="F22" s="495"/>
      <c r="G22" s="495"/>
      <c r="H22" s="496"/>
      <c r="I22" s="497"/>
      <c r="J22" s="495"/>
      <c r="K22" s="498"/>
      <c r="M22" s="503"/>
      <c r="N22" s="502"/>
      <c r="O22" s="599"/>
      <c r="P22" s="599"/>
      <c r="Q22" s="599"/>
      <c r="R22" s="599"/>
      <c r="S22" s="599"/>
      <c r="T22" s="599"/>
      <c r="U22" s="599"/>
      <c r="V22" s="599"/>
      <c r="W22" s="599"/>
      <c r="X22" s="599"/>
      <c r="Y22" s="599"/>
      <c r="Z22" s="493"/>
      <c r="AB22" s="1635"/>
      <c r="AC22" s="1636"/>
      <c r="AD22" s="1637"/>
      <c r="AE22" s="1630"/>
      <c r="AF22" s="1630"/>
      <c r="AG22" s="1636"/>
      <c r="AH22" s="1636"/>
      <c r="AI22" s="1636"/>
      <c r="AJ22" s="1630"/>
      <c r="AK22" s="1630"/>
      <c r="AL22" s="1632"/>
      <c r="AM22" s="1632"/>
    </row>
    <row r="23" spans="1:39" ht="15.75" thickBot="1">
      <c r="A23" s="503"/>
      <c r="B23" s="504"/>
      <c r="C23" s="505"/>
      <c r="D23" s="506"/>
      <c r="E23" s="507"/>
      <c r="F23" s="508"/>
      <c r="G23" s="508"/>
      <c r="H23" s="509"/>
      <c r="I23" s="510"/>
      <c r="J23" s="508"/>
      <c r="K23" s="511"/>
      <c r="M23" s="503"/>
      <c r="N23" s="504"/>
      <c r="O23" s="599"/>
      <c r="P23" s="599"/>
      <c r="Q23" s="599"/>
      <c r="R23" s="599"/>
      <c r="S23" s="599"/>
      <c r="T23" s="599"/>
      <c r="U23" s="599"/>
      <c r="V23" s="599"/>
      <c r="W23" s="599"/>
      <c r="X23" s="599"/>
      <c r="Y23" s="599"/>
      <c r="Z23" s="493"/>
      <c r="AB23" s="1641"/>
      <c r="AC23" s="1817"/>
      <c r="AD23" s="1818"/>
      <c r="AE23" s="1646"/>
      <c r="AF23" s="1644"/>
      <c r="AG23" s="1813"/>
      <c r="AH23" s="1816"/>
      <c r="AI23" s="1814"/>
      <c r="AJ23" s="1646"/>
      <c r="AK23" s="1644"/>
      <c r="AL23" s="623"/>
      <c r="AM23" s="623"/>
    </row>
    <row r="24" spans="1:39" ht="15" thickBot="1">
      <c r="A24" s="512"/>
      <c r="B24" s="462"/>
      <c r="C24" s="513"/>
      <c r="D24" s="514"/>
      <c r="E24" s="512"/>
      <c r="F24" s="515"/>
      <c r="G24" s="515"/>
      <c r="H24" s="516"/>
      <c r="I24" s="517"/>
      <c r="J24" s="518"/>
      <c r="K24" s="514"/>
      <c r="M24" s="512"/>
      <c r="N24" s="462"/>
      <c r="O24" s="518"/>
      <c r="P24" s="518"/>
      <c r="Q24" s="518"/>
      <c r="R24" s="518"/>
      <c r="S24" s="518"/>
      <c r="T24" s="518"/>
      <c r="U24" s="518"/>
      <c r="V24" s="518"/>
      <c r="W24" s="518"/>
      <c r="X24" s="518"/>
      <c r="Y24" s="518"/>
      <c r="Z24" s="518"/>
      <c r="AB24" s="1635"/>
      <c r="AC24" s="1636"/>
      <c r="AD24" s="1637"/>
      <c r="AE24" s="1630"/>
      <c r="AF24" s="1630"/>
      <c r="AG24" s="1636"/>
      <c r="AH24" s="1636"/>
      <c r="AI24" s="1636"/>
      <c r="AJ24" s="1630"/>
      <c r="AK24" s="1630"/>
      <c r="AL24" s="1632"/>
      <c r="AM24" s="1632"/>
    </row>
    <row r="25" spans="1:39" ht="14.25">
      <c r="A25" s="519"/>
      <c r="B25" s="444"/>
      <c r="C25" s="519"/>
      <c r="D25" s="520"/>
      <c r="E25" s="519"/>
      <c r="F25" s="444"/>
      <c r="G25" s="444"/>
      <c r="H25" s="520"/>
      <c r="I25" s="444"/>
      <c r="J25" s="444"/>
      <c r="K25" s="520"/>
      <c r="M25" s="519"/>
      <c r="N25" s="444"/>
      <c r="O25" s="444"/>
      <c r="P25" s="444"/>
      <c r="Q25" s="444"/>
      <c r="R25" s="444"/>
      <c r="S25" s="444"/>
      <c r="T25" s="444"/>
      <c r="U25" s="444"/>
      <c r="V25" s="444"/>
      <c r="W25" s="444"/>
      <c r="X25" s="444"/>
      <c r="Y25" s="444"/>
      <c r="Z25" s="520"/>
      <c r="AB25" s="1641"/>
      <c r="AC25" s="1813"/>
      <c r="AD25" s="1814"/>
      <c r="AE25" s="1646"/>
      <c r="AF25" s="1644"/>
      <c r="AG25" s="1636"/>
      <c r="AH25" s="1636"/>
      <c r="AI25" s="1636"/>
      <c r="AJ25" s="1630"/>
      <c r="AK25" s="1630"/>
      <c r="AL25" s="1632"/>
      <c r="AM25" s="1632"/>
    </row>
    <row r="26" spans="1:39" ht="15">
      <c r="A26" s="521"/>
      <c r="B26" s="522"/>
      <c r="C26" s="492"/>
      <c r="D26" s="493"/>
      <c r="E26" s="494"/>
      <c r="F26" s="495"/>
      <c r="G26" s="495"/>
      <c r="H26" s="496"/>
      <c r="I26" s="497"/>
      <c r="J26" s="495"/>
      <c r="K26" s="498"/>
      <c r="M26" s="521"/>
      <c r="N26" s="495"/>
      <c r="O26" s="599"/>
      <c r="P26" s="599"/>
      <c r="Q26" s="599"/>
      <c r="R26" s="599"/>
      <c r="S26" s="599"/>
      <c r="T26" s="599"/>
      <c r="U26" s="599"/>
      <c r="V26" s="599"/>
      <c r="W26" s="599"/>
      <c r="X26" s="599"/>
      <c r="Y26" s="599"/>
      <c r="Z26" s="493"/>
      <c r="AB26" s="1629"/>
      <c r="AC26" s="1630"/>
      <c r="AD26" s="1631"/>
      <c r="AE26" s="1630"/>
      <c r="AF26" s="1630"/>
      <c r="AG26" s="1636"/>
      <c r="AH26" s="1636"/>
      <c r="AI26" s="1636"/>
      <c r="AJ26" s="1630"/>
      <c r="AK26" s="1630"/>
      <c r="AL26" s="1632"/>
      <c r="AM26" s="1632"/>
    </row>
    <row r="27" spans="1:39">
      <c r="A27" s="499"/>
      <c r="B27" s="523"/>
      <c r="C27" s="492"/>
      <c r="D27" s="493"/>
      <c r="E27" s="494"/>
      <c r="F27" s="495"/>
      <c r="G27" s="495"/>
      <c r="H27" s="496"/>
      <c r="I27" s="497"/>
      <c r="J27" s="495"/>
      <c r="K27" s="498"/>
      <c r="M27" s="499"/>
      <c r="N27" s="600"/>
      <c r="O27" s="599"/>
      <c r="P27" s="599"/>
      <c r="Q27" s="599"/>
      <c r="R27" s="599"/>
      <c r="S27" s="599"/>
      <c r="T27" s="599"/>
      <c r="U27" s="599"/>
      <c r="V27" s="599"/>
      <c r="W27" s="599"/>
      <c r="X27" s="599"/>
      <c r="Y27" s="599"/>
      <c r="Z27" s="493"/>
    </row>
    <row r="28" spans="1:39">
      <c r="A28" s="501"/>
      <c r="B28" s="523"/>
      <c r="C28" s="492"/>
      <c r="D28" s="493"/>
      <c r="E28" s="494"/>
      <c r="F28" s="495"/>
      <c r="G28" s="495"/>
      <c r="H28" s="496"/>
      <c r="I28" s="497"/>
      <c r="J28" s="495"/>
      <c r="K28" s="498"/>
      <c r="M28" s="501"/>
      <c r="N28" s="600"/>
      <c r="O28" s="599"/>
      <c r="P28" s="599"/>
      <c r="Q28" s="599"/>
      <c r="R28" s="599"/>
      <c r="S28" s="599"/>
      <c r="T28" s="599"/>
      <c r="U28" s="599"/>
      <c r="V28" s="599"/>
      <c r="W28" s="599"/>
      <c r="X28" s="599"/>
      <c r="Y28" s="599"/>
      <c r="Z28" s="493"/>
    </row>
    <row r="29" spans="1:39">
      <c r="A29" s="524"/>
      <c r="B29" s="523"/>
      <c r="C29" s="492"/>
      <c r="D29" s="493"/>
      <c r="E29" s="494"/>
      <c r="F29" s="495"/>
      <c r="G29" s="495"/>
      <c r="H29" s="496"/>
      <c r="I29" s="497"/>
      <c r="J29" s="495"/>
      <c r="K29" s="498"/>
      <c r="M29" s="524"/>
      <c r="N29" s="600"/>
      <c r="O29" s="599"/>
      <c r="P29" s="599"/>
      <c r="Q29" s="599"/>
      <c r="R29" s="599"/>
      <c r="S29" s="599"/>
      <c r="T29" s="599"/>
      <c r="U29" s="599"/>
      <c r="V29" s="599"/>
      <c r="W29" s="599"/>
      <c r="X29" s="599"/>
      <c r="Y29" s="599"/>
      <c r="Z29" s="493"/>
    </row>
    <row r="30" spans="1:39">
      <c r="A30" s="524"/>
      <c r="B30" s="522"/>
      <c r="C30" s="492"/>
      <c r="D30" s="493"/>
      <c r="E30" s="494"/>
      <c r="F30" s="495"/>
      <c r="G30" s="495"/>
      <c r="H30" s="496"/>
      <c r="I30" s="497"/>
      <c r="J30" s="495"/>
      <c r="K30" s="498"/>
      <c r="M30" s="524"/>
      <c r="N30" s="495"/>
      <c r="O30" s="599"/>
      <c r="P30" s="599"/>
      <c r="Q30" s="599"/>
      <c r="R30" s="599"/>
      <c r="S30" s="599"/>
      <c r="T30" s="599"/>
      <c r="U30" s="599"/>
      <c r="V30" s="599"/>
      <c r="W30" s="599"/>
      <c r="X30" s="599"/>
      <c r="Y30" s="599"/>
      <c r="Z30" s="493"/>
    </row>
    <row r="31" spans="1:39">
      <c r="A31" s="524"/>
      <c r="B31" s="522"/>
      <c r="C31" s="492"/>
      <c r="D31" s="493"/>
      <c r="E31" s="494"/>
      <c r="F31" s="495"/>
      <c r="G31" s="495"/>
      <c r="H31" s="496"/>
      <c r="I31" s="497"/>
      <c r="J31" s="495"/>
      <c r="K31" s="498"/>
      <c r="M31" s="524"/>
      <c r="N31" s="495"/>
      <c r="O31" s="599"/>
      <c r="P31" s="599"/>
      <c r="Q31" s="599"/>
      <c r="R31" s="599"/>
      <c r="S31" s="599"/>
      <c r="T31" s="599"/>
      <c r="U31" s="599"/>
      <c r="V31" s="599"/>
      <c r="W31" s="599"/>
      <c r="X31" s="599"/>
      <c r="Y31" s="599"/>
      <c r="Z31" s="493"/>
    </row>
    <row r="32" spans="1:39">
      <c r="A32" s="524"/>
      <c r="B32" s="523"/>
      <c r="C32" s="492"/>
      <c r="D32" s="493"/>
      <c r="E32" s="494"/>
      <c r="F32" s="495"/>
      <c r="G32" s="495"/>
      <c r="H32" s="496"/>
      <c r="I32" s="497"/>
      <c r="J32" s="495"/>
      <c r="K32" s="498"/>
      <c r="M32" s="524"/>
      <c r="N32" s="600"/>
      <c r="O32" s="599"/>
      <c r="P32" s="599"/>
      <c r="Q32" s="599"/>
      <c r="R32" s="599"/>
      <c r="S32" s="599"/>
      <c r="T32" s="599"/>
      <c r="U32" s="599"/>
      <c r="V32" s="599"/>
      <c r="W32" s="599"/>
      <c r="X32" s="599"/>
      <c r="Y32" s="599"/>
      <c r="Z32" s="493"/>
    </row>
    <row r="33" spans="1:26">
      <c r="A33" s="524"/>
      <c r="B33" s="523"/>
      <c r="C33" s="492"/>
      <c r="D33" s="493"/>
      <c r="E33" s="494"/>
      <c r="F33" s="495"/>
      <c r="G33" s="495"/>
      <c r="H33" s="496"/>
      <c r="I33" s="497"/>
      <c r="J33" s="495"/>
      <c r="K33" s="498"/>
      <c r="M33" s="524"/>
      <c r="N33" s="600"/>
      <c r="O33" s="599"/>
      <c r="P33" s="599"/>
      <c r="Q33" s="599"/>
      <c r="R33" s="599"/>
      <c r="S33" s="599"/>
      <c r="T33" s="599"/>
      <c r="U33" s="599"/>
      <c r="V33" s="599"/>
      <c r="W33" s="599"/>
      <c r="X33" s="599"/>
      <c r="Y33" s="599"/>
      <c r="Z33" s="493"/>
    </row>
    <row r="34" spans="1:26">
      <c r="A34" s="524"/>
      <c r="B34" s="523"/>
      <c r="C34" s="492"/>
      <c r="D34" s="493"/>
      <c r="E34" s="494"/>
      <c r="F34" s="495"/>
      <c r="G34" s="495"/>
      <c r="H34" s="496"/>
      <c r="I34" s="497"/>
      <c r="J34" s="495"/>
      <c r="K34" s="498"/>
      <c r="M34" s="524"/>
      <c r="N34" s="600"/>
      <c r="O34" s="599"/>
      <c r="P34" s="599"/>
      <c r="Q34" s="599"/>
      <c r="R34" s="599"/>
      <c r="S34" s="599"/>
      <c r="T34" s="599"/>
      <c r="U34" s="599"/>
      <c r="V34" s="599"/>
      <c r="W34" s="599"/>
      <c r="X34" s="599"/>
      <c r="Y34" s="599"/>
      <c r="Z34" s="493"/>
    </row>
    <row r="35" spans="1:26">
      <c r="A35" s="524"/>
      <c r="B35" s="523"/>
      <c r="C35" s="492"/>
      <c r="D35" s="493"/>
      <c r="E35" s="494"/>
      <c r="F35" s="495"/>
      <c r="G35" s="495"/>
      <c r="H35" s="496"/>
      <c r="I35" s="497"/>
      <c r="J35" s="495"/>
      <c r="K35" s="498"/>
      <c r="M35" s="524"/>
      <c r="N35" s="600"/>
      <c r="O35" s="599"/>
      <c r="P35" s="599"/>
      <c r="Q35" s="599"/>
      <c r="R35" s="599"/>
      <c r="S35" s="599"/>
      <c r="T35" s="599"/>
      <c r="U35" s="599"/>
      <c r="V35" s="599"/>
      <c r="W35" s="599"/>
      <c r="X35" s="599"/>
      <c r="Y35" s="599"/>
      <c r="Z35" s="493"/>
    </row>
    <row r="36" spans="1:26" ht="13.5" thickBot="1">
      <c r="A36" s="524"/>
      <c r="B36" s="504"/>
      <c r="C36" s="505"/>
      <c r="D36" s="506"/>
      <c r="E36" s="507"/>
      <c r="F36" s="508"/>
      <c r="G36" s="508"/>
      <c r="H36" s="509"/>
      <c r="I36" s="510"/>
      <c r="J36" s="508"/>
      <c r="K36" s="511"/>
      <c r="M36" s="524"/>
      <c r="N36" s="601"/>
      <c r="O36" s="599"/>
      <c r="P36" s="599"/>
      <c r="Q36" s="599"/>
      <c r="R36" s="599"/>
      <c r="S36" s="599"/>
      <c r="T36" s="599"/>
      <c r="U36" s="599"/>
      <c r="V36" s="599"/>
      <c r="W36" s="599"/>
      <c r="X36" s="599"/>
      <c r="Y36" s="599"/>
      <c r="Z36" s="493"/>
    </row>
    <row r="37" spans="1:26" ht="13.5" thickBot="1">
      <c r="A37" s="524"/>
      <c r="B37" s="525"/>
      <c r="C37" s="513"/>
      <c r="D37" s="514"/>
      <c r="E37" s="512"/>
      <c r="F37" s="515"/>
      <c r="G37" s="515"/>
      <c r="H37" s="516"/>
      <c r="I37" s="517"/>
      <c r="J37" s="518"/>
      <c r="K37" s="514"/>
      <c r="M37" s="524"/>
      <c r="N37" s="462"/>
      <c r="O37" s="602"/>
      <c r="P37" s="602"/>
      <c r="Q37" s="602"/>
      <c r="R37" s="602"/>
      <c r="S37" s="602"/>
      <c r="T37" s="602"/>
      <c r="U37" s="602"/>
      <c r="V37" s="602"/>
      <c r="W37" s="602"/>
      <c r="X37" s="602"/>
      <c r="Y37" s="602"/>
      <c r="Z37" s="602"/>
    </row>
    <row r="38" spans="1:26">
      <c r="A38" s="519"/>
      <c r="B38" s="444"/>
      <c r="C38" s="519"/>
      <c r="D38" s="520"/>
      <c r="E38" s="519"/>
      <c r="F38" s="444"/>
      <c r="G38" s="444"/>
      <c r="H38" s="520"/>
      <c r="I38" s="444"/>
      <c r="J38" s="444"/>
      <c r="K38" s="520"/>
      <c r="M38" s="519"/>
      <c r="N38" s="444"/>
      <c r="O38" s="444"/>
      <c r="P38" s="444"/>
      <c r="Q38" s="444"/>
      <c r="R38" s="444"/>
      <c r="S38" s="444"/>
      <c r="T38" s="444"/>
      <c r="U38" s="444"/>
      <c r="V38" s="444"/>
      <c r="W38" s="444"/>
      <c r="X38" s="444"/>
      <c r="Y38" s="444"/>
      <c r="Z38" s="520"/>
    </row>
    <row r="39" spans="1:26">
      <c r="A39" s="521"/>
      <c r="B39" s="522"/>
      <c r="C39" s="492"/>
      <c r="D39" s="493"/>
      <c r="E39" s="494"/>
      <c r="F39" s="495"/>
      <c r="G39" s="495"/>
      <c r="H39" s="496"/>
      <c r="I39" s="497"/>
      <c r="J39" s="495"/>
      <c r="K39" s="498"/>
      <c r="M39" s="521"/>
      <c r="N39" s="495"/>
      <c r="O39" s="599"/>
      <c r="P39" s="599"/>
      <c r="Q39" s="599"/>
      <c r="R39" s="599"/>
      <c r="S39" s="599"/>
      <c r="T39" s="599"/>
      <c r="U39" s="599"/>
      <c r="V39" s="599"/>
      <c r="W39" s="599"/>
      <c r="X39" s="599"/>
      <c r="Y39" s="599"/>
      <c r="Z39" s="493"/>
    </row>
    <row r="40" spans="1:26">
      <c r="A40" s="521"/>
      <c r="B40" s="523"/>
      <c r="C40" s="492"/>
      <c r="D40" s="493"/>
      <c r="E40" s="494"/>
      <c r="F40" s="495"/>
      <c r="G40" s="495"/>
      <c r="H40" s="496"/>
      <c r="I40" s="497"/>
      <c r="J40" s="495"/>
      <c r="K40" s="498"/>
      <c r="M40" s="521"/>
      <c r="N40" s="600"/>
      <c r="O40" s="599"/>
      <c r="P40" s="599"/>
      <c r="Q40" s="599"/>
      <c r="R40" s="599"/>
      <c r="S40" s="599"/>
      <c r="T40" s="599"/>
      <c r="U40" s="599"/>
      <c r="V40" s="599"/>
      <c r="W40" s="599"/>
      <c r="X40" s="599"/>
      <c r="Y40" s="599"/>
      <c r="Z40" s="493"/>
    </row>
    <row r="41" spans="1:26">
      <c r="A41" s="499"/>
      <c r="B41" s="523"/>
      <c r="C41" s="492"/>
      <c r="D41" s="493"/>
      <c r="E41" s="494"/>
      <c r="F41" s="495"/>
      <c r="G41" s="495"/>
      <c r="H41" s="496"/>
      <c r="I41" s="497"/>
      <c r="J41" s="495"/>
      <c r="K41" s="498"/>
      <c r="M41" s="499"/>
      <c r="N41" s="600"/>
      <c r="O41" s="599"/>
      <c r="P41" s="599"/>
      <c r="Q41" s="599"/>
      <c r="R41" s="599"/>
      <c r="S41" s="599"/>
      <c r="T41" s="599"/>
      <c r="U41" s="599"/>
      <c r="V41" s="599"/>
      <c r="W41" s="599"/>
      <c r="X41" s="599"/>
      <c r="Y41" s="599"/>
      <c r="Z41" s="493"/>
    </row>
    <row r="42" spans="1:26">
      <c r="A42" s="501"/>
      <c r="B42" s="523"/>
      <c r="C42" s="492"/>
      <c r="D42" s="493"/>
      <c r="E42" s="494"/>
      <c r="F42" s="495"/>
      <c r="G42" s="495"/>
      <c r="H42" s="496"/>
      <c r="I42" s="497"/>
      <c r="J42" s="495"/>
      <c r="K42" s="498"/>
      <c r="M42" s="501"/>
      <c r="N42" s="600"/>
      <c r="O42" s="599"/>
      <c r="P42" s="599"/>
      <c r="Q42" s="599"/>
      <c r="R42" s="599"/>
      <c r="S42" s="599"/>
      <c r="T42" s="599"/>
      <c r="U42" s="599"/>
      <c r="V42" s="599"/>
      <c r="W42" s="599"/>
      <c r="X42" s="599"/>
      <c r="Y42" s="599"/>
      <c r="Z42" s="493"/>
    </row>
    <row r="43" spans="1:26">
      <c r="A43" s="524"/>
      <c r="B43" s="522"/>
      <c r="C43" s="492"/>
      <c r="D43" s="493"/>
      <c r="E43" s="494"/>
      <c r="F43" s="495"/>
      <c r="G43" s="495"/>
      <c r="H43" s="496"/>
      <c r="I43" s="497"/>
      <c r="J43" s="495"/>
      <c r="K43" s="498"/>
      <c r="M43" s="524"/>
      <c r="N43" s="495"/>
      <c r="O43" s="599"/>
      <c r="P43" s="599"/>
      <c r="Q43" s="599"/>
      <c r="R43" s="599"/>
      <c r="S43" s="599"/>
      <c r="T43" s="599"/>
      <c r="U43" s="599"/>
      <c r="V43" s="599"/>
      <c r="W43" s="599"/>
      <c r="X43" s="599"/>
      <c r="Y43" s="599"/>
      <c r="Z43" s="493"/>
    </row>
    <row r="44" spans="1:26">
      <c r="A44" s="524"/>
      <c r="B44" s="522"/>
      <c r="C44" s="492"/>
      <c r="D44" s="493"/>
      <c r="E44" s="494"/>
      <c r="F44" s="495"/>
      <c r="G44" s="495"/>
      <c r="H44" s="496"/>
      <c r="I44" s="497"/>
      <c r="J44" s="495"/>
      <c r="K44" s="498"/>
      <c r="M44" s="524"/>
      <c r="N44" s="495"/>
      <c r="O44" s="599"/>
      <c r="P44" s="599"/>
      <c r="Q44" s="599"/>
      <c r="R44" s="599"/>
      <c r="S44" s="599"/>
      <c r="T44" s="599"/>
      <c r="U44" s="599"/>
      <c r="V44" s="599"/>
      <c r="W44" s="599"/>
      <c r="X44" s="599"/>
      <c r="Y44" s="599"/>
      <c r="Z44" s="493"/>
    </row>
    <row r="45" spans="1:26">
      <c r="A45" s="524"/>
      <c r="B45" s="523"/>
      <c r="C45" s="492"/>
      <c r="D45" s="493"/>
      <c r="E45" s="494"/>
      <c r="F45" s="495"/>
      <c r="G45" s="495"/>
      <c r="H45" s="496"/>
      <c r="I45" s="497"/>
      <c r="J45" s="495"/>
      <c r="K45" s="498"/>
      <c r="M45" s="524"/>
      <c r="N45" s="600"/>
      <c r="O45" s="599"/>
      <c r="P45" s="599"/>
      <c r="Q45" s="599"/>
      <c r="R45" s="599"/>
      <c r="S45" s="599"/>
      <c r="T45" s="599"/>
      <c r="U45" s="599"/>
      <c r="V45" s="599"/>
      <c r="W45" s="599"/>
      <c r="X45" s="599"/>
      <c r="Y45" s="599"/>
      <c r="Z45" s="493"/>
    </row>
    <row r="46" spans="1:26">
      <c r="A46" s="524"/>
      <c r="B46" s="523"/>
      <c r="C46" s="492"/>
      <c r="D46" s="493"/>
      <c r="E46" s="494"/>
      <c r="F46" s="495"/>
      <c r="G46" s="495"/>
      <c r="H46" s="496"/>
      <c r="I46" s="497"/>
      <c r="J46" s="495"/>
      <c r="K46" s="498"/>
      <c r="M46" s="524"/>
      <c r="N46" s="600"/>
      <c r="O46" s="599"/>
      <c r="P46" s="599"/>
      <c r="Q46" s="599"/>
      <c r="R46" s="599"/>
      <c r="S46" s="599"/>
      <c r="T46" s="599"/>
      <c r="U46" s="599"/>
      <c r="V46" s="599"/>
      <c r="W46" s="599"/>
      <c r="X46" s="599"/>
      <c r="Y46" s="599"/>
      <c r="Z46" s="493"/>
    </row>
    <row r="47" spans="1:26">
      <c r="A47" s="524"/>
      <c r="B47" s="523"/>
      <c r="C47" s="492"/>
      <c r="D47" s="493"/>
      <c r="E47" s="494"/>
      <c r="F47" s="495"/>
      <c r="G47" s="495"/>
      <c r="H47" s="496"/>
      <c r="I47" s="497"/>
      <c r="J47" s="495"/>
      <c r="K47" s="498"/>
      <c r="M47" s="524"/>
      <c r="N47" s="600"/>
      <c r="O47" s="599"/>
      <c r="P47" s="599"/>
      <c r="Q47" s="599"/>
      <c r="R47" s="599"/>
      <c r="S47" s="599"/>
      <c r="T47" s="599"/>
      <c r="U47" s="599"/>
      <c r="V47" s="599"/>
      <c r="W47" s="599"/>
      <c r="X47" s="599"/>
      <c r="Y47" s="599"/>
      <c r="Z47" s="493"/>
    </row>
    <row r="48" spans="1:26">
      <c r="A48" s="524"/>
      <c r="B48" s="523"/>
      <c r="C48" s="492"/>
      <c r="D48" s="493"/>
      <c r="E48" s="494"/>
      <c r="F48" s="495"/>
      <c r="G48" s="495"/>
      <c r="H48" s="496"/>
      <c r="I48" s="497"/>
      <c r="J48" s="495"/>
      <c r="K48" s="498"/>
      <c r="M48" s="524"/>
      <c r="N48" s="600"/>
      <c r="O48" s="599"/>
      <c r="P48" s="599"/>
      <c r="Q48" s="599"/>
      <c r="R48" s="599"/>
      <c r="S48" s="599"/>
      <c r="T48" s="599"/>
      <c r="U48" s="599"/>
      <c r="V48" s="599"/>
      <c r="W48" s="599"/>
      <c r="X48" s="599"/>
      <c r="Y48" s="599"/>
      <c r="Z48" s="493"/>
    </row>
    <row r="49" spans="1:26" ht="13.5" thickBot="1">
      <c r="A49" s="524"/>
      <c r="B49" s="504"/>
      <c r="C49" s="505"/>
      <c r="D49" s="506"/>
      <c r="E49" s="507"/>
      <c r="F49" s="508"/>
      <c r="G49" s="508"/>
      <c r="H49" s="509"/>
      <c r="I49" s="510"/>
      <c r="J49" s="508"/>
      <c r="K49" s="511"/>
      <c r="M49" s="524"/>
      <c r="N49" s="601"/>
      <c r="O49" s="599"/>
      <c r="P49" s="599"/>
      <c r="Q49" s="599"/>
      <c r="R49" s="599"/>
      <c r="S49" s="599"/>
      <c r="T49" s="599"/>
      <c r="U49" s="599"/>
      <c r="V49" s="599"/>
      <c r="W49" s="599"/>
      <c r="X49" s="599"/>
      <c r="Y49" s="599"/>
      <c r="Z49" s="493"/>
    </row>
    <row r="50" spans="1:26" ht="13.5" thickBot="1">
      <c r="A50" s="524"/>
      <c r="B50" s="525"/>
      <c r="C50" s="513"/>
      <c r="D50" s="514"/>
      <c r="E50" s="512"/>
      <c r="F50" s="515"/>
      <c r="G50" s="515"/>
      <c r="H50" s="516"/>
      <c r="I50" s="517"/>
      <c r="J50" s="518"/>
      <c r="K50" s="514"/>
      <c r="M50" s="524"/>
      <c r="N50" s="462"/>
      <c r="O50" s="602"/>
      <c r="P50" s="602"/>
      <c r="Q50" s="602"/>
      <c r="R50" s="602"/>
      <c r="S50" s="602"/>
      <c r="T50" s="602"/>
      <c r="U50" s="602"/>
      <c r="V50" s="602"/>
      <c r="W50" s="602"/>
      <c r="X50" s="602"/>
      <c r="Y50" s="602"/>
      <c r="Z50" s="602"/>
    </row>
    <row r="51" spans="1:26">
      <c r="A51" s="519"/>
      <c r="B51" s="444"/>
      <c r="C51" s="519"/>
      <c r="D51" s="520"/>
      <c r="E51" s="519"/>
      <c r="F51" s="444"/>
      <c r="G51" s="444"/>
      <c r="H51" s="520"/>
      <c r="I51" s="444"/>
      <c r="J51" s="444"/>
      <c r="K51" s="520"/>
      <c r="M51" s="519"/>
      <c r="N51" s="444"/>
      <c r="O51" s="444"/>
      <c r="P51" s="444"/>
      <c r="Q51" s="444"/>
      <c r="R51" s="444"/>
      <c r="S51" s="444"/>
      <c r="T51" s="444"/>
      <c r="U51" s="444"/>
      <c r="V51" s="444"/>
      <c r="W51" s="444"/>
      <c r="X51" s="444"/>
      <c r="Y51" s="444"/>
      <c r="Z51" s="520"/>
    </row>
    <row r="52" spans="1:26">
      <c r="A52" s="521"/>
      <c r="B52" s="523"/>
      <c r="C52" s="526"/>
      <c r="D52" s="527"/>
      <c r="E52" s="526"/>
      <c r="F52" s="528"/>
      <c r="G52" s="528"/>
      <c r="H52" s="527"/>
      <c r="I52" s="497"/>
      <c r="J52" s="528"/>
      <c r="K52" s="498"/>
      <c r="M52" s="521"/>
      <c r="N52" s="600"/>
      <c r="O52" s="599"/>
      <c r="P52" s="599"/>
      <c r="Q52" s="599"/>
      <c r="R52" s="599"/>
      <c r="S52" s="599"/>
      <c r="T52" s="599"/>
      <c r="U52" s="599"/>
      <c r="V52" s="599"/>
      <c r="W52" s="599"/>
      <c r="X52" s="599"/>
      <c r="Y52" s="599"/>
      <c r="Z52" s="493"/>
    </row>
    <row r="53" spans="1:26">
      <c r="A53" s="521"/>
      <c r="B53" s="523"/>
      <c r="C53" s="529"/>
      <c r="D53" s="530"/>
      <c r="E53" s="529"/>
      <c r="F53" s="531"/>
      <c r="G53" s="531"/>
      <c r="H53" s="530"/>
      <c r="I53" s="532"/>
      <c r="J53" s="531"/>
      <c r="K53" s="530"/>
      <c r="M53" s="521"/>
      <c r="N53" s="600"/>
      <c r="O53" s="599"/>
      <c r="P53" s="599"/>
      <c r="Q53" s="599"/>
      <c r="R53" s="599"/>
      <c r="S53" s="599"/>
      <c r="T53" s="599"/>
      <c r="U53" s="599"/>
      <c r="V53" s="599"/>
      <c r="W53" s="599"/>
      <c r="X53" s="599"/>
      <c r="Y53" s="599"/>
      <c r="Z53" s="493"/>
    </row>
    <row r="54" spans="1:26">
      <c r="A54" s="521"/>
      <c r="B54" s="523"/>
      <c r="C54" s="529"/>
      <c r="D54" s="530"/>
      <c r="E54" s="529"/>
      <c r="F54" s="531"/>
      <c r="G54" s="533"/>
      <c r="H54" s="534"/>
      <c r="I54" s="532"/>
      <c r="J54" s="531"/>
      <c r="K54" s="530"/>
      <c r="M54" s="521"/>
      <c r="N54" s="600"/>
      <c r="O54" s="599"/>
      <c r="P54" s="599"/>
      <c r="Q54" s="599"/>
      <c r="R54" s="599"/>
      <c r="S54" s="599"/>
      <c r="T54" s="599"/>
      <c r="U54" s="599"/>
      <c r="V54" s="599"/>
      <c r="W54" s="599"/>
      <c r="X54" s="599"/>
      <c r="Y54" s="599"/>
      <c r="Z54" s="493"/>
    </row>
    <row r="55" spans="1:26">
      <c r="A55" s="521"/>
      <c r="B55" s="523"/>
      <c r="C55" s="529"/>
      <c r="D55" s="530"/>
      <c r="E55" s="529"/>
      <c r="F55" s="531"/>
      <c r="G55" s="531"/>
      <c r="H55" s="530"/>
      <c r="I55" s="532"/>
      <c r="J55" s="531"/>
      <c r="K55" s="530"/>
      <c r="M55" s="521"/>
      <c r="N55" s="600"/>
      <c r="O55" s="599"/>
      <c r="P55" s="599"/>
      <c r="Q55" s="599"/>
      <c r="R55" s="599"/>
      <c r="S55" s="599"/>
      <c r="T55" s="599"/>
      <c r="U55" s="599"/>
      <c r="V55" s="599"/>
      <c r="W55" s="599"/>
      <c r="X55" s="599"/>
      <c r="Y55" s="599"/>
      <c r="Z55" s="493"/>
    </row>
    <row r="56" spans="1:26" ht="13.5" thickBot="1">
      <c r="A56" s="521"/>
      <c r="B56" s="535"/>
      <c r="C56" s="536"/>
      <c r="D56" s="537"/>
      <c r="E56" s="536"/>
      <c r="F56" s="538"/>
      <c r="G56" s="538"/>
      <c r="H56" s="537"/>
      <c r="I56" s="539"/>
      <c r="J56" s="538"/>
      <c r="K56" s="537"/>
      <c r="M56" s="521"/>
      <c r="N56" s="508"/>
      <c r="O56" s="599"/>
      <c r="P56" s="599"/>
      <c r="Q56" s="599"/>
      <c r="R56" s="599"/>
      <c r="S56" s="599"/>
      <c r="T56" s="599"/>
      <c r="U56" s="599"/>
      <c r="V56" s="599"/>
      <c r="W56" s="599"/>
      <c r="X56" s="599"/>
      <c r="Y56" s="599"/>
      <c r="Z56" s="493"/>
    </row>
    <row r="57" spans="1:26" ht="13.5" thickBot="1">
      <c r="A57" s="524"/>
      <c r="B57" s="525"/>
      <c r="C57" s="540"/>
      <c r="D57" s="541"/>
      <c r="E57" s="540"/>
      <c r="F57" s="542"/>
      <c r="G57" s="542"/>
      <c r="H57" s="541"/>
      <c r="I57" s="543"/>
      <c r="J57" s="542"/>
      <c r="K57" s="541"/>
      <c r="M57" s="524"/>
      <c r="N57" s="462"/>
      <c r="O57" s="434"/>
      <c r="P57" s="434"/>
      <c r="Q57" s="434"/>
      <c r="R57" s="434"/>
      <c r="S57" s="434"/>
      <c r="T57" s="434"/>
      <c r="U57" s="434"/>
      <c r="V57" s="434"/>
      <c r="W57" s="434"/>
      <c r="X57" s="434"/>
      <c r="Y57" s="602"/>
      <c r="Z57" s="602"/>
    </row>
    <row r="58" spans="1:26">
      <c r="A58" s="519"/>
      <c r="B58" s="444"/>
      <c r="C58" s="544"/>
      <c r="D58" s="545"/>
      <c r="E58" s="544"/>
      <c r="F58" s="546"/>
      <c r="G58" s="546"/>
      <c r="H58" s="545"/>
      <c r="I58" s="546"/>
      <c r="J58" s="546"/>
      <c r="K58" s="545"/>
      <c r="M58" s="519"/>
      <c r="N58" s="444"/>
      <c r="O58" s="444"/>
      <c r="P58" s="444"/>
      <c r="Q58" s="444"/>
      <c r="R58" s="444"/>
      <c r="S58" s="444"/>
      <c r="T58" s="444"/>
      <c r="U58" s="444"/>
      <c r="V58" s="444"/>
      <c r="W58" s="444"/>
      <c r="X58" s="444"/>
      <c r="Y58" s="444"/>
      <c r="Z58" s="520"/>
    </row>
    <row r="59" spans="1:26">
      <c r="A59" s="521"/>
      <c r="B59" s="523"/>
      <c r="C59" s="529"/>
      <c r="D59" s="530"/>
      <c r="E59" s="529"/>
      <c r="F59" s="531"/>
      <c r="G59" s="531"/>
      <c r="H59" s="530"/>
      <c r="I59" s="532"/>
      <c r="J59" s="531"/>
      <c r="K59" s="530"/>
      <c r="M59" s="521"/>
      <c r="N59" s="600"/>
      <c r="O59" s="599"/>
      <c r="P59" s="599"/>
      <c r="Q59" s="599"/>
      <c r="R59" s="599"/>
      <c r="S59" s="599"/>
      <c r="T59" s="599"/>
      <c r="U59" s="599"/>
      <c r="V59" s="599"/>
      <c r="W59" s="599"/>
      <c r="X59" s="599"/>
      <c r="Y59" s="599"/>
      <c r="Z59" s="493"/>
    </row>
    <row r="60" spans="1:26">
      <c r="A60" s="521"/>
      <c r="B60" s="523"/>
      <c r="C60" s="529"/>
      <c r="D60" s="530"/>
      <c r="E60" s="529"/>
      <c r="F60" s="531"/>
      <c r="G60" s="531"/>
      <c r="H60" s="530"/>
      <c r="I60" s="532"/>
      <c r="J60" s="531"/>
      <c r="K60" s="530"/>
      <c r="M60" s="521"/>
      <c r="N60" s="600"/>
      <c r="O60" s="599"/>
      <c r="P60" s="599"/>
      <c r="Q60" s="599"/>
      <c r="R60" s="599"/>
      <c r="S60" s="599"/>
      <c r="T60" s="599"/>
      <c r="U60" s="599"/>
      <c r="V60" s="599"/>
      <c r="W60" s="599"/>
      <c r="X60" s="599"/>
      <c r="Y60" s="599"/>
      <c r="Z60" s="493"/>
    </row>
    <row r="61" spans="1:26">
      <c r="A61" s="521"/>
      <c r="B61" s="523"/>
      <c r="C61" s="547"/>
      <c r="D61" s="534"/>
      <c r="E61" s="529"/>
      <c r="F61" s="531"/>
      <c r="G61" s="533"/>
      <c r="H61" s="534"/>
      <c r="I61" s="532"/>
      <c r="J61" s="531"/>
      <c r="K61" s="530"/>
      <c r="M61" s="521"/>
      <c r="N61" s="600"/>
      <c r="O61" s="599"/>
      <c r="P61" s="599"/>
      <c r="Q61" s="599"/>
      <c r="R61" s="599"/>
      <c r="S61" s="599"/>
      <c r="T61" s="599"/>
      <c r="U61" s="599"/>
      <c r="V61" s="599"/>
      <c r="W61" s="599"/>
      <c r="X61" s="599"/>
      <c r="Y61" s="599"/>
      <c r="Z61" s="493"/>
    </row>
    <row r="62" spans="1:26" ht="13.5" thickBot="1">
      <c r="A62" s="521"/>
      <c r="B62" s="535"/>
      <c r="C62" s="536"/>
      <c r="D62" s="537"/>
      <c r="E62" s="536"/>
      <c r="F62" s="538"/>
      <c r="G62" s="538"/>
      <c r="H62" s="537"/>
      <c r="I62" s="539"/>
      <c r="J62" s="538"/>
      <c r="K62" s="537"/>
      <c r="M62" s="521"/>
      <c r="N62" s="495"/>
      <c r="O62" s="599"/>
      <c r="P62" s="599"/>
      <c r="Q62" s="599"/>
      <c r="R62" s="599"/>
      <c r="S62" s="599"/>
      <c r="T62" s="599"/>
      <c r="U62" s="599"/>
      <c r="V62" s="599"/>
      <c r="W62" s="599"/>
      <c r="X62" s="599"/>
      <c r="Y62" s="599"/>
      <c r="Z62" s="493"/>
    </row>
    <row r="63" spans="1:26">
      <c r="A63" s="521"/>
      <c r="B63" s="525"/>
      <c r="C63" s="540"/>
      <c r="D63" s="541"/>
      <c r="E63" s="540"/>
      <c r="F63" s="542"/>
      <c r="G63" s="542"/>
      <c r="H63" s="541"/>
      <c r="I63" s="543"/>
      <c r="J63" s="542"/>
      <c r="K63" s="541"/>
      <c r="M63" s="521"/>
      <c r="N63" s="434"/>
      <c r="O63" s="602"/>
      <c r="P63" s="602"/>
      <c r="Q63" s="602"/>
      <c r="R63" s="602"/>
      <c r="S63" s="602"/>
      <c r="T63" s="602"/>
      <c r="U63" s="602"/>
      <c r="V63" s="602"/>
      <c r="W63" s="602"/>
      <c r="X63" s="602"/>
      <c r="Y63" s="602"/>
      <c r="Z63" s="602"/>
    </row>
    <row r="64" spans="1:26">
      <c r="A64" s="519"/>
      <c r="B64" s="444"/>
      <c r="C64" s="544"/>
      <c r="D64" s="545"/>
      <c r="E64" s="544"/>
      <c r="F64" s="546"/>
      <c r="G64" s="546"/>
      <c r="H64" s="545"/>
      <c r="I64" s="546"/>
      <c r="J64" s="546"/>
      <c r="K64" s="545"/>
      <c r="M64" s="519"/>
      <c r="N64" s="444"/>
      <c r="O64" s="444"/>
      <c r="P64" s="444"/>
      <c r="Q64" s="444"/>
      <c r="R64" s="444"/>
      <c r="S64" s="444"/>
      <c r="T64" s="444"/>
      <c r="U64" s="444"/>
      <c r="V64" s="444"/>
      <c r="W64" s="444"/>
      <c r="X64" s="444"/>
      <c r="Y64" s="444"/>
      <c r="Z64" s="520"/>
    </row>
    <row r="65" spans="1:26">
      <c r="A65" s="521"/>
      <c r="B65" s="523"/>
      <c r="C65" s="547"/>
      <c r="D65" s="534"/>
      <c r="E65" s="547"/>
      <c r="F65" s="533"/>
      <c r="G65" s="533"/>
      <c r="H65" s="534"/>
      <c r="I65" s="532"/>
      <c r="J65" s="531"/>
      <c r="K65" s="530"/>
      <c r="M65" s="521"/>
      <c r="N65" s="600"/>
      <c r="O65" s="599"/>
      <c r="P65" s="599"/>
      <c r="Q65" s="599"/>
      <c r="R65" s="599"/>
      <c r="S65" s="599"/>
      <c r="T65" s="599"/>
      <c r="U65" s="599"/>
      <c r="V65" s="599"/>
      <c r="W65" s="599"/>
      <c r="X65" s="599"/>
      <c r="Y65" s="599"/>
      <c r="Z65" s="493"/>
    </row>
    <row r="66" spans="1:26" ht="13.5" thickBot="1">
      <c r="A66" s="521"/>
      <c r="B66" s="535"/>
      <c r="C66" s="547"/>
      <c r="D66" s="534"/>
      <c r="E66" s="547"/>
      <c r="F66" s="533"/>
      <c r="G66" s="533"/>
      <c r="H66" s="534"/>
      <c r="I66" s="539"/>
      <c r="J66" s="538"/>
      <c r="K66" s="537"/>
      <c r="M66" s="521"/>
      <c r="N66" s="495"/>
      <c r="O66" s="599"/>
      <c r="P66" s="599"/>
      <c r="Q66" s="599"/>
      <c r="R66" s="599"/>
      <c r="S66" s="599"/>
      <c r="T66" s="599"/>
      <c r="U66" s="599"/>
      <c r="V66" s="599"/>
      <c r="W66" s="599"/>
      <c r="X66" s="599"/>
      <c r="Y66" s="599"/>
      <c r="Z66" s="493"/>
    </row>
    <row r="67" spans="1:26">
      <c r="A67" s="521"/>
      <c r="B67" s="525"/>
      <c r="C67" s="540"/>
      <c r="D67" s="541"/>
      <c r="E67" s="540"/>
      <c r="F67" s="542"/>
      <c r="G67" s="542"/>
      <c r="H67" s="541"/>
      <c r="I67" s="543"/>
      <c r="J67" s="542"/>
      <c r="K67" s="541"/>
      <c r="M67" s="521"/>
      <c r="N67" s="434"/>
      <c r="O67" s="602"/>
      <c r="P67" s="602"/>
      <c r="Q67" s="602"/>
      <c r="R67" s="602"/>
      <c r="S67" s="602"/>
      <c r="T67" s="602"/>
      <c r="U67" s="602"/>
      <c r="V67" s="602"/>
      <c r="W67" s="602"/>
      <c r="X67" s="602"/>
      <c r="Y67" s="602"/>
      <c r="Z67" s="602"/>
    </row>
    <row r="68" spans="1:26">
      <c r="A68" s="519"/>
      <c r="B68" s="444"/>
      <c r="C68" s="544"/>
      <c r="D68" s="545"/>
      <c r="E68" s="544"/>
      <c r="F68" s="546"/>
      <c r="G68" s="546"/>
      <c r="H68" s="545"/>
      <c r="I68" s="546"/>
      <c r="J68" s="546"/>
      <c r="K68" s="545"/>
      <c r="M68" s="519"/>
      <c r="N68" s="444"/>
      <c r="O68" s="444"/>
      <c r="P68" s="444"/>
      <c r="Q68" s="444"/>
      <c r="R68" s="444"/>
      <c r="S68" s="444"/>
      <c r="T68" s="444"/>
      <c r="U68" s="444"/>
      <c r="V68" s="444"/>
      <c r="W68" s="444"/>
      <c r="X68" s="444"/>
      <c r="Y68" s="444"/>
      <c r="Z68" s="520"/>
    </row>
    <row r="69" spans="1:26">
      <c r="A69" s="521"/>
      <c r="B69" s="522"/>
      <c r="C69" s="547"/>
      <c r="D69" s="534"/>
      <c r="E69" s="547"/>
      <c r="F69" s="533"/>
      <c r="G69" s="533"/>
      <c r="H69" s="534"/>
      <c r="I69" s="532"/>
      <c r="J69" s="531"/>
      <c r="K69" s="530"/>
      <c r="M69" s="521"/>
      <c r="N69" s="495"/>
      <c r="O69" s="599"/>
      <c r="P69" s="599"/>
      <c r="Q69" s="599"/>
      <c r="R69" s="599"/>
      <c r="S69" s="599"/>
      <c r="T69" s="599"/>
      <c r="U69" s="599"/>
      <c r="V69" s="599"/>
      <c r="W69" s="599"/>
      <c r="X69" s="599"/>
      <c r="Y69" s="599"/>
      <c r="Z69" s="493"/>
    </row>
    <row r="70" spans="1:26" ht="13.5" thickBot="1">
      <c r="A70" s="521"/>
      <c r="B70" s="535"/>
      <c r="C70" s="547"/>
      <c r="D70" s="534"/>
      <c r="E70" s="547"/>
      <c r="F70" s="533"/>
      <c r="G70" s="533"/>
      <c r="H70" s="534"/>
      <c r="I70" s="539"/>
      <c r="J70" s="538"/>
      <c r="K70" s="537"/>
      <c r="M70" s="521"/>
      <c r="N70" s="495"/>
      <c r="O70" s="599"/>
      <c r="P70" s="599"/>
      <c r="Q70" s="599"/>
      <c r="R70" s="599"/>
      <c r="S70" s="599"/>
      <c r="T70" s="599"/>
      <c r="U70" s="599"/>
      <c r="V70" s="599"/>
      <c r="W70" s="599"/>
      <c r="X70" s="599"/>
      <c r="Y70" s="599"/>
      <c r="Z70" s="493"/>
    </row>
    <row r="71" spans="1:26">
      <c r="A71" s="524"/>
      <c r="B71" s="525"/>
      <c r="C71" s="540"/>
      <c r="D71" s="541"/>
      <c r="E71" s="540"/>
      <c r="F71" s="542"/>
      <c r="G71" s="542"/>
      <c r="H71" s="541"/>
      <c r="I71" s="543"/>
      <c r="J71" s="542"/>
      <c r="K71" s="541"/>
      <c r="M71" s="524"/>
      <c r="N71" s="434"/>
      <c r="O71" s="602"/>
      <c r="P71" s="602"/>
      <c r="Q71" s="602"/>
      <c r="R71" s="602"/>
      <c r="S71" s="602"/>
      <c r="T71" s="602"/>
      <c r="U71" s="602"/>
      <c r="V71" s="602"/>
      <c r="W71" s="602"/>
      <c r="X71" s="602"/>
      <c r="Y71" s="602"/>
      <c r="Z71" s="602"/>
    </row>
    <row r="72" spans="1:26">
      <c r="A72" s="519"/>
      <c r="B72" s="444"/>
      <c r="C72" s="519"/>
      <c r="D72" s="520"/>
      <c r="E72" s="519"/>
      <c r="F72" s="444"/>
      <c r="G72" s="444"/>
      <c r="H72" s="520"/>
      <c r="I72" s="444"/>
      <c r="J72" s="444"/>
      <c r="K72" s="520"/>
      <c r="M72" s="519"/>
      <c r="N72" s="444"/>
      <c r="O72" s="444"/>
      <c r="P72" s="444"/>
      <c r="Q72" s="444"/>
      <c r="R72" s="444"/>
      <c r="S72" s="444"/>
      <c r="T72" s="444"/>
      <c r="U72" s="444"/>
      <c r="V72" s="444"/>
      <c r="W72" s="444"/>
      <c r="X72" s="444"/>
      <c r="Y72" s="444"/>
      <c r="Z72" s="520"/>
    </row>
    <row r="73" spans="1:26" ht="16.5" thickBot="1">
      <c r="A73" s="548"/>
      <c r="B73" s="549"/>
      <c r="C73" s="550"/>
      <c r="D73" s="551"/>
      <c r="E73" s="550"/>
      <c r="F73" s="552"/>
      <c r="G73" s="552"/>
      <c r="H73" s="551"/>
      <c r="I73" s="510"/>
      <c r="J73" s="552"/>
      <c r="K73" s="551"/>
      <c r="M73" s="548" t="s">
        <v>11662</v>
      </c>
      <c r="N73" s="603"/>
      <c r="O73" s="552">
        <f>O24+O37+O50+O57+O63+O67+O71</f>
        <v>0</v>
      </c>
      <c r="P73" s="552">
        <f t="shared" ref="P73:Z73" si="0">P24+P37+P50+P57+P63+P67+P71</f>
        <v>0</v>
      </c>
      <c r="Q73" s="552">
        <f t="shared" si="0"/>
        <v>0</v>
      </c>
      <c r="R73" s="552">
        <f t="shared" si="0"/>
        <v>0</v>
      </c>
      <c r="S73" s="552">
        <f t="shared" si="0"/>
        <v>0</v>
      </c>
      <c r="T73" s="552">
        <f t="shared" si="0"/>
        <v>0</v>
      </c>
      <c r="U73" s="552">
        <f t="shared" si="0"/>
        <v>0</v>
      </c>
      <c r="V73" s="552">
        <f t="shared" si="0"/>
        <v>0</v>
      </c>
      <c r="W73" s="552">
        <f t="shared" si="0"/>
        <v>0</v>
      </c>
      <c r="X73" s="552">
        <f t="shared" si="0"/>
        <v>0</v>
      </c>
      <c r="Y73" s="552">
        <f t="shared" si="0"/>
        <v>0</v>
      </c>
      <c r="Z73" s="552">
        <f t="shared" si="0"/>
        <v>0</v>
      </c>
    </row>
  </sheetData>
  <sheetProtection formatColumns="0" formatRows="0"/>
  <mergeCells count="15">
    <mergeCell ref="AJ20:AK20"/>
    <mergeCell ref="AB19:AD19"/>
    <mergeCell ref="AG19:AI19"/>
    <mergeCell ref="AC17:AD17"/>
    <mergeCell ref="AG17:AI17"/>
    <mergeCell ref="AC13:AD13"/>
    <mergeCell ref="AG13:AI13"/>
    <mergeCell ref="AC15:AD15"/>
    <mergeCell ref="AG15:AI15"/>
    <mergeCell ref="AC25:AD25"/>
    <mergeCell ref="AC23:AD23"/>
    <mergeCell ref="AG23:AI23"/>
    <mergeCell ref="AB20:AD20"/>
    <mergeCell ref="AE20:AF20"/>
    <mergeCell ref="AB21:AD21"/>
  </mergeCells>
  <pageMargins left="0.7" right="0.7" top="0.75" bottom="0.75" header="0.3" footer="0.3"/>
  <pageSetup orientation="portrait" r:id="rId1"/>
  <headerFooter>
    <oddFooter>&amp;CAT&amp;&amp;T Proprietary (Internal Use Only)</oddFooter>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wsPulldowns"/>
  <dimension ref="A1:BS7252"/>
  <sheetViews>
    <sheetView workbookViewId="0"/>
  </sheetViews>
  <sheetFormatPr defaultRowHeight="12.75"/>
  <cols>
    <col min="1" max="1" width="16.7109375" customWidth="1"/>
    <col min="2" max="2" width="20.85546875" bestFit="1" customWidth="1"/>
    <col min="3" max="3" width="17.7109375" bestFit="1" customWidth="1"/>
    <col min="4" max="4" width="27.5703125" bestFit="1" customWidth="1"/>
    <col min="5" max="5" width="23.5703125" bestFit="1" customWidth="1"/>
    <col min="6" max="6" width="25" bestFit="1" customWidth="1"/>
    <col min="7" max="7" width="18.85546875" bestFit="1" customWidth="1"/>
    <col min="8" max="8" width="14.85546875" bestFit="1" customWidth="1"/>
    <col min="9" max="9" width="16.42578125" bestFit="1" customWidth="1"/>
    <col min="10" max="10" width="13.42578125" bestFit="1" customWidth="1"/>
    <col min="11" max="15" width="13.42578125" style="690" customWidth="1"/>
    <col min="16" max="16" width="28.85546875" style="690" customWidth="1"/>
    <col min="17" max="18" width="13.42578125" style="690" customWidth="1"/>
    <col min="19" max="19" width="13.42578125" customWidth="1"/>
    <col min="20" max="21" width="13.42578125" style="690" customWidth="1"/>
    <col min="22" max="22" width="19.7109375" bestFit="1" customWidth="1"/>
    <col min="23" max="25" width="16.7109375" customWidth="1"/>
    <col min="28" max="28" width="18.85546875" bestFit="1" customWidth="1"/>
    <col min="29" max="29" width="13.85546875" bestFit="1" customWidth="1"/>
    <col min="30" max="30" width="5.140625" style="941" customWidth="1"/>
    <col min="31" max="31" width="11.7109375" style="941" customWidth="1"/>
    <col min="33" max="33" width="12.7109375" bestFit="1" customWidth="1"/>
    <col min="34" max="34" width="24.28515625" customWidth="1"/>
    <col min="35" max="35" width="25.7109375" customWidth="1"/>
    <col min="36" max="36" width="7.42578125" style="941" bestFit="1" customWidth="1"/>
    <col min="37" max="37" width="6.7109375" style="941" customWidth="1"/>
    <col min="38" max="38" width="14.28515625" bestFit="1" customWidth="1"/>
    <col min="39" max="39" width="23.5703125" bestFit="1" customWidth="1"/>
    <col min="40" max="40" width="23.5703125" style="941" customWidth="1"/>
    <col min="41" max="41" width="7.42578125" style="941" bestFit="1" customWidth="1"/>
    <col min="42" max="42" width="22.42578125" customWidth="1"/>
    <col min="44" max="44" width="16.42578125" bestFit="1" customWidth="1"/>
    <col min="45" max="45" width="11" customWidth="1"/>
    <col min="50" max="50" width="11.42578125" customWidth="1"/>
    <col min="58" max="58" width="18.5703125" bestFit="1" customWidth="1"/>
    <col min="61" max="61" width="11.5703125" bestFit="1" customWidth="1"/>
    <col min="63" max="63" width="13.42578125" bestFit="1" customWidth="1"/>
    <col min="68" max="68" width="25.85546875" bestFit="1" customWidth="1"/>
    <col min="69" max="69" width="23.140625" bestFit="1" customWidth="1"/>
  </cols>
  <sheetData>
    <row r="1" spans="1:71">
      <c r="A1" s="36" t="s">
        <v>538</v>
      </c>
      <c r="B1" s="36" t="s">
        <v>539</v>
      </c>
      <c r="C1" s="36" t="s">
        <v>540</v>
      </c>
      <c r="D1" s="36" t="s">
        <v>1079</v>
      </c>
      <c r="E1" s="36" t="s">
        <v>541</v>
      </c>
      <c r="F1" s="36" t="s">
        <v>542</v>
      </c>
      <c r="G1" s="36" t="s">
        <v>543</v>
      </c>
      <c r="H1" s="36" t="s">
        <v>544</v>
      </c>
      <c r="I1" s="36" t="s">
        <v>545</v>
      </c>
      <c r="J1" s="36" t="s">
        <v>546</v>
      </c>
      <c r="K1" s="42" t="s">
        <v>9967</v>
      </c>
      <c r="L1" s="42" t="s">
        <v>10005</v>
      </c>
      <c r="M1" s="42" t="s">
        <v>10008</v>
      </c>
      <c r="N1" s="42" t="s">
        <v>10022</v>
      </c>
      <c r="O1" s="42" t="s">
        <v>10023</v>
      </c>
      <c r="P1" s="42" t="s">
        <v>9969</v>
      </c>
      <c r="Q1" s="42" t="s">
        <v>9970</v>
      </c>
      <c r="R1" s="42" t="s">
        <v>9653</v>
      </c>
      <c r="S1" s="36" t="s">
        <v>346</v>
      </c>
      <c r="T1" s="42" t="s">
        <v>9655</v>
      </c>
      <c r="U1" s="42" t="s">
        <v>9818</v>
      </c>
      <c r="V1" s="36" t="s">
        <v>547</v>
      </c>
      <c r="W1" s="36" t="s">
        <v>613</v>
      </c>
      <c r="X1" s="42" t="s">
        <v>548</v>
      </c>
      <c r="Y1" s="42" t="s">
        <v>549</v>
      </c>
      <c r="Z1" s="14" t="s">
        <v>550</v>
      </c>
      <c r="AA1" s="1"/>
      <c r="AB1" s="16" t="s">
        <v>551</v>
      </c>
      <c r="AC1" s="23" t="str">
        <f>T(oppty.segment)</f>
        <v/>
      </c>
      <c r="AD1" s="1097"/>
      <c r="AE1" s="1097"/>
      <c r="AF1" s="8"/>
      <c r="AG1" s="16" t="s">
        <v>552</v>
      </c>
      <c r="AH1" s="23" t="str">
        <f>T(oppty.salesChannel)</f>
        <v/>
      </c>
      <c r="AI1" s="1229"/>
      <c r="AJ1" s="1097"/>
      <c r="AK1" s="1097"/>
      <c r="AL1" s="16" t="s">
        <v>553</v>
      </c>
      <c r="AM1" s="23" t="str">
        <f>T(oppty.salesChannel)</f>
        <v/>
      </c>
      <c r="AN1" s="1097"/>
      <c r="AO1" s="1097"/>
      <c r="AP1" s="8"/>
      <c r="AQ1" s="1"/>
      <c r="AR1" s="1"/>
      <c r="AS1" s="1"/>
      <c r="AT1" s="1"/>
      <c r="AU1" s="14"/>
      <c r="AV1" s="14"/>
      <c r="AW1" s="1"/>
      <c r="AX1" s="1"/>
      <c r="AY1" s="1"/>
      <c r="AZ1" s="1"/>
      <c r="BA1" s="14"/>
      <c r="BB1" s="1"/>
      <c r="BC1" s="1"/>
      <c r="BD1" s="1"/>
      <c r="BE1" s="1"/>
      <c r="BF1" s="14"/>
      <c r="BG1" s="14"/>
      <c r="BS1" s="849" t="s">
        <v>11569</v>
      </c>
    </row>
    <row r="2" spans="1:71">
      <c r="A2" s="36" t="s">
        <v>554</v>
      </c>
      <c r="B2" s="36" t="s">
        <v>555</v>
      </c>
      <c r="C2" s="36" t="s">
        <v>601</v>
      </c>
      <c r="D2" s="36" t="s">
        <v>602</v>
      </c>
      <c r="E2" s="36" t="s">
        <v>603</v>
      </c>
      <c r="F2" s="36" t="s">
        <v>604</v>
      </c>
      <c r="G2" s="36" t="s">
        <v>605</v>
      </c>
      <c r="H2" s="36" t="s">
        <v>606</v>
      </c>
      <c r="I2" s="36" t="s">
        <v>607</v>
      </c>
      <c r="J2" s="36" t="s">
        <v>0</v>
      </c>
      <c r="K2" s="42" t="s">
        <v>9968</v>
      </c>
      <c r="L2" s="42" t="s">
        <v>10006</v>
      </c>
      <c r="M2" s="42" t="s">
        <v>10007</v>
      </c>
      <c r="N2" s="42" t="s">
        <v>10006</v>
      </c>
      <c r="O2" s="42" t="s">
        <v>10024</v>
      </c>
      <c r="P2" s="42" t="s">
        <v>475</v>
      </c>
      <c r="Q2" s="42" t="s">
        <v>9971</v>
      </c>
      <c r="R2" s="42" t="s">
        <v>94</v>
      </c>
      <c r="S2" s="36" t="s">
        <v>347</v>
      </c>
      <c r="T2" s="42" t="s">
        <v>9654</v>
      </c>
      <c r="U2" s="42" t="s">
        <v>9654</v>
      </c>
      <c r="V2" s="41"/>
      <c r="W2" s="1" t="s">
        <v>365</v>
      </c>
      <c r="X2" s="14">
        <v>12</v>
      </c>
      <c r="Y2" s="109">
        <f t="shared" ref="Y2:Y13" ca="1" si="0">Y3-1</f>
        <v>43369</v>
      </c>
      <c r="Z2" s="27">
        <v>5</v>
      </c>
      <c r="AA2" s="1"/>
      <c r="AB2" s="16" t="s">
        <v>1</v>
      </c>
      <c r="AC2" s="23">
        <f>IF(ISERROR(MATCH(AC1,AB7:AB1000,0)),0,1+MATCH(AC1,AB7:AB1000,0))</f>
        <v>0</v>
      </c>
      <c r="AD2" s="1097"/>
      <c r="AE2" s="1097"/>
      <c r="AF2" s="8"/>
      <c r="AG2" s="16" t="s">
        <v>1</v>
      </c>
      <c r="AH2" s="23">
        <f>IF(ISERROR(MATCH(AH1,AG7:AG1000,0)),0,1+MATCH(AH1,AG7:AG1000,0))</f>
        <v>0</v>
      </c>
      <c r="AI2" s="849" t="s">
        <v>10699</v>
      </c>
      <c r="AJ2" s="1097"/>
      <c r="AK2" s="1097"/>
      <c r="AL2" s="16" t="s">
        <v>1</v>
      </c>
      <c r="AM2" s="23">
        <f>IF(ISERROR(MATCH(AM1,AL7:AL1000,0)),0,1+MATCH(AM1,AL7:AL1000,0))</f>
        <v>0</v>
      </c>
      <c r="AN2" s="1097"/>
      <c r="AO2" s="1097"/>
      <c r="AP2" s="8"/>
      <c r="AQ2" s="1"/>
      <c r="AR2" s="1"/>
      <c r="AS2" s="1"/>
      <c r="AT2" s="1"/>
      <c r="AU2" s="1"/>
      <c r="AV2" s="1"/>
      <c r="AW2" s="1"/>
      <c r="AX2" s="1"/>
      <c r="AY2" s="1"/>
      <c r="AZ2" s="1"/>
      <c r="BA2" s="14"/>
      <c r="BB2" s="1"/>
      <c r="BC2" s="1"/>
      <c r="BD2" s="1"/>
      <c r="BE2" s="1"/>
      <c r="BF2" s="14"/>
      <c r="BG2" s="14"/>
      <c r="BO2" s="169" t="s">
        <v>12166</v>
      </c>
    </row>
    <row r="3" spans="1:71">
      <c r="A3" s="1081" t="s">
        <v>597</v>
      </c>
      <c r="B3" s="1081" t="s">
        <v>597</v>
      </c>
      <c r="C3" s="1"/>
      <c r="D3" s="1081" t="s">
        <v>597</v>
      </c>
      <c r="E3" s="1081" t="s">
        <v>597</v>
      </c>
      <c r="F3" s="1081" t="s">
        <v>597</v>
      </c>
      <c r="G3" s="1"/>
      <c r="H3" s="28" t="s">
        <v>597</v>
      </c>
      <c r="I3" s="1"/>
      <c r="J3" s="1"/>
      <c r="K3" s="960"/>
      <c r="L3" s="960"/>
      <c r="M3" s="960"/>
      <c r="N3" s="960"/>
      <c r="O3" s="960"/>
      <c r="P3" s="960"/>
      <c r="Q3" s="960"/>
      <c r="R3" s="935"/>
      <c r="S3" s="1"/>
      <c r="T3" s="935"/>
      <c r="U3" s="959"/>
      <c r="V3" s="1"/>
      <c r="W3" s="1" t="s">
        <v>364</v>
      </c>
      <c r="X3" s="14">
        <v>24</v>
      </c>
      <c r="Y3" s="109">
        <f t="shared" ca="1" si="0"/>
        <v>43370</v>
      </c>
      <c r="Z3" s="1"/>
      <c r="AA3" s="1"/>
      <c r="AB3" s="16" t="s">
        <v>598</v>
      </c>
      <c r="AC3" s="13"/>
      <c r="AD3" s="1097"/>
      <c r="AE3" s="1097"/>
      <c r="AF3" s="8"/>
      <c r="AG3" s="16" t="s">
        <v>598</v>
      </c>
      <c r="AH3" s="13"/>
      <c r="AI3" s="1255" t="str">
        <f>IF(AM1&lt;&gt;"",IFERROR(VLOOKUP(oppty.BusinessUnit,AH8:AI207,2,0),""),"")</f>
        <v/>
      </c>
      <c r="AJ3" s="1097"/>
      <c r="AK3" s="1097"/>
      <c r="AL3" s="16" t="s">
        <v>598</v>
      </c>
      <c r="AM3" s="13"/>
      <c r="AN3" s="1097"/>
      <c r="AO3" s="1097"/>
      <c r="AP3" s="8"/>
      <c r="AQ3" s="1"/>
      <c r="AR3" s="1"/>
      <c r="AS3" s="1"/>
      <c r="AT3" s="1"/>
      <c r="AU3" s="1"/>
      <c r="AV3" s="1"/>
      <c r="AW3" s="1"/>
      <c r="AX3" s="1"/>
      <c r="AY3" s="1"/>
      <c r="AZ3" s="658" t="s">
        <v>9702</v>
      </c>
      <c r="BA3" s="14"/>
      <c r="BB3" s="1"/>
      <c r="BC3" s="1"/>
      <c r="BD3" s="1"/>
      <c r="BE3" s="1"/>
      <c r="BF3" s="14"/>
      <c r="BG3" s="14"/>
      <c r="BO3" s="169" t="s">
        <v>12333</v>
      </c>
      <c r="BS3" s="42" t="s">
        <v>546</v>
      </c>
    </row>
    <row r="4" spans="1:71">
      <c r="A4" s="1081" t="s">
        <v>667</v>
      </c>
      <c r="B4" s="1081" t="s">
        <v>671</v>
      </c>
      <c r="C4" s="1081" t="s">
        <v>1004</v>
      </c>
      <c r="D4" s="1081" t="s">
        <v>1008</v>
      </c>
      <c r="E4" s="1081" t="s">
        <v>599</v>
      </c>
      <c r="F4" s="1081" t="s">
        <v>1059</v>
      </c>
      <c r="G4" s="1081" t="s">
        <v>10635</v>
      </c>
      <c r="H4" s="1081" t="s">
        <v>481</v>
      </c>
      <c r="I4" s="1081" t="s">
        <v>656</v>
      </c>
      <c r="J4" s="1081" t="s">
        <v>7819</v>
      </c>
      <c r="K4" s="1052" t="s">
        <v>12361</v>
      </c>
      <c r="L4" s="1052" t="s">
        <v>12378</v>
      </c>
      <c r="M4" s="1052" t="s">
        <v>12499</v>
      </c>
      <c r="N4" s="1052" t="s">
        <v>10027</v>
      </c>
      <c r="O4" s="1052" t="s">
        <v>10027</v>
      </c>
      <c r="P4" s="1081" t="s">
        <v>9979</v>
      </c>
      <c r="Q4" s="1081" t="s">
        <v>9992</v>
      </c>
      <c r="R4" s="1081" t="s">
        <v>560</v>
      </c>
      <c r="S4" s="1081" t="s">
        <v>349</v>
      </c>
      <c r="T4" s="1081" t="s">
        <v>10143</v>
      </c>
      <c r="U4" s="1081" t="s">
        <v>10259</v>
      </c>
      <c r="V4" s="1"/>
      <c r="W4" s="1"/>
      <c r="X4" s="14">
        <v>36</v>
      </c>
      <c r="Y4" s="109">
        <f t="shared" ca="1" si="0"/>
        <v>43371</v>
      </c>
      <c r="Z4" s="14" t="s">
        <v>19</v>
      </c>
      <c r="AA4" s="1"/>
      <c r="AB4" s="16" t="s">
        <v>600</v>
      </c>
      <c r="AC4" s="23">
        <f>IF(AC1="",1,MAX(1,COUNTIF(AB7:AB1000,AC1)))</f>
        <v>1</v>
      </c>
      <c r="AD4" s="1097"/>
      <c r="AE4" s="1097"/>
      <c r="AF4" s="8"/>
      <c r="AG4" s="16" t="s">
        <v>600</v>
      </c>
      <c r="AH4" s="23">
        <f>IF(AH1="",1,MAX(1,COUNTIF(AG7:AG1000,AH1)))</f>
        <v>1</v>
      </c>
      <c r="AI4" s="1229" t="s">
        <v>10700</v>
      </c>
      <c r="AJ4" s="1097"/>
      <c r="AK4" s="1097"/>
      <c r="AL4" s="16" t="s">
        <v>600</v>
      </c>
      <c r="AM4" s="23">
        <f>IF(AM1="",1,MAX(1,COUNTIF(AL7:AL1000,AM1)))</f>
        <v>1</v>
      </c>
      <c r="AN4" s="1097"/>
      <c r="AO4" s="1097"/>
      <c r="AP4" s="8"/>
      <c r="AQ4" s="1"/>
      <c r="AR4" s="1"/>
      <c r="AS4" s="1"/>
      <c r="AT4" s="1"/>
      <c r="AU4" s="126" t="s">
        <v>6</v>
      </c>
      <c r="AV4" s="126" t="s">
        <v>7</v>
      </c>
      <c r="AW4" s="1"/>
      <c r="AX4" s="658" t="s">
        <v>8062</v>
      </c>
      <c r="AY4" s="1"/>
      <c r="AZ4" s="849" t="s">
        <v>9703</v>
      </c>
      <c r="BA4" s="937" t="s">
        <v>9701</v>
      </c>
      <c r="BB4" s="1"/>
      <c r="BC4" s="1"/>
      <c r="BD4" s="1"/>
      <c r="BE4" s="1"/>
      <c r="BF4" s="14"/>
      <c r="BG4" s="14"/>
      <c r="BS4" s="42" t="s">
        <v>0</v>
      </c>
    </row>
    <row r="5" spans="1:71">
      <c r="A5" s="1081" t="s">
        <v>668</v>
      </c>
      <c r="B5" s="1081" t="s">
        <v>8079</v>
      </c>
      <c r="C5" s="1081" t="s">
        <v>1005</v>
      </c>
      <c r="D5" s="1081" t="s">
        <v>1080</v>
      </c>
      <c r="E5" s="1081" t="s">
        <v>1023</v>
      </c>
      <c r="F5" s="1081" t="s">
        <v>199</v>
      </c>
      <c r="G5" s="1081" t="s">
        <v>10636</v>
      </c>
      <c r="H5" s="1081" t="s">
        <v>11518</v>
      </c>
      <c r="I5" s="1081" t="s">
        <v>560</v>
      </c>
      <c r="J5" s="1081" t="s">
        <v>9820</v>
      </c>
      <c r="K5" s="1052" t="s">
        <v>12362</v>
      </c>
      <c r="L5" s="1052" t="s">
        <v>12389</v>
      </c>
      <c r="M5" s="1052" t="s">
        <v>12500</v>
      </c>
      <c r="N5" s="1052" t="s">
        <v>10026</v>
      </c>
      <c r="O5" s="1052" t="s">
        <v>10142</v>
      </c>
      <c r="P5" s="1081" t="s">
        <v>9986</v>
      </c>
      <c r="Q5" s="1081" t="s">
        <v>10010</v>
      </c>
      <c r="R5" s="1081" t="s">
        <v>482</v>
      </c>
      <c r="S5" s="1081" t="s">
        <v>350</v>
      </c>
      <c r="T5" s="1081" t="s">
        <v>11066</v>
      </c>
      <c r="U5" s="1081" t="s">
        <v>11067</v>
      </c>
      <c r="V5" s="1"/>
      <c r="W5" s="42" t="s">
        <v>8007</v>
      </c>
      <c r="X5" s="14">
        <f>X4+12</f>
        <v>48</v>
      </c>
      <c r="Y5" s="109">
        <f t="shared" ca="1" si="0"/>
        <v>43372</v>
      </c>
      <c r="Z5" s="1" t="e">
        <f>MIN(14,MATCH(ddCreateDate,Pulldowns!$Y$2:$Y$37,0))</f>
        <v>#NAME?</v>
      </c>
      <c r="AA5" s="1"/>
      <c r="AB5" s="19" t="s">
        <v>561</v>
      </c>
      <c r="AC5" s="29" t="s">
        <v>562</v>
      </c>
      <c r="AD5" s="1097"/>
      <c r="AE5" s="1097"/>
      <c r="AF5" s="8"/>
      <c r="AG5" s="19" t="s">
        <v>563</v>
      </c>
      <c r="AH5" s="29" t="s">
        <v>564</v>
      </c>
      <c r="AI5" s="1256"/>
      <c r="AJ5" s="1097"/>
      <c r="AK5" s="1097"/>
      <c r="AL5" s="19" t="s">
        <v>565</v>
      </c>
      <c r="AM5" s="29" t="s">
        <v>564</v>
      </c>
      <c r="AN5" s="1097"/>
      <c r="AO5" s="1097"/>
      <c r="AP5" s="8"/>
      <c r="AR5" s="30" t="s">
        <v>1070</v>
      </c>
      <c r="AS5" s="1"/>
      <c r="AT5" s="1"/>
      <c r="AU5" s="127">
        <v>0</v>
      </c>
      <c r="AV5" s="127">
        <v>2</v>
      </c>
      <c r="AW5" s="1"/>
      <c r="AX5" s="1081" t="s">
        <v>10945</v>
      </c>
      <c r="AY5" s="1"/>
      <c r="AZ5" s="849" t="s">
        <v>9704</v>
      </c>
      <c r="BA5" s="937" t="s">
        <v>9700</v>
      </c>
      <c r="BB5" s="1"/>
      <c r="BC5" s="1"/>
      <c r="BD5" s="1"/>
      <c r="BE5" s="1"/>
      <c r="BF5" s="14"/>
      <c r="BG5" s="14"/>
      <c r="BS5" s="1081"/>
    </row>
    <row r="6" spans="1:71">
      <c r="A6" s="1081" t="s">
        <v>669</v>
      </c>
      <c r="B6" s="1081" t="s">
        <v>11545</v>
      </c>
      <c r="C6" s="1081" t="s">
        <v>1006</v>
      </c>
      <c r="D6" s="1081" t="s">
        <v>1081</v>
      </c>
      <c r="E6" s="1081" t="s">
        <v>1120</v>
      </c>
      <c r="F6" s="1081" t="s">
        <v>7774</v>
      </c>
      <c r="G6" s="1081" t="s">
        <v>10637</v>
      </c>
      <c r="H6" s="1081" t="s">
        <v>12360</v>
      </c>
      <c r="I6" s="1081" t="s">
        <v>482</v>
      </c>
      <c r="J6" s="1081" t="s">
        <v>12580</v>
      </c>
      <c r="K6" s="1052" t="s">
        <v>12363</v>
      </c>
      <c r="L6" s="1052" t="s">
        <v>12400</v>
      </c>
      <c r="M6" s="1052" t="s">
        <v>12501</v>
      </c>
      <c r="N6" s="1052" t="s">
        <v>12378</v>
      </c>
      <c r="O6" s="1052" t="s">
        <v>10037</v>
      </c>
      <c r="P6" s="1081" t="s">
        <v>9988</v>
      </c>
      <c r="Q6" s="1081" t="s">
        <v>10042</v>
      </c>
      <c r="R6" s="1081" t="s">
        <v>533</v>
      </c>
      <c r="S6" s="1081" t="s">
        <v>351</v>
      </c>
      <c r="T6" s="1081" t="s">
        <v>10335</v>
      </c>
      <c r="U6" s="1081" t="s">
        <v>10260</v>
      </c>
      <c r="V6" s="1"/>
      <c r="W6" s="123" t="s">
        <v>8005</v>
      </c>
      <c r="X6" s="14">
        <f>X5+12</f>
        <v>60</v>
      </c>
      <c r="Y6" s="109">
        <f t="shared" ca="1" si="0"/>
        <v>43373</v>
      </c>
      <c r="Z6" s="1"/>
      <c r="AA6" s="3"/>
      <c r="AB6" s="30" t="s">
        <v>483</v>
      </c>
      <c r="AC6" s="30" t="s">
        <v>484</v>
      </c>
      <c r="AD6" s="1563" t="s">
        <v>10656</v>
      </c>
      <c r="AE6" s="1563" t="s">
        <v>11358</v>
      </c>
      <c r="AF6" s="10"/>
      <c r="AG6" s="30" t="s">
        <v>483</v>
      </c>
      <c r="AH6" s="30" t="s">
        <v>485</v>
      </c>
      <c r="AI6" s="30" t="s">
        <v>10698</v>
      </c>
      <c r="AJ6" s="1564" t="s">
        <v>11358</v>
      </c>
      <c r="AK6" s="1097"/>
      <c r="AL6" s="30" t="s">
        <v>483</v>
      </c>
      <c r="AM6" s="30" t="s">
        <v>486</v>
      </c>
      <c r="AN6" s="1563" t="s">
        <v>10656</v>
      </c>
      <c r="AO6" s="1564" t="s">
        <v>11358</v>
      </c>
      <c r="AP6" s="8"/>
      <c r="AR6" s="30" t="s">
        <v>1071</v>
      </c>
      <c r="AS6" s="1"/>
      <c r="AT6" s="1"/>
      <c r="AU6" s="128">
        <v>12</v>
      </c>
      <c r="AV6" s="128">
        <v>4</v>
      </c>
      <c r="AW6" s="1"/>
      <c r="AX6" s="1081" t="s">
        <v>7735</v>
      </c>
      <c r="AY6" s="1"/>
      <c r="AZ6" s="1"/>
      <c r="BA6" s="14"/>
      <c r="BB6" s="1"/>
      <c r="BC6" s="1"/>
      <c r="BD6" s="1"/>
      <c r="BE6" s="1"/>
      <c r="BF6" s="14"/>
      <c r="BG6" s="14"/>
      <c r="BS6" s="1081" t="s">
        <v>407</v>
      </c>
    </row>
    <row r="7" spans="1:71">
      <c r="A7" s="1081" t="s">
        <v>670</v>
      </c>
      <c r="B7" s="1081" t="s">
        <v>9649</v>
      </c>
      <c r="C7" s="1081" t="s">
        <v>1007</v>
      </c>
      <c r="D7" s="1081" t="s">
        <v>1082</v>
      </c>
      <c r="E7" s="1081" t="s">
        <v>11208</v>
      </c>
      <c r="F7" s="1081" t="s">
        <v>200</v>
      </c>
      <c r="G7" s="1081" t="s">
        <v>10638</v>
      </c>
      <c r="H7" s="1081" t="s">
        <v>12532</v>
      </c>
      <c r="I7" s="1081" t="s">
        <v>533</v>
      </c>
      <c r="J7" s="1081" t="s">
        <v>12581</v>
      </c>
      <c r="K7" s="1052" t="s">
        <v>12364</v>
      </c>
      <c r="L7" s="1052" t="s">
        <v>12408</v>
      </c>
      <c r="M7" s="1052" t="s">
        <v>12502</v>
      </c>
      <c r="N7" s="1052" t="s">
        <v>12389</v>
      </c>
      <c r="O7" s="1052" t="s">
        <v>10038</v>
      </c>
      <c r="P7" s="1081" t="s">
        <v>9985</v>
      </c>
      <c r="Q7" s="1081" t="s">
        <v>10009</v>
      </c>
      <c r="R7" s="1081" t="s">
        <v>534</v>
      </c>
      <c r="S7" s="1081" t="s">
        <v>354</v>
      </c>
      <c r="T7" s="1081" t="s">
        <v>9656</v>
      </c>
      <c r="U7" s="1081" t="s">
        <v>10337</v>
      </c>
      <c r="V7" s="1"/>
      <c r="W7" s="123" t="s">
        <v>8008</v>
      </c>
      <c r="X7" s="14">
        <f>X6+12</f>
        <v>72</v>
      </c>
      <c r="Y7" s="109">
        <f t="shared" ca="1" si="0"/>
        <v>43374</v>
      </c>
      <c r="Z7" s="1"/>
      <c r="AA7" s="3"/>
      <c r="AB7" s="11"/>
      <c r="AC7" s="11"/>
      <c r="AD7" s="1229"/>
      <c r="AE7" s="1229"/>
      <c r="AF7" s="10"/>
      <c r="AG7" s="11"/>
      <c r="AH7" s="11"/>
      <c r="AI7" s="10"/>
      <c r="AJ7" s="1229"/>
      <c r="AK7" s="1097"/>
      <c r="AL7" s="11"/>
      <c r="AM7" s="11"/>
      <c r="AN7" s="1229"/>
      <c r="AO7" s="1229"/>
      <c r="AP7" s="8"/>
      <c r="AR7" s="1"/>
      <c r="AS7" s="1"/>
      <c r="AT7" s="1"/>
      <c r="AU7" s="128">
        <v>24</v>
      </c>
      <c r="AV7" s="128">
        <v>6</v>
      </c>
      <c r="AW7" s="1"/>
      <c r="AX7" s="1081" t="s">
        <v>8056</v>
      </c>
      <c r="AY7" s="1"/>
      <c r="AZ7" s="1106" t="s">
        <v>12346</v>
      </c>
      <c r="BA7" s="939" t="s">
        <v>12345</v>
      </c>
      <c r="BB7" s="1"/>
      <c r="BC7" s="1"/>
      <c r="BD7" s="1"/>
      <c r="BE7" s="1"/>
      <c r="BF7" s="14"/>
      <c r="BG7" s="14"/>
      <c r="BS7" s="1081" t="s">
        <v>200</v>
      </c>
    </row>
    <row r="8" spans="1:71">
      <c r="A8" s="1081" t="s">
        <v>7774</v>
      </c>
      <c r="B8" s="1081" t="s">
        <v>11451</v>
      </c>
      <c r="C8" s="1081" t="s">
        <v>320</v>
      </c>
      <c r="D8" s="1081" t="s">
        <v>1083</v>
      </c>
      <c r="E8" s="1081" t="s">
        <v>532</v>
      </c>
      <c r="F8" s="1081" t="s">
        <v>1060</v>
      </c>
      <c r="G8" s="1"/>
      <c r="H8" s="1081" t="s">
        <v>406</v>
      </c>
      <c r="I8" s="1081" t="s">
        <v>534</v>
      </c>
      <c r="J8" s="1081" t="s">
        <v>12582</v>
      </c>
      <c r="K8" s="1052" t="s">
        <v>12365</v>
      </c>
      <c r="L8" s="1052" t="s">
        <v>12492</v>
      </c>
      <c r="M8" s="1052" t="s">
        <v>12503</v>
      </c>
      <c r="N8" s="1052" t="s">
        <v>12400</v>
      </c>
      <c r="O8" s="1052" t="s">
        <v>10039</v>
      </c>
      <c r="P8" s="1081" t="s">
        <v>9975</v>
      </c>
      <c r="Q8" s="1081" t="s">
        <v>9993</v>
      </c>
      <c r="R8" s="1081" t="s">
        <v>54</v>
      </c>
      <c r="S8" s="14"/>
      <c r="T8" s="1081" t="s">
        <v>9657</v>
      </c>
      <c r="U8" s="1081" t="s">
        <v>10261</v>
      </c>
      <c r="V8" s="1"/>
      <c r="W8" s="1"/>
      <c r="X8" s="14">
        <f>X7+12</f>
        <v>84</v>
      </c>
      <c r="Y8" s="109">
        <f t="shared" ca="1" si="0"/>
        <v>43375</v>
      </c>
      <c r="Z8" s="1"/>
      <c r="AA8" s="3"/>
      <c r="AB8" s="1229" t="s">
        <v>619</v>
      </c>
      <c r="AC8" s="1229" t="s">
        <v>619</v>
      </c>
      <c r="AD8" s="1229"/>
      <c r="AE8" s="1229" t="s">
        <v>11516</v>
      </c>
      <c r="AF8" s="10"/>
      <c r="AG8" s="1229" t="s">
        <v>11520</v>
      </c>
      <c r="AH8" s="1229" t="s">
        <v>11521</v>
      </c>
      <c r="AI8" s="1229" t="s">
        <v>9614</v>
      </c>
      <c r="AJ8" s="1229" t="s">
        <v>11359</v>
      </c>
      <c r="AK8" s="1229"/>
      <c r="AL8" s="1229" t="s">
        <v>11520</v>
      </c>
      <c r="AM8" s="1229" t="s">
        <v>11524</v>
      </c>
      <c r="AN8" s="1229"/>
      <c r="AO8" s="1229" t="s">
        <v>11516</v>
      </c>
      <c r="AP8" s="8"/>
      <c r="AQ8" s="15" t="s">
        <v>1072</v>
      </c>
      <c r="AR8" s="1">
        <f>IF(COUNTIF('Step 0'!C7:C13,"")&gt;5,1,0)</f>
        <v>1</v>
      </c>
      <c r="AS8" s="1">
        <f>COUNTIF('Step 0'!C7:C13,"")</f>
        <v>7</v>
      </c>
      <c r="AT8" s="1"/>
      <c r="AU8" s="128">
        <v>36</v>
      </c>
      <c r="AV8" s="128">
        <v>8</v>
      </c>
      <c r="AW8" s="1"/>
      <c r="AX8" s="1081" t="s">
        <v>8059</v>
      </c>
      <c r="AY8" s="1"/>
      <c r="AZ8" s="1"/>
      <c r="BA8" s="14"/>
      <c r="BB8" s="1"/>
      <c r="BC8" s="1"/>
      <c r="BD8" s="1"/>
      <c r="BE8" s="1"/>
      <c r="BF8" s="14"/>
      <c r="BG8" s="14"/>
      <c r="BS8" s="1081" t="s">
        <v>466</v>
      </c>
    </row>
    <row r="9" spans="1:71">
      <c r="A9" s="1081" t="s">
        <v>481</v>
      </c>
      <c r="B9" s="1081" t="s">
        <v>9691</v>
      </c>
      <c r="C9" s="1"/>
      <c r="D9" s="1081" t="s">
        <v>1084</v>
      </c>
      <c r="E9" s="1081" t="s">
        <v>55</v>
      </c>
      <c r="F9" s="1081" t="s">
        <v>481</v>
      </c>
      <c r="G9" s="1"/>
      <c r="H9" s="1081" t="s">
        <v>7696</v>
      </c>
      <c r="I9" s="1081" t="s">
        <v>54</v>
      </c>
      <c r="J9" s="1081" t="s">
        <v>8060</v>
      </c>
      <c r="K9" s="1052" t="s">
        <v>12366</v>
      </c>
      <c r="L9" s="1052" t="s">
        <v>12493</v>
      </c>
      <c r="M9" s="1052" t="s">
        <v>12504</v>
      </c>
      <c r="N9" s="1052" t="s">
        <v>12408</v>
      </c>
      <c r="O9" s="1052" t="s">
        <v>10040</v>
      </c>
      <c r="P9" s="1081" t="s">
        <v>9983</v>
      </c>
      <c r="Q9" s="1081" t="s">
        <v>10043</v>
      </c>
      <c r="R9" s="1081" t="s">
        <v>56</v>
      </c>
      <c r="S9" s="14"/>
      <c r="T9" s="1081" t="s">
        <v>10144</v>
      </c>
      <c r="U9" s="1081" t="s">
        <v>10338</v>
      </c>
      <c r="V9" s="1"/>
      <c r="W9" s="1"/>
      <c r="X9" s="14">
        <f>X8+12</f>
        <v>96</v>
      </c>
      <c r="Y9" s="109">
        <f t="shared" ca="1" si="0"/>
        <v>43376</v>
      </c>
      <c r="Z9" s="1"/>
      <c r="AA9" s="3"/>
      <c r="AB9" s="1229" t="s">
        <v>12587</v>
      </c>
      <c r="AC9" s="1229" t="s">
        <v>12587</v>
      </c>
      <c r="AD9" s="1229"/>
      <c r="AE9" s="1229" t="s">
        <v>11516</v>
      </c>
      <c r="AF9" s="10"/>
      <c r="AG9" s="1229" t="s">
        <v>313</v>
      </c>
      <c r="AH9" s="1229" t="s">
        <v>313</v>
      </c>
      <c r="AI9" s="1229" t="s">
        <v>9614</v>
      </c>
      <c r="AJ9" s="1229" t="s">
        <v>11516</v>
      </c>
      <c r="AK9" s="1229"/>
      <c r="AL9" s="1229" t="s">
        <v>11520</v>
      </c>
      <c r="AM9" s="1229" t="s">
        <v>11524</v>
      </c>
      <c r="AN9" s="1229"/>
      <c r="AO9" s="1229" t="s">
        <v>11359</v>
      </c>
      <c r="AP9" s="8"/>
      <c r="AQ9" s="15" t="s">
        <v>1072</v>
      </c>
      <c r="AR9" s="1">
        <f>IF(COUNTIF('Step 0'!C20:C37,"")&gt;8,1,0)</f>
        <v>1</v>
      </c>
      <c r="AS9" s="1">
        <f>COUNTIF('Step 0'!C20:C37,"")</f>
        <v>18</v>
      </c>
      <c r="AT9" s="1"/>
      <c r="AU9" s="128">
        <v>48</v>
      </c>
      <c r="AV9" s="128">
        <v>17</v>
      </c>
      <c r="AW9" s="1"/>
      <c r="AX9" s="1081" t="s">
        <v>8054</v>
      </c>
      <c r="AY9" s="1"/>
      <c r="AZ9" s="1"/>
      <c r="BA9" s="14"/>
      <c r="BB9" s="1"/>
      <c r="BC9" s="1"/>
      <c r="BD9" s="1"/>
      <c r="BE9" s="1"/>
      <c r="BF9" s="14"/>
      <c r="BG9" s="1"/>
      <c r="BS9" s="1081"/>
    </row>
    <row r="10" spans="1:71">
      <c r="A10" s="1"/>
      <c r="B10" s="1081" t="s">
        <v>672</v>
      </c>
      <c r="C10" s="1"/>
      <c r="D10" s="1081" t="s">
        <v>1085</v>
      </c>
      <c r="E10" s="1081" t="s">
        <v>11209</v>
      </c>
      <c r="F10" s="1"/>
      <c r="G10" s="1"/>
      <c r="H10" s="1081" t="s">
        <v>11529</v>
      </c>
      <c r="I10" s="1081" t="s">
        <v>56</v>
      </c>
      <c r="J10" s="1081" t="s">
        <v>12583</v>
      </c>
      <c r="K10" s="1052" t="s">
        <v>12367</v>
      </c>
      <c r="L10" s="1052" t="s">
        <v>12434</v>
      </c>
      <c r="M10" s="1052" t="s">
        <v>12505</v>
      </c>
      <c r="N10" s="1052" t="s">
        <v>12492</v>
      </c>
      <c r="O10" s="1052" t="s">
        <v>10041</v>
      </c>
      <c r="P10" s="1081" t="s">
        <v>9978</v>
      </c>
      <c r="Q10" s="1081" t="s">
        <v>10044</v>
      </c>
      <c r="R10" s="1081" t="s">
        <v>57</v>
      </c>
      <c r="S10" s="14"/>
      <c r="T10" s="1081" t="s">
        <v>10145</v>
      </c>
      <c r="U10" s="1081" t="s">
        <v>11068</v>
      </c>
      <c r="V10" s="1"/>
      <c r="W10" s="42" t="s">
        <v>9664</v>
      </c>
      <c r="X10" s="1"/>
      <c r="Y10" s="109">
        <f t="shared" ca="1" si="0"/>
        <v>43377</v>
      </c>
      <c r="Z10" s="1"/>
      <c r="AA10" s="3"/>
      <c r="AB10" s="1229" t="s">
        <v>406</v>
      </c>
      <c r="AC10" s="1229" t="s">
        <v>5</v>
      </c>
      <c r="AD10" s="1229"/>
      <c r="AE10" s="1229" t="s">
        <v>11516</v>
      </c>
      <c r="AF10" s="10"/>
      <c r="AG10" s="1229" t="s">
        <v>313</v>
      </c>
      <c r="AH10" s="1229" t="s">
        <v>313</v>
      </c>
      <c r="AI10" s="1229" t="s">
        <v>9614</v>
      </c>
      <c r="AJ10" s="1229" t="s">
        <v>11516</v>
      </c>
      <c r="AK10" s="1229"/>
      <c r="AL10" s="1229" t="s">
        <v>313</v>
      </c>
      <c r="AM10" s="1229" t="s">
        <v>55</v>
      </c>
      <c r="AN10" s="1229"/>
      <c r="AO10" s="1229" t="s">
        <v>11516</v>
      </c>
      <c r="AP10" s="8"/>
      <c r="AQ10" s="123" t="s">
        <v>1073</v>
      </c>
      <c r="AR10" s="1">
        <f>IF(COUNTIF(Product_Grid,"")&gt;77,1,0)</f>
        <v>0</v>
      </c>
      <c r="AS10" s="1">
        <f>COUNTIF(Product_Grid,"")</f>
        <v>40</v>
      </c>
      <c r="AT10" s="1"/>
      <c r="AU10" s="128">
        <v>60</v>
      </c>
      <c r="AV10" s="128">
        <v>10</v>
      </c>
      <c r="AW10" s="1"/>
      <c r="AX10" s="1081" t="s">
        <v>8058</v>
      </c>
      <c r="AY10" s="1"/>
      <c r="AZ10" s="1"/>
      <c r="BA10" s="1"/>
      <c r="BB10" s="1"/>
      <c r="BC10" s="1"/>
      <c r="BD10" s="1"/>
      <c r="BE10" s="1"/>
      <c r="BF10" s="14"/>
      <c r="BG10" s="1"/>
      <c r="BP10" s="1057" t="s">
        <v>11482</v>
      </c>
      <c r="BQ10" s="1057" t="s">
        <v>11483</v>
      </c>
      <c r="BS10" s="1081"/>
    </row>
    <row r="11" spans="1:71">
      <c r="A11" s="1"/>
      <c r="B11" s="1081" t="s">
        <v>8080</v>
      </c>
      <c r="C11" s="1"/>
      <c r="D11" s="1081" t="s">
        <v>1086</v>
      </c>
      <c r="E11" s="1081" t="s">
        <v>10607</v>
      </c>
      <c r="F11" s="1"/>
      <c r="G11" s="1"/>
      <c r="H11" s="1081" t="s">
        <v>12586</v>
      </c>
      <c r="I11" s="1081" t="s">
        <v>57</v>
      </c>
      <c r="J11" s="1081" t="s">
        <v>199</v>
      </c>
      <c r="K11" s="1052" t="s">
        <v>12368</v>
      </c>
      <c r="L11" s="1052" t="s">
        <v>12494</v>
      </c>
      <c r="M11" s="1052" t="s">
        <v>12506</v>
      </c>
      <c r="N11" s="1052" t="s">
        <v>12493</v>
      </c>
      <c r="O11" s="1052" t="s">
        <v>10711</v>
      </c>
      <c r="P11" s="1081" t="s">
        <v>9982</v>
      </c>
      <c r="Q11" s="1081" t="s">
        <v>10046</v>
      </c>
      <c r="R11" s="1081" t="s">
        <v>444</v>
      </c>
      <c r="S11" s="1"/>
      <c r="T11" s="1081" t="s">
        <v>10307</v>
      </c>
      <c r="U11" s="1081" t="s">
        <v>10262</v>
      </c>
      <c r="V11" s="1"/>
      <c r="W11" s="1" t="str">
        <f>IF(oppty.MobilityState="","",INDEX(sLookupTables_eRate_MobilityStateContractList.sErateContract,MATCH(oppty.MobilityState,sLookupTables_eRate_MobilityStateContractList.sState,0)))</f>
        <v/>
      </c>
      <c r="X11" s="1"/>
      <c r="Y11" s="109">
        <f t="shared" ca="1" si="0"/>
        <v>43378</v>
      </c>
      <c r="Z11" s="1"/>
      <c r="AA11" s="3"/>
      <c r="AB11" s="1229" t="s">
        <v>406</v>
      </c>
      <c r="AC11" s="1229" t="s">
        <v>12678</v>
      </c>
      <c r="AD11" s="1229"/>
      <c r="AE11" s="1229" t="s">
        <v>11516</v>
      </c>
      <c r="AF11" s="10"/>
      <c r="AG11" s="1229" t="s">
        <v>313</v>
      </c>
      <c r="AH11" s="1229" t="s">
        <v>313</v>
      </c>
      <c r="AI11" s="1229" t="s">
        <v>9614</v>
      </c>
      <c r="AJ11" s="1229" t="s">
        <v>11516</v>
      </c>
      <c r="AK11" s="1229"/>
      <c r="AL11" s="1229" t="s">
        <v>313</v>
      </c>
      <c r="AM11" s="1229" t="s">
        <v>12579</v>
      </c>
      <c r="AN11" s="1229"/>
      <c r="AO11" s="1229" t="s">
        <v>11516</v>
      </c>
      <c r="AP11" s="8"/>
      <c r="AQ11" s="123" t="s">
        <v>1074</v>
      </c>
      <c r="AR11" s="1">
        <f>IF(ISBLANK(ddLongDealNum),1,0)</f>
        <v>0</v>
      </c>
      <c r="AS11" s="1"/>
      <c r="AT11" s="1"/>
      <c r="AU11" s="129">
        <v>120</v>
      </c>
      <c r="AV11" s="129">
        <v>12</v>
      </c>
      <c r="AW11" s="1"/>
      <c r="AX11" s="1081" t="s">
        <v>10951</v>
      </c>
      <c r="AY11" s="1"/>
      <c r="AZ11" s="1057" t="s">
        <v>10051</v>
      </c>
      <c r="BA11" s="1058" t="s">
        <v>10052</v>
      </c>
      <c r="BB11" s="1058" t="s">
        <v>10053</v>
      </c>
      <c r="BC11" s="1"/>
      <c r="BD11" s="1058" t="s">
        <v>10060</v>
      </c>
      <c r="BE11" s="1"/>
      <c r="BF11" s="1057" t="s">
        <v>10992</v>
      </c>
      <c r="BG11" s="1"/>
      <c r="BI11" s="1057" t="s">
        <v>11476</v>
      </c>
      <c r="BJ11" s="941"/>
      <c r="BK11" s="1057" t="s">
        <v>11480</v>
      </c>
      <c r="BM11" s="1578"/>
      <c r="BP11" s="1574" t="s">
        <v>209</v>
      </c>
      <c r="BQ11" s="1574" t="s">
        <v>231</v>
      </c>
      <c r="BS11" s="1081"/>
    </row>
    <row r="12" spans="1:71">
      <c r="A12" s="1"/>
      <c r="B12" s="1081" t="s">
        <v>673</v>
      </c>
      <c r="C12" s="1"/>
      <c r="D12" s="1081" t="s">
        <v>1087</v>
      </c>
      <c r="E12" s="1081" t="s">
        <v>7933</v>
      </c>
      <c r="F12" s="1"/>
      <c r="G12" s="1"/>
      <c r="H12" s="1081" t="s">
        <v>11539</v>
      </c>
      <c r="I12" s="1081" t="s">
        <v>444</v>
      </c>
      <c r="J12" s="1081" t="s">
        <v>11457</v>
      </c>
      <c r="K12" s="1052" t="s">
        <v>12369</v>
      </c>
      <c r="L12" s="1052" t="s">
        <v>12495</v>
      </c>
      <c r="M12" s="1052" t="s">
        <v>12507</v>
      </c>
      <c r="N12" s="1052" t="s">
        <v>12434</v>
      </c>
      <c r="O12" s="1052" t="s">
        <v>10712</v>
      </c>
      <c r="P12" s="1081" t="s">
        <v>9991</v>
      </c>
      <c r="Q12" s="1081" t="s">
        <v>10048</v>
      </c>
      <c r="R12" s="1081" t="s">
        <v>446</v>
      </c>
      <c r="S12" s="1"/>
      <c r="T12" s="1081" t="s">
        <v>10146</v>
      </c>
      <c r="U12" s="1081" t="s">
        <v>446</v>
      </c>
      <c r="V12" s="1"/>
      <c r="W12" s="123" t="str">
        <f>IF(oppty.MobilityState="","",MID(W11,3,LEN(W11)-2))</f>
        <v/>
      </c>
      <c r="X12" s="1"/>
      <c r="Y12" s="109">
        <f t="shared" ca="1" si="0"/>
        <v>43379</v>
      </c>
      <c r="Z12" s="1"/>
      <c r="AA12" s="3"/>
      <c r="AB12" s="1229" t="s">
        <v>406</v>
      </c>
      <c r="AC12" s="1229" t="s">
        <v>12679</v>
      </c>
      <c r="AD12" s="1229"/>
      <c r="AE12" s="1229" t="s">
        <v>11516</v>
      </c>
      <c r="AF12" s="10"/>
      <c r="AG12" s="1229" t="s">
        <v>12517</v>
      </c>
      <c r="AH12" s="1229" t="s">
        <v>12600</v>
      </c>
      <c r="AI12" s="1229" t="s">
        <v>9614</v>
      </c>
      <c r="AJ12" s="1229" t="s">
        <v>11359</v>
      </c>
      <c r="AK12" s="1229"/>
      <c r="AL12" s="1229" t="s">
        <v>313</v>
      </c>
      <c r="AM12" s="1229" t="s">
        <v>11220</v>
      </c>
      <c r="AN12" s="1229"/>
      <c r="AO12" s="1229" t="s">
        <v>11516</v>
      </c>
      <c r="AP12" s="8"/>
      <c r="AQ12" s="1"/>
      <c r="AR12" s="1"/>
      <c r="AS12" s="1"/>
      <c r="AT12" s="1"/>
      <c r="AU12" s="130"/>
      <c r="AV12" s="130"/>
      <c r="AW12" s="1"/>
      <c r="AX12" s="1081" t="s">
        <v>854</v>
      </c>
      <c r="AY12" s="1"/>
      <c r="AZ12" s="850" t="s">
        <v>9992</v>
      </c>
      <c r="BA12" s="849" t="s">
        <v>10054</v>
      </c>
      <c r="BB12" s="849" t="s">
        <v>10061</v>
      </c>
      <c r="BC12" s="1"/>
      <c r="BD12" s="849" t="s">
        <v>10054</v>
      </c>
      <c r="BE12" s="1"/>
      <c r="BF12" s="1545">
        <v>0</v>
      </c>
      <c r="BG12" s="1"/>
      <c r="BI12" s="1577">
        <v>0</v>
      </c>
      <c r="BK12" s="1577">
        <v>0</v>
      </c>
      <c r="BM12" s="1578"/>
      <c r="BP12" s="173" t="s">
        <v>232</v>
      </c>
      <c r="BQ12" s="173" t="s">
        <v>204</v>
      </c>
      <c r="BS12" s="1081"/>
    </row>
    <row r="13" spans="1:71">
      <c r="A13" s="1"/>
      <c r="B13" s="1081" t="s">
        <v>674</v>
      </c>
      <c r="C13" s="1"/>
      <c r="D13" s="1081" t="s">
        <v>1088</v>
      </c>
      <c r="E13" s="1081" t="s">
        <v>10608</v>
      </c>
      <c r="F13" s="1"/>
      <c r="G13" s="1"/>
      <c r="H13" s="1081" t="s">
        <v>12359</v>
      </c>
      <c r="I13" s="1081" t="s">
        <v>446</v>
      </c>
      <c r="J13" s="1081" t="s">
        <v>7774</v>
      </c>
      <c r="K13" s="1052" t="s">
        <v>12370</v>
      </c>
      <c r="L13" s="1052" t="s">
        <v>12455</v>
      </c>
      <c r="M13" s="1052" t="s">
        <v>12508</v>
      </c>
      <c r="N13" s="1052" t="s">
        <v>12494</v>
      </c>
      <c r="O13" s="1052" t="s">
        <v>9268</v>
      </c>
      <c r="P13" s="1081" t="s">
        <v>9973</v>
      </c>
      <c r="Q13" s="1081" t="s">
        <v>9994</v>
      </c>
      <c r="R13" s="1081" t="s">
        <v>448</v>
      </c>
      <c r="S13" s="1"/>
      <c r="T13" s="1081" t="s">
        <v>10169</v>
      </c>
      <c r="U13" s="1081" t="s">
        <v>10449</v>
      </c>
      <c r="V13" s="1"/>
      <c r="W13" s="1"/>
      <c r="X13" s="1"/>
      <c r="Y13" s="109">
        <f t="shared" ca="1" si="0"/>
        <v>43380</v>
      </c>
      <c r="Z13" s="1"/>
      <c r="AA13" s="3"/>
      <c r="AB13" s="1229" t="s">
        <v>7696</v>
      </c>
      <c r="AC13" s="1229" t="s">
        <v>12680</v>
      </c>
      <c r="AD13" s="1229"/>
      <c r="AE13" s="1229" t="s">
        <v>11516</v>
      </c>
      <c r="AF13" s="10"/>
      <c r="AG13" s="1229" t="s">
        <v>12517</v>
      </c>
      <c r="AH13" s="1229" t="s">
        <v>12601</v>
      </c>
      <c r="AI13" s="1229" t="s">
        <v>9614</v>
      </c>
      <c r="AJ13" s="1229" t="s">
        <v>11359</v>
      </c>
      <c r="AK13" s="1229"/>
      <c r="AL13" s="1229" t="s">
        <v>313</v>
      </c>
      <c r="AM13" s="1229" t="s">
        <v>2618</v>
      </c>
      <c r="AN13" s="1229"/>
      <c r="AO13" s="1229" t="s">
        <v>11516</v>
      </c>
      <c r="AP13" s="8"/>
      <c r="AQ13" s="123" t="s">
        <v>1075</v>
      </c>
      <c r="AR13" s="1">
        <f>SUM(AR8:AR11)</f>
        <v>2</v>
      </c>
      <c r="AS13" s="1"/>
      <c r="AT13" s="1"/>
      <c r="AU13" s="1"/>
      <c r="AV13" s="1"/>
      <c r="AW13" s="1"/>
      <c r="AX13" s="1081" t="s">
        <v>911</v>
      </c>
      <c r="AY13" s="1"/>
      <c r="AZ13" s="850" t="s">
        <v>10010</v>
      </c>
      <c r="BA13" s="849" t="s">
        <v>10055</v>
      </c>
      <c r="BB13" s="849" t="s">
        <v>10056</v>
      </c>
      <c r="BC13" s="1"/>
      <c r="BD13" s="849" t="s">
        <v>10055</v>
      </c>
      <c r="BE13" s="1"/>
      <c r="BF13" s="1546">
        <v>600</v>
      </c>
      <c r="BG13" s="1"/>
      <c r="BM13" s="1578"/>
      <c r="BP13" s="173" t="s">
        <v>233</v>
      </c>
      <c r="BQ13" s="173" t="s">
        <v>205</v>
      </c>
      <c r="BS13" s="1081"/>
    </row>
    <row r="14" spans="1:71">
      <c r="A14" s="1"/>
      <c r="B14" s="1081" t="s">
        <v>7761</v>
      </c>
      <c r="C14" s="1"/>
      <c r="D14" s="1081" t="s">
        <v>1089</v>
      </c>
      <c r="E14" s="1081" t="s">
        <v>11210</v>
      </c>
      <c r="F14" s="1"/>
      <c r="G14" s="1"/>
      <c r="H14" s="1081" t="s">
        <v>12587</v>
      </c>
      <c r="I14" s="1081" t="s">
        <v>448</v>
      </c>
      <c r="J14" s="1081" t="s">
        <v>10951</v>
      </c>
      <c r="K14" s="1052" t="s">
        <v>12371</v>
      </c>
      <c r="L14" s="1052" t="s">
        <v>12496</v>
      </c>
      <c r="M14" s="1052" t="s">
        <v>12509</v>
      </c>
      <c r="N14" s="1052" t="s">
        <v>12495</v>
      </c>
      <c r="O14" s="1052" t="s">
        <v>11174</v>
      </c>
      <c r="P14" s="1081" t="s">
        <v>9976</v>
      </c>
      <c r="Q14" s="1081" t="s">
        <v>10049</v>
      </c>
      <c r="R14" s="1081" t="s">
        <v>4</v>
      </c>
      <c r="S14" s="1"/>
      <c r="T14" s="1081" t="s">
        <v>10147</v>
      </c>
      <c r="U14" s="1081" t="s">
        <v>4</v>
      </c>
      <c r="V14" s="1"/>
      <c r="W14" s="1" t="str">
        <f>IF(oppty.MobilityState="","",INDEX(sLookupTables_eRate_MobilityStateAgreements.sErateContract,MATCH(oppty.MobilityState,sLookupTables_eRate_MobilityStateContractList.sState,0)))</f>
        <v/>
      </c>
      <c r="X14" s="1"/>
      <c r="Y14" s="21">
        <f ca="1">TODAY()</f>
        <v>43381</v>
      </c>
      <c r="Z14" s="1"/>
      <c r="AA14" s="3"/>
      <c r="AB14" s="1229" t="s">
        <v>7696</v>
      </c>
      <c r="AC14" s="1229" t="s">
        <v>440</v>
      </c>
      <c r="AD14" s="1229"/>
      <c r="AE14" s="1229" t="s">
        <v>11516</v>
      </c>
      <c r="AF14" s="10"/>
      <c r="AG14" s="1229" t="s">
        <v>12517</v>
      </c>
      <c r="AH14" s="1229" t="s">
        <v>12602</v>
      </c>
      <c r="AI14" s="1229" t="s">
        <v>9614</v>
      </c>
      <c r="AJ14" s="1229" t="s">
        <v>11359</v>
      </c>
      <c r="AK14" s="1229"/>
      <c r="AL14" s="1229" t="s">
        <v>313</v>
      </c>
      <c r="AM14" s="1229" t="s">
        <v>11148</v>
      </c>
      <c r="AN14" s="1229"/>
      <c r="AO14" s="1229" t="s">
        <v>11516</v>
      </c>
      <c r="AP14" s="8"/>
      <c r="AQ14" s="1"/>
      <c r="AR14" s="1"/>
      <c r="AS14" s="1"/>
      <c r="AT14" s="1"/>
      <c r="AU14" s="1"/>
      <c r="AV14" s="1"/>
      <c r="AW14" s="1"/>
      <c r="AX14" s="1081"/>
      <c r="AY14" s="1"/>
      <c r="AZ14" s="689" t="s">
        <v>10042</v>
      </c>
      <c r="BA14" s="1059" t="s">
        <v>10057</v>
      </c>
      <c r="BB14" s="1059" t="s">
        <v>10056</v>
      </c>
      <c r="BC14" s="1"/>
      <c r="BD14" s="1059" t="s">
        <v>10057</v>
      </c>
      <c r="BE14" s="1"/>
      <c r="BF14" s="1546">
        <v>1000</v>
      </c>
      <c r="BG14" s="1"/>
      <c r="BK14" s="1057" t="s">
        <v>11481</v>
      </c>
      <c r="BM14" s="1579"/>
      <c r="BP14" s="173" t="s">
        <v>234</v>
      </c>
      <c r="BQ14" s="173" t="s">
        <v>206</v>
      </c>
      <c r="BS14" s="1081"/>
    </row>
    <row r="15" spans="1:71">
      <c r="A15" s="1"/>
      <c r="B15" s="1081" t="s">
        <v>675</v>
      </c>
      <c r="C15" s="1"/>
      <c r="D15" s="1081" t="s">
        <v>1090</v>
      </c>
      <c r="E15" s="1081" t="s">
        <v>257</v>
      </c>
      <c r="F15" s="1"/>
      <c r="G15" s="1"/>
      <c r="H15" s="1" t="s">
        <v>11528</v>
      </c>
      <c r="I15" s="1081" t="s">
        <v>4</v>
      </c>
      <c r="J15" s="1081" t="s">
        <v>11347</v>
      </c>
      <c r="K15" s="1052" t="s">
        <v>12372</v>
      </c>
      <c r="L15" s="1052" t="s">
        <v>12461</v>
      </c>
      <c r="M15" s="1052" t="s">
        <v>12412</v>
      </c>
      <c r="N15" s="1052" t="s">
        <v>12455</v>
      </c>
      <c r="O15" s="1052" t="s">
        <v>11175</v>
      </c>
      <c r="P15" s="1081" t="s">
        <v>9974</v>
      </c>
      <c r="Q15" s="1081" t="s">
        <v>10050</v>
      </c>
      <c r="R15" s="1081" t="s">
        <v>255</v>
      </c>
      <c r="S15" s="1"/>
      <c r="T15" s="1081" t="s">
        <v>10148</v>
      </c>
      <c r="U15" s="1081" t="s">
        <v>10263</v>
      </c>
      <c r="V15" s="1"/>
      <c r="W15" s="123" t="str">
        <f>IF(oppty.MobilityState="","",MID(W14,3,LEN(W14)-2))</f>
        <v/>
      </c>
      <c r="X15" s="1"/>
      <c r="Y15" s="21">
        <f t="shared" ref="Y15:Y37" ca="1" si="1">Y14+1</f>
        <v>43382</v>
      </c>
      <c r="Z15" s="1"/>
      <c r="AA15" s="3"/>
      <c r="AB15" s="1229" t="s">
        <v>7696</v>
      </c>
      <c r="AC15" s="1229" t="s">
        <v>12681</v>
      </c>
      <c r="AD15" s="1229"/>
      <c r="AE15" s="1229" t="s">
        <v>11516</v>
      </c>
      <c r="AF15" s="10"/>
      <c r="AG15" s="1229" t="s">
        <v>12517</v>
      </c>
      <c r="AH15" s="1229" t="s">
        <v>12704</v>
      </c>
      <c r="AI15" s="1229" t="s">
        <v>9614</v>
      </c>
      <c r="AJ15" s="1229" t="s">
        <v>11516</v>
      </c>
      <c r="AK15" s="1229"/>
      <c r="AL15" s="1229" t="s">
        <v>313</v>
      </c>
      <c r="AM15" s="1229" t="s">
        <v>3152</v>
      </c>
      <c r="AN15" s="1229"/>
      <c r="AO15" s="1229" t="s">
        <v>11516</v>
      </c>
      <c r="AP15" s="8"/>
      <c r="AQ15" s="123" t="s">
        <v>1076</v>
      </c>
      <c r="AR15" s="1" t="b">
        <f>IF(AR13&lt;4,FALSE,TRUE)</f>
        <v>0</v>
      </c>
      <c r="AS15" s="1"/>
      <c r="AT15" s="1"/>
      <c r="AU15" s="1"/>
      <c r="AV15" s="1"/>
      <c r="AW15" s="1"/>
      <c r="AX15" s="1081"/>
      <c r="AY15" s="1"/>
      <c r="AZ15" s="850" t="s">
        <v>10009</v>
      </c>
      <c r="BA15" s="849" t="s">
        <v>10054</v>
      </c>
      <c r="BB15" s="849" t="s">
        <v>10061</v>
      </c>
      <c r="BC15" s="1"/>
      <c r="BD15" s="1059" t="s">
        <v>9208</v>
      </c>
      <c r="BE15" s="1"/>
      <c r="BF15" s="1546">
        <v>2000</v>
      </c>
      <c r="BG15" s="1"/>
      <c r="BK15" s="1577">
        <v>0</v>
      </c>
      <c r="BM15" s="1578"/>
      <c r="BP15" s="173" t="s">
        <v>11200</v>
      </c>
      <c r="BQ15" s="173" t="s">
        <v>11200</v>
      </c>
      <c r="BS15" s="1081"/>
    </row>
    <row r="16" spans="1:71">
      <c r="A16" s="1"/>
      <c r="B16" s="1081" t="s">
        <v>676</v>
      </c>
      <c r="C16" s="1"/>
      <c r="D16" s="1081" t="s">
        <v>1091</v>
      </c>
      <c r="E16" s="1081" t="s">
        <v>372</v>
      </c>
      <c r="F16" s="1"/>
      <c r="G16" s="1"/>
      <c r="H16" s="1" t="s">
        <v>619</v>
      </c>
      <c r="I16" s="1081" t="s">
        <v>255</v>
      </c>
      <c r="J16" s="1081" t="s">
        <v>11348</v>
      </c>
      <c r="K16" s="1052" t="s">
        <v>12373</v>
      </c>
      <c r="L16" s="1052" t="s">
        <v>12497</v>
      </c>
      <c r="M16" s="1052" t="s">
        <v>12510</v>
      </c>
      <c r="N16" s="1052" t="s">
        <v>12496</v>
      </c>
      <c r="O16" s="1052" t="s">
        <v>11681</v>
      </c>
      <c r="P16" s="1081" t="s">
        <v>9987</v>
      </c>
      <c r="Q16" s="1081" t="s">
        <v>10049</v>
      </c>
      <c r="R16" s="1081" t="s">
        <v>258</v>
      </c>
      <c r="S16" s="1"/>
      <c r="T16" s="1081" t="s">
        <v>10348</v>
      </c>
      <c r="U16" s="1081" t="s">
        <v>10264</v>
      </c>
      <c r="V16" s="1"/>
      <c r="W16" s="1"/>
      <c r="X16" s="1"/>
      <c r="Y16" s="21">
        <f t="shared" ca="1" si="1"/>
        <v>43383</v>
      </c>
      <c r="Z16" s="1"/>
      <c r="AA16" s="3"/>
      <c r="AB16" s="1229" t="s">
        <v>12360</v>
      </c>
      <c r="AC16" s="1229" t="s">
        <v>12526</v>
      </c>
      <c r="AD16" s="1229"/>
      <c r="AE16" s="1229" t="s">
        <v>11359</v>
      </c>
      <c r="AF16" s="10"/>
      <c r="AG16" s="1229" t="s">
        <v>12517</v>
      </c>
      <c r="AH16" s="1229" t="s">
        <v>12705</v>
      </c>
      <c r="AI16" s="1229" t="s">
        <v>9614</v>
      </c>
      <c r="AJ16" s="1229" t="s">
        <v>11516</v>
      </c>
      <c r="AK16" s="1229"/>
      <c r="AL16" s="1229" t="s">
        <v>313</v>
      </c>
      <c r="AM16" s="1229" t="s">
        <v>11150</v>
      </c>
      <c r="AN16" s="1229"/>
      <c r="AO16" s="1229" t="s">
        <v>11516</v>
      </c>
      <c r="AP16" s="8"/>
      <c r="AQ16" s="1"/>
      <c r="AR16" s="1"/>
      <c r="AS16" s="1"/>
      <c r="AT16" s="1"/>
      <c r="AU16" s="1"/>
      <c r="AV16" s="1"/>
      <c r="AW16" s="1"/>
      <c r="AX16" s="1081"/>
      <c r="AY16" s="1"/>
      <c r="AZ16" s="689" t="s">
        <v>9993</v>
      </c>
      <c r="BA16" s="849" t="s">
        <v>10055</v>
      </c>
      <c r="BB16" s="1059" t="s">
        <v>10056</v>
      </c>
      <c r="BC16" s="1"/>
      <c r="BD16" s="1059" t="s">
        <v>10058</v>
      </c>
      <c r="BE16" s="1"/>
      <c r="BF16" s="1546">
        <v>3000</v>
      </c>
      <c r="BG16" s="1"/>
      <c r="BM16" s="1578"/>
      <c r="BP16" s="1575" t="s">
        <v>11484</v>
      </c>
      <c r="BQ16" s="1575" t="s">
        <v>11485</v>
      </c>
      <c r="BS16" s="1081"/>
    </row>
    <row r="17" spans="1:71">
      <c r="A17" s="1"/>
      <c r="B17" s="1081" t="s">
        <v>10170</v>
      </c>
      <c r="C17" s="1"/>
      <c r="D17" s="1081" t="s">
        <v>1092</v>
      </c>
      <c r="E17" s="1081" t="s">
        <v>493</v>
      </c>
      <c r="F17" s="1"/>
      <c r="G17" s="1"/>
      <c r="H17" s="1" t="s">
        <v>11498</v>
      </c>
      <c r="I17" s="1081" t="s">
        <v>258</v>
      </c>
      <c r="J17" s="1081" t="s">
        <v>1077</v>
      </c>
      <c r="K17" s="1052" t="s">
        <v>12374</v>
      </c>
      <c r="L17" s="1052" t="s">
        <v>12498</v>
      </c>
      <c r="M17" s="1052" t="s">
        <v>12511</v>
      </c>
      <c r="N17" s="1052" t="s">
        <v>12461</v>
      </c>
      <c r="O17" s="1052" t="s">
        <v>11671</v>
      </c>
      <c r="P17" s="1081" t="s">
        <v>9977</v>
      </c>
      <c r="Q17" s="1081" t="s">
        <v>10050</v>
      </c>
      <c r="R17" s="1081" t="s">
        <v>575</v>
      </c>
      <c r="S17" s="1"/>
      <c r="T17" s="1081" t="s">
        <v>10149</v>
      </c>
      <c r="U17" s="1081" t="s">
        <v>10265</v>
      </c>
      <c r="V17" s="1"/>
      <c r="W17" s="1"/>
      <c r="X17" s="1"/>
      <c r="Y17" s="21">
        <f t="shared" ca="1" si="1"/>
        <v>43384</v>
      </c>
      <c r="Z17" s="1"/>
      <c r="AA17" s="3"/>
      <c r="AB17" s="1229" t="s">
        <v>12360</v>
      </c>
      <c r="AC17" s="1229" t="s">
        <v>12512</v>
      </c>
      <c r="AD17" s="1229"/>
      <c r="AE17" s="1229" t="s">
        <v>11359</v>
      </c>
      <c r="AF17" s="10"/>
      <c r="AG17" s="1229" t="s">
        <v>12517</v>
      </c>
      <c r="AH17" s="1229" t="s">
        <v>12706</v>
      </c>
      <c r="AI17" s="1229" t="s">
        <v>9614</v>
      </c>
      <c r="AJ17" s="1229" t="s">
        <v>11516</v>
      </c>
      <c r="AK17" s="1229"/>
      <c r="AL17" s="1229" t="s">
        <v>313</v>
      </c>
      <c r="AM17" s="1229" t="s">
        <v>11258</v>
      </c>
      <c r="AN17" s="1229"/>
      <c r="AO17" s="1229" t="s">
        <v>11516</v>
      </c>
      <c r="AP17" s="8"/>
      <c r="AQ17" s="1"/>
      <c r="AR17" s="1"/>
      <c r="AS17" s="1"/>
      <c r="AT17" s="1"/>
      <c r="AU17" s="1"/>
      <c r="AV17" s="1"/>
      <c r="AW17" s="1"/>
      <c r="AX17" s="1081"/>
      <c r="AY17" s="1"/>
      <c r="AZ17" s="850" t="s">
        <v>10043</v>
      </c>
      <c r="BA17" s="1059" t="s">
        <v>10057</v>
      </c>
      <c r="BB17" s="1059" t="s">
        <v>10056</v>
      </c>
      <c r="BC17" s="1"/>
      <c r="BD17" s="1059" t="s">
        <v>9268</v>
      </c>
      <c r="BE17" s="1"/>
      <c r="BF17" s="1546">
        <v>5000</v>
      </c>
      <c r="BG17" s="1"/>
      <c r="BI17" s="849" t="s">
        <v>11478</v>
      </c>
      <c r="BP17" s="173" t="s">
        <v>236</v>
      </c>
      <c r="BQ17" s="173" t="s">
        <v>208</v>
      </c>
      <c r="BS17" s="1081"/>
    </row>
    <row r="18" spans="1:71">
      <c r="A18" s="1"/>
      <c r="B18" s="1081" t="s">
        <v>11115</v>
      </c>
      <c r="C18" s="1"/>
      <c r="D18" s="1081" t="s">
        <v>1093</v>
      </c>
      <c r="E18" s="1081" t="s">
        <v>10609</v>
      </c>
      <c r="F18" s="1"/>
      <c r="G18" s="1"/>
      <c r="H18" s="1"/>
      <c r="I18" s="1081" t="s">
        <v>575</v>
      </c>
      <c r="J18" s="1081" t="s">
        <v>407</v>
      </c>
      <c r="K18" s="1052" t="s">
        <v>12375</v>
      </c>
      <c r="L18" s="1048"/>
      <c r="M18" s="1052"/>
      <c r="N18" s="1052" t="s">
        <v>12497</v>
      </c>
      <c r="O18" s="1052" t="s">
        <v>11682</v>
      </c>
      <c r="P18" s="1081" t="s">
        <v>9981</v>
      </c>
      <c r="Q18" s="960"/>
      <c r="R18" s="1081" t="s">
        <v>373</v>
      </c>
      <c r="S18" s="1"/>
      <c r="T18" s="1081" t="s">
        <v>10150</v>
      </c>
      <c r="U18" s="1081" t="s">
        <v>10362</v>
      </c>
      <c r="V18" s="1"/>
      <c r="W18" s="1"/>
      <c r="X18" s="1"/>
      <c r="Y18" s="21">
        <f t="shared" ca="1" si="1"/>
        <v>43385</v>
      </c>
      <c r="Z18" s="1"/>
      <c r="AA18" s="3"/>
      <c r="AB18" s="1229" t="s">
        <v>12360</v>
      </c>
      <c r="AC18" s="1229" t="s">
        <v>12527</v>
      </c>
      <c r="AD18" s="1229"/>
      <c r="AE18" s="1229" t="s">
        <v>11359</v>
      </c>
      <c r="AF18" s="10"/>
      <c r="AG18" s="1229" t="s">
        <v>12688</v>
      </c>
      <c r="AH18" s="1229" t="s">
        <v>12707</v>
      </c>
      <c r="AI18" s="1229" t="s">
        <v>9614</v>
      </c>
      <c r="AJ18" s="1229" t="s">
        <v>11516</v>
      </c>
      <c r="AK18" s="1229"/>
      <c r="AL18" s="1229" t="s">
        <v>313</v>
      </c>
      <c r="AM18" s="1229" t="s">
        <v>454</v>
      </c>
      <c r="AN18" s="1229"/>
      <c r="AO18" s="1229" t="s">
        <v>11516</v>
      </c>
      <c r="AP18" s="8"/>
      <c r="AQ18" s="1"/>
      <c r="AR18" s="1"/>
      <c r="AS18" s="1"/>
      <c r="AT18" s="1"/>
      <c r="AU18" s="1"/>
      <c r="AV18" s="1"/>
      <c r="AW18" s="1"/>
      <c r="AX18" s="940"/>
      <c r="AY18" s="1"/>
      <c r="AZ18" s="689" t="s">
        <v>10044</v>
      </c>
      <c r="BA18" s="1059" t="s">
        <v>9208</v>
      </c>
      <c r="BB18" s="1059" t="s">
        <v>10062</v>
      </c>
      <c r="BC18" s="1"/>
      <c r="BD18" s="1059" t="s">
        <v>10059</v>
      </c>
      <c r="BE18" s="1"/>
      <c r="BF18" s="1546">
        <v>6000</v>
      </c>
      <c r="BG18" s="1"/>
      <c r="BI18" s="849" t="s">
        <v>11477</v>
      </c>
      <c r="BP18" s="173" t="s">
        <v>9289</v>
      </c>
      <c r="BQ18" s="173" t="s">
        <v>9290</v>
      </c>
      <c r="BS18" s="1081"/>
    </row>
    <row r="19" spans="1:71">
      <c r="A19" s="1"/>
      <c r="B19" s="1081" t="s">
        <v>677</v>
      </c>
      <c r="C19" s="1"/>
      <c r="D19" s="1081" t="s">
        <v>1094</v>
      </c>
      <c r="E19" s="1081" t="s">
        <v>9693</v>
      </c>
      <c r="F19" s="1"/>
      <c r="G19" s="1"/>
      <c r="H19" s="1"/>
      <c r="I19" s="1081" t="s">
        <v>373</v>
      </c>
      <c r="J19" s="1081" t="s">
        <v>11349</v>
      </c>
      <c r="K19" s="1052" t="s">
        <v>12376</v>
      </c>
      <c r="L19" s="1048"/>
      <c r="M19" s="1048"/>
      <c r="N19" s="1052" t="s">
        <v>12498</v>
      </c>
      <c r="O19" s="1052" t="s">
        <v>10713</v>
      </c>
      <c r="P19" s="1081" t="s">
        <v>9989</v>
      </c>
      <c r="Q19" s="960"/>
      <c r="R19" s="1081" t="s">
        <v>492</v>
      </c>
      <c r="S19" s="1"/>
      <c r="T19" s="1081" t="s">
        <v>10151</v>
      </c>
      <c r="U19" s="1081" t="s">
        <v>10266</v>
      </c>
      <c r="V19" s="1"/>
      <c r="W19" s="1"/>
      <c r="X19" s="1"/>
      <c r="Y19" s="21">
        <f t="shared" ca="1" si="1"/>
        <v>43386</v>
      </c>
      <c r="Z19" s="1"/>
      <c r="AA19" s="3"/>
      <c r="AB19" s="1229" t="s">
        <v>12360</v>
      </c>
      <c r="AC19" s="1229" t="s">
        <v>12513</v>
      </c>
      <c r="AD19" s="1229"/>
      <c r="AE19" s="1229" t="s">
        <v>11359</v>
      </c>
      <c r="AF19" s="10"/>
      <c r="AG19" s="1229" t="s">
        <v>12688</v>
      </c>
      <c r="AH19" s="1229" t="s">
        <v>12708</v>
      </c>
      <c r="AI19" s="1229" t="s">
        <v>9614</v>
      </c>
      <c r="AJ19" s="1229" t="s">
        <v>11516</v>
      </c>
      <c r="AK19" s="1229"/>
      <c r="AL19" s="1229" t="s">
        <v>313</v>
      </c>
      <c r="AM19" s="1229" t="s">
        <v>12809</v>
      </c>
      <c r="AN19" s="1229"/>
      <c r="AO19" s="1229" t="s">
        <v>11516</v>
      </c>
      <c r="AP19" s="8"/>
      <c r="AQ19" s="1"/>
      <c r="AR19" s="1"/>
      <c r="AS19" s="1"/>
      <c r="AT19" s="1"/>
      <c r="AU19" s="1"/>
      <c r="AV19" s="1"/>
      <c r="AW19" s="1"/>
      <c r="AX19" s="940"/>
      <c r="AY19" s="1"/>
      <c r="AZ19" s="850" t="s">
        <v>10045</v>
      </c>
      <c r="BA19" s="1059" t="s">
        <v>10058</v>
      </c>
      <c r="BB19" s="1059" t="s">
        <v>10062</v>
      </c>
      <c r="BC19" s="1"/>
      <c r="BD19" s="850" t="s">
        <v>10049</v>
      </c>
      <c r="BE19" s="1"/>
      <c r="BF19" s="1546">
        <v>7000</v>
      </c>
      <c r="BG19" s="1"/>
      <c r="BP19" s="173" t="s">
        <v>9291</v>
      </c>
      <c r="BQ19" s="173" t="s">
        <v>9292</v>
      </c>
      <c r="BS19" s="1081"/>
    </row>
    <row r="20" spans="1:71">
      <c r="A20" s="1"/>
      <c r="B20" s="1081" t="s">
        <v>678</v>
      </c>
      <c r="C20" s="1"/>
      <c r="D20" s="1081" t="s">
        <v>1095</v>
      </c>
      <c r="E20" s="1081" t="s">
        <v>377</v>
      </c>
      <c r="F20" s="1"/>
      <c r="G20" s="1"/>
      <c r="H20" s="1"/>
      <c r="I20" s="1081" t="s">
        <v>492</v>
      </c>
      <c r="J20" s="1081" t="s">
        <v>200</v>
      </c>
      <c r="K20" s="1052" t="s">
        <v>12377</v>
      </c>
      <c r="L20" s="1048"/>
      <c r="M20" s="1048"/>
      <c r="N20" s="1052" t="s">
        <v>10025</v>
      </c>
      <c r="O20" s="1048"/>
      <c r="P20" s="1081" t="s">
        <v>9990</v>
      </c>
      <c r="Q20" s="960"/>
      <c r="R20" s="1081" t="s">
        <v>494</v>
      </c>
      <c r="S20" s="1"/>
      <c r="T20" s="1081" t="s">
        <v>9658</v>
      </c>
      <c r="U20" s="1081" t="s">
        <v>10267</v>
      </c>
      <c r="V20" s="1"/>
      <c r="W20" s="1"/>
      <c r="X20" s="1"/>
      <c r="Y20" s="21">
        <f t="shared" ca="1" si="1"/>
        <v>43387</v>
      </c>
      <c r="Z20" s="1"/>
      <c r="AA20" s="3"/>
      <c r="AB20" s="1229" t="s">
        <v>12360</v>
      </c>
      <c r="AC20" s="1229" t="s">
        <v>12682</v>
      </c>
      <c r="AD20" s="1229"/>
      <c r="AE20" s="1229" t="s">
        <v>11516</v>
      </c>
      <c r="AF20" s="10"/>
      <c r="AG20" s="1229" t="s">
        <v>12688</v>
      </c>
      <c r="AH20" s="1229" t="s">
        <v>12709</v>
      </c>
      <c r="AI20" s="1229" t="s">
        <v>9614</v>
      </c>
      <c r="AJ20" s="1229" t="s">
        <v>11516</v>
      </c>
      <c r="AK20" s="1229"/>
      <c r="AL20" s="1229" t="s">
        <v>313</v>
      </c>
      <c r="AM20" s="1229" t="s">
        <v>7124</v>
      </c>
      <c r="AN20" s="1229"/>
      <c r="AO20" s="1229" t="s">
        <v>11516</v>
      </c>
      <c r="AP20" s="8"/>
      <c r="AQ20" s="1"/>
      <c r="AR20" s="123" t="s">
        <v>8063</v>
      </c>
      <c r="AS20" s="1"/>
      <c r="AT20" s="1"/>
      <c r="AU20" s="1"/>
      <c r="AV20" s="1"/>
      <c r="AW20" s="1"/>
      <c r="AX20" s="940"/>
      <c r="AY20" s="1"/>
      <c r="AZ20" s="850" t="s">
        <v>10046</v>
      </c>
      <c r="BA20" s="1059" t="s">
        <v>9208</v>
      </c>
      <c r="BB20" s="1059" t="s">
        <v>10063</v>
      </c>
      <c r="BC20" s="1"/>
      <c r="BD20" s="850" t="s">
        <v>10050</v>
      </c>
      <c r="BE20" s="1"/>
      <c r="BF20" s="1546">
        <v>8000</v>
      </c>
      <c r="BG20" s="1"/>
      <c r="BP20" s="1576" t="s">
        <v>11486</v>
      </c>
      <c r="BQ20" s="1576" t="s">
        <v>11487</v>
      </c>
      <c r="BS20" s="1081"/>
    </row>
    <row r="21" spans="1:71">
      <c r="A21" s="1"/>
      <c r="B21" s="1081" t="s">
        <v>7943</v>
      </c>
      <c r="C21" s="1"/>
      <c r="D21" s="1081" t="s">
        <v>1096</v>
      </c>
      <c r="E21" s="1081" t="s">
        <v>10610</v>
      </c>
      <c r="F21" s="1"/>
      <c r="G21" s="1"/>
      <c r="H21" s="1"/>
      <c r="I21" s="1081" t="s">
        <v>494</v>
      </c>
      <c r="J21" s="1081" t="s">
        <v>634</v>
      </c>
      <c r="K21" s="1052" t="s">
        <v>12378</v>
      </c>
      <c r="L21" s="1048"/>
      <c r="M21" s="1048"/>
      <c r="N21" s="1052" t="s">
        <v>12499</v>
      </c>
      <c r="O21" s="1048"/>
      <c r="P21" s="1081" t="s">
        <v>9984</v>
      </c>
      <c r="Q21" s="960"/>
      <c r="R21" s="1081" t="s">
        <v>310</v>
      </c>
      <c r="S21" s="1"/>
      <c r="T21" s="1081" t="s">
        <v>10152</v>
      </c>
      <c r="U21" s="1081" t="s">
        <v>10268</v>
      </c>
      <c r="V21" s="1"/>
      <c r="W21" s="1"/>
      <c r="X21" s="1"/>
      <c r="Y21" s="21">
        <f t="shared" ca="1" si="1"/>
        <v>43388</v>
      </c>
      <c r="Z21" s="1"/>
      <c r="AA21" s="3"/>
      <c r="AB21" s="1229" t="s">
        <v>12360</v>
      </c>
      <c r="AC21" s="1229" t="s">
        <v>12533</v>
      </c>
      <c r="AD21" s="1229"/>
      <c r="AE21" s="1229" t="s">
        <v>11359</v>
      </c>
      <c r="AF21" s="10"/>
      <c r="AG21" s="1229" t="s">
        <v>12688</v>
      </c>
      <c r="AH21" s="1229" t="s">
        <v>12710</v>
      </c>
      <c r="AI21" s="1229" t="s">
        <v>9614</v>
      </c>
      <c r="AJ21" s="1229" t="s">
        <v>11516</v>
      </c>
      <c r="AK21" s="1229"/>
      <c r="AL21" s="1229" t="s">
        <v>313</v>
      </c>
      <c r="AM21" s="1229" t="s">
        <v>7124</v>
      </c>
      <c r="AN21" s="1229"/>
      <c r="AO21" s="1229" t="s">
        <v>11516</v>
      </c>
      <c r="AP21" s="8"/>
      <c r="AQ21" s="1"/>
      <c r="AR21" s="1"/>
      <c r="AS21" s="1"/>
      <c r="AT21" s="1"/>
      <c r="AU21" s="1"/>
      <c r="AV21" s="1"/>
      <c r="AW21" s="1"/>
      <c r="AX21" s="940"/>
      <c r="AY21" s="1"/>
      <c r="AZ21" s="850" t="s">
        <v>10047</v>
      </c>
      <c r="BA21" s="1059" t="s">
        <v>10058</v>
      </c>
      <c r="BB21" s="1059" t="s">
        <v>10063</v>
      </c>
      <c r="BC21" s="1"/>
      <c r="BD21" s="1"/>
      <c r="BE21" s="1"/>
      <c r="BF21" s="1546">
        <v>9000</v>
      </c>
      <c r="BG21" s="1"/>
      <c r="BS21" s="1081"/>
    </row>
    <row r="22" spans="1:71">
      <c r="A22" s="1"/>
      <c r="B22" s="1081" t="s">
        <v>679</v>
      </c>
      <c r="C22" s="1"/>
      <c r="D22" s="1081" t="s">
        <v>1097</v>
      </c>
      <c r="E22" s="1081" t="s">
        <v>259</v>
      </c>
      <c r="F22" s="1"/>
      <c r="G22" s="1"/>
      <c r="H22" s="1"/>
      <c r="I22" s="1081" t="s">
        <v>310</v>
      </c>
      <c r="J22" s="1081" t="s">
        <v>635</v>
      </c>
      <c r="K22" s="1052" t="s">
        <v>12379</v>
      </c>
      <c r="L22" s="1048"/>
      <c r="M22" s="1048"/>
      <c r="N22" s="1052" t="s">
        <v>12500</v>
      </c>
      <c r="O22" s="1048"/>
      <c r="P22" s="1106" t="s">
        <v>10591</v>
      </c>
      <c r="Q22" s="960"/>
      <c r="R22" s="1081" t="s">
        <v>311</v>
      </c>
      <c r="S22" s="1"/>
      <c r="T22" s="1081" t="s">
        <v>10702</v>
      </c>
      <c r="U22" s="1081" t="s">
        <v>10269</v>
      </c>
      <c r="V22" s="1"/>
      <c r="W22" s="1"/>
      <c r="X22" s="1"/>
      <c r="Y22" s="21">
        <f t="shared" ca="1" si="1"/>
        <v>43389</v>
      </c>
      <c r="Z22" s="1"/>
      <c r="AA22" s="3"/>
      <c r="AB22" s="1229" t="s">
        <v>12360</v>
      </c>
      <c r="AC22" s="1229" t="s">
        <v>12534</v>
      </c>
      <c r="AD22" s="1229"/>
      <c r="AE22" s="1229" t="s">
        <v>11359</v>
      </c>
      <c r="AF22" s="10"/>
      <c r="AG22" s="1229" t="s">
        <v>12688</v>
      </c>
      <c r="AH22" s="1229" t="s">
        <v>12711</v>
      </c>
      <c r="AI22" s="1229" t="s">
        <v>9614</v>
      </c>
      <c r="AJ22" s="1229" t="s">
        <v>11516</v>
      </c>
      <c r="AK22" s="1229"/>
      <c r="AL22" s="1229" t="s">
        <v>12517</v>
      </c>
      <c r="AM22" s="1229" t="s">
        <v>12548</v>
      </c>
      <c r="AN22" s="1229"/>
      <c r="AO22" s="1229" t="s">
        <v>11359</v>
      </c>
      <c r="AP22" s="8"/>
      <c r="AQ22" s="1"/>
      <c r="AR22" s="1"/>
      <c r="AS22" s="1"/>
      <c r="AT22" s="1"/>
      <c r="AU22" s="1"/>
      <c r="AV22" s="1"/>
      <c r="AW22" s="1"/>
      <c r="AX22" s="940"/>
      <c r="AY22" s="1"/>
      <c r="AZ22" s="850" t="s">
        <v>10048</v>
      </c>
      <c r="BA22" s="1059" t="s">
        <v>9268</v>
      </c>
      <c r="BB22" s="1059" t="s">
        <v>10027</v>
      </c>
      <c r="BC22" s="1"/>
      <c r="BD22" s="1"/>
      <c r="BE22" s="1"/>
      <c r="BF22" s="1546">
        <v>10000</v>
      </c>
      <c r="BG22" s="1"/>
      <c r="BS22" s="1081"/>
    </row>
    <row r="23" spans="1:71">
      <c r="A23" s="1"/>
      <c r="B23" s="1081" t="s">
        <v>11202</v>
      </c>
      <c r="C23" s="1"/>
      <c r="D23" s="1081" t="s">
        <v>1098</v>
      </c>
      <c r="E23" s="1081" t="s">
        <v>11211</v>
      </c>
      <c r="F23" s="1"/>
      <c r="G23" s="1"/>
      <c r="H23" s="1"/>
      <c r="I23" s="1081" t="s">
        <v>311</v>
      </c>
      <c r="J23" s="1081" t="s">
        <v>11282</v>
      </c>
      <c r="K23" s="1052" t="s">
        <v>12380</v>
      </c>
      <c r="L23" s="1048"/>
      <c r="M23" s="1048"/>
      <c r="N23" s="1052" t="s">
        <v>12501</v>
      </c>
      <c r="O23" s="1048"/>
      <c r="P23" s="1106" t="s">
        <v>10349</v>
      </c>
      <c r="Q23" s="960"/>
      <c r="R23" s="1081" t="s">
        <v>630</v>
      </c>
      <c r="S23" s="1"/>
      <c r="T23" s="1081" t="s">
        <v>11499</v>
      </c>
      <c r="U23" s="1081" t="s">
        <v>630</v>
      </c>
      <c r="V23" s="1"/>
      <c r="W23" s="1"/>
      <c r="X23" s="1"/>
      <c r="Y23" s="21">
        <f t="shared" ca="1" si="1"/>
        <v>43390</v>
      </c>
      <c r="Z23" s="1"/>
      <c r="AA23" s="3"/>
      <c r="AB23" s="1229" t="s">
        <v>12360</v>
      </c>
      <c r="AC23" s="1229" t="s">
        <v>12683</v>
      </c>
      <c r="AD23" s="1229"/>
      <c r="AE23" s="1229" t="s">
        <v>11516</v>
      </c>
      <c r="AF23" s="10"/>
      <c r="AG23" s="1229" t="s">
        <v>12688</v>
      </c>
      <c r="AH23" s="1229" t="s">
        <v>12712</v>
      </c>
      <c r="AI23" s="1229" t="s">
        <v>9614</v>
      </c>
      <c r="AJ23" s="1229" t="s">
        <v>11516</v>
      </c>
      <c r="AK23" s="1229"/>
      <c r="AL23" s="1229" t="s">
        <v>12517</v>
      </c>
      <c r="AM23" s="1229" t="s">
        <v>1745</v>
      </c>
      <c r="AN23" s="1229"/>
      <c r="AO23" s="1229" t="s">
        <v>11359</v>
      </c>
      <c r="AP23" s="8"/>
      <c r="AQ23" s="1"/>
      <c r="AR23" s="1"/>
      <c r="AS23" s="1"/>
      <c r="AT23" s="1"/>
      <c r="AU23" s="1"/>
      <c r="AV23" s="1"/>
      <c r="AW23" s="1"/>
      <c r="AX23" s="940"/>
      <c r="AY23" s="1"/>
      <c r="AZ23" s="850" t="s">
        <v>9994</v>
      </c>
      <c r="BA23" s="1059" t="s">
        <v>10059</v>
      </c>
      <c r="BB23" s="1060" t="s">
        <v>10056</v>
      </c>
      <c r="BC23" s="1"/>
      <c r="BD23" s="1"/>
      <c r="BE23" s="1"/>
      <c r="BF23" s="1546">
        <v>12000</v>
      </c>
      <c r="BG23" s="1"/>
      <c r="BS23" s="1081"/>
    </row>
    <row r="24" spans="1:71">
      <c r="A24" s="1"/>
      <c r="B24" s="1081" t="s">
        <v>12631</v>
      </c>
      <c r="C24" s="1"/>
      <c r="D24" s="1081" t="s">
        <v>1099</v>
      </c>
      <c r="E24" s="1081" t="s">
        <v>569</v>
      </c>
      <c r="F24" s="1"/>
      <c r="G24" s="1"/>
      <c r="H24" s="1"/>
      <c r="I24" s="1081" t="s">
        <v>630</v>
      </c>
      <c r="J24" s="1081" t="s">
        <v>172</v>
      </c>
      <c r="K24" s="1052" t="s">
        <v>12381</v>
      </c>
      <c r="L24" s="1048"/>
      <c r="M24" s="1048"/>
      <c r="N24" s="1052" t="s">
        <v>12502</v>
      </c>
      <c r="O24" s="1048"/>
      <c r="P24" s="1081" t="s">
        <v>10460</v>
      </c>
      <c r="Q24" s="960"/>
      <c r="R24" s="1081" t="s">
        <v>465</v>
      </c>
      <c r="S24" s="1"/>
      <c r="T24" s="1081" t="s">
        <v>11096</v>
      </c>
      <c r="U24" s="1081" t="s">
        <v>10450</v>
      </c>
      <c r="V24" s="1"/>
      <c r="W24" s="1"/>
      <c r="X24" s="1"/>
      <c r="Y24" s="21">
        <f t="shared" ca="1" si="1"/>
        <v>43391</v>
      </c>
      <c r="Z24" s="1"/>
      <c r="AA24" s="3"/>
      <c r="AB24" s="1229" t="s">
        <v>12360</v>
      </c>
      <c r="AC24" s="1229" t="s">
        <v>12684</v>
      </c>
      <c r="AD24" s="1229"/>
      <c r="AE24" s="1229" t="s">
        <v>11438</v>
      </c>
      <c r="AF24" s="10"/>
      <c r="AG24" s="1229" t="s">
        <v>12688</v>
      </c>
      <c r="AH24" s="1229" t="s">
        <v>12713</v>
      </c>
      <c r="AI24" s="1229" t="s">
        <v>9614</v>
      </c>
      <c r="AJ24" s="1229" t="s">
        <v>11516</v>
      </c>
      <c r="AK24" s="1229"/>
      <c r="AL24" s="1229" t="s">
        <v>12517</v>
      </c>
      <c r="AM24" s="1229" t="s">
        <v>11525</v>
      </c>
      <c r="AN24" s="1229"/>
      <c r="AO24" s="1229" t="s">
        <v>11359</v>
      </c>
      <c r="AP24" s="8"/>
      <c r="AQ24" s="1"/>
      <c r="AR24" s="1"/>
      <c r="AS24" s="1"/>
      <c r="AT24" s="1"/>
      <c r="AU24" s="1"/>
      <c r="AV24" s="1"/>
      <c r="AW24" s="1"/>
      <c r="AX24" s="940"/>
      <c r="AY24" s="1"/>
      <c r="AZ24" s="850" t="s">
        <v>10049</v>
      </c>
      <c r="BA24" s="850" t="s">
        <v>10049</v>
      </c>
      <c r="BB24" s="1060" t="s">
        <v>10056</v>
      </c>
      <c r="BC24" s="1"/>
      <c r="BD24" s="1"/>
      <c r="BE24" s="1"/>
      <c r="BF24" s="1546">
        <v>15000</v>
      </c>
      <c r="BG24" s="1"/>
      <c r="BS24" s="1081"/>
    </row>
    <row r="25" spans="1:71">
      <c r="A25" s="1"/>
      <c r="B25" s="1081" t="s">
        <v>8081</v>
      </c>
      <c r="C25" s="1"/>
      <c r="D25" s="1081" t="s">
        <v>1100</v>
      </c>
      <c r="E25" s="1081" t="s">
        <v>11212</v>
      </c>
      <c r="F25" s="1"/>
      <c r="G25" s="1"/>
      <c r="H25" s="1"/>
      <c r="I25" s="1081" t="s">
        <v>465</v>
      </c>
      <c r="J25" s="1081" t="s">
        <v>576</v>
      </c>
      <c r="K25" s="1052" t="s">
        <v>12382</v>
      </c>
      <c r="L25" s="1048"/>
      <c r="M25" s="1048"/>
      <c r="N25" s="1052" t="s">
        <v>12503</v>
      </c>
      <c r="O25" s="1048"/>
      <c r="P25" s="1081" t="s">
        <v>10592</v>
      </c>
      <c r="Q25" s="960"/>
      <c r="R25" s="1081" t="s">
        <v>566</v>
      </c>
      <c r="S25" s="1"/>
      <c r="T25" s="1081" t="s">
        <v>10153</v>
      </c>
      <c r="U25" s="1081" t="s">
        <v>10270</v>
      </c>
      <c r="V25" s="1"/>
      <c r="W25" s="1"/>
      <c r="X25" s="1"/>
      <c r="Y25" s="21">
        <f t="shared" ca="1" si="1"/>
        <v>43392</v>
      </c>
      <c r="Z25" s="1"/>
      <c r="AA25" s="3"/>
      <c r="AB25" s="1229" t="s">
        <v>12360</v>
      </c>
      <c r="AC25" s="1229" t="s">
        <v>12514</v>
      </c>
      <c r="AD25" s="1229"/>
      <c r="AE25" s="1229" t="s">
        <v>11359</v>
      </c>
      <c r="AF25" s="10"/>
      <c r="AG25" s="1229" t="s">
        <v>12688</v>
      </c>
      <c r="AH25" s="1229" t="s">
        <v>12714</v>
      </c>
      <c r="AI25" s="1229" t="s">
        <v>9614</v>
      </c>
      <c r="AJ25" s="1229" t="s">
        <v>11516</v>
      </c>
      <c r="AK25" s="1229"/>
      <c r="AL25" s="1229" t="s">
        <v>12517</v>
      </c>
      <c r="AM25" s="1229" t="s">
        <v>1024</v>
      </c>
      <c r="AN25" s="1229"/>
      <c r="AO25" s="1229" t="s">
        <v>11359</v>
      </c>
      <c r="AP25" s="8"/>
      <c r="AQ25" s="1"/>
      <c r="AR25" s="1"/>
      <c r="AS25" s="1"/>
      <c r="AT25" s="1"/>
      <c r="AU25" s="1"/>
      <c r="AV25" s="1"/>
      <c r="AW25" s="1"/>
      <c r="AX25" s="940"/>
      <c r="AY25" s="1"/>
      <c r="AZ25" s="850" t="s">
        <v>10050</v>
      </c>
      <c r="BA25" s="850" t="s">
        <v>10050</v>
      </c>
      <c r="BB25" s="1060" t="s">
        <v>10056</v>
      </c>
      <c r="BC25" s="1"/>
      <c r="BD25" s="1"/>
      <c r="BE25" s="1"/>
      <c r="BF25" s="1546">
        <v>17500</v>
      </c>
      <c r="BG25" s="1"/>
      <c r="BI25" s="1057" t="s">
        <v>11646</v>
      </c>
      <c r="BS25" s="1081"/>
    </row>
    <row r="26" spans="1:71">
      <c r="A26" s="1"/>
      <c r="B26" s="1081" t="s">
        <v>680</v>
      </c>
      <c r="C26" s="1"/>
      <c r="D26" s="1081" t="s">
        <v>1101</v>
      </c>
      <c r="E26" s="1081" t="s">
        <v>11213</v>
      </c>
      <c r="F26" s="1"/>
      <c r="G26" s="1"/>
      <c r="H26" s="1"/>
      <c r="I26" s="1081" t="s">
        <v>566</v>
      </c>
      <c r="J26" s="1081" t="s">
        <v>466</v>
      </c>
      <c r="K26" s="1052" t="s">
        <v>12383</v>
      </c>
      <c r="L26" s="1048"/>
      <c r="M26" s="1048"/>
      <c r="N26" s="1052" t="s">
        <v>12504</v>
      </c>
      <c r="O26" s="1048"/>
      <c r="P26" s="1081" t="s">
        <v>10593</v>
      </c>
      <c r="Q26" s="960"/>
      <c r="R26" s="1081" t="s">
        <v>567</v>
      </c>
      <c r="S26" s="1"/>
      <c r="T26" s="1081" t="s">
        <v>10154</v>
      </c>
      <c r="U26" s="1081" t="s">
        <v>10694</v>
      </c>
      <c r="V26" s="1"/>
      <c r="W26" s="1"/>
      <c r="X26" s="1"/>
      <c r="Y26" s="21">
        <f t="shared" ca="1" si="1"/>
        <v>43393</v>
      </c>
      <c r="Z26" s="1"/>
      <c r="AA26" s="3"/>
      <c r="AB26" s="1229" t="s">
        <v>12360</v>
      </c>
      <c r="AC26" s="1229" t="s">
        <v>12515</v>
      </c>
      <c r="AD26" s="1229"/>
      <c r="AE26" s="1229" t="s">
        <v>11359</v>
      </c>
      <c r="AF26" s="10"/>
      <c r="AG26" s="1229" t="s">
        <v>12688</v>
      </c>
      <c r="AH26" s="1229" t="s">
        <v>12715</v>
      </c>
      <c r="AI26" s="1229" t="s">
        <v>9614</v>
      </c>
      <c r="AJ26" s="1229" t="s">
        <v>11516</v>
      </c>
      <c r="AK26" s="1229"/>
      <c r="AL26" s="1229" t="s">
        <v>12517</v>
      </c>
      <c r="AM26" s="1229" t="s">
        <v>10244</v>
      </c>
      <c r="AN26" s="1229"/>
      <c r="AO26" s="1229" t="s">
        <v>11359</v>
      </c>
      <c r="AP26" s="8"/>
      <c r="AQ26" s="1"/>
      <c r="AR26" s="1565" t="s">
        <v>11440</v>
      </c>
      <c r="AS26" s="1"/>
      <c r="AT26" s="1"/>
      <c r="AU26" s="1"/>
      <c r="AV26" s="1"/>
      <c r="AW26" s="1"/>
      <c r="AX26" s="940"/>
      <c r="AY26" s="1"/>
      <c r="AZ26" s="1"/>
      <c r="BA26" s="1"/>
      <c r="BB26" s="1"/>
      <c r="BC26" s="1"/>
      <c r="BD26" s="1"/>
      <c r="BE26" s="1"/>
      <c r="BF26" s="1546">
        <v>20000</v>
      </c>
      <c r="BG26" s="1"/>
      <c r="BI26" s="1577" t="b">
        <v>0</v>
      </c>
      <c r="BS26" s="1081"/>
    </row>
    <row r="27" spans="1:71">
      <c r="A27" s="1"/>
      <c r="B27" s="1081" t="s">
        <v>8082</v>
      </c>
      <c r="C27" s="1"/>
      <c r="D27" s="1081" t="s">
        <v>1102</v>
      </c>
      <c r="E27" s="1081" t="s">
        <v>573</v>
      </c>
      <c r="F27" s="1"/>
      <c r="G27" s="1"/>
      <c r="H27" s="1"/>
      <c r="I27" s="1081" t="s">
        <v>567</v>
      </c>
      <c r="J27" s="1081" t="s">
        <v>11312</v>
      </c>
      <c r="K27" s="1052" t="s">
        <v>12384</v>
      </c>
      <c r="L27" s="1048"/>
      <c r="M27" s="1048"/>
      <c r="N27" s="1052" t="s">
        <v>12505</v>
      </c>
      <c r="O27" s="1048"/>
      <c r="P27" s="1081" t="s">
        <v>10594</v>
      </c>
      <c r="Q27" s="960"/>
      <c r="R27" s="1081" t="s">
        <v>570</v>
      </c>
      <c r="S27" s="1"/>
      <c r="T27" s="1081" t="s">
        <v>10155</v>
      </c>
      <c r="U27" s="1081" t="s">
        <v>10271</v>
      </c>
      <c r="V27" s="1"/>
      <c r="W27" s="1"/>
      <c r="X27" s="1"/>
      <c r="Y27" s="21">
        <f t="shared" ca="1" si="1"/>
        <v>43394</v>
      </c>
      <c r="Z27" s="1"/>
      <c r="AA27" s="3"/>
      <c r="AB27" s="1229" t="s">
        <v>12360</v>
      </c>
      <c r="AC27" s="1229" t="s">
        <v>12535</v>
      </c>
      <c r="AD27" s="1229"/>
      <c r="AE27" s="1229" t="s">
        <v>11359</v>
      </c>
      <c r="AF27" s="10"/>
      <c r="AG27" s="1229" t="s">
        <v>12688</v>
      </c>
      <c r="AH27" s="1229" t="s">
        <v>12716</v>
      </c>
      <c r="AI27" s="1229" t="s">
        <v>9614</v>
      </c>
      <c r="AJ27" s="1229" t="s">
        <v>11516</v>
      </c>
      <c r="AK27" s="1229"/>
      <c r="AL27" s="1229" t="s">
        <v>12517</v>
      </c>
      <c r="AM27" s="1229" t="s">
        <v>7886</v>
      </c>
      <c r="AN27" s="1229"/>
      <c r="AO27" s="1229" t="s">
        <v>11359</v>
      </c>
      <c r="AP27" s="8"/>
      <c r="AQ27" s="1"/>
      <c r="AR27" s="1566" t="s">
        <v>11441</v>
      </c>
      <c r="AS27" s="1567" t="b">
        <v>0</v>
      </c>
      <c r="AT27" s="1"/>
      <c r="AU27" s="1"/>
      <c r="AV27" s="1"/>
      <c r="AW27" s="1"/>
      <c r="AX27" s="1"/>
      <c r="AY27" s="1"/>
      <c r="AZ27" s="1"/>
      <c r="BA27" s="1"/>
      <c r="BB27" s="1"/>
      <c r="BC27" s="1"/>
      <c r="BD27" s="1"/>
      <c r="BE27" s="1"/>
      <c r="BF27" s="1546">
        <v>25700</v>
      </c>
      <c r="BG27" s="1"/>
      <c r="BS27" s="1081"/>
    </row>
    <row r="28" spans="1:71">
      <c r="A28" s="1"/>
      <c r="B28" s="1081" t="s">
        <v>681</v>
      </c>
      <c r="C28" s="1"/>
      <c r="D28" s="1081" t="s">
        <v>1103</v>
      </c>
      <c r="E28" s="1081" t="s">
        <v>1739</v>
      </c>
      <c r="F28" s="1"/>
      <c r="G28" s="1"/>
      <c r="H28" s="1"/>
      <c r="I28" s="1081" t="s">
        <v>570</v>
      </c>
      <c r="J28" s="1"/>
      <c r="K28" s="1052" t="s">
        <v>12385</v>
      </c>
      <c r="L28" s="1048"/>
      <c r="M28" s="1048"/>
      <c r="N28" s="1052" t="s">
        <v>12506</v>
      </c>
      <c r="O28" s="1048"/>
      <c r="P28" s="1081" t="s">
        <v>10595</v>
      </c>
      <c r="Q28" s="960"/>
      <c r="R28" s="1081" t="s">
        <v>571</v>
      </c>
      <c r="S28" s="1"/>
      <c r="T28" s="1081" t="s">
        <v>10156</v>
      </c>
      <c r="U28" s="1081" t="s">
        <v>10272</v>
      </c>
      <c r="V28" s="1"/>
      <c r="W28" s="1"/>
      <c r="X28" s="1"/>
      <c r="Y28" s="21">
        <f t="shared" ca="1" si="1"/>
        <v>43395</v>
      </c>
      <c r="Z28" s="1"/>
      <c r="AA28" s="3"/>
      <c r="AB28" s="1229" t="s">
        <v>11539</v>
      </c>
      <c r="AC28" s="1229" t="s">
        <v>12685</v>
      </c>
      <c r="AD28" s="1229"/>
      <c r="AE28" s="1229" t="s">
        <v>11516</v>
      </c>
      <c r="AF28" s="10"/>
      <c r="AG28" s="1229" t="s">
        <v>12688</v>
      </c>
      <c r="AH28" s="1229" t="s">
        <v>12717</v>
      </c>
      <c r="AI28" s="1229" t="s">
        <v>9614</v>
      </c>
      <c r="AJ28" s="1229" t="s">
        <v>11516</v>
      </c>
      <c r="AK28" s="1229"/>
      <c r="AL28" s="1229" t="s">
        <v>12517</v>
      </c>
      <c r="AM28" s="1229" t="s">
        <v>3592</v>
      </c>
      <c r="AN28" s="1229"/>
      <c r="AO28" s="1229" t="s">
        <v>11359</v>
      </c>
      <c r="AP28" s="8"/>
      <c r="AQ28" s="1"/>
      <c r="AR28" s="1566" t="s">
        <v>11442</v>
      </c>
      <c r="AS28" s="1567" t="b">
        <v>0</v>
      </c>
      <c r="AT28" s="1"/>
      <c r="AU28" s="1"/>
      <c r="AV28" s="1"/>
      <c r="AW28" s="1"/>
      <c r="AX28" s="1"/>
      <c r="AY28" s="1"/>
      <c r="AZ28" s="1"/>
      <c r="BA28" s="1"/>
      <c r="BB28" s="1"/>
      <c r="BC28" s="1"/>
      <c r="BD28" s="1"/>
      <c r="BE28" s="1"/>
      <c r="BF28" s="1546">
        <v>30000</v>
      </c>
      <c r="BG28" s="1"/>
      <c r="BS28" s="1081"/>
    </row>
    <row r="29" spans="1:71">
      <c r="A29" s="1"/>
      <c r="B29" s="1081" t="s">
        <v>682</v>
      </c>
      <c r="C29" s="1"/>
      <c r="D29" s="1081" t="s">
        <v>1104</v>
      </c>
      <c r="E29" s="1081" t="s">
        <v>286</v>
      </c>
      <c r="F29" s="1"/>
      <c r="G29" s="1"/>
      <c r="H29" s="1"/>
      <c r="I29" s="1081" t="s">
        <v>571</v>
      </c>
      <c r="J29" s="1"/>
      <c r="K29" s="1052" t="s">
        <v>12386</v>
      </c>
      <c r="L29" s="1048"/>
      <c r="M29" s="1048"/>
      <c r="N29" s="1052" t="s">
        <v>12507</v>
      </c>
      <c r="O29" s="1048"/>
      <c r="P29" s="1081" t="s">
        <v>440</v>
      </c>
      <c r="Q29" s="960"/>
      <c r="R29" s="1081" t="s">
        <v>574</v>
      </c>
      <c r="S29" s="1"/>
      <c r="T29" s="1081" t="s">
        <v>10352</v>
      </c>
      <c r="U29" s="1081" t="s">
        <v>10273</v>
      </c>
      <c r="V29" s="1"/>
      <c r="W29" s="1"/>
      <c r="X29" s="1"/>
      <c r="Y29" s="21">
        <f t="shared" ca="1" si="1"/>
        <v>43396</v>
      </c>
      <c r="Z29" s="1"/>
      <c r="AA29" s="3"/>
      <c r="AB29" s="1229" t="s">
        <v>11539</v>
      </c>
      <c r="AC29" s="1229" t="s">
        <v>12686</v>
      </c>
      <c r="AD29" s="1229"/>
      <c r="AE29" s="1229" t="s">
        <v>11516</v>
      </c>
      <c r="AF29" s="10"/>
      <c r="AG29" s="1229" t="s">
        <v>12698</v>
      </c>
      <c r="AH29" s="1229" t="s">
        <v>12698</v>
      </c>
      <c r="AI29" s="1229" t="s">
        <v>9614</v>
      </c>
      <c r="AJ29" s="1229" t="s">
        <v>11516</v>
      </c>
      <c r="AK29" s="1229"/>
      <c r="AL29" s="1229" t="s">
        <v>12517</v>
      </c>
      <c r="AM29" s="1229" t="s">
        <v>411</v>
      </c>
      <c r="AN29" s="1229"/>
      <c r="AO29" s="1229" t="s">
        <v>11359</v>
      </c>
      <c r="AP29" s="8"/>
      <c r="AQ29" s="1"/>
      <c r="AR29" s="1"/>
      <c r="AS29" s="1"/>
      <c r="AT29" s="1"/>
      <c r="AU29" s="1"/>
      <c r="AV29" s="1"/>
      <c r="AW29" s="1"/>
      <c r="AX29" s="1"/>
      <c r="AY29" s="1"/>
      <c r="AZ29" s="1"/>
      <c r="BA29" s="1"/>
      <c r="BB29" s="1"/>
      <c r="BC29" s="1"/>
      <c r="BD29" s="1"/>
      <c r="BE29" s="1"/>
      <c r="BF29" s="1546">
        <v>35000</v>
      </c>
      <c r="BG29" s="1"/>
      <c r="BS29" s="1081"/>
    </row>
    <row r="30" spans="1:71">
      <c r="A30" s="1"/>
      <c r="B30" s="1081" t="s">
        <v>8083</v>
      </c>
      <c r="C30" s="1"/>
      <c r="D30" s="1081" t="s">
        <v>1105</v>
      </c>
      <c r="E30" s="1081" t="s">
        <v>11214</v>
      </c>
      <c r="F30" s="1"/>
      <c r="G30" s="1"/>
      <c r="H30" s="1"/>
      <c r="I30" s="1081" t="s">
        <v>574</v>
      </c>
      <c r="J30" s="1"/>
      <c r="K30" s="1052" t="s">
        <v>12387</v>
      </c>
      <c r="L30" s="1048"/>
      <c r="M30" s="1048"/>
      <c r="N30" s="1052" t="s">
        <v>12508</v>
      </c>
      <c r="O30" s="1048"/>
      <c r="P30" s="1081" t="s">
        <v>10596</v>
      </c>
      <c r="Q30" s="960"/>
      <c r="R30" s="1081" t="s">
        <v>287</v>
      </c>
      <c r="S30" s="1"/>
      <c r="T30" s="1081" t="s">
        <v>10157</v>
      </c>
      <c r="U30" s="1081" t="s">
        <v>10274</v>
      </c>
      <c r="V30" s="1"/>
      <c r="W30" s="1"/>
      <c r="X30" s="1"/>
      <c r="Y30" s="21">
        <f t="shared" ca="1" si="1"/>
        <v>43397</v>
      </c>
      <c r="Z30" s="1"/>
      <c r="AA30" s="3"/>
      <c r="AB30" s="1229" t="s">
        <v>11539</v>
      </c>
      <c r="AC30" s="1229" t="s">
        <v>12687</v>
      </c>
      <c r="AD30" s="1229"/>
      <c r="AE30" s="1229" t="s">
        <v>11516</v>
      </c>
      <c r="AF30" s="10"/>
      <c r="AG30" s="1229" t="s">
        <v>12699</v>
      </c>
      <c r="AH30" s="1229" t="s">
        <v>12517</v>
      </c>
      <c r="AI30" s="1229" t="s">
        <v>9614</v>
      </c>
      <c r="AJ30" s="1229" t="s">
        <v>11516</v>
      </c>
      <c r="AK30" s="1229"/>
      <c r="AL30" s="1229" t="s">
        <v>12517</v>
      </c>
      <c r="AM30" s="1229" t="s">
        <v>453</v>
      </c>
      <c r="AN30" s="1229"/>
      <c r="AO30" s="1229" t="s">
        <v>11359</v>
      </c>
      <c r="AP30" s="8"/>
      <c r="AQ30" s="1"/>
      <c r="AR30" s="1"/>
      <c r="AS30" s="1"/>
      <c r="AT30" s="1"/>
      <c r="AU30" s="1"/>
      <c r="AV30" s="1"/>
      <c r="AW30" s="1"/>
      <c r="AX30" s="1"/>
      <c r="AY30" s="1"/>
      <c r="AZ30" s="1"/>
      <c r="BA30" s="1"/>
      <c r="BB30" s="1"/>
      <c r="BC30" s="1"/>
      <c r="BD30" s="1"/>
      <c r="BE30" s="1"/>
      <c r="BF30" s="1546">
        <v>40000</v>
      </c>
      <c r="BG30" s="1"/>
    </row>
    <row r="31" spans="1:71">
      <c r="A31" s="1"/>
      <c r="B31" s="1081" t="s">
        <v>683</v>
      </c>
      <c r="C31" s="1"/>
      <c r="D31" s="1081" t="s">
        <v>285</v>
      </c>
      <c r="E31" s="1081" t="s">
        <v>7804</v>
      </c>
      <c r="F31" s="1"/>
      <c r="G31" s="1"/>
      <c r="H31" s="1"/>
      <c r="I31" s="1081" t="s">
        <v>287</v>
      </c>
      <c r="J31" s="1"/>
      <c r="K31" s="1052" t="s">
        <v>12388</v>
      </c>
      <c r="L31" s="1048"/>
      <c r="M31" s="1048"/>
      <c r="N31" s="1052" t="s">
        <v>12509</v>
      </c>
      <c r="O31" s="1048"/>
      <c r="P31" s="1081" t="s">
        <v>11283</v>
      </c>
      <c r="Q31" s="960"/>
      <c r="R31" s="1081" t="s">
        <v>289</v>
      </c>
      <c r="S31" s="1"/>
      <c r="T31" s="1081" t="s">
        <v>10158</v>
      </c>
      <c r="U31" s="1081" t="s">
        <v>289</v>
      </c>
      <c r="V31" s="1"/>
      <c r="W31" s="1"/>
      <c r="X31" s="1"/>
      <c r="Y31" s="21">
        <f t="shared" ca="1" si="1"/>
        <v>43398</v>
      </c>
      <c r="Z31" s="1"/>
      <c r="AA31" s="3"/>
      <c r="AB31" s="1229" t="s">
        <v>11518</v>
      </c>
      <c r="AC31" s="1229" t="s">
        <v>11520</v>
      </c>
      <c r="AD31" s="1229"/>
      <c r="AE31" s="1229" t="s">
        <v>11359</v>
      </c>
      <c r="AF31" s="10"/>
      <c r="AG31" s="1229" t="s">
        <v>12699</v>
      </c>
      <c r="AH31" s="1229" t="s">
        <v>12699</v>
      </c>
      <c r="AI31" s="1229" t="s">
        <v>9614</v>
      </c>
      <c r="AJ31" s="1229" t="s">
        <v>11516</v>
      </c>
      <c r="AK31" s="1229"/>
      <c r="AL31" s="1229" t="s">
        <v>12517</v>
      </c>
      <c r="AM31" s="1229" t="s">
        <v>6462</v>
      </c>
      <c r="AN31" s="1229"/>
      <c r="AO31" s="1229" t="s">
        <v>11359</v>
      </c>
      <c r="AP31" s="8"/>
      <c r="AQ31" s="1"/>
      <c r="AR31" s="1"/>
      <c r="AS31" s="1"/>
      <c r="AT31" s="1"/>
      <c r="AU31" s="1"/>
      <c r="AV31" s="1"/>
      <c r="AW31" s="1"/>
      <c r="AX31" s="1"/>
      <c r="AY31" s="1"/>
      <c r="AZ31" s="1"/>
      <c r="BA31" s="1"/>
      <c r="BB31" s="1"/>
      <c r="BC31" s="1"/>
      <c r="BD31" s="1"/>
      <c r="BE31" s="1"/>
      <c r="BF31" s="1546">
        <v>45000</v>
      </c>
      <c r="BG31" s="1"/>
    </row>
    <row r="32" spans="1:71">
      <c r="A32" s="1"/>
      <c r="B32" s="1081" t="s">
        <v>684</v>
      </c>
      <c r="C32" s="1"/>
      <c r="D32" s="1081" t="s">
        <v>1106</v>
      </c>
      <c r="E32" s="1081" t="s">
        <v>11145</v>
      </c>
      <c r="F32" s="1"/>
      <c r="G32" s="1"/>
      <c r="H32" s="1"/>
      <c r="I32" s="1081" t="s">
        <v>289</v>
      </c>
      <c r="J32" s="1"/>
      <c r="K32" s="1052" t="s">
        <v>12389</v>
      </c>
      <c r="L32" s="1048"/>
      <c r="M32" s="1048"/>
      <c r="N32" s="1052" t="s">
        <v>12412</v>
      </c>
      <c r="O32" s="1048"/>
      <c r="P32" s="1081" t="s">
        <v>9980</v>
      </c>
      <c r="Q32" s="960"/>
      <c r="R32" s="1081" t="s">
        <v>480</v>
      </c>
      <c r="S32" s="1"/>
      <c r="T32" s="1081" t="s">
        <v>9659</v>
      </c>
      <c r="U32" s="1081" t="s">
        <v>10275</v>
      </c>
      <c r="V32" s="1"/>
      <c r="W32" s="1"/>
      <c r="X32" s="1"/>
      <c r="Y32" s="21">
        <f t="shared" ca="1" si="1"/>
        <v>43399</v>
      </c>
      <c r="Z32" s="1"/>
      <c r="AA32" s="3"/>
      <c r="AB32" s="1229" t="s">
        <v>11518</v>
      </c>
      <c r="AC32" s="1229" t="s">
        <v>12517</v>
      </c>
      <c r="AD32" s="1229"/>
      <c r="AE32" s="1229" t="s">
        <v>11359</v>
      </c>
      <c r="AF32" s="10"/>
      <c r="AG32" s="1229" t="s">
        <v>12692</v>
      </c>
      <c r="AH32" s="1229" t="s">
        <v>12718</v>
      </c>
      <c r="AI32" s="1229" t="s">
        <v>9614</v>
      </c>
      <c r="AJ32" s="1229" t="s">
        <v>11516</v>
      </c>
      <c r="AK32" s="1229"/>
      <c r="AL32" s="1229" t="s">
        <v>12517</v>
      </c>
      <c r="AM32" s="1229" t="s">
        <v>11530</v>
      </c>
      <c r="AN32" s="1229"/>
      <c r="AO32" s="1229" t="s">
        <v>11359</v>
      </c>
      <c r="AP32" s="8"/>
      <c r="AQ32" s="1"/>
      <c r="AR32" s="1"/>
      <c r="AS32" s="1"/>
      <c r="AT32" s="1"/>
      <c r="AU32" s="1"/>
      <c r="AV32" s="1"/>
      <c r="AW32" s="1"/>
      <c r="AX32" s="1"/>
      <c r="AY32" s="1"/>
      <c r="AZ32" s="1"/>
      <c r="BA32" s="1"/>
      <c r="BB32" s="1"/>
      <c r="BC32" s="1"/>
      <c r="BD32" s="1"/>
      <c r="BE32" s="1"/>
      <c r="BF32" s="1546">
        <v>50000</v>
      </c>
      <c r="BG32" s="1"/>
    </row>
    <row r="33" spans="1:59">
      <c r="A33" s="1"/>
      <c r="B33" s="1081" t="s">
        <v>10127</v>
      </c>
      <c r="C33" s="1"/>
      <c r="D33" s="1081" t="s">
        <v>1107</v>
      </c>
      <c r="E33" s="1081" t="s">
        <v>7934</v>
      </c>
      <c r="F33" s="1"/>
      <c r="G33" s="1"/>
      <c r="H33" s="1"/>
      <c r="I33" s="1081" t="s">
        <v>480</v>
      </c>
      <c r="J33" s="1"/>
      <c r="K33" s="1052" t="s">
        <v>12390</v>
      </c>
      <c r="L33" s="1048"/>
      <c r="M33" s="1048"/>
      <c r="N33" s="1052" t="s">
        <v>12510</v>
      </c>
      <c r="O33" s="1048"/>
      <c r="P33" s="960"/>
      <c r="Q33" s="960"/>
      <c r="R33" s="1081" t="s">
        <v>627</v>
      </c>
      <c r="S33" s="1"/>
      <c r="T33" s="1081" t="s">
        <v>10159</v>
      </c>
      <c r="U33" s="1081" t="s">
        <v>10451</v>
      </c>
      <c r="V33" s="1"/>
      <c r="W33" s="1"/>
      <c r="X33" s="1"/>
      <c r="Y33" s="21">
        <f t="shared" ca="1" si="1"/>
        <v>43400</v>
      </c>
      <c r="Z33" s="1"/>
      <c r="AA33" s="3"/>
      <c r="AB33" s="10" t="s">
        <v>11518</v>
      </c>
      <c r="AC33" s="10" t="s">
        <v>12688</v>
      </c>
      <c r="AD33" s="1229"/>
      <c r="AE33" s="1229" t="s">
        <v>11516</v>
      </c>
      <c r="AF33" s="10"/>
      <c r="AG33" s="1229" t="s">
        <v>12692</v>
      </c>
      <c r="AH33" s="1229" t="s">
        <v>12719</v>
      </c>
      <c r="AI33" s="1229" t="s">
        <v>9614</v>
      </c>
      <c r="AJ33" s="1229" t="s">
        <v>11438</v>
      </c>
      <c r="AK33" s="1229"/>
      <c r="AL33" s="1229" t="s">
        <v>12517</v>
      </c>
      <c r="AM33" s="1229" t="s">
        <v>12549</v>
      </c>
      <c r="AN33" s="1229"/>
      <c r="AO33" s="1229" t="s">
        <v>11359</v>
      </c>
      <c r="AP33" s="8"/>
      <c r="AQ33" s="1"/>
      <c r="AR33" s="1"/>
      <c r="AS33" s="1"/>
      <c r="AT33" s="1"/>
      <c r="AU33" s="1"/>
      <c r="AV33" s="1"/>
      <c r="AW33" s="1"/>
      <c r="AX33" s="1"/>
      <c r="AY33" s="1"/>
      <c r="AZ33" s="1"/>
      <c r="BA33" s="1"/>
      <c r="BB33" s="1"/>
      <c r="BC33" s="1"/>
      <c r="BD33" s="1"/>
      <c r="BE33" s="1"/>
      <c r="BF33" s="1546">
        <v>55000</v>
      </c>
      <c r="BG33" s="1"/>
    </row>
    <row r="34" spans="1:59">
      <c r="A34" s="1"/>
      <c r="B34" s="1081" t="s">
        <v>8084</v>
      </c>
      <c r="C34" s="1"/>
      <c r="D34" s="1081" t="s">
        <v>1108</v>
      </c>
      <c r="E34" s="1081" t="s">
        <v>11215</v>
      </c>
      <c r="F34" s="1"/>
      <c r="G34" s="1"/>
      <c r="H34" s="1"/>
      <c r="I34" s="1081" t="s">
        <v>627</v>
      </c>
      <c r="J34" s="1"/>
      <c r="K34" s="1052" t="s">
        <v>12391</v>
      </c>
      <c r="L34" s="1048"/>
      <c r="M34" s="1048"/>
      <c r="N34" s="1052" t="s">
        <v>12511</v>
      </c>
      <c r="O34" s="1048"/>
      <c r="P34" s="960"/>
      <c r="Q34" s="960"/>
      <c r="R34" s="1081" t="s">
        <v>191</v>
      </c>
      <c r="S34" s="1"/>
      <c r="T34" s="1081" t="s">
        <v>10160</v>
      </c>
      <c r="U34" s="1081" t="s">
        <v>191</v>
      </c>
      <c r="V34" s="1"/>
      <c r="W34" s="1"/>
      <c r="X34" s="1"/>
      <c r="Y34" s="21">
        <f t="shared" ca="1" si="1"/>
        <v>43401</v>
      </c>
      <c r="Z34" s="1"/>
      <c r="AA34" s="1"/>
      <c r="AB34" s="1" t="s">
        <v>11518</v>
      </c>
      <c r="AC34" s="1" t="s">
        <v>12689</v>
      </c>
      <c r="AD34" s="1081"/>
      <c r="AE34" s="1081" t="s">
        <v>11516</v>
      </c>
      <c r="AF34" s="1"/>
      <c r="AG34" s="1081" t="s">
        <v>12689</v>
      </c>
      <c r="AH34" s="1081" t="s">
        <v>12720</v>
      </c>
      <c r="AI34" s="1081" t="s">
        <v>9614</v>
      </c>
      <c r="AJ34" s="1081" t="s">
        <v>11516</v>
      </c>
      <c r="AK34" s="1081"/>
      <c r="AL34" s="1081" t="s">
        <v>12517</v>
      </c>
      <c r="AM34" s="1081" t="s">
        <v>464</v>
      </c>
      <c r="AN34" s="1081"/>
      <c r="AO34" s="1081" t="s">
        <v>11359</v>
      </c>
      <c r="AP34" s="1"/>
      <c r="AQ34" s="1"/>
      <c r="AR34" s="1"/>
      <c r="AS34" s="1"/>
      <c r="AT34" s="1"/>
      <c r="AU34" s="1"/>
      <c r="AV34" s="1"/>
      <c r="AW34" s="1"/>
      <c r="AX34" s="1"/>
      <c r="AY34" s="1"/>
      <c r="AZ34" s="1"/>
      <c r="BA34" s="1"/>
      <c r="BB34" s="1"/>
      <c r="BC34" s="1"/>
      <c r="BD34" s="1"/>
      <c r="BE34" s="1"/>
      <c r="BF34" s="1546">
        <v>60000</v>
      </c>
      <c r="BG34" s="1"/>
    </row>
    <row r="35" spans="1:59">
      <c r="A35" s="1"/>
      <c r="B35" s="1081" t="s">
        <v>7927</v>
      </c>
      <c r="C35" s="1"/>
      <c r="D35" s="1081" t="s">
        <v>1109</v>
      </c>
      <c r="E35" s="1081" t="s">
        <v>11216</v>
      </c>
      <c r="F35" s="1"/>
      <c r="G35" s="1"/>
      <c r="H35" s="1"/>
      <c r="I35" s="1081" t="s">
        <v>191</v>
      </c>
      <c r="J35" s="1"/>
      <c r="K35" s="1052" t="s">
        <v>12392</v>
      </c>
      <c r="L35" s="1048"/>
      <c r="M35" s="1048"/>
      <c r="N35" s="1048"/>
      <c r="O35" s="1048"/>
      <c r="P35" s="960"/>
      <c r="Q35" s="960"/>
      <c r="R35" s="1081" t="s">
        <v>193</v>
      </c>
      <c r="S35" s="1"/>
      <c r="T35" s="1081" t="s">
        <v>10161</v>
      </c>
      <c r="U35" s="1081" t="s">
        <v>193</v>
      </c>
      <c r="V35" s="1"/>
      <c r="W35" s="1"/>
      <c r="X35" s="1"/>
      <c r="Y35" s="21">
        <f t="shared" ca="1" si="1"/>
        <v>43402</v>
      </c>
      <c r="Z35" s="1"/>
      <c r="AA35" s="1"/>
      <c r="AB35" s="1" t="s">
        <v>11518</v>
      </c>
      <c r="AC35" s="1" t="s">
        <v>12690</v>
      </c>
      <c r="AD35" s="1081"/>
      <c r="AE35" s="1081" t="s">
        <v>11516</v>
      </c>
      <c r="AF35" s="1"/>
      <c r="AG35" s="1081" t="s">
        <v>12689</v>
      </c>
      <c r="AH35" s="1081" t="s">
        <v>12721</v>
      </c>
      <c r="AI35" s="1081" t="s">
        <v>9614</v>
      </c>
      <c r="AJ35" s="1081" t="s">
        <v>11516</v>
      </c>
      <c r="AK35" s="1081"/>
      <c r="AL35" s="1081" t="s">
        <v>12688</v>
      </c>
      <c r="AM35" s="1081" t="s">
        <v>257</v>
      </c>
      <c r="AN35" s="1081"/>
      <c r="AO35" s="1081" t="s">
        <v>11516</v>
      </c>
      <c r="AP35" s="1"/>
      <c r="AQ35" s="1"/>
      <c r="AR35" s="1"/>
      <c r="AS35" s="1"/>
      <c r="AT35" s="1"/>
      <c r="AU35" s="1"/>
      <c r="AV35" s="1"/>
      <c r="AW35" s="1"/>
      <c r="AX35" s="1"/>
      <c r="AY35" s="1"/>
      <c r="AZ35" s="1"/>
      <c r="BA35" s="1"/>
      <c r="BB35" s="1"/>
      <c r="BC35" s="1"/>
      <c r="BD35" s="1"/>
      <c r="BE35" s="1"/>
      <c r="BF35" s="1546">
        <v>65000</v>
      </c>
      <c r="BG35" s="1"/>
    </row>
    <row r="36" spans="1:59">
      <c r="A36" s="1"/>
      <c r="B36" s="1081" t="s">
        <v>685</v>
      </c>
      <c r="C36" s="1"/>
      <c r="D36" s="1081" t="s">
        <v>1110</v>
      </c>
      <c r="E36" s="1081" t="s">
        <v>11217</v>
      </c>
      <c r="F36" s="1"/>
      <c r="G36" s="1"/>
      <c r="H36" s="1"/>
      <c r="I36" s="1081" t="s">
        <v>193</v>
      </c>
      <c r="J36" s="1"/>
      <c r="K36" s="1052" t="s">
        <v>12393</v>
      </c>
      <c r="L36" s="1048"/>
      <c r="M36" s="1048"/>
      <c r="N36" s="1048"/>
      <c r="O36" s="1048"/>
      <c r="P36" s="960"/>
      <c r="Q36" s="960"/>
      <c r="R36" s="1081" t="s">
        <v>294</v>
      </c>
      <c r="S36" s="1"/>
      <c r="T36" s="1081" t="s">
        <v>10685</v>
      </c>
      <c r="U36" s="1081" t="s">
        <v>10276</v>
      </c>
      <c r="V36" s="1"/>
      <c r="W36" s="1"/>
      <c r="X36" s="1"/>
      <c r="Y36" s="21">
        <f t="shared" ca="1" si="1"/>
        <v>43403</v>
      </c>
      <c r="Z36" s="1"/>
      <c r="AA36" s="1"/>
      <c r="AB36" s="1" t="s">
        <v>11518</v>
      </c>
      <c r="AC36" s="1" t="s">
        <v>12536</v>
      </c>
      <c r="AD36" s="1081"/>
      <c r="AE36" s="1081" t="s">
        <v>11359</v>
      </c>
      <c r="AF36" s="1"/>
      <c r="AG36" s="1081" t="s">
        <v>12689</v>
      </c>
      <c r="AH36" s="1081" t="s">
        <v>12722</v>
      </c>
      <c r="AI36" s="1081" t="s">
        <v>9614</v>
      </c>
      <c r="AJ36" s="1081" t="s">
        <v>11516</v>
      </c>
      <c r="AK36" s="1081"/>
      <c r="AL36" s="1081" t="s">
        <v>12688</v>
      </c>
      <c r="AM36" s="1081" t="s">
        <v>1745</v>
      </c>
      <c r="AN36" s="1081"/>
      <c r="AO36" s="1081" t="s">
        <v>11516</v>
      </c>
      <c r="AP36" s="1"/>
      <c r="AQ36" s="1"/>
      <c r="AR36" s="1"/>
      <c r="AS36" s="1"/>
      <c r="AT36" s="1"/>
      <c r="AU36" s="1"/>
      <c r="AV36" s="1"/>
      <c r="AW36" s="1"/>
      <c r="AX36" s="1"/>
      <c r="AY36" s="1"/>
      <c r="AZ36" s="1"/>
      <c r="BA36" s="1"/>
      <c r="BB36" s="1"/>
      <c r="BC36" s="1"/>
      <c r="BD36" s="1"/>
      <c r="BE36" s="1"/>
      <c r="BF36" s="1546">
        <v>70000</v>
      </c>
      <c r="BG36" s="1"/>
    </row>
    <row r="37" spans="1:59">
      <c r="A37" s="1"/>
      <c r="B37" s="1081" t="s">
        <v>7944</v>
      </c>
      <c r="C37" s="1"/>
      <c r="D37" s="1081" t="s">
        <v>1111</v>
      </c>
      <c r="E37" s="1081" t="s">
        <v>11075</v>
      </c>
      <c r="F37" s="1"/>
      <c r="G37" s="1"/>
      <c r="H37" s="1"/>
      <c r="I37" s="1081" t="s">
        <v>294</v>
      </c>
      <c r="J37" s="1"/>
      <c r="K37" s="1052" t="s">
        <v>12394</v>
      </c>
      <c r="L37" s="1048"/>
      <c r="M37" s="1048"/>
      <c r="N37" s="1048"/>
      <c r="O37" s="1048"/>
      <c r="P37" s="960"/>
      <c r="Q37" s="960"/>
      <c r="R37" s="1081" t="s">
        <v>508</v>
      </c>
      <c r="S37" s="1"/>
      <c r="T37" s="1081" t="s">
        <v>10162</v>
      </c>
      <c r="U37" s="1081" t="s">
        <v>10277</v>
      </c>
      <c r="V37" s="1"/>
      <c r="W37" s="1"/>
      <c r="X37" s="1"/>
      <c r="Y37" s="21">
        <f t="shared" ca="1" si="1"/>
        <v>43404</v>
      </c>
      <c r="Z37" s="1"/>
      <c r="AA37" s="1"/>
      <c r="AB37" s="1" t="s">
        <v>11518</v>
      </c>
      <c r="AC37" s="1" t="s">
        <v>12516</v>
      </c>
      <c r="AD37" s="1081"/>
      <c r="AE37" s="1081" t="s">
        <v>11359</v>
      </c>
      <c r="AF37" s="1"/>
      <c r="AG37" s="1081" t="s">
        <v>12689</v>
      </c>
      <c r="AH37" s="1081" t="s">
        <v>12723</v>
      </c>
      <c r="AI37" s="1081" t="s">
        <v>9614</v>
      </c>
      <c r="AJ37" s="1081" t="s">
        <v>11516</v>
      </c>
      <c r="AK37" s="1081"/>
      <c r="AL37" s="1081" t="s">
        <v>12688</v>
      </c>
      <c r="AM37" s="1081" t="s">
        <v>11525</v>
      </c>
      <c r="AN37" s="1081"/>
      <c r="AO37" s="1081" t="s">
        <v>11516</v>
      </c>
      <c r="AP37" s="1"/>
      <c r="AQ37" s="1"/>
      <c r="AR37" s="1"/>
      <c r="AS37" s="1"/>
      <c r="AT37" s="1"/>
      <c r="AU37" s="1"/>
      <c r="AV37" s="1"/>
      <c r="AW37" s="1"/>
      <c r="AX37" s="1"/>
      <c r="AY37" s="1"/>
      <c r="AZ37" s="1"/>
      <c r="BA37" s="1"/>
      <c r="BB37" s="1"/>
      <c r="BC37" s="1"/>
      <c r="BD37" s="1"/>
      <c r="BE37" s="1"/>
      <c r="BF37" s="1546">
        <v>75000</v>
      </c>
      <c r="BG37" s="1"/>
    </row>
    <row r="38" spans="1:59">
      <c r="A38" s="1"/>
      <c r="B38" s="1081" t="s">
        <v>11507</v>
      </c>
      <c r="C38" s="1"/>
      <c r="D38" s="1081" t="s">
        <v>1112</v>
      </c>
      <c r="E38" s="1081" t="s">
        <v>7805</v>
      </c>
      <c r="F38" s="1"/>
      <c r="G38" s="1"/>
      <c r="H38" s="1"/>
      <c r="I38" s="1081" t="s">
        <v>508</v>
      </c>
      <c r="J38" s="1"/>
      <c r="K38" s="1052" t="s">
        <v>12395</v>
      </c>
      <c r="L38" s="1048"/>
      <c r="M38" s="1048"/>
      <c r="N38" s="1048"/>
      <c r="O38" s="1048"/>
      <c r="P38" s="960"/>
      <c r="Q38" s="960"/>
      <c r="R38" s="1081" t="s">
        <v>48</v>
      </c>
      <c r="S38" s="1"/>
      <c r="T38" s="1081" t="s">
        <v>11474</v>
      </c>
      <c r="U38" s="1081" t="s">
        <v>11069</v>
      </c>
      <c r="V38" s="1"/>
      <c r="W38" s="1"/>
      <c r="X38" s="1"/>
      <c r="Y38" s="1"/>
      <c r="Z38" s="1"/>
      <c r="AA38" s="1"/>
      <c r="AB38" s="1" t="s">
        <v>11518</v>
      </c>
      <c r="AC38" s="1" t="s">
        <v>12528</v>
      </c>
      <c r="AD38" s="1081"/>
      <c r="AE38" s="1081" t="s">
        <v>11359</v>
      </c>
      <c r="AF38" s="1"/>
      <c r="AG38" s="1081" t="s">
        <v>619</v>
      </c>
      <c r="AH38" s="1081" t="s">
        <v>619</v>
      </c>
      <c r="AI38" s="1081" t="s">
        <v>9614</v>
      </c>
      <c r="AJ38" s="1081" t="s">
        <v>11516</v>
      </c>
      <c r="AK38" s="1081"/>
      <c r="AL38" s="1081" t="s">
        <v>12688</v>
      </c>
      <c r="AM38" s="1081" t="s">
        <v>10137</v>
      </c>
      <c r="AN38" s="1081"/>
      <c r="AO38" s="1081" t="s">
        <v>11516</v>
      </c>
      <c r="AP38" s="1"/>
      <c r="AQ38" s="1"/>
      <c r="AR38" s="1"/>
      <c r="AS38" s="1"/>
      <c r="AT38" s="1"/>
      <c r="AU38" s="1"/>
      <c r="AV38" s="1"/>
      <c r="AW38" s="1"/>
      <c r="AX38" s="1"/>
      <c r="AY38" s="1"/>
      <c r="AZ38" s="1"/>
      <c r="BA38" s="1"/>
      <c r="BB38" s="1"/>
      <c r="BC38" s="1"/>
      <c r="BD38" s="1"/>
      <c r="BE38" s="1"/>
      <c r="BF38" s="1546">
        <v>80000</v>
      </c>
      <c r="BG38" s="1"/>
    </row>
    <row r="39" spans="1:59">
      <c r="A39" s="1"/>
      <c r="B39" s="1081" t="s">
        <v>686</v>
      </c>
      <c r="C39" s="1"/>
      <c r="D39" s="1081" t="s">
        <v>1113</v>
      </c>
      <c r="E39" s="1081" t="s">
        <v>10908</v>
      </c>
      <c r="F39" s="1"/>
      <c r="G39" s="1"/>
      <c r="H39" s="1"/>
      <c r="I39" s="1081" t="s">
        <v>48</v>
      </c>
      <c r="J39" s="1"/>
      <c r="K39" s="1052" t="s">
        <v>12396</v>
      </c>
      <c r="L39" s="1048"/>
      <c r="M39" s="1048"/>
      <c r="N39" s="1048"/>
      <c r="O39" s="1048"/>
      <c r="P39" s="960"/>
      <c r="Q39" s="960"/>
      <c r="R39" s="1081" t="s">
        <v>190</v>
      </c>
      <c r="S39" s="1"/>
      <c r="T39" s="1081" t="s">
        <v>9881</v>
      </c>
      <c r="U39" s="1081" t="s">
        <v>190</v>
      </c>
      <c r="V39" s="1"/>
      <c r="W39" s="1"/>
      <c r="X39" s="1"/>
      <c r="Y39" s="1"/>
      <c r="Z39" s="1"/>
      <c r="AA39" s="1"/>
      <c r="AB39" s="1" t="s">
        <v>11518</v>
      </c>
      <c r="AC39" s="1" t="s">
        <v>12691</v>
      </c>
      <c r="AD39" s="1081"/>
      <c r="AE39" s="1081" t="s">
        <v>11516</v>
      </c>
      <c r="AF39" s="1"/>
      <c r="AG39" s="1081" t="s">
        <v>12693</v>
      </c>
      <c r="AH39" s="1081" t="s">
        <v>12718</v>
      </c>
      <c r="AI39" s="1081" t="s">
        <v>9614</v>
      </c>
      <c r="AJ39" s="1081" t="s">
        <v>11516</v>
      </c>
      <c r="AK39" s="1081"/>
      <c r="AL39" s="1081" t="s">
        <v>12688</v>
      </c>
      <c r="AM39" s="1081" t="s">
        <v>1024</v>
      </c>
      <c r="AN39" s="1081"/>
      <c r="AO39" s="1081" t="s">
        <v>11516</v>
      </c>
      <c r="AP39" s="1"/>
      <c r="AQ39" s="1"/>
      <c r="AR39" s="1"/>
      <c r="AS39" s="1"/>
      <c r="AT39" s="1"/>
      <c r="AU39" s="1"/>
      <c r="AV39" s="1"/>
      <c r="AW39" s="1"/>
      <c r="AX39" s="1"/>
      <c r="AY39" s="1"/>
      <c r="AZ39" s="1"/>
      <c r="BA39" s="1"/>
      <c r="BB39" s="1"/>
      <c r="BC39" s="1"/>
      <c r="BD39" s="1"/>
      <c r="BE39" s="1"/>
      <c r="BF39" s="1546">
        <v>84000</v>
      </c>
      <c r="BG39" s="1"/>
    </row>
    <row r="40" spans="1:59">
      <c r="A40" s="1"/>
      <c r="B40" s="1081" t="s">
        <v>10986</v>
      </c>
      <c r="C40" s="1"/>
      <c r="D40" s="1081" t="s">
        <v>1114</v>
      </c>
      <c r="E40" s="1081" t="s">
        <v>11218</v>
      </c>
      <c r="F40" s="1"/>
      <c r="G40" s="1"/>
      <c r="H40" s="1"/>
      <c r="I40" s="1081" t="s">
        <v>190</v>
      </c>
      <c r="J40" s="1"/>
      <c r="K40" s="1052" t="s">
        <v>12397</v>
      </c>
      <c r="L40" s="1048"/>
      <c r="M40" s="1048"/>
      <c r="N40" s="1048"/>
      <c r="O40" s="1048"/>
      <c r="P40" s="960"/>
      <c r="Q40" s="960"/>
      <c r="R40" s="1081" t="s">
        <v>226</v>
      </c>
      <c r="S40" s="1"/>
      <c r="T40" s="1081" t="s">
        <v>9660</v>
      </c>
      <c r="U40" s="1081" t="s">
        <v>10278</v>
      </c>
      <c r="V40" s="1"/>
      <c r="W40" s="1"/>
      <c r="X40" s="1"/>
      <c r="Y40" s="1"/>
      <c r="Z40" s="1"/>
      <c r="AA40" s="1"/>
      <c r="AB40" s="1" t="s">
        <v>12586</v>
      </c>
      <c r="AC40" s="1" t="s">
        <v>11520</v>
      </c>
      <c r="AD40" s="1081"/>
      <c r="AE40" s="1081" t="s">
        <v>11516</v>
      </c>
      <c r="AF40" s="1"/>
      <c r="AG40" s="1081" t="s">
        <v>12693</v>
      </c>
      <c r="AH40" s="1081" t="s">
        <v>12724</v>
      </c>
      <c r="AI40" s="1081" t="s">
        <v>9614</v>
      </c>
      <c r="AJ40" s="1081" t="s">
        <v>11438</v>
      </c>
      <c r="AK40" s="1081"/>
      <c r="AL40" s="1081" t="s">
        <v>12688</v>
      </c>
      <c r="AM40" s="1081" t="s">
        <v>1024</v>
      </c>
      <c r="AN40" s="1081"/>
      <c r="AO40" s="1081" t="s">
        <v>11516</v>
      </c>
      <c r="AP40" s="1"/>
      <c r="AQ40" s="1"/>
      <c r="AR40" s="1"/>
      <c r="AS40" s="1"/>
      <c r="AT40" s="1"/>
      <c r="AU40" s="1"/>
      <c r="AV40" s="1"/>
      <c r="AW40" s="1"/>
      <c r="AX40" s="1"/>
      <c r="AY40" s="1"/>
      <c r="AZ40" s="1"/>
      <c r="BA40" s="1"/>
      <c r="BB40" s="1"/>
      <c r="BC40" s="1"/>
      <c r="BD40" s="1"/>
      <c r="BE40" s="1"/>
      <c r="BF40" s="1546">
        <v>90000</v>
      </c>
      <c r="BG40" s="1"/>
    </row>
    <row r="41" spans="1:59">
      <c r="A41" s="1"/>
      <c r="B41" s="1081" t="s">
        <v>687</v>
      </c>
      <c r="C41" s="1"/>
      <c r="D41" s="1081" t="s">
        <v>1115</v>
      </c>
      <c r="E41" s="1081" t="s">
        <v>11219</v>
      </c>
      <c r="F41" s="1"/>
      <c r="G41" s="1"/>
      <c r="H41" s="1"/>
      <c r="I41" s="1081" t="s">
        <v>226</v>
      </c>
      <c r="J41" s="1"/>
      <c r="K41" s="1052" t="s">
        <v>12398</v>
      </c>
      <c r="L41" s="1048"/>
      <c r="M41" s="1048"/>
      <c r="N41" s="1048"/>
      <c r="O41" s="1048"/>
      <c r="P41" s="960"/>
      <c r="Q41" s="960"/>
      <c r="R41" s="1081" t="s">
        <v>227</v>
      </c>
      <c r="S41" s="1"/>
      <c r="T41" s="1081" t="s">
        <v>10718</v>
      </c>
      <c r="U41" s="1081" t="s">
        <v>10279</v>
      </c>
      <c r="V41" s="1"/>
      <c r="W41" s="1"/>
      <c r="X41" s="1"/>
      <c r="Y41" s="1"/>
      <c r="Z41" s="1"/>
      <c r="AA41" s="1"/>
      <c r="AB41" s="1" t="s">
        <v>12586</v>
      </c>
      <c r="AC41" s="1" t="s">
        <v>12517</v>
      </c>
      <c r="AD41" s="1081"/>
      <c r="AE41" s="1081" t="s">
        <v>11516</v>
      </c>
      <c r="AF41" s="1"/>
      <c r="AG41" s="1081" t="s">
        <v>12587</v>
      </c>
      <c r="AH41" s="1081" t="s">
        <v>12587</v>
      </c>
      <c r="AI41" s="1081" t="s">
        <v>9614</v>
      </c>
      <c r="AJ41" s="1081" t="s">
        <v>11516</v>
      </c>
      <c r="AK41" s="1081"/>
      <c r="AL41" s="1081" t="s">
        <v>12688</v>
      </c>
      <c r="AM41" s="1081" t="s">
        <v>10244</v>
      </c>
      <c r="AN41" s="1081"/>
      <c r="AO41" s="1081" t="s">
        <v>11516</v>
      </c>
      <c r="AP41" s="1"/>
      <c r="AQ41" s="1"/>
      <c r="AR41" s="1"/>
      <c r="AS41" s="1"/>
      <c r="AT41" s="1"/>
      <c r="AU41" s="1"/>
      <c r="AV41" s="1"/>
      <c r="AW41" s="1"/>
      <c r="AX41" s="1"/>
      <c r="AY41" s="1"/>
      <c r="AZ41" s="1"/>
      <c r="BA41" s="1"/>
      <c r="BB41" s="1"/>
      <c r="BC41" s="1"/>
      <c r="BD41" s="1"/>
      <c r="BE41" s="1"/>
      <c r="BF41" s="1546">
        <v>95000</v>
      </c>
      <c r="BG41" s="1"/>
    </row>
    <row r="42" spans="1:59">
      <c r="A42" s="1"/>
      <c r="B42" s="1081" t="s">
        <v>688</v>
      </c>
      <c r="C42" s="1"/>
      <c r="D42" s="1081" t="s">
        <v>9890</v>
      </c>
      <c r="E42" s="1081" t="s">
        <v>11220</v>
      </c>
      <c r="F42" s="1"/>
      <c r="G42" s="1"/>
      <c r="H42" s="1"/>
      <c r="I42" s="1081" t="s">
        <v>227</v>
      </c>
      <c r="J42" s="1"/>
      <c r="K42" s="1052" t="s">
        <v>12399</v>
      </c>
      <c r="L42" s="1048"/>
      <c r="M42" s="1048"/>
      <c r="N42" s="1048"/>
      <c r="O42" s="1048"/>
      <c r="P42" s="960"/>
      <c r="Q42" s="960"/>
      <c r="R42" s="1081" t="s">
        <v>487</v>
      </c>
      <c r="S42" s="1"/>
      <c r="T42" s="1081" t="s">
        <v>9882</v>
      </c>
      <c r="U42" s="1081" t="s">
        <v>10339</v>
      </c>
      <c r="V42" s="1"/>
      <c r="W42" s="1"/>
      <c r="X42" s="1"/>
      <c r="Y42" s="1"/>
      <c r="Z42" s="1"/>
      <c r="AA42" s="1"/>
      <c r="AB42" s="1" t="s">
        <v>12532</v>
      </c>
      <c r="AC42" s="1" t="s">
        <v>313</v>
      </c>
      <c r="AD42" s="1081"/>
      <c r="AE42" s="1081" t="s">
        <v>11516</v>
      </c>
      <c r="AF42" s="1"/>
      <c r="AG42" s="1081" t="s">
        <v>12685</v>
      </c>
      <c r="AH42" s="1081" t="s">
        <v>12685</v>
      </c>
      <c r="AI42" s="1081" t="s">
        <v>9614</v>
      </c>
      <c r="AJ42" s="1081" t="s">
        <v>11516</v>
      </c>
      <c r="AK42" s="1081"/>
      <c r="AL42" s="1081" t="s">
        <v>12688</v>
      </c>
      <c r="AM42" s="1081" t="s">
        <v>10244</v>
      </c>
      <c r="AN42" s="1081"/>
      <c r="AO42" s="1081" t="s">
        <v>11516</v>
      </c>
      <c r="AP42" s="1"/>
      <c r="AQ42" s="1"/>
      <c r="AR42" s="1"/>
      <c r="AS42" s="1"/>
      <c r="AT42" s="1"/>
      <c r="AU42" s="1"/>
      <c r="AV42" s="1"/>
      <c r="AW42" s="1"/>
      <c r="AX42" s="1"/>
      <c r="AY42" s="1"/>
      <c r="AZ42" s="1"/>
      <c r="BA42" s="1"/>
      <c r="BB42" s="1"/>
      <c r="BC42" s="1"/>
      <c r="BD42" s="1"/>
      <c r="BE42" s="1"/>
      <c r="BF42" s="1546">
        <v>100000</v>
      </c>
      <c r="BG42" s="1"/>
    </row>
    <row r="43" spans="1:59">
      <c r="A43" s="1"/>
      <c r="B43" s="1081" t="s">
        <v>8085</v>
      </c>
      <c r="C43" s="1"/>
      <c r="D43" s="1081" t="s">
        <v>1116</v>
      </c>
      <c r="E43" s="1081" t="s">
        <v>11076</v>
      </c>
      <c r="F43" s="1"/>
      <c r="G43" s="1"/>
      <c r="H43" s="1"/>
      <c r="I43" s="1081" t="s">
        <v>487</v>
      </c>
      <c r="J43" s="1"/>
      <c r="K43" s="1052" t="s">
        <v>12400</v>
      </c>
      <c r="L43" s="1048"/>
      <c r="M43" s="1048"/>
      <c r="N43" s="1048"/>
      <c r="O43" s="1048"/>
      <c r="P43" s="960"/>
      <c r="Q43" s="960"/>
      <c r="R43" s="1081" t="s">
        <v>10241</v>
      </c>
      <c r="S43" s="1"/>
      <c r="T43" s="1081" t="s">
        <v>10242</v>
      </c>
      <c r="U43" s="1081" t="s">
        <v>10241</v>
      </c>
      <c r="V43" s="1"/>
      <c r="W43" s="1"/>
      <c r="X43" s="1"/>
      <c r="Y43" s="1"/>
      <c r="Z43" s="1"/>
      <c r="AA43" s="1"/>
      <c r="AB43" s="1" t="s">
        <v>12532</v>
      </c>
      <c r="AC43" s="1" t="s">
        <v>12692</v>
      </c>
      <c r="AD43" s="1081"/>
      <c r="AE43" s="1081" t="s">
        <v>11438</v>
      </c>
      <c r="AF43" s="1"/>
      <c r="AG43" s="1081" t="s">
        <v>12526</v>
      </c>
      <c r="AH43" s="1081" t="s">
        <v>12718</v>
      </c>
      <c r="AI43" s="1081" t="s">
        <v>9614</v>
      </c>
      <c r="AJ43" s="1081" t="s">
        <v>11516</v>
      </c>
      <c r="AK43" s="1081"/>
      <c r="AL43" s="1081" t="s">
        <v>12688</v>
      </c>
      <c r="AM43" s="1081" t="s">
        <v>7886</v>
      </c>
      <c r="AN43" s="1081"/>
      <c r="AO43" s="1081" t="s">
        <v>11516</v>
      </c>
      <c r="AP43" s="1"/>
      <c r="AQ43" s="1"/>
      <c r="AR43" s="1"/>
      <c r="AS43" s="1"/>
      <c r="AT43" s="1"/>
      <c r="AU43" s="1"/>
      <c r="AV43" s="1"/>
      <c r="AW43" s="1"/>
      <c r="AX43" s="1"/>
      <c r="AY43" s="1"/>
      <c r="AZ43" s="1"/>
      <c r="BA43" s="1"/>
      <c r="BB43" s="1"/>
      <c r="BC43" s="1"/>
      <c r="BD43" s="1"/>
      <c r="BE43" s="1"/>
      <c r="BF43" s="1546">
        <v>110000</v>
      </c>
      <c r="BG43" s="1"/>
    </row>
    <row r="44" spans="1:59">
      <c r="A44" s="1"/>
      <c r="B44" s="1081" t="s">
        <v>689</v>
      </c>
      <c r="C44" s="1"/>
      <c r="D44" s="1081" t="s">
        <v>1117</v>
      </c>
      <c r="E44" s="1081" t="s">
        <v>11221</v>
      </c>
      <c r="F44" s="1"/>
      <c r="G44" s="1"/>
      <c r="H44" s="1"/>
      <c r="I44" s="1081" t="s">
        <v>296</v>
      </c>
      <c r="J44" s="1"/>
      <c r="K44" s="1052" t="s">
        <v>12401</v>
      </c>
      <c r="L44" s="1048"/>
      <c r="M44" s="1048"/>
      <c r="N44" s="1048"/>
      <c r="O44" s="1048"/>
      <c r="P44" s="960"/>
      <c r="Q44" s="960"/>
      <c r="R44" s="1081" t="s">
        <v>489</v>
      </c>
      <c r="S44" s="1"/>
      <c r="T44" s="1081" t="s">
        <v>10299</v>
      </c>
      <c r="U44" s="1081" t="s">
        <v>489</v>
      </c>
      <c r="V44" s="1"/>
      <c r="W44" s="1"/>
      <c r="X44" s="1"/>
      <c r="Y44" s="1"/>
      <c r="Z44" s="1"/>
      <c r="AA44" s="1"/>
      <c r="AB44" s="1" t="s">
        <v>12532</v>
      </c>
      <c r="AC44" s="1" t="s">
        <v>12693</v>
      </c>
      <c r="AD44" s="1081"/>
      <c r="AE44" s="1081" t="s">
        <v>11438</v>
      </c>
      <c r="AF44" s="1"/>
      <c r="AG44" s="1081" t="s">
        <v>12526</v>
      </c>
      <c r="AH44" s="1081" t="s">
        <v>12603</v>
      </c>
      <c r="AI44" s="1081" t="s">
        <v>9614</v>
      </c>
      <c r="AJ44" s="1081" t="s">
        <v>11359</v>
      </c>
      <c r="AK44" s="1081"/>
      <c r="AL44" s="1081" t="s">
        <v>12688</v>
      </c>
      <c r="AM44" s="1081" t="s">
        <v>7886</v>
      </c>
      <c r="AN44" s="1081"/>
      <c r="AO44" s="1081" t="s">
        <v>11516</v>
      </c>
      <c r="AP44" s="1"/>
      <c r="AQ44" s="1"/>
      <c r="AR44" s="1"/>
      <c r="AS44" s="1"/>
      <c r="AT44" s="1"/>
      <c r="AU44" s="1"/>
      <c r="AV44" s="1"/>
      <c r="AW44" s="1"/>
      <c r="AX44" s="1"/>
      <c r="AY44" s="1"/>
      <c r="AZ44" s="1"/>
      <c r="BA44" s="1"/>
      <c r="BB44" s="1"/>
      <c r="BC44" s="1"/>
      <c r="BD44" s="1"/>
      <c r="BE44" s="1"/>
      <c r="BF44" s="1546">
        <v>120000</v>
      </c>
      <c r="BG44" s="1"/>
    </row>
    <row r="45" spans="1:59">
      <c r="A45" s="1"/>
      <c r="B45" s="1081" t="s">
        <v>10896</v>
      </c>
      <c r="C45" s="1"/>
      <c r="D45" s="1081" t="s">
        <v>1118</v>
      </c>
      <c r="E45" s="1081" t="s">
        <v>11222</v>
      </c>
      <c r="F45" s="1"/>
      <c r="G45" s="1"/>
      <c r="H45" s="1"/>
      <c r="I45" s="1081" t="s">
        <v>489</v>
      </c>
      <c r="J45" s="1"/>
      <c r="K45" s="1052" t="s">
        <v>12402</v>
      </c>
      <c r="L45" s="1048"/>
      <c r="M45" s="1048"/>
      <c r="N45" s="1048"/>
      <c r="O45" s="1048"/>
      <c r="P45" s="960"/>
      <c r="Q45" s="960"/>
      <c r="R45" s="1081" t="s">
        <v>196</v>
      </c>
      <c r="S45" s="1"/>
      <c r="T45" s="1081" t="s">
        <v>10336</v>
      </c>
      <c r="U45" s="1081" t="s">
        <v>196</v>
      </c>
      <c r="V45" s="1"/>
      <c r="W45" s="1"/>
      <c r="X45" s="1"/>
      <c r="Y45" s="1"/>
      <c r="Z45" s="1"/>
      <c r="AA45" s="1"/>
      <c r="AB45" s="1" t="s">
        <v>12532</v>
      </c>
      <c r="AC45" s="1" t="s">
        <v>5</v>
      </c>
      <c r="AD45" s="1081"/>
      <c r="AE45" s="1081" t="s">
        <v>11359</v>
      </c>
      <c r="AF45" s="1"/>
      <c r="AG45" s="1081" t="s">
        <v>12686</v>
      </c>
      <c r="AH45" s="1081" t="s">
        <v>12725</v>
      </c>
      <c r="AI45" s="1081" t="s">
        <v>9614</v>
      </c>
      <c r="AJ45" s="1081" t="s">
        <v>11516</v>
      </c>
      <c r="AK45" s="1081"/>
      <c r="AL45" s="1081" t="s">
        <v>12688</v>
      </c>
      <c r="AM45" s="1081" t="s">
        <v>3592</v>
      </c>
      <c r="AN45" s="1081"/>
      <c r="AO45" s="1081" t="s">
        <v>11516</v>
      </c>
      <c r="AP45" s="1"/>
      <c r="AQ45" s="1"/>
      <c r="AR45" s="1"/>
      <c r="AS45" s="1"/>
      <c r="AT45" s="1"/>
      <c r="AU45" s="1"/>
      <c r="AV45" s="1"/>
      <c r="AW45" s="1"/>
      <c r="AX45" s="1"/>
      <c r="AY45" s="1"/>
      <c r="AZ45" s="1"/>
      <c r="BA45" s="1"/>
      <c r="BB45" s="1"/>
      <c r="BC45" s="1"/>
      <c r="BD45" s="1"/>
      <c r="BE45" s="1"/>
      <c r="BF45" s="1546">
        <v>130000</v>
      </c>
      <c r="BG45" s="1"/>
    </row>
    <row r="46" spans="1:59">
      <c r="A46" s="1"/>
      <c r="B46" s="1081" t="s">
        <v>690</v>
      </c>
      <c r="C46" s="1"/>
      <c r="D46" s="1081" t="s">
        <v>1119</v>
      </c>
      <c r="E46" s="1081" t="s">
        <v>10611</v>
      </c>
      <c r="F46" s="1"/>
      <c r="G46" s="1"/>
      <c r="H46" s="1"/>
      <c r="I46" s="1081" t="s">
        <v>196</v>
      </c>
      <c r="J46" s="1"/>
      <c r="K46" s="1052" t="s">
        <v>12403</v>
      </c>
      <c r="L46" s="1048"/>
      <c r="M46" s="1048"/>
      <c r="N46" s="1048"/>
      <c r="O46" s="1048"/>
      <c r="P46" s="960"/>
      <c r="Q46" s="960"/>
      <c r="R46" s="1081" t="s">
        <v>556</v>
      </c>
      <c r="S46" s="1"/>
      <c r="T46" s="1081" t="s">
        <v>10706</v>
      </c>
      <c r="U46" s="1081" t="s">
        <v>10280</v>
      </c>
      <c r="V46" s="1"/>
      <c r="W46" s="1"/>
      <c r="X46" s="1"/>
      <c r="Y46" s="1"/>
      <c r="Z46" s="1"/>
      <c r="AA46" s="1"/>
      <c r="AB46" s="1" t="s">
        <v>12532</v>
      </c>
      <c r="AC46" s="1" t="s">
        <v>12694</v>
      </c>
      <c r="AD46" s="1081"/>
      <c r="AE46" s="1081" t="s">
        <v>11438</v>
      </c>
      <c r="AF46" s="1"/>
      <c r="AG46" s="1081" t="s">
        <v>12686</v>
      </c>
      <c r="AH46" s="1081" t="s">
        <v>12726</v>
      </c>
      <c r="AI46" s="1081" t="s">
        <v>9614</v>
      </c>
      <c r="AJ46" s="1081" t="s">
        <v>11516</v>
      </c>
      <c r="AK46" s="1081"/>
      <c r="AL46" s="1081" t="s">
        <v>12688</v>
      </c>
      <c r="AM46" s="1081" t="s">
        <v>411</v>
      </c>
      <c r="AN46" s="1081"/>
      <c r="AO46" s="1081" t="s">
        <v>11516</v>
      </c>
      <c r="AP46" s="1"/>
      <c r="AQ46" s="1"/>
      <c r="AR46" s="1"/>
      <c r="AS46" s="1"/>
      <c r="AT46" s="1"/>
      <c r="AU46" s="1"/>
      <c r="AV46" s="1"/>
      <c r="AW46" s="1"/>
      <c r="AX46" s="1"/>
      <c r="AY46" s="1"/>
      <c r="AZ46" s="1"/>
      <c r="BA46" s="1"/>
      <c r="BB46" s="1"/>
      <c r="BC46" s="1"/>
      <c r="BD46" s="1"/>
      <c r="BE46" s="1"/>
      <c r="BF46" s="1546">
        <v>140000</v>
      </c>
      <c r="BG46" s="1"/>
    </row>
    <row r="47" spans="1:59">
      <c r="A47" s="1"/>
      <c r="B47" s="1081" t="s">
        <v>7589</v>
      </c>
      <c r="C47" s="1"/>
      <c r="D47" s="1081" t="s">
        <v>1120</v>
      </c>
      <c r="E47" s="1081" t="s">
        <v>11223</v>
      </c>
      <c r="F47" s="1"/>
      <c r="G47" s="1"/>
      <c r="H47" s="1"/>
      <c r="I47" s="1081" t="s">
        <v>556</v>
      </c>
      <c r="J47" s="1"/>
      <c r="K47" s="1052" t="s">
        <v>12404</v>
      </c>
      <c r="L47" s="1048"/>
      <c r="M47" s="1048"/>
      <c r="N47" s="1048"/>
      <c r="O47" s="1048"/>
      <c r="P47" s="960"/>
      <c r="Q47" s="960"/>
      <c r="R47" s="1081" t="s">
        <v>559</v>
      </c>
      <c r="S47" s="1"/>
      <c r="T47" s="1081" t="s">
        <v>10163</v>
      </c>
      <c r="U47" s="1081" t="s">
        <v>559</v>
      </c>
      <c r="V47" s="1"/>
      <c r="W47" s="1"/>
      <c r="X47" s="1"/>
      <c r="Y47" s="1"/>
      <c r="Z47" s="1"/>
      <c r="AA47" s="1"/>
      <c r="AB47" s="1" t="s">
        <v>12532</v>
      </c>
      <c r="AC47" s="1" t="s">
        <v>12695</v>
      </c>
      <c r="AD47" s="1081"/>
      <c r="AE47" s="1081" t="s">
        <v>11438</v>
      </c>
      <c r="AF47" s="1"/>
      <c r="AG47" s="1081" t="s">
        <v>12686</v>
      </c>
      <c r="AH47" s="1081" t="s">
        <v>12727</v>
      </c>
      <c r="AI47" s="1081" t="s">
        <v>9614</v>
      </c>
      <c r="AJ47" s="1081" t="s">
        <v>11516</v>
      </c>
      <c r="AK47" s="1081"/>
      <c r="AL47" s="1081" t="s">
        <v>12688</v>
      </c>
      <c r="AM47" s="1081" t="s">
        <v>411</v>
      </c>
      <c r="AN47" s="1081"/>
      <c r="AO47" s="1081" t="s">
        <v>11516</v>
      </c>
      <c r="AP47" s="1"/>
      <c r="AQ47" s="1"/>
      <c r="AR47" s="1"/>
      <c r="AS47" s="1"/>
      <c r="AT47" s="1"/>
      <c r="AU47" s="1"/>
      <c r="AV47" s="1"/>
      <c r="AW47" s="1"/>
      <c r="AX47" s="1"/>
      <c r="AY47" s="1"/>
      <c r="AZ47" s="1"/>
      <c r="BA47" s="1"/>
      <c r="BB47" s="1"/>
      <c r="BC47" s="1"/>
      <c r="BD47" s="1"/>
      <c r="BE47" s="1"/>
      <c r="BF47" s="1546">
        <v>150000</v>
      </c>
      <c r="BG47" s="1"/>
    </row>
    <row r="48" spans="1:59">
      <c r="A48" s="1"/>
      <c r="B48" s="1081" t="s">
        <v>12539</v>
      </c>
      <c r="C48" s="1"/>
      <c r="D48" s="1081" t="s">
        <v>1121</v>
      </c>
      <c r="E48" s="1081" t="s">
        <v>11224</v>
      </c>
      <c r="F48" s="1"/>
      <c r="G48" s="1"/>
      <c r="H48" s="1"/>
      <c r="I48" s="1081" t="s">
        <v>559</v>
      </c>
      <c r="J48" s="1"/>
      <c r="K48" s="1052" t="s">
        <v>12405</v>
      </c>
      <c r="L48" s="1048"/>
      <c r="M48" s="1048"/>
      <c r="N48" s="1048"/>
      <c r="O48" s="1048"/>
      <c r="P48" s="960"/>
      <c r="Q48" s="960"/>
      <c r="R48" s="1081" t="s">
        <v>530</v>
      </c>
      <c r="S48" s="1"/>
      <c r="T48" s="1081" t="s">
        <v>9661</v>
      </c>
      <c r="U48" s="1081" t="s">
        <v>10281</v>
      </c>
      <c r="V48" s="1"/>
      <c r="W48" s="1"/>
      <c r="X48" s="1"/>
      <c r="Y48" s="1"/>
      <c r="Z48" s="1"/>
      <c r="AA48" s="1"/>
      <c r="AB48" s="1" t="s">
        <v>12532</v>
      </c>
      <c r="AC48" s="1" t="s">
        <v>12696</v>
      </c>
      <c r="AD48" s="1081"/>
      <c r="AE48" s="1081" t="s">
        <v>11438</v>
      </c>
      <c r="AF48" s="1"/>
      <c r="AG48" s="1081" t="s">
        <v>12686</v>
      </c>
      <c r="AH48" s="1081" t="s">
        <v>12728</v>
      </c>
      <c r="AI48" s="1081" t="s">
        <v>9614</v>
      </c>
      <c r="AJ48" s="1081" t="s">
        <v>11516</v>
      </c>
      <c r="AK48" s="1081"/>
      <c r="AL48" s="1081" t="s">
        <v>12688</v>
      </c>
      <c r="AM48" s="1081" t="s">
        <v>12354</v>
      </c>
      <c r="AN48" s="1081"/>
      <c r="AO48" s="1081" t="s">
        <v>11516</v>
      </c>
      <c r="AP48" s="1"/>
      <c r="AQ48" s="1"/>
      <c r="AR48" s="1"/>
      <c r="AS48" s="1"/>
      <c r="AT48" s="1"/>
      <c r="AU48" s="1"/>
      <c r="AV48" s="1"/>
      <c r="AW48" s="1"/>
      <c r="AX48" s="1"/>
      <c r="AY48" s="1"/>
      <c r="AZ48" s="1"/>
      <c r="BA48" s="1"/>
      <c r="BB48" s="1"/>
      <c r="BC48" s="1"/>
      <c r="BD48" s="1"/>
      <c r="BE48" s="1"/>
      <c r="BF48" s="1546">
        <v>160000</v>
      </c>
      <c r="BG48" s="1"/>
    </row>
    <row r="49" spans="1:59">
      <c r="A49" s="1"/>
      <c r="B49" s="1081" t="s">
        <v>691</v>
      </c>
      <c r="C49" s="1"/>
      <c r="D49" s="1081" t="s">
        <v>1122</v>
      </c>
      <c r="E49" s="1081" t="s">
        <v>488</v>
      </c>
      <c r="F49" s="1"/>
      <c r="G49" s="1"/>
      <c r="H49" s="1"/>
      <c r="I49" s="1081" t="s">
        <v>530</v>
      </c>
      <c r="J49" s="1"/>
      <c r="K49" s="1052" t="s">
        <v>12406</v>
      </c>
      <c r="L49" s="1048"/>
      <c r="M49" s="1048"/>
      <c r="N49" s="1048"/>
      <c r="O49" s="1048"/>
      <c r="P49" s="960"/>
      <c r="Q49" s="960"/>
      <c r="R49" s="1081" t="s">
        <v>27</v>
      </c>
      <c r="S49" s="1"/>
      <c r="T49" s="1081" t="s">
        <v>10164</v>
      </c>
      <c r="U49" s="1081" t="s">
        <v>10282</v>
      </c>
      <c r="V49" s="1"/>
      <c r="W49" s="1"/>
      <c r="X49" s="1"/>
      <c r="Y49" s="1"/>
      <c r="Z49" s="1"/>
      <c r="AA49" s="1"/>
      <c r="AB49" s="1" t="s">
        <v>12532</v>
      </c>
      <c r="AC49" s="1" t="s">
        <v>12359</v>
      </c>
      <c r="AD49" s="1081"/>
      <c r="AE49" s="1081" t="s">
        <v>11359</v>
      </c>
      <c r="AF49" s="1"/>
      <c r="AG49" s="1081" t="s">
        <v>5</v>
      </c>
      <c r="AH49" s="1081" t="s">
        <v>12718</v>
      </c>
      <c r="AI49" s="1081" t="s">
        <v>9614</v>
      </c>
      <c r="AJ49" s="1081" t="s">
        <v>11516</v>
      </c>
      <c r="AK49" s="1081"/>
      <c r="AL49" s="1081" t="s">
        <v>12688</v>
      </c>
      <c r="AM49" s="1081" t="s">
        <v>11261</v>
      </c>
      <c r="AN49" s="1081"/>
      <c r="AO49" s="1081" t="s">
        <v>11516</v>
      </c>
      <c r="AP49" s="1"/>
      <c r="AQ49" s="1"/>
      <c r="AR49" s="1"/>
      <c r="AS49" s="1"/>
      <c r="AT49" s="1"/>
      <c r="AU49" s="1"/>
      <c r="AV49" s="1"/>
      <c r="AW49" s="1"/>
      <c r="AX49" s="1"/>
      <c r="AY49" s="1"/>
      <c r="AZ49" s="1"/>
      <c r="BA49" s="1"/>
      <c r="BB49" s="1"/>
      <c r="BC49" s="1"/>
      <c r="BD49" s="1"/>
      <c r="BE49" s="1"/>
      <c r="BF49" s="1546">
        <v>166000</v>
      </c>
      <c r="BG49" s="1"/>
    </row>
    <row r="50" spans="1:59">
      <c r="B50" s="941" t="s">
        <v>7945</v>
      </c>
      <c r="D50" s="941" t="s">
        <v>1123</v>
      </c>
      <c r="E50" s="941" t="s">
        <v>10251</v>
      </c>
      <c r="I50" s="941" t="s">
        <v>27</v>
      </c>
      <c r="K50" s="1253" t="s">
        <v>12407</v>
      </c>
      <c r="L50" s="1049"/>
      <c r="M50" s="1049"/>
      <c r="N50" s="1049"/>
      <c r="O50" s="1049"/>
      <c r="P50" s="960"/>
      <c r="R50" s="941" t="s">
        <v>184</v>
      </c>
      <c r="T50" s="941" t="s">
        <v>10165</v>
      </c>
      <c r="U50" s="941" t="s">
        <v>10283</v>
      </c>
      <c r="AB50" t="s">
        <v>12532</v>
      </c>
      <c r="AC50" t="s">
        <v>12697</v>
      </c>
      <c r="AE50" s="941" t="s">
        <v>11438</v>
      </c>
      <c r="AG50" s="941" t="s">
        <v>5</v>
      </c>
      <c r="AH50" s="941" t="s">
        <v>12604</v>
      </c>
      <c r="AI50" s="941" t="s">
        <v>9614</v>
      </c>
      <c r="AJ50" s="941" t="s">
        <v>11359</v>
      </c>
      <c r="AL50" s="941" t="s">
        <v>12688</v>
      </c>
      <c r="AM50" s="941" t="s">
        <v>11261</v>
      </c>
      <c r="AO50" s="941" t="s">
        <v>11516</v>
      </c>
      <c r="BF50" s="1546">
        <v>170000</v>
      </c>
    </row>
    <row r="51" spans="1:59">
      <c r="B51" s="941" t="s">
        <v>10171</v>
      </c>
      <c r="D51" s="941" t="s">
        <v>9755</v>
      </c>
      <c r="E51" s="941" t="s">
        <v>11225</v>
      </c>
      <c r="I51" s="941" t="s">
        <v>184</v>
      </c>
      <c r="K51" s="1253" t="s">
        <v>12408</v>
      </c>
      <c r="L51" s="1049"/>
      <c r="M51" s="1049"/>
      <c r="N51" s="1049"/>
      <c r="O51" s="1049"/>
      <c r="P51" s="960"/>
      <c r="R51" s="941" t="s">
        <v>7734</v>
      </c>
      <c r="T51" s="941" t="s">
        <v>10166</v>
      </c>
      <c r="U51" s="941" t="s">
        <v>10686</v>
      </c>
      <c r="AB51" t="s">
        <v>12532</v>
      </c>
      <c r="AC51" t="s">
        <v>481</v>
      </c>
      <c r="AE51" s="941" t="s">
        <v>11516</v>
      </c>
      <c r="AG51" s="941" t="s">
        <v>5</v>
      </c>
      <c r="AH51" s="941" t="s">
        <v>5</v>
      </c>
      <c r="AI51" s="941" t="s">
        <v>12729</v>
      </c>
      <c r="AJ51" s="941" t="s">
        <v>11516</v>
      </c>
      <c r="AL51" s="941" t="s">
        <v>12688</v>
      </c>
      <c r="AM51" s="941" t="s">
        <v>5548</v>
      </c>
      <c r="AO51" s="941" t="s">
        <v>11516</v>
      </c>
      <c r="BF51" s="1546">
        <v>180000</v>
      </c>
    </row>
    <row r="52" spans="1:59">
      <c r="B52" s="941" t="s">
        <v>692</v>
      </c>
      <c r="D52" s="941" t="s">
        <v>1124</v>
      </c>
      <c r="E52" s="941" t="s">
        <v>558</v>
      </c>
      <c r="I52" s="941" t="s">
        <v>7734</v>
      </c>
      <c r="K52" s="1253" t="s">
        <v>12409</v>
      </c>
      <c r="L52" s="1049"/>
      <c r="M52" s="1049"/>
      <c r="N52" s="1049"/>
      <c r="O52" s="1049"/>
      <c r="R52" s="941" t="s">
        <v>185</v>
      </c>
      <c r="T52" s="941" t="s">
        <v>11097</v>
      </c>
      <c r="U52" s="941" t="s">
        <v>10284</v>
      </c>
      <c r="AB52" t="s">
        <v>11529</v>
      </c>
      <c r="AC52" t="s">
        <v>12688</v>
      </c>
      <c r="AE52" s="941" t="s">
        <v>11516</v>
      </c>
      <c r="AG52" s="941" t="s">
        <v>12512</v>
      </c>
      <c r="AH52" s="941" t="s">
        <v>10635</v>
      </c>
      <c r="AI52" s="941" t="s">
        <v>9614</v>
      </c>
      <c r="AJ52" s="941" t="s">
        <v>11516</v>
      </c>
      <c r="AL52" s="941" t="s">
        <v>12688</v>
      </c>
      <c r="AM52" s="941" t="s">
        <v>453</v>
      </c>
      <c r="AO52" s="941" t="s">
        <v>11516</v>
      </c>
      <c r="BF52" s="1546">
        <v>190000</v>
      </c>
    </row>
    <row r="53" spans="1:59">
      <c r="B53" s="941" t="s">
        <v>12348</v>
      </c>
      <c r="D53" s="941" t="s">
        <v>10505</v>
      </c>
      <c r="E53" s="941" t="s">
        <v>11292</v>
      </c>
      <c r="I53" s="941" t="s">
        <v>185</v>
      </c>
      <c r="K53" s="1253" t="s">
        <v>12410</v>
      </c>
      <c r="L53" s="1049"/>
      <c r="M53" s="1049"/>
      <c r="N53" s="1049"/>
      <c r="O53" s="1049"/>
      <c r="R53" s="941" t="s">
        <v>245</v>
      </c>
      <c r="T53" s="941" t="s">
        <v>10167</v>
      </c>
      <c r="U53" s="941" t="s">
        <v>245</v>
      </c>
      <c r="AB53" t="s">
        <v>11529</v>
      </c>
      <c r="AC53" t="s">
        <v>12698</v>
      </c>
      <c r="AE53" s="941" t="s">
        <v>11516</v>
      </c>
      <c r="AG53" s="941" t="s">
        <v>12512</v>
      </c>
      <c r="AH53" s="941" t="s">
        <v>10635</v>
      </c>
      <c r="AI53" s="941" t="s">
        <v>9614</v>
      </c>
      <c r="AJ53" s="941" t="s">
        <v>11516</v>
      </c>
      <c r="AL53" s="941" t="s">
        <v>12688</v>
      </c>
      <c r="AM53" s="941" t="s">
        <v>453</v>
      </c>
      <c r="AO53" s="941" t="s">
        <v>11516</v>
      </c>
      <c r="BF53" s="1546">
        <v>200000</v>
      </c>
    </row>
    <row r="54" spans="1:59">
      <c r="B54" s="941" t="s">
        <v>693</v>
      </c>
      <c r="D54" s="941" t="s">
        <v>1125</v>
      </c>
      <c r="E54" s="941" t="s">
        <v>11146</v>
      </c>
      <c r="I54" s="941" t="s">
        <v>245</v>
      </c>
      <c r="K54" s="1253" t="s">
        <v>12411</v>
      </c>
      <c r="L54" s="1049"/>
      <c r="M54" s="1049"/>
      <c r="N54" s="1049"/>
      <c r="O54" s="1049"/>
      <c r="R54" s="941" t="s">
        <v>186</v>
      </c>
      <c r="T54" s="941" t="s">
        <v>10361</v>
      </c>
      <c r="U54" s="941" t="s">
        <v>10687</v>
      </c>
      <c r="AB54" t="s">
        <v>11529</v>
      </c>
      <c r="AC54" t="s">
        <v>12699</v>
      </c>
      <c r="AE54" s="941" t="s">
        <v>11516</v>
      </c>
      <c r="AG54" s="941" t="s">
        <v>12512</v>
      </c>
      <c r="AH54" s="941" t="s">
        <v>12605</v>
      </c>
      <c r="AI54" s="941" t="s">
        <v>9614</v>
      </c>
      <c r="AJ54" s="941" t="s">
        <v>11359</v>
      </c>
      <c r="AL54" s="941" t="s">
        <v>12688</v>
      </c>
      <c r="AM54" s="941" t="s">
        <v>455</v>
      </c>
      <c r="AO54" s="941" t="s">
        <v>11516</v>
      </c>
      <c r="BF54" s="1546">
        <v>225000</v>
      </c>
    </row>
    <row r="55" spans="1:59">
      <c r="B55" s="941" t="s">
        <v>10931</v>
      </c>
      <c r="D55" s="941" t="s">
        <v>1126</v>
      </c>
      <c r="E55" s="941" t="s">
        <v>229</v>
      </c>
      <c r="I55" s="941" t="s">
        <v>186</v>
      </c>
      <c r="K55" s="1253" t="s">
        <v>12412</v>
      </c>
      <c r="L55" s="1049"/>
      <c r="M55" s="1049"/>
      <c r="N55" s="1049"/>
      <c r="O55" s="1049"/>
      <c r="R55" s="941" t="s">
        <v>187</v>
      </c>
      <c r="T55" s="941" t="s">
        <v>10707</v>
      </c>
      <c r="U55" s="941" t="s">
        <v>10285</v>
      </c>
      <c r="AB55" t="s">
        <v>11529</v>
      </c>
      <c r="AC55" t="s">
        <v>12690</v>
      </c>
      <c r="AE55" s="941" t="s">
        <v>11516</v>
      </c>
      <c r="AG55" s="941" t="s">
        <v>12512</v>
      </c>
      <c r="AH55" s="941" t="s">
        <v>12606</v>
      </c>
      <c r="AI55" s="941" t="s">
        <v>9614</v>
      </c>
      <c r="AJ55" s="941" t="s">
        <v>11359</v>
      </c>
      <c r="AL55" s="941" t="s">
        <v>12688</v>
      </c>
      <c r="AM55" s="941" t="s">
        <v>455</v>
      </c>
      <c r="AO55" s="941" t="s">
        <v>11516</v>
      </c>
      <c r="BF55" s="1546">
        <v>240000</v>
      </c>
    </row>
    <row r="56" spans="1:59">
      <c r="B56" s="941" t="s">
        <v>694</v>
      </c>
      <c r="D56" s="941" t="s">
        <v>1127</v>
      </c>
      <c r="E56" s="941" t="s">
        <v>11226</v>
      </c>
      <c r="I56" s="941" t="s">
        <v>187</v>
      </c>
      <c r="K56" s="1253" t="s">
        <v>12413</v>
      </c>
      <c r="L56" s="1049"/>
      <c r="M56" s="1049"/>
      <c r="N56" s="1049"/>
      <c r="O56" s="1049"/>
      <c r="AB56" t="s">
        <v>11529</v>
      </c>
      <c r="AC56" t="s">
        <v>12700</v>
      </c>
      <c r="AE56" s="941" t="s">
        <v>11516</v>
      </c>
      <c r="AG56" s="941" t="s">
        <v>12512</v>
      </c>
      <c r="AH56" s="941" t="s">
        <v>12607</v>
      </c>
      <c r="AI56" s="941" t="s">
        <v>9614</v>
      </c>
      <c r="AJ56" s="941" t="s">
        <v>11359</v>
      </c>
      <c r="AL56" s="941" t="s">
        <v>12688</v>
      </c>
      <c r="AM56" s="941" t="s">
        <v>12810</v>
      </c>
      <c r="AO56" s="941" t="s">
        <v>11516</v>
      </c>
      <c r="BF56" s="1546">
        <v>275000</v>
      </c>
    </row>
    <row r="57" spans="1:59">
      <c r="B57" s="941" t="s">
        <v>695</v>
      </c>
      <c r="D57" s="941" t="s">
        <v>1128</v>
      </c>
      <c r="E57" s="941" t="s">
        <v>2277</v>
      </c>
      <c r="K57" s="1253" t="s">
        <v>12414</v>
      </c>
      <c r="L57" s="1049"/>
      <c r="M57" s="1049"/>
      <c r="N57" s="1049"/>
      <c r="O57" s="1049"/>
      <c r="AB57" t="s">
        <v>11529</v>
      </c>
      <c r="AC57" t="s">
        <v>12701</v>
      </c>
      <c r="AE57" s="941" t="s">
        <v>11516</v>
      </c>
      <c r="AG57" s="941" t="s">
        <v>12512</v>
      </c>
      <c r="AH57" s="941" t="s">
        <v>12730</v>
      </c>
      <c r="AI57" s="941" t="s">
        <v>9614</v>
      </c>
      <c r="AJ57" s="941" t="s">
        <v>11516</v>
      </c>
      <c r="AL57" s="941" t="s">
        <v>12688</v>
      </c>
      <c r="AM57" s="941" t="s">
        <v>6462</v>
      </c>
      <c r="AO57" s="941" t="s">
        <v>11516</v>
      </c>
      <c r="BF57" s="1546">
        <v>300000</v>
      </c>
    </row>
    <row r="58" spans="1:59">
      <c r="B58" s="941" t="s">
        <v>7693</v>
      </c>
      <c r="D58" s="941" t="s">
        <v>1129</v>
      </c>
      <c r="E58" s="941" t="s">
        <v>11227</v>
      </c>
      <c r="K58" s="1253" t="s">
        <v>12415</v>
      </c>
      <c r="L58" s="1049"/>
      <c r="M58" s="1049"/>
      <c r="N58" s="1049"/>
      <c r="O58" s="1049"/>
      <c r="AB58" t="s">
        <v>11528</v>
      </c>
      <c r="AC58" t="s">
        <v>12702</v>
      </c>
      <c r="AE58" s="941" t="s">
        <v>11516</v>
      </c>
      <c r="AG58" s="941" t="s">
        <v>12512</v>
      </c>
      <c r="AH58" s="941" t="s">
        <v>12730</v>
      </c>
      <c r="AI58" s="941" t="s">
        <v>9614</v>
      </c>
      <c r="AJ58" s="941" t="s">
        <v>11516</v>
      </c>
      <c r="AL58" s="941" t="s">
        <v>12688</v>
      </c>
      <c r="AM58" s="941" t="s">
        <v>10891</v>
      </c>
      <c r="AO58" s="941" t="s">
        <v>11516</v>
      </c>
      <c r="BF58" s="1546">
        <v>325000</v>
      </c>
    </row>
    <row r="59" spans="1:59">
      <c r="B59" s="941" t="s">
        <v>8086</v>
      </c>
      <c r="D59" s="941" t="s">
        <v>1130</v>
      </c>
      <c r="E59" s="941" t="s">
        <v>10137</v>
      </c>
      <c r="K59" s="1253" t="s">
        <v>12416</v>
      </c>
      <c r="L59" s="1049"/>
      <c r="M59" s="1049"/>
      <c r="N59" s="1049"/>
      <c r="O59" s="1049"/>
      <c r="AB59" t="s">
        <v>481</v>
      </c>
      <c r="AC59" t="s">
        <v>313</v>
      </c>
      <c r="AE59" s="941" t="s">
        <v>11516</v>
      </c>
      <c r="AG59" s="941" t="s">
        <v>12512</v>
      </c>
      <c r="AH59" s="941" t="s">
        <v>12731</v>
      </c>
      <c r="AI59" s="941" t="s">
        <v>9614</v>
      </c>
      <c r="AJ59" s="941" t="s">
        <v>11516</v>
      </c>
      <c r="AL59" s="941" t="s">
        <v>12688</v>
      </c>
      <c r="AM59" s="941" t="s">
        <v>460</v>
      </c>
      <c r="AO59" s="941" t="s">
        <v>11516</v>
      </c>
      <c r="BF59" s="1546">
        <v>360000</v>
      </c>
    </row>
    <row r="60" spans="1:59">
      <c r="B60" s="941" t="s">
        <v>8087</v>
      </c>
      <c r="D60" s="941" t="s">
        <v>1131</v>
      </c>
      <c r="E60" s="941" t="s">
        <v>2327</v>
      </c>
      <c r="K60" s="1253" t="s">
        <v>12417</v>
      </c>
      <c r="L60" s="1049"/>
      <c r="M60" s="1049"/>
      <c r="N60" s="1049"/>
      <c r="O60" s="1049"/>
      <c r="AB60" t="s">
        <v>481</v>
      </c>
      <c r="AC60" t="s">
        <v>12703</v>
      </c>
      <c r="AE60" s="941" t="s">
        <v>11516</v>
      </c>
      <c r="AG60" s="941" t="s">
        <v>12512</v>
      </c>
      <c r="AH60" s="941" t="s">
        <v>12731</v>
      </c>
      <c r="AI60" s="941" t="s">
        <v>9614</v>
      </c>
      <c r="AJ60" s="941" t="s">
        <v>11516</v>
      </c>
      <c r="AL60" s="941" t="s">
        <v>12688</v>
      </c>
      <c r="AM60" s="941" t="s">
        <v>11530</v>
      </c>
      <c r="AO60" s="941" t="s">
        <v>11516</v>
      </c>
      <c r="BF60" s="1546">
        <v>375000</v>
      </c>
    </row>
    <row r="61" spans="1:59">
      <c r="B61" s="941" t="s">
        <v>12356</v>
      </c>
      <c r="D61" s="941" t="s">
        <v>1132</v>
      </c>
      <c r="E61" s="941" t="s">
        <v>11228</v>
      </c>
      <c r="K61" s="1253" t="s">
        <v>12418</v>
      </c>
      <c r="L61" s="1049"/>
      <c r="M61" s="1049"/>
      <c r="N61" s="1049"/>
      <c r="O61" s="1049"/>
      <c r="AB61" t="s">
        <v>481</v>
      </c>
      <c r="AC61" t="s">
        <v>481</v>
      </c>
      <c r="AE61" s="941" t="s">
        <v>11359</v>
      </c>
      <c r="AG61" s="941" t="s">
        <v>12690</v>
      </c>
      <c r="AH61" s="941" t="s">
        <v>12732</v>
      </c>
      <c r="AI61" s="941" t="s">
        <v>9614</v>
      </c>
      <c r="AJ61" s="941" t="s">
        <v>11516</v>
      </c>
      <c r="AL61" s="941" t="s">
        <v>12688</v>
      </c>
      <c r="AM61" s="941" t="s">
        <v>464</v>
      </c>
      <c r="AO61" s="941" t="s">
        <v>11516</v>
      </c>
      <c r="BF61" s="1546">
        <v>400000</v>
      </c>
    </row>
    <row r="62" spans="1:59">
      <c r="B62" s="941" t="s">
        <v>11203</v>
      </c>
      <c r="D62" s="941" t="s">
        <v>1133</v>
      </c>
      <c r="E62" s="941" t="s">
        <v>11229</v>
      </c>
      <c r="K62" s="1253" t="s">
        <v>12419</v>
      </c>
      <c r="L62" s="1049"/>
      <c r="M62" s="1049"/>
      <c r="N62" s="1049"/>
      <c r="O62" s="1049"/>
      <c r="AG62" s="941" t="s">
        <v>12690</v>
      </c>
      <c r="AH62" s="941" t="s">
        <v>12733</v>
      </c>
      <c r="AI62" s="941" t="s">
        <v>9614</v>
      </c>
      <c r="AJ62" s="941" t="s">
        <v>11516</v>
      </c>
      <c r="AL62" s="941" t="s">
        <v>12688</v>
      </c>
      <c r="AM62" s="941" t="s">
        <v>464</v>
      </c>
      <c r="AO62" s="941" t="s">
        <v>11516</v>
      </c>
      <c r="BF62" s="1546">
        <v>420000</v>
      </c>
    </row>
    <row r="63" spans="1:59">
      <c r="B63" s="941" t="s">
        <v>696</v>
      </c>
      <c r="D63" s="941" t="s">
        <v>1134</v>
      </c>
      <c r="E63" s="941" t="s">
        <v>587</v>
      </c>
      <c r="K63" s="1253" t="s">
        <v>12420</v>
      </c>
      <c r="L63" s="1049"/>
      <c r="M63" s="1049"/>
      <c r="N63" s="1049"/>
      <c r="O63" s="1049"/>
      <c r="AG63" s="941" t="s">
        <v>12690</v>
      </c>
      <c r="AH63" s="941" t="s">
        <v>12734</v>
      </c>
      <c r="AI63" s="941" t="s">
        <v>9614</v>
      </c>
      <c r="AJ63" s="941" t="s">
        <v>11516</v>
      </c>
      <c r="AL63" s="941" t="s">
        <v>12698</v>
      </c>
      <c r="AM63" s="941" t="s">
        <v>11208</v>
      </c>
      <c r="AO63" s="941" t="s">
        <v>11516</v>
      </c>
      <c r="BF63" s="1546">
        <v>450000</v>
      </c>
    </row>
    <row r="64" spans="1:59">
      <c r="B64" s="941" t="s">
        <v>8088</v>
      </c>
      <c r="D64" s="941" t="s">
        <v>1135</v>
      </c>
      <c r="E64" s="941" t="s">
        <v>10612</v>
      </c>
      <c r="K64" s="1253" t="s">
        <v>12421</v>
      </c>
      <c r="L64" s="1049"/>
      <c r="M64" s="1049"/>
      <c r="N64" s="1049"/>
      <c r="O64" s="1049"/>
      <c r="AG64" s="941" t="s">
        <v>12690</v>
      </c>
      <c r="AH64" s="941" t="s">
        <v>12735</v>
      </c>
      <c r="AI64" s="941" t="s">
        <v>9614</v>
      </c>
      <c r="AJ64" s="941" t="s">
        <v>11516</v>
      </c>
      <c r="AL64" s="941" t="s">
        <v>12698</v>
      </c>
      <c r="AM64" s="941" t="s">
        <v>11212</v>
      </c>
      <c r="AO64" s="941" t="s">
        <v>11516</v>
      </c>
      <c r="BF64" s="1546">
        <v>480000</v>
      </c>
    </row>
    <row r="65" spans="2:58">
      <c r="B65" s="941" t="s">
        <v>10033</v>
      </c>
      <c r="D65" s="941" t="s">
        <v>1136</v>
      </c>
      <c r="E65" s="941" t="s">
        <v>413</v>
      </c>
      <c r="K65" s="1253" t="s">
        <v>12422</v>
      </c>
      <c r="L65" s="1049"/>
      <c r="M65" s="1049"/>
      <c r="N65" s="1049"/>
      <c r="O65" s="1049"/>
      <c r="AG65" s="941" t="s">
        <v>12690</v>
      </c>
      <c r="AH65" s="941" t="s">
        <v>12736</v>
      </c>
      <c r="AI65" s="941" t="s">
        <v>9614</v>
      </c>
      <c r="AJ65" s="941" t="s">
        <v>11516</v>
      </c>
      <c r="AL65" s="941" t="s">
        <v>12698</v>
      </c>
      <c r="AM65" s="941" t="s">
        <v>11213</v>
      </c>
      <c r="AO65" s="941" t="s">
        <v>11516</v>
      </c>
      <c r="BF65" s="1546">
        <v>500000</v>
      </c>
    </row>
    <row r="66" spans="2:58">
      <c r="B66" s="941" t="s">
        <v>697</v>
      </c>
      <c r="D66" s="941" t="s">
        <v>1137</v>
      </c>
      <c r="E66" s="941" t="s">
        <v>414</v>
      </c>
      <c r="K66" s="1253" t="s">
        <v>12423</v>
      </c>
      <c r="L66" s="1049"/>
      <c r="M66" s="1049"/>
      <c r="N66" s="1049"/>
      <c r="O66" s="1049"/>
      <c r="AG66" s="941" t="s">
        <v>12690</v>
      </c>
      <c r="AH66" s="941" t="s">
        <v>12737</v>
      </c>
      <c r="AI66" s="941" t="s">
        <v>9614</v>
      </c>
      <c r="AJ66" s="941" t="s">
        <v>11516</v>
      </c>
      <c r="AL66" s="941" t="s">
        <v>12698</v>
      </c>
      <c r="AM66" s="941" t="s">
        <v>7804</v>
      </c>
      <c r="AO66" s="941" t="s">
        <v>11516</v>
      </c>
      <c r="BF66" s="1546">
        <v>564000</v>
      </c>
    </row>
    <row r="67" spans="2:58">
      <c r="B67" s="941" t="s">
        <v>8089</v>
      </c>
      <c r="D67" s="941" t="s">
        <v>1138</v>
      </c>
      <c r="E67" s="941" t="s">
        <v>10613</v>
      </c>
      <c r="K67" s="1253" t="s">
        <v>12424</v>
      </c>
      <c r="L67" s="1049"/>
      <c r="M67" s="1049"/>
      <c r="N67" s="1049"/>
      <c r="O67" s="1049"/>
      <c r="AG67" s="941" t="s">
        <v>12690</v>
      </c>
      <c r="AH67" s="941" t="s">
        <v>12738</v>
      </c>
      <c r="AI67" s="941" t="s">
        <v>9614</v>
      </c>
      <c r="AJ67" s="941" t="s">
        <v>11516</v>
      </c>
      <c r="AL67" s="941" t="s">
        <v>12698</v>
      </c>
      <c r="AM67" s="941" t="s">
        <v>11215</v>
      </c>
      <c r="AO67" s="941" t="s">
        <v>11516</v>
      </c>
      <c r="BF67" s="1546">
        <v>576000</v>
      </c>
    </row>
    <row r="68" spans="2:58">
      <c r="B68" s="941" t="s">
        <v>8090</v>
      </c>
      <c r="D68" s="941" t="s">
        <v>1140</v>
      </c>
      <c r="E68" s="941" t="s">
        <v>11147</v>
      </c>
      <c r="K68" s="1253" t="s">
        <v>12425</v>
      </c>
      <c r="L68" s="1049"/>
      <c r="M68" s="1049"/>
      <c r="N68" s="1049"/>
      <c r="O68" s="1049"/>
      <c r="AG68" s="941" t="s">
        <v>12690</v>
      </c>
      <c r="AH68" s="941" t="s">
        <v>12739</v>
      </c>
      <c r="AI68" s="941" t="s">
        <v>9614</v>
      </c>
      <c r="AJ68" s="941" t="s">
        <v>11516</v>
      </c>
      <c r="AL68" s="941" t="s">
        <v>12698</v>
      </c>
      <c r="AM68" s="941" t="s">
        <v>7805</v>
      </c>
      <c r="AO68" s="941" t="s">
        <v>11516</v>
      </c>
      <c r="BF68" s="1546">
        <v>600000</v>
      </c>
    </row>
    <row r="69" spans="2:58">
      <c r="B69" s="941" t="s">
        <v>12349</v>
      </c>
      <c r="D69" s="941" t="s">
        <v>1141</v>
      </c>
      <c r="E69" s="941" t="s">
        <v>1024</v>
      </c>
      <c r="K69" s="1253" t="s">
        <v>12426</v>
      </c>
      <c r="L69" s="1049"/>
      <c r="M69" s="1049"/>
      <c r="N69" s="1049"/>
      <c r="O69" s="1049"/>
      <c r="AG69" s="941" t="s">
        <v>12690</v>
      </c>
      <c r="AH69" s="941" t="s">
        <v>12740</v>
      </c>
      <c r="AI69" s="941" t="s">
        <v>9614</v>
      </c>
      <c r="AJ69" s="941" t="s">
        <v>11516</v>
      </c>
      <c r="AL69" s="941" t="s">
        <v>12698</v>
      </c>
      <c r="AM69" s="941" t="s">
        <v>10908</v>
      </c>
      <c r="AO69" s="941" t="s">
        <v>11516</v>
      </c>
      <c r="BF69" s="1546">
        <v>650000</v>
      </c>
    </row>
    <row r="70" spans="2:58">
      <c r="B70" s="941" t="s">
        <v>9999</v>
      </c>
      <c r="D70" s="941" t="s">
        <v>1142</v>
      </c>
      <c r="E70" s="941" t="s">
        <v>415</v>
      </c>
      <c r="K70" s="1253" t="s">
        <v>12427</v>
      </c>
      <c r="L70" s="1049"/>
      <c r="M70" s="1049"/>
      <c r="N70" s="1049"/>
      <c r="O70" s="1049"/>
      <c r="AG70" s="941" t="s">
        <v>12690</v>
      </c>
      <c r="AH70" s="941" t="s">
        <v>12741</v>
      </c>
      <c r="AI70" s="941" t="s">
        <v>9614</v>
      </c>
      <c r="AJ70" s="941" t="s">
        <v>11516</v>
      </c>
      <c r="AL70" s="941" t="s">
        <v>12698</v>
      </c>
      <c r="AM70" s="941" t="s">
        <v>11223</v>
      </c>
      <c r="AO70" s="941" t="s">
        <v>11516</v>
      </c>
      <c r="BF70" s="1546">
        <v>720000</v>
      </c>
    </row>
    <row r="71" spans="2:58">
      <c r="B71" s="941" t="s">
        <v>8091</v>
      </c>
      <c r="D71" s="941" t="s">
        <v>1143</v>
      </c>
      <c r="E71" s="941" t="s">
        <v>491</v>
      </c>
      <c r="K71" s="1253" t="s">
        <v>12428</v>
      </c>
      <c r="L71" s="1049"/>
      <c r="M71" s="1049"/>
      <c r="N71" s="1049"/>
      <c r="O71" s="1049"/>
      <c r="AG71" s="941" t="s">
        <v>12687</v>
      </c>
      <c r="AH71" s="941" t="s">
        <v>12742</v>
      </c>
      <c r="AI71" s="941" t="s">
        <v>9614</v>
      </c>
      <c r="AJ71" s="941" t="s">
        <v>11516</v>
      </c>
      <c r="AL71" s="941" t="s">
        <v>12698</v>
      </c>
      <c r="AM71" s="941" t="s">
        <v>11237</v>
      </c>
      <c r="AO71" s="941" t="s">
        <v>11516</v>
      </c>
      <c r="BF71" s="1546">
        <v>800000</v>
      </c>
    </row>
    <row r="72" spans="2:58">
      <c r="B72" s="941" t="s">
        <v>9198</v>
      </c>
      <c r="D72" s="941" t="s">
        <v>1144</v>
      </c>
      <c r="E72" s="941" t="s">
        <v>2618</v>
      </c>
      <c r="K72" s="1253" t="s">
        <v>12429</v>
      </c>
      <c r="L72" s="1049"/>
      <c r="M72" s="1049"/>
      <c r="N72" s="1049"/>
      <c r="O72" s="1049"/>
      <c r="AG72" s="941" t="s">
        <v>12687</v>
      </c>
      <c r="AH72" s="941" t="s">
        <v>12743</v>
      </c>
      <c r="AI72" s="941" t="s">
        <v>9614</v>
      </c>
      <c r="AJ72" s="941" t="s">
        <v>11516</v>
      </c>
      <c r="AL72" s="941" t="s">
        <v>12698</v>
      </c>
      <c r="AM72" s="941" t="s">
        <v>11247</v>
      </c>
      <c r="AO72" s="941" t="s">
        <v>11516</v>
      </c>
      <c r="BF72" s="1546">
        <v>840000</v>
      </c>
    </row>
    <row r="73" spans="2:58">
      <c r="B73" s="941" t="s">
        <v>7946</v>
      </c>
      <c r="D73" s="941" t="s">
        <v>1145</v>
      </c>
      <c r="E73" s="941" t="s">
        <v>11230</v>
      </c>
      <c r="K73" s="1253" t="s">
        <v>12430</v>
      </c>
      <c r="L73" s="1049"/>
      <c r="M73" s="1049"/>
      <c r="N73" s="1049"/>
      <c r="O73" s="1049"/>
      <c r="AG73" s="941" t="s">
        <v>12687</v>
      </c>
      <c r="AH73" s="941" t="s">
        <v>12744</v>
      </c>
      <c r="AI73" s="941" t="s">
        <v>9614</v>
      </c>
      <c r="AJ73" s="941" t="s">
        <v>11516</v>
      </c>
      <c r="AL73" s="941" t="s">
        <v>12698</v>
      </c>
      <c r="AM73" s="941" t="s">
        <v>3901</v>
      </c>
      <c r="AO73" s="941" t="s">
        <v>11516</v>
      </c>
      <c r="BF73" s="1546">
        <v>850000</v>
      </c>
    </row>
    <row r="74" spans="2:58">
      <c r="B74" s="941" t="s">
        <v>8092</v>
      </c>
      <c r="D74" s="941" t="s">
        <v>1146</v>
      </c>
      <c r="E74" s="941" t="s">
        <v>525</v>
      </c>
      <c r="K74" s="1253" t="s">
        <v>12431</v>
      </c>
      <c r="L74" s="1049"/>
      <c r="M74" s="1049"/>
      <c r="N74" s="1049"/>
      <c r="O74" s="1049"/>
      <c r="AG74" s="941" t="s">
        <v>12687</v>
      </c>
      <c r="AH74" s="941" t="s">
        <v>12745</v>
      </c>
      <c r="AI74" s="941" t="s">
        <v>9614</v>
      </c>
      <c r="AJ74" s="941" t="s">
        <v>11516</v>
      </c>
      <c r="AL74" s="941" t="s">
        <v>12698</v>
      </c>
      <c r="AM74" s="941" t="s">
        <v>11255</v>
      </c>
      <c r="AO74" s="941" t="s">
        <v>11516</v>
      </c>
      <c r="BF74" s="1546">
        <v>900000</v>
      </c>
    </row>
    <row r="75" spans="2:58">
      <c r="B75" s="941" t="s">
        <v>8093</v>
      </c>
      <c r="D75" s="941" t="s">
        <v>1147</v>
      </c>
      <c r="E75" s="941" t="s">
        <v>1025</v>
      </c>
      <c r="K75" s="1253" t="s">
        <v>12432</v>
      </c>
      <c r="L75" s="1049"/>
      <c r="M75" s="1049"/>
      <c r="N75" s="1049"/>
      <c r="O75" s="1049"/>
      <c r="AG75" s="941" t="s">
        <v>12678</v>
      </c>
      <c r="AH75" s="941" t="s">
        <v>12746</v>
      </c>
      <c r="AI75" s="941" t="s">
        <v>12729</v>
      </c>
      <c r="AJ75" s="941" t="s">
        <v>11516</v>
      </c>
      <c r="AL75" s="941" t="s">
        <v>12698</v>
      </c>
      <c r="AM75" s="941" t="s">
        <v>7808</v>
      </c>
      <c r="AO75" s="941" t="s">
        <v>11516</v>
      </c>
      <c r="BF75" s="1546">
        <v>960000</v>
      </c>
    </row>
    <row r="76" spans="2:58">
      <c r="B76" s="941" t="s">
        <v>698</v>
      </c>
      <c r="D76" s="941" t="s">
        <v>1148</v>
      </c>
      <c r="E76" s="941" t="s">
        <v>526</v>
      </c>
      <c r="K76" s="1253" t="s">
        <v>12433</v>
      </c>
      <c r="L76" s="1049"/>
      <c r="M76" s="1049"/>
      <c r="N76" s="1049"/>
      <c r="O76" s="1049"/>
      <c r="AG76" s="941" t="s">
        <v>12678</v>
      </c>
      <c r="AH76" s="941" t="s">
        <v>12747</v>
      </c>
      <c r="AI76" s="941" t="s">
        <v>12729</v>
      </c>
      <c r="AJ76" s="941" t="s">
        <v>11516</v>
      </c>
      <c r="AL76" s="941" t="s">
        <v>12698</v>
      </c>
      <c r="AM76" s="941" t="s">
        <v>5725</v>
      </c>
      <c r="AO76" s="941" t="s">
        <v>11516</v>
      </c>
      <c r="BF76" s="1546">
        <v>1000000</v>
      </c>
    </row>
    <row r="77" spans="2:58">
      <c r="B77" s="941" t="s">
        <v>8094</v>
      </c>
      <c r="D77" s="941" t="s">
        <v>1149</v>
      </c>
      <c r="E77" s="941" t="s">
        <v>527</v>
      </c>
      <c r="K77" s="1253" t="s">
        <v>12434</v>
      </c>
      <c r="L77" s="1049"/>
      <c r="M77" s="1049"/>
      <c r="N77" s="1049"/>
      <c r="O77" s="1049"/>
      <c r="AG77" s="941" t="s">
        <v>12678</v>
      </c>
      <c r="AH77" s="941" t="s">
        <v>12745</v>
      </c>
      <c r="AI77" s="941" t="s">
        <v>9614</v>
      </c>
      <c r="AJ77" s="941" t="s">
        <v>11516</v>
      </c>
      <c r="AL77" s="941" t="s">
        <v>12698</v>
      </c>
      <c r="AM77" s="941" t="s">
        <v>7809</v>
      </c>
      <c r="AO77" s="941" t="s">
        <v>11516</v>
      </c>
      <c r="BF77" s="1546">
        <v>1020000</v>
      </c>
    </row>
    <row r="78" spans="2:58">
      <c r="B78" s="941" t="s">
        <v>11558</v>
      </c>
      <c r="D78" s="941" t="s">
        <v>1150</v>
      </c>
      <c r="E78" s="941" t="s">
        <v>11231</v>
      </c>
      <c r="K78" s="1253" t="s">
        <v>12435</v>
      </c>
      <c r="L78" s="1049"/>
      <c r="M78" s="1049"/>
      <c r="N78" s="1049"/>
      <c r="O78" s="1049"/>
      <c r="AG78" s="941" t="s">
        <v>12678</v>
      </c>
      <c r="AH78" s="941" t="s">
        <v>12748</v>
      </c>
      <c r="AI78" s="941" t="s">
        <v>12729</v>
      </c>
      <c r="AJ78" s="941" t="s">
        <v>11516</v>
      </c>
      <c r="AL78" s="941" t="s">
        <v>12698</v>
      </c>
      <c r="AM78" s="941" t="s">
        <v>11269</v>
      </c>
      <c r="AO78" s="941" t="s">
        <v>11516</v>
      </c>
      <c r="BF78" s="1546">
        <v>1080000</v>
      </c>
    </row>
    <row r="79" spans="2:58">
      <c r="B79" s="941" t="s">
        <v>10172</v>
      </c>
      <c r="D79" s="941" t="s">
        <v>1151</v>
      </c>
      <c r="E79" s="941" t="s">
        <v>10351</v>
      </c>
      <c r="K79" s="1253" t="s">
        <v>12436</v>
      </c>
      <c r="L79" s="1049"/>
      <c r="M79" s="1049"/>
      <c r="N79" s="1049"/>
      <c r="O79" s="1049"/>
      <c r="AG79" s="941" t="s">
        <v>12680</v>
      </c>
      <c r="AH79" s="941" t="s">
        <v>12680</v>
      </c>
      <c r="AI79" s="941" t="s">
        <v>9614</v>
      </c>
      <c r="AJ79" s="941" t="s">
        <v>11516</v>
      </c>
      <c r="AL79" s="941" t="s">
        <v>12698</v>
      </c>
      <c r="AM79" s="941" t="s">
        <v>7811</v>
      </c>
      <c r="AO79" s="941" t="s">
        <v>11516</v>
      </c>
      <c r="BF79" s="1546">
        <v>1200000</v>
      </c>
    </row>
    <row r="80" spans="2:58">
      <c r="B80" s="941" t="s">
        <v>10173</v>
      </c>
      <c r="D80" s="941" t="s">
        <v>10365</v>
      </c>
      <c r="E80" s="941" t="s">
        <v>528</v>
      </c>
      <c r="K80" s="1253" t="s">
        <v>12437</v>
      </c>
      <c r="L80" s="1049"/>
      <c r="M80" s="1049"/>
      <c r="N80" s="1049"/>
      <c r="O80" s="1049"/>
      <c r="AG80" s="941" t="s">
        <v>12527</v>
      </c>
      <c r="AH80" s="941" t="s">
        <v>12718</v>
      </c>
      <c r="AI80" s="941" t="s">
        <v>9614</v>
      </c>
      <c r="AJ80" s="941" t="s">
        <v>11516</v>
      </c>
      <c r="AL80" s="941" t="s">
        <v>12698</v>
      </c>
      <c r="AM80" s="941" t="s">
        <v>6791</v>
      </c>
      <c r="AO80" s="941" t="s">
        <v>11516</v>
      </c>
      <c r="BF80" s="1546">
        <v>1240000</v>
      </c>
    </row>
    <row r="81" spans="2:58">
      <c r="B81" s="941" t="s">
        <v>699</v>
      </c>
      <c r="D81" s="941" t="s">
        <v>1152</v>
      </c>
      <c r="E81" s="941" t="s">
        <v>11232</v>
      </c>
      <c r="K81" s="1253" t="s">
        <v>12438</v>
      </c>
      <c r="L81" s="1049"/>
      <c r="M81" s="1049"/>
      <c r="N81" s="1049"/>
      <c r="O81" s="1049"/>
      <c r="AG81" s="941" t="s">
        <v>12527</v>
      </c>
      <c r="AH81" s="941" t="s">
        <v>12608</v>
      </c>
      <c r="AI81" s="941" t="s">
        <v>9614</v>
      </c>
      <c r="AJ81" s="941" t="s">
        <v>11359</v>
      </c>
      <c r="AL81" s="941" t="s">
        <v>12698</v>
      </c>
      <c r="AM81" s="941" t="s">
        <v>11274</v>
      </c>
      <c r="AO81" s="941" t="s">
        <v>11516</v>
      </c>
      <c r="BF81" s="1546">
        <v>1260000</v>
      </c>
    </row>
    <row r="82" spans="2:58">
      <c r="B82" s="941" t="s">
        <v>8075</v>
      </c>
      <c r="D82" s="941" t="s">
        <v>10366</v>
      </c>
      <c r="E82" s="941" t="s">
        <v>11077</v>
      </c>
      <c r="K82" s="1253" t="s">
        <v>12439</v>
      </c>
      <c r="L82" s="1049"/>
      <c r="M82" s="1049"/>
      <c r="N82" s="1049"/>
      <c r="O82" s="1049"/>
      <c r="AG82" s="941" t="s">
        <v>12513</v>
      </c>
      <c r="AH82" s="941" t="s">
        <v>10635</v>
      </c>
      <c r="AI82" s="941" t="s">
        <v>9614</v>
      </c>
      <c r="AJ82" s="941" t="s">
        <v>11516</v>
      </c>
      <c r="AL82" s="941" t="s">
        <v>12698</v>
      </c>
      <c r="AM82" s="941" t="s">
        <v>7812</v>
      </c>
      <c r="AO82" s="941" t="s">
        <v>11516</v>
      </c>
      <c r="BF82" s="1546">
        <v>1320000</v>
      </c>
    </row>
    <row r="83" spans="2:58">
      <c r="B83" s="941" t="s">
        <v>8095</v>
      </c>
      <c r="D83" s="941" t="s">
        <v>1153</v>
      </c>
      <c r="E83" s="941" t="s">
        <v>11233</v>
      </c>
      <c r="K83" s="1253" t="s">
        <v>12440</v>
      </c>
      <c r="L83" s="1049"/>
      <c r="M83" s="1049"/>
      <c r="N83" s="1049"/>
      <c r="O83" s="1049"/>
      <c r="AG83" s="941" t="s">
        <v>12513</v>
      </c>
      <c r="AH83" s="941" t="s">
        <v>12609</v>
      </c>
      <c r="AI83" s="941" t="s">
        <v>9614</v>
      </c>
      <c r="AJ83" s="941" t="s">
        <v>11359</v>
      </c>
      <c r="AL83" s="941" t="s">
        <v>12698</v>
      </c>
      <c r="AM83" s="941" t="s">
        <v>6985</v>
      </c>
      <c r="AO83" s="941" t="s">
        <v>11516</v>
      </c>
      <c r="BF83" s="1546">
        <v>1400000</v>
      </c>
    </row>
    <row r="84" spans="2:58">
      <c r="B84" s="941" t="s">
        <v>11059</v>
      </c>
      <c r="D84" s="941" t="s">
        <v>1154</v>
      </c>
      <c r="E84" s="941" t="s">
        <v>10614</v>
      </c>
      <c r="K84" s="1253" t="s">
        <v>12441</v>
      </c>
      <c r="L84" s="1049"/>
      <c r="M84" s="1049"/>
      <c r="N84" s="1049"/>
      <c r="O84" s="1049"/>
      <c r="AG84" s="941" t="s">
        <v>12513</v>
      </c>
      <c r="AH84" s="941" t="s">
        <v>12610</v>
      </c>
      <c r="AI84" s="941" t="s">
        <v>9614</v>
      </c>
      <c r="AJ84" s="941" t="s">
        <v>11359</v>
      </c>
      <c r="AL84" s="941" t="s">
        <v>12698</v>
      </c>
      <c r="AM84" s="941" t="s">
        <v>6996</v>
      </c>
      <c r="AO84" s="941" t="s">
        <v>11516</v>
      </c>
      <c r="BF84" s="1546">
        <v>1440000</v>
      </c>
    </row>
    <row r="85" spans="2:58">
      <c r="B85" s="941" t="s">
        <v>11632</v>
      </c>
      <c r="D85" s="941" t="s">
        <v>1155</v>
      </c>
      <c r="E85" s="941" t="s">
        <v>397</v>
      </c>
      <c r="K85" s="1253" t="s">
        <v>12442</v>
      </c>
      <c r="L85" s="1049"/>
      <c r="M85" s="1049"/>
      <c r="N85" s="1049"/>
      <c r="O85" s="1049"/>
      <c r="AG85" s="941" t="s">
        <v>12513</v>
      </c>
      <c r="AH85" s="941" t="s">
        <v>12611</v>
      </c>
      <c r="AI85" s="941" t="s">
        <v>9614</v>
      </c>
      <c r="AJ85" s="941" t="s">
        <v>11359</v>
      </c>
      <c r="AL85" s="941" t="s">
        <v>12698</v>
      </c>
      <c r="AM85" s="941" t="s">
        <v>11277</v>
      </c>
      <c r="AO85" s="941" t="s">
        <v>11516</v>
      </c>
      <c r="BF85" s="1546">
        <v>1500000</v>
      </c>
    </row>
    <row r="86" spans="2:58">
      <c r="B86" s="941" t="s">
        <v>10897</v>
      </c>
      <c r="D86" s="941" t="s">
        <v>9295</v>
      </c>
      <c r="E86" s="941" t="s">
        <v>11234</v>
      </c>
      <c r="K86" s="1253" t="s">
        <v>12443</v>
      </c>
      <c r="L86" s="1049"/>
      <c r="M86" s="1049"/>
      <c r="N86" s="1049"/>
      <c r="O86" s="1049"/>
      <c r="AG86" s="941" t="s">
        <v>12513</v>
      </c>
      <c r="AH86" s="941" t="s">
        <v>12730</v>
      </c>
      <c r="AI86" s="941" t="s">
        <v>9614</v>
      </c>
      <c r="AJ86" s="941" t="s">
        <v>11516</v>
      </c>
      <c r="AL86" s="941" t="s">
        <v>12698</v>
      </c>
      <c r="AM86" s="941" t="s">
        <v>7814</v>
      </c>
      <c r="AO86" s="941" t="s">
        <v>11516</v>
      </c>
      <c r="BF86" s="1546">
        <v>1588999</v>
      </c>
    </row>
    <row r="87" spans="2:58">
      <c r="B87" s="941" t="s">
        <v>700</v>
      </c>
      <c r="D87" s="941" t="s">
        <v>1156</v>
      </c>
      <c r="E87" s="941" t="s">
        <v>11148</v>
      </c>
      <c r="K87" s="1253" t="s">
        <v>12444</v>
      </c>
      <c r="L87" s="1049"/>
      <c r="M87" s="1049"/>
      <c r="N87" s="1049"/>
      <c r="O87" s="1049"/>
      <c r="AG87" s="941" t="s">
        <v>12513</v>
      </c>
      <c r="AH87" s="941" t="s">
        <v>12731</v>
      </c>
      <c r="AI87" s="941" t="s">
        <v>9614</v>
      </c>
      <c r="AJ87" s="941" t="s">
        <v>11516</v>
      </c>
      <c r="AL87" s="941" t="s">
        <v>12698</v>
      </c>
      <c r="AM87" s="941" t="s">
        <v>10909</v>
      </c>
      <c r="AO87" s="941" t="s">
        <v>11516</v>
      </c>
      <c r="BF87" s="1546">
        <v>1600000</v>
      </c>
    </row>
    <row r="88" spans="2:58">
      <c r="B88" s="941" t="s">
        <v>8096</v>
      </c>
      <c r="D88" s="941" t="s">
        <v>1157</v>
      </c>
      <c r="E88" s="941" t="s">
        <v>10615</v>
      </c>
      <c r="K88" s="1253" t="s">
        <v>12445</v>
      </c>
      <c r="L88" s="1049"/>
      <c r="M88" s="1049"/>
      <c r="N88" s="1049"/>
      <c r="O88" s="1049"/>
      <c r="AG88" s="941" t="s">
        <v>12533</v>
      </c>
      <c r="AH88" s="941" t="s">
        <v>12749</v>
      </c>
      <c r="AI88" s="941" t="s">
        <v>9614</v>
      </c>
      <c r="AJ88" s="941" t="s">
        <v>11516</v>
      </c>
      <c r="AL88" s="941" t="s">
        <v>12698</v>
      </c>
      <c r="AM88" s="941" t="s">
        <v>7815</v>
      </c>
      <c r="AO88" s="941" t="s">
        <v>11516</v>
      </c>
      <c r="BF88" s="1546">
        <v>1620000</v>
      </c>
    </row>
    <row r="89" spans="2:58">
      <c r="B89" s="941" t="s">
        <v>11612</v>
      </c>
      <c r="D89" s="941" t="s">
        <v>1158</v>
      </c>
      <c r="E89" s="941" t="s">
        <v>584</v>
      </c>
      <c r="K89" s="1253" t="s">
        <v>12446</v>
      </c>
      <c r="L89" s="1049"/>
      <c r="M89" s="1049"/>
      <c r="N89" s="1049"/>
      <c r="O89" s="1049"/>
      <c r="AG89" s="941" t="s">
        <v>12533</v>
      </c>
      <c r="AH89" s="941" t="s">
        <v>12750</v>
      </c>
      <c r="AI89" s="941" t="s">
        <v>9614</v>
      </c>
      <c r="AJ89" s="941" t="s">
        <v>11516</v>
      </c>
      <c r="AL89" s="941" t="s">
        <v>12699</v>
      </c>
      <c r="AM89" s="941" t="s">
        <v>12811</v>
      </c>
      <c r="AO89" s="941" t="s">
        <v>11516</v>
      </c>
      <c r="BF89" s="1546">
        <v>1680000</v>
      </c>
    </row>
    <row r="90" spans="2:58">
      <c r="B90" s="941" t="s">
        <v>8097</v>
      </c>
      <c r="D90" s="941" t="s">
        <v>1159</v>
      </c>
      <c r="E90" s="941" t="s">
        <v>529</v>
      </c>
      <c r="K90" s="1253" t="s">
        <v>12447</v>
      </c>
      <c r="L90" s="1049"/>
      <c r="M90" s="1049"/>
      <c r="N90" s="1049"/>
      <c r="O90" s="1049"/>
      <c r="AG90" s="941" t="s">
        <v>12533</v>
      </c>
      <c r="AH90" s="941" t="s">
        <v>12751</v>
      </c>
      <c r="AI90" s="941" t="s">
        <v>9614</v>
      </c>
      <c r="AJ90" s="941" t="s">
        <v>11516</v>
      </c>
      <c r="AL90" s="941" t="s">
        <v>12699</v>
      </c>
      <c r="AM90" s="941" t="s">
        <v>11466</v>
      </c>
      <c r="AO90" s="941" t="s">
        <v>11516</v>
      </c>
      <c r="BF90" s="1546">
        <v>1700000</v>
      </c>
    </row>
    <row r="91" spans="2:58">
      <c r="B91" s="941" t="s">
        <v>701</v>
      </c>
      <c r="D91" s="941" t="s">
        <v>1160</v>
      </c>
      <c r="E91" s="941" t="s">
        <v>412</v>
      </c>
      <c r="K91" s="1253" t="s">
        <v>12448</v>
      </c>
      <c r="L91" s="1049"/>
      <c r="M91" s="1049"/>
      <c r="N91" s="1049"/>
      <c r="O91" s="1049"/>
      <c r="AG91" s="941" t="s">
        <v>12533</v>
      </c>
      <c r="AH91" s="941" t="s">
        <v>12612</v>
      </c>
      <c r="AI91" s="941" t="s">
        <v>9614</v>
      </c>
      <c r="AJ91" s="941" t="s">
        <v>11359</v>
      </c>
      <c r="AL91" s="941" t="s">
        <v>12689</v>
      </c>
      <c r="AM91" s="941" t="s">
        <v>11533</v>
      </c>
      <c r="AO91" s="941" t="s">
        <v>11516</v>
      </c>
      <c r="BF91" s="1546">
        <v>1728000</v>
      </c>
    </row>
    <row r="92" spans="2:58">
      <c r="B92" s="941" t="s">
        <v>8098</v>
      </c>
      <c r="D92" s="941" t="s">
        <v>1161</v>
      </c>
      <c r="E92" s="941" t="s">
        <v>11235</v>
      </c>
      <c r="K92" s="1253" t="s">
        <v>12449</v>
      </c>
      <c r="L92" s="1049"/>
      <c r="M92" s="1049"/>
      <c r="N92" s="1049"/>
      <c r="O92" s="1049"/>
      <c r="AG92" s="941" t="s">
        <v>12533</v>
      </c>
      <c r="AH92" s="941" t="s">
        <v>12613</v>
      </c>
      <c r="AI92" s="941" t="s">
        <v>9614</v>
      </c>
      <c r="AJ92" s="941" t="s">
        <v>11359</v>
      </c>
      <c r="AL92" s="941" t="s">
        <v>12689</v>
      </c>
      <c r="AM92" s="941" t="s">
        <v>12812</v>
      </c>
      <c r="AO92" s="941" t="s">
        <v>11516</v>
      </c>
      <c r="BF92" s="1546">
        <v>1730000</v>
      </c>
    </row>
    <row r="93" spans="2:58">
      <c r="B93" s="941" t="s">
        <v>7851</v>
      </c>
      <c r="D93" s="941" t="s">
        <v>9296</v>
      </c>
      <c r="E93" s="941" t="s">
        <v>10244</v>
      </c>
      <c r="K93" s="1253" t="s">
        <v>12450</v>
      </c>
      <c r="L93" s="1049"/>
      <c r="M93" s="1049"/>
      <c r="N93" s="1049"/>
      <c r="O93" s="1049"/>
      <c r="AG93" s="941" t="s">
        <v>12533</v>
      </c>
      <c r="AH93" s="941" t="s">
        <v>12614</v>
      </c>
      <c r="AI93" s="941" t="s">
        <v>9614</v>
      </c>
      <c r="AJ93" s="941" t="s">
        <v>11359</v>
      </c>
      <c r="AL93" s="941" t="s">
        <v>12689</v>
      </c>
      <c r="AM93" s="941" t="s">
        <v>7934</v>
      </c>
      <c r="AO93" s="941" t="s">
        <v>11516</v>
      </c>
      <c r="BF93" s="1546">
        <v>1800000</v>
      </c>
    </row>
    <row r="94" spans="2:58">
      <c r="B94" s="941" t="s">
        <v>11649</v>
      </c>
      <c r="D94" s="941" t="s">
        <v>1162</v>
      </c>
      <c r="E94" s="941" t="s">
        <v>218</v>
      </c>
      <c r="K94" s="1253" t="s">
        <v>12451</v>
      </c>
      <c r="L94" s="1049"/>
      <c r="M94" s="1049"/>
      <c r="N94" s="1049"/>
      <c r="O94" s="1049"/>
      <c r="AG94" s="941" t="s">
        <v>12534</v>
      </c>
      <c r="AH94" s="941" t="s">
        <v>12615</v>
      </c>
      <c r="AI94" s="941" t="s">
        <v>9614</v>
      </c>
      <c r="AJ94" s="941" t="s">
        <v>11359</v>
      </c>
      <c r="AL94" s="941" t="s">
        <v>12689</v>
      </c>
      <c r="AM94" s="941" t="s">
        <v>11075</v>
      </c>
      <c r="AO94" s="941" t="s">
        <v>11516</v>
      </c>
      <c r="BF94" s="1546">
        <v>1860000</v>
      </c>
    </row>
    <row r="95" spans="2:58">
      <c r="B95" s="941" t="s">
        <v>702</v>
      </c>
      <c r="D95" s="941" t="s">
        <v>1163</v>
      </c>
      <c r="E95" s="941" t="s">
        <v>11236</v>
      </c>
      <c r="K95" s="1253" t="s">
        <v>12452</v>
      </c>
      <c r="L95" s="1049"/>
      <c r="M95" s="1049"/>
      <c r="N95" s="1049"/>
      <c r="O95" s="1049"/>
      <c r="AG95" s="941" t="s">
        <v>12534</v>
      </c>
      <c r="AH95" s="941" t="s">
        <v>12616</v>
      </c>
      <c r="AI95" s="941" t="s">
        <v>9614</v>
      </c>
      <c r="AJ95" s="941" t="s">
        <v>11359</v>
      </c>
      <c r="AL95" s="941" t="s">
        <v>12689</v>
      </c>
      <c r="AM95" s="941" t="s">
        <v>11076</v>
      </c>
      <c r="AO95" s="941" t="s">
        <v>11516</v>
      </c>
      <c r="BF95" s="1546">
        <v>1920000</v>
      </c>
    </row>
    <row r="96" spans="2:58">
      <c r="B96" s="941" t="s">
        <v>11572</v>
      </c>
      <c r="D96" s="941" t="s">
        <v>1164</v>
      </c>
      <c r="E96" s="941" t="s">
        <v>10290</v>
      </c>
      <c r="K96" s="1253" t="s">
        <v>12453</v>
      </c>
      <c r="L96" s="1049"/>
      <c r="M96" s="1049"/>
      <c r="N96" s="1049"/>
      <c r="O96" s="1049"/>
      <c r="AG96" s="941" t="s">
        <v>12534</v>
      </c>
      <c r="AH96" s="941" t="s">
        <v>12617</v>
      </c>
      <c r="AI96" s="941" t="s">
        <v>9614</v>
      </c>
      <c r="AJ96" s="941" t="s">
        <v>11359</v>
      </c>
      <c r="AL96" s="941" t="s">
        <v>12689</v>
      </c>
      <c r="AM96" s="941" t="s">
        <v>558</v>
      </c>
      <c r="AO96" s="941" t="s">
        <v>11516</v>
      </c>
      <c r="BF96" s="1546">
        <v>2000000</v>
      </c>
    </row>
    <row r="97" spans="2:58">
      <c r="B97" s="941" t="s">
        <v>8099</v>
      </c>
      <c r="D97" s="941" t="s">
        <v>1165</v>
      </c>
      <c r="E97" s="941" t="s">
        <v>585</v>
      </c>
      <c r="K97" s="1253" t="s">
        <v>12454</v>
      </c>
      <c r="L97" s="1049"/>
      <c r="M97" s="1049"/>
      <c r="N97" s="1049"/>
      <c r="O97" s="1049"/>
      <c r="AG97" s="941" t="s">
        <v>12534</v>
      </c>
      <c r="AH97" s="941" t="s">
        <v>12752</v>
      </c>
      <c r="AI97" s="941" t="s">
        <v>9614</v>
      </c>
      <c r="AJ97" s="941" t="s">
        <v>11516</v>
      </c>
      <c r="AL97" s="941" t="s">
        <v>12689</v>
      </c>
      <c r="AM97" s="941" t="s">
        <v>11226</v>
      </c>
      <c r="AO97" s="941" t="s">
        <v>11516</v>
      </c>
      <c r="BF97" s="1546">
        <v>2100000</v>
      </c>
    </row>
    <row r="98" spans="2:58">
      <c r="B98" s="941" t="s">
        <v>9204</v>
      </c>
      <c r="D98" s="941" t="s">
        <v>1166</v>
      </c>
      <c r="E98" s="941" t="s">
        <v>11237</v>
      </c>
      <c r="K98" s="1253" t="s">
        <v>12455</v>
      </c>
      <c r="L98" s="1049"/>
      <c r="M98" s="1049"/>
      <c r="N98" s="1049"/>
      <c r="O98" s="1049"/>
      <c r="AG98" s="941" t="s">
        <v>12534</v>
      </c>
      <c r="AH98" s="941" t="s">
        <v>12753</v>
      </c>
      <c r="AI98" s="941" t="s">
        <v>9614</v>
      </c>
      <c r="AJ98" s="941" t="s">
        <v>11516</v>
      </c>
      <c r="AL98" s="941" t="s">
        <v>12689</v>
      </c>
      <c r="AM98" s="941" t="s">
        <v>587</v>
      </c>
      <c r="AO98" s="941" t="s">
        <v>11516</v>
      </c>
      <c r="BF98" s="1546">
        <v>2250000</v>
      </c>
    </row>
    <row r="99" spans="2:58">
      <c r="B99" s="941" t="s">
        <v>7947</v>
      </c>
      <c r="D99" s="941" t="s">
        <v>1167</v>
      </c>
      <c r="E99" s="941" t="s">
        <v>11149</v>
      </c>
      <c r="K99" s="1253" t="s">
        <v>12456</v>
      </c>
      <c r="L99" s="1049"/>
      <c r="M99" s="1049"/>
      <c r="N99" s="1049"/>
      <c r="O99" s="1049"/>
      <c r="AG99" s="941" t="s">
        <v>12534</v>
      </c>
      <c r="AH99" s="941" t="s">
        <v>12754</v>
      </c>
      <c r="AI99" s="941" t="s">
        <v>9614</v>
      </c>
      <c r="AJ99" s="941" t="s">
        <v>11516</v>
      </c>
      <c r="AL99" s="941" t="s">
        <v>12689</v>
      </c>
      <c r="AM99" s="941" t="s">
        <v>12813</v>
      </c>
      <c r="AO99" s="941" t="s">
        <v>11516</v>
      </c>
      <c r="BF99" s="1546">
        <v>2300000</v>
      </c>
    </row>
    <row r="100" spans="2:58">
      <c r="B100" s="941" t="s">
        <v>703</v>
      </c>
      <c r="D100" s="941" t="s">
        <v>1139</v>
      </c>
      <c r="E100" s="941" t="s">
        <v>7935</v>
      </c>
      <c r="K100" s="1253" t="s">
        <v>12457</v>
      </c>
      <c r="L100" s="1049"/>
      <c r="M100" s="1049"/>
      <c r="N100" s="1049"/>
      <c r="O100" s="1049"/>
      <c r="AG100" s="941" t="s">
        <v>12536</v>
      </c>
      <c r="AH100" s="941" t="s">
        <v>12704</v>
      </c>
      <c r="AI100" s="941" t="s">
        <v>9614</v>
      </c>
      <c r="AJ100" s="941" t="s">
        <v>11516</v>
      </c>
      <c r="AL100" s="941" t="s">
        <v>12689</v>
      </c>
      <c r="AM100" s="941" t="s">
        <v>415</v>
      </c>
      <c r="AO100" s="941" t="s">
        <v>11516</v>
      </c>
      <c r="BF100" s="1546">
        <v>2400000</v>
      </c>
    </row>
    <row r="101" spans="2:58">
      <c r="B101" s="941" t="s">
        <v>8100</v>
      </c>
      <c r="D101" s="941" t="s">
        <v>1168</v>
      </c>
      <c r="E101" s="941" t="s">
        <v>557</v>
      </c>
      <c r="K101" s="1253" t="s">
        <v>12458</v>
      </c>
      <c r="L101" s="1049"/>
      <c r="M101" s="1049"/>
      <c r="N101" s="1049"/>
      <c r="O101" s="1049"/>
      <c r="AG101" s="941" t="s">
        <v>12536</v>
      </c>
      <c r="AH101" s="941" t="s">
        <v>12705</v>
      </c>
      <c r="AI101" s="941" t="s">
        <v>9614</v>
      </c>
      <c r="AJ101" s="941" t="s">
        <v>11516</v>
      </c>
      <c r="AL101" s="941" t="s">
        <v>12689</v>
      </c>
      <c r="AM101" s="941" t="s">
        <v>11077</v>
      </c>
      <c r="AO101" s="941" t="s">
        <v>11516</v>
      </c>
      <c r="BF101" s="1546">
        <v>2500000</v>
      </c>
    </row>
    <row r="102" spans="2:58">
      <c r="B102" s="941" t="s">
        <v>704</v>
      </c>
      <c r="D102" s="941" t="s">
        <v>1169</v>
      </c>
      <c r="E102" s="941" t="s">
        <v>3289</v>
      </c>
      <c r="K102" s="1253" t="s">
        <v>12459</v>
      </c>
      <c r="L102" s="1049"/>
      <c r="M102" s="1049"/>
      <c r="N102" s="1049"/>
      <c r="O102" s="1049"/>
      <c r="AG102" s="941" t="s">
        <v>12536</v>
      </c>
      <c r="AH102" s="941" t="s">
        <v>12618</v>
      </c>
      <c r="AI102" s="941" t="s">
        <v>9614</v>
      </c>
      <c r="AJ102" s="941" t="s">
        <v>11359</v>
      </c>
      <c r="AL102" s="941" t="s">
        <v>12689</v>
      </c>
      <c r="AM102" s="941" t="s">
        <v>584</v>
      </c>
      <c r="AO102" s="941" t="s">
        <v>11516</v>
      </c>
      <c r="BF102" s="1546">
        <v>2600000</v>
      </c>
    </row>
    <row r="103" spans="2:58">
      <c r="B103" s="941" t="s">
        <v>10734</v>
      </c>
      <c r="D103" s="941" t="s">
        <v>1170</v>
      </c>
      <c r="E103" s="941" t="s">
        <v>11238</v>
      </c>
      <c r="K103" s="1253" t="s">
        <v>12460</v>
      </c>
      <c r="L103" s="1049"/>
      <c r="M103" s="1049"/>
      <c r="N103" s="1049"/>
      <c r="O103" s="1049"/>
      <c r="AG103" s="941" t="s">
        <v>12536</v>
      </c>
      <c r="AH103" s="941" t="s">
        <v>12619</v>
      </c>
      <c r="AI103" s="941" t="s">
        <v>9614</v>
      </c>
      <c r="AJ103" s="941" t="s">
        <v>11359</v>
      </c>
      <c r="AL103" s="941" t="s">
        <v>12689</v>
      </c>
      <c r="AM103" s="941" t="s">
        <v>11235</v>
      </c>
      <c r="AO103" s="941" t="s">
        <v>11516</v>
      </c>
      <c r="BF103" s="1546">
        <v>2632000</v>
      </c>
    </row>
    <row r="104" spans="2:58">
      <c r="B104" s="941" t="s">
        <v>10917</v>
      </c>
      <c r="D104" s="941" t="s">
        <v>1171</v>
      </c>
      <c r="E104" s="941" t="s">
        <v>7936</v>
      </c>
      <c r="K104" s="1253" t="s">
        <v>12461</v>
      </c>
      <c r="L104" s="1049"/>
      <c r="M104" s="1049"/>
      <c r="N104" s="1049"/>
      <c r="O104" s="1049"/>
      <c r="AG104" s="941" t="s">
        <v>12536</v>
      </c>
      <c r="AH104" s="941" t="s">
        <v>12620</v>
      </c>
      <c r="AI104" s="941" t="s">
        <v>9614</v>
      </c>
      <c r="AJ104" s="941" t="s">
        <v>11359</v>
      </c>
      <c r="AL104" s="941" t="s">
        <v>12689</v>
      </c>
      <c r="AM104" s="941" t="s">
        <v>7935</v>
      </c>
      <c r="AO104" s="941" t="s">
        <v>11516</v>
      </c>
      <c r="BF104" s="1546">
        <v>2940000</v>
      </c>
    </row>
    <row r="105" spans="2:58">
      <c r="B105" s="941" t="s">
        <v>10952</v>
      </c>
      <c r="D105" s="941" t="s">
        <v>1172</v>
      </c>
      <c r="E105" s="941" t="s">
        <v>11239</v>
      </c>
      <c r="K105" s="1253" t="s">
        <v>12462</v>
      </c>
      <c r="L105" s="1049"/>
      <c r="M105" s="1049"/>
      <c r="N105" s="1049"/>
      <c r="O105" s="1049"/>
      <c r="AG105" s="941" t="s">
        <v>12536</v>
      </c>
      <c r="AH105" s="941" t="s">
        <v>12706</v>
      </c>
      <c r="AI105" s="941" t="s">
        <v>9614</v>
      </c>
      <c r="AJ105" s="941" t="s">
        <v>11516</v>
      </c>
      <c r="AL105" s="941" t="s">
        <v>12689</v>
      </c>
      <c r="AM105" s="941" t="s">
        <v>11079</v>
      </c>
      <c r="AO105" s="941" t="s">
        <v>11516</v>
      </c>
      <c r="BF105" s="1546">
        <v>3000000</v>
      </c>
    </row>
    <row r="106" spans="2:58">
      <c r="B106" s="941" t="s">
        <v>705</v>
      </c>
      <c r="D106" s="941" t="s">
        <v>1173</v>
      </c>
      <c r="E106" s="941" t="s">
        <v>633</v>
      </c>
      <c r="K106" s="1253" t="s">
        <v>12463</v>
      </c>
      <c r="L106" s="1049"/>
      <c r="M106" s="1049"/>
      <c r="N106" s="1049"/>
      <c r="O106" s="1049"/>
      <c r="AG106" t="s">
        <v>12683</v>
      </c>
      <c r="AH106" t="s">
        <v>12718</v>
      </c>
      <c r="AI106" t="s">
        <v>9614</v>
      </c>
      <c r="AJ106" s="941" t="s">
        <v>11516</v>
      </c>
      <c r="AL106" s="941" t="s">
        <v>12689</v>
      </c>
      <c r="AM106" s="941" t="s">
        <v>223</v>
      </c>
      <c r="AO106" s="941" t="s">
        <v>11516</v>
      </c>
      <c r="BF106" s="1546">
        <v>3500000</v>
      </c>
    </row>
    <row r="107" spans="2:58">
      <c r="B107" s="941" t="s">
        <v>706</v>
      </c>
      <c r="D107" s="941" t="s">
        <v>10662</v>
      </c>
      <c r="E107" s="941" t="s">
        <v>410</v>
      </c>
      <c r="K107" s="1253" t="s">
        <v>12464</v>
      </c>
      <c r="L107" s="1049"/>
      <c r="M107" s="1049"/>
      <c r="N107" s="1049"/>
      <c r="O107" s="1049"/>
      <c r="AG107" t="s">
        <v>12700</v>
      </c>
      <c r="AH107" t="s">
        <v>12700</v>
      </c>
      <c r="AI107" t="s">
        <v>9614</v>
      </c>
      <c r="AJ107" s="941" t="s">
        <v>11516</v>
      </c>
      <c r="AL107" s="941" t="s">
        <v>12689</v>
      </c>
      <c r="AM107" s="941" t="s">
        <v>224</v>
      </c>
      <c r="AO107" s="941" t="s">
        <v>11516</v>
      </c>
      <c r="BF107" s="1546">
        <v>3600000</v>
      </c>
    </row>
    <row r="108" spans="2:58">
      <c r="B108" s="941" t="s">
        <v>707</v>
      </c>
      <c r="D108" s="941" t="s">
        <v>1174</v>
      </c>
      <c r="E108" s="941" t="s">
        <v>219</v>
      </c>
      <c r="K108" s="1253" t="s">
        <v>12465</v>
      </c>
      <c r="L108" s="1049"/>
      <c r="M108" s="1049"/>
      <c r="N108" s="1049"/>
      <c r="O108" s="1049"/>
      <c r="AG108" t="s">
        <v>12755</v>
      </c>
      <c r="AH108" t="s">
        <v>12756</v>
      </c>
      <c r="AI108" t="s">
        <v>9614</v>
      </c>
      <c r="AJ108" s="941" t="s">
        <v>11516</v>
      </c>
      <c r="AL108" s="941" t="s">
        <v>12689</v>
      </c>
      <c r="AM108" s="941" t="s">
        <v>11534</v>
      </c>
      <c r="AO108" s="941" t="s">
        <v>11516</v>
      </c>
      <c r="BF108" s="1546">
        <v>3700000</v>
      </c>
    </row>
    <row r="109" spans="2:58">
      <c r="B109" s="941" t="s">
        <v>8101</v>
      </c>
      <c r="D109" s="941" t="s">
        <v>1175</v>
      </c>
      <c r="E109" s="941" t="s">
        <v>11240</v>
      </c>
      <c r="K109" s="1253" t="s">
        <v>12466</v>
      </c>
      <c r="L109" s="1049"/>
      <c r="M109" s="1049"/>
      <c r="N109" s="1049"/>
      <c r="O109" s="1049"/>
      <c r="AG109" t="s">
        <v>12755</v>
      </c>
      <c r="AH109" t="s">
        <v>12757</v>
      </c>
      <c r="AI109" t="s">
        <v>9614</v>
      </c>
      <c r="AJ109" s="941" t="s">
        <v>11516</v>
      </c>
      <c r="AL109" s="941" t="s">
        <v>12689</v>
      </c>
      <c r="AM109" s="941" t="s">
        <v>11246</v>
      </c>
      <c r="AO109" s="941" t="s">
        <v>11516</v>
      </c>
      <c r="BF109" s="1546">
        <v>4140000</v>
      </c>
    </row>
    <row r="110" spans="2:58">
      <c r="B110" s="941" t="s">
        <v>10174</v>
      </c>
      <c r="D110" s="941" t="s">
        <v>1176</v>
      </c>
      <c r="E110" s="941" t="s">
        <v>11241</v>
      </c>
      <c r="K110" s="1253" t="s">
        <v>12467</v>
      </c>
      <c r="L110" s="1049"/>
      <c r="M110" s="1049"/>
      <c r="N110" s="1049"/>
      <c r="O110" s="1049"/>
      <c r="AG110" t="s">
        <v>12755</v>
      </c>
      <c r="AH110" t="s">
        <v>12758</v>
      </c>
      <c r="AI110" t="s">
        <v>9614</v>
      </c>
      <c r="AJ110" s="941" t="s">
        <v>11516</v>
      </c>
      <c r="AL110" s="941" t="s">
        <v>12689</v>
      </c>
      <c r="AM110" s="941" t="s">
        <v>11535</v>
      </c>
      <c r="AO110" s="941" t="s">
        <v>11516</v>
      </c>
      <c r="BF110" s="1546">
        <v>4200000</v>
      </c>
    </row>
    <row r="111" spans="2:58">
      <c r="B111" s="941" t="s">
        <v>12342</v>
      </c>
      <c r="D111" s="941" t="s">
        <v>1177</v>
      </c>
      <c r="E111" s="941" t="s">
        <v>3429</v>
      </c>
      <c r="K111" s="1253" t="s">
        <v>12468</v>
      </c>
      <c r="L111" s="1049"/>
      <c r="M111" s="1049"/>
      <c r="N111" s="1049"/>
      <c r="O111" s="1049"/>
      <c r="AG111" t="s">
        <v>12755</v>
      </c>
      <c r="AH111" t="s">
        <v>12759</v>
      </c>
      <c r="AI111" t="s">
        <v>9614</v>
      </c>
      <c r="AJ111" s="941" t="s">
        <v>11516</v>
      </c>
      <c r="AL111" s="941" t="s">
        <v>12689</v>
      </c>
      <c r="AM111" s="941" t="s">
        <v>12594</v>
      </c>
      <c r="AO111" s="941" t="s">
        <v>11516</v>
      </c>
      <c r="BF111" s="1546">
        <v>4800000</v>
      </c>
    </row>
    <row r="112" spans="2:58">
      <c r="B112" s="941" t="s">
        <v>708</v>
      </c>
      <c r="D112" s="941" t="s">
        <v>1178</v>
      </c>
      <c r="E112" s="941" t="s">
        <v>11150</v>
      </c>
      <c r="K112" s="1253" t="s">
        <v>12469</v>
      </c>
      <c r="L112" s="1049"/>
      <c r="M112" s="1049"/>
      <c r="N112" s="1049"/>
      <c r="O112" s="1049"/>
      <c r="AG112" t="s">
        <v>12514</v>
      </c>
      <c r="AH112" t="s">
        <v>12749</v>
      </c>
      <c r="AI112" t="s">
        <v>9614</v>
      </c>
      <c r="AJ112" s="941" t="s">
        <v>11516</v>
      </c>
      <c r="AL112" s="941" t="s">
        <v>12689</v>
      </c>
      <c r="AM112" s="941" t="s">
        <v>11536</v>
      </c>
      <c r="AO112" s="941" t="s">
        <v>11516</v>
      </c>
      <c r="BF112" s="1546">
        <v>5000000</v>
      </c>
    </row>
    <row r="113" spans="2:58">
      <c r="B113" s="941" t="s">
        <v>10175</v>
      </c>
      <c r="D113" s="941" t="s">
        <v>1179</v>
      </c>
      <c r="E113" s="941" t="s">
        <v>10616</v>
      </c>
      <c r="K113" s="1253" t="s">
        <v>12470</v>
      </c>
      <c r="L113" s="1049"/>
      <c r="M113" s="1049"/>
      <c r="N113" s="1049"/>
      <c r="O113" s="1049"/>
      <c r="AG113" t="s">
        <v>12514</v>
      </c>
      <c r="AH113" t="s">
        <v>12750</v>
      </c>
      <c r="AI113" t="s">
        <v>9614</v>
      </c>
      <c r="AJ113" s="941" t="s">
        <v>11516</v>
      </c>
      <c r="AL113" s="941" t="s">
        <v>12689</v>
      </c>
      <c r="AM113" s="941" t="s">
        <v>268</v>
      </c>
      <c r="AO113" s="941" t="s">
        <v>11516</v>
      </c>
      <c r="BF113" s="1546">
        <v>5600000</v>
      </c>
    </row>
    <row r="114" spans="2:58">
      <c r="B114" s="941" t="s">
        <v>709</v>
      </c>
      <c r="D114" s="941" t="s">
        <v>1180</v>
      </c>
      <c r="E114" s="941" t="s">
        <v>7886</v>
      </c>
      <c r="K114" s="1253" t="s">
        <v>12471</v>
      </c>
      <c r="L114" s="1049"/>
      <c r="M114" s="1049"/>
      <c r="N114" s="1049"/>
      <c r="O114" s="1049"/>
      <c r="AG114" t="s">
        <v>12514</v>
      </c>
      <c r="AH114" t="s">
        <v>12751</v>
      </c>
      <c r="AI114" t="s">
        <v>9614</v>
      </c>
      <c r="AJ114" s="941" t="s">
        <v>11516</v>
      </c>
      <c r="AL114" s="941" t="s">
        <v>12689</v>
      </c>
      <c r="AM114" s="941" t="s">
        <v>53</v>
      </c>
      <c r="AO114" s="941" t="s">
        <v>11516</v>
      </c>
      <c r="BF114" s="1546">
        <v>6000000</v>
      </c>
    </row>
    <row r="115" spans="2:58">
      <c r="B115" s="941" t="s">
        <v>9690</v>
      </c>
      <c r="D115" s="941" t="s">
        <v>1181</v>
      </c>
      <c r="E115" s="941" t="s">
        <v>11242</v>
      </c>
      <c r="K115" s="1253" t="s">
        <v>12472</v>
      </c>
      <c r="L115" s="1049"/>
      <c r="M115" s="1049"/>
      <c r="N115" s="1049"/>
      <c r="O115" s="1049"/>
      <c r="AG115" t="s">
        <v>12514</v>
      </c>
      <c r="AH115" t="s">
        <v>12621</v>
      </c>
      <c r="AI115" t="s">
        <v>9614</v>
      </c>
      <c r="AJ115" s="941" t="s">
        <v>11359</v>
      </c>
      <c r="AL115" s="941" t="s">
        <v>12689</v>
      </c>
      <c r="AM115" s="941" t="s">
        <v>402</v>
      </c>
      <c r="AO115" s="941" t="s">
        <v>11516</v>
      </c>
      <c r="BF115" s="1546">
        <v>6120000</v>
      </c>
    </row>
    <row r="116" spans="2:58">
      <c r="B116" s="941" t="s">
        <v>710</v>
      </c>
      <c r="D116" s="941" t="s">
        <v>1182</v>
      </c>
      <c r="E116" s="941" t="s">
        <v>11243</v>
      </c>
      <c r="K116" s="1253" t="s">
        <v>12473</v>
      </c>
      <c r="L116" s="1049"/>
      <c r="M116" s="1049"/>
      <c r="N116" s="1049"/>
      <c r="O116" s="1049"/>
      <c r="AG116" t="s">
        <v>12514</v>
      </c>
      <c r="AH116" t="s">
        <v>12622</v>
      </c>
      <c r="AI116" t="s">
        <v>9614</v>
      </c>
      <c r="AJ116" s="941" t="s">
        <v>11359</v>
      </c>
      <c r="AL116" s="941" t="s">
        <v>12689</v>
      </c>
      <c r="AM116" s="941" t="s">
        <v>11259</v>
      </c>
      <c r="AO116" s="941" t="s">
        <v>11516</v>
      </c>
      <c r="BF116" s="1546">
        <v>6600000</v>
      </c>
    </row>
    <row r="117" spans="2:58">
      <c r="B117" s="941" t="s">
        <v>8102</v>
      </c>
      <c r="D117" s="941" t="s">
        <v>1183</v>
      </c>
      <c r="E117" s="941" t="s">
        <v>220</v>
      </c>
      <c r="K117" s="1253" t="s">
        <v>12474</v>
      </c>
      <c r="L117" s="1049"/>
      <c r="M117" s="1049"/>
      <c r="N117" s="1049"/>
      <c r="O117" s="1049"/>
      <c r="AG117" t="s">
        <v>12514</v>
      </c>
      <c r="AH117" t="s">
        <v>12623</v>
      </c>
      <c r="AI117" t="s">
        <v>9614</v>
      </c>
      <c r="AJ117" s="941" t="s">
        <v>11359</v>
      </c>
      <c r="AL117" s="941" t="s">
        <v>12689</v>
      </c>
      <c r="AM117" s="941" t="s">
        <v>12814</v>
      </c>
      <c r="AO117" s="941" t="s">
        <v>11516</v>
      </c>
      <c r="BF117" s="1546">
        <v>7200000</v>
      </c>
    </row>
    <row r="118" spans="2:58">
      <c r="B118" s="941" t="s">
        <v>711</v>
      </c>
      <c r="D118" s="941" t="s">
        <v>1184</v>
      </c>
      <c r="E118" s="941" t="s">
        <v>221</v>
      </c>
      <c r="K118" s="1253" t="s">
        <v>12475</v>
      </c>
      <c r="L118" s="1049"/>
      <c r="M118" s="1049"/>
      <c r="N118" s="1049"/>
      <c r="O118" s="1049"/>
      <c r="AG118" t="s">
        <v>12514</v>
      </c>
      <c r="AH118" t="s">
        <v>12624</v>
      </c>
      <c r="AI118" t="s">
        <v>9614</v>
      </c>
      <c r="AJ118" s="941" t="s">
        <v>11359</v>
      </c>
      <c r="AL118" s="941" t="s">
        <v>12689</v>
      </c>
      <c r="AM118" s="941" t="s">
        <v>8794</v>
      </c>
      <c r="AO118" s="941" t="s">
        <v>11516</v>
      </c>
      <c r="BF118" s="1546">
        <v>8196000</v>
      </c>
    </row>
    <row r="119" spans="2:58">
      <c r="B119" s="941" t="s">
        <v>712</v>
      </c>
      <c r="D119" s="941" t="s">
        <v>1185</v>
      </c>
      <c r="E119" s="941" t="s">
        <v>11244</v>
      </c>
      <c r="K119" s="1253" t="s">
        <v>12476</v>
      </c>
      <c r="L119" s="1049"/>
      <c r="M119" s="1049"/>
      <c r="N119" s="1049"/>
      <c r="O119" s="1049"/>
      <c r="AG119" t="s">
        <v>12514</v>
      </c>
      <c r="AH119" t="s">
        <v>12625</v>
      </c>
      <c r="AI119" t="s">
        <v>9614</v>
      </c>
      <c r="AJ119" s="941" t="s">
        <v>11359</v>
      </c>
      <c r="AL119" s="941" t="s">
        <v>12689</v>
      </c>
      <c r="AM119" s="941" t="s">
        <v>439</v>
      </c>
      <c r="AO119" s="941" t="s">
        <v>11516</v>
      </c>
      <c r="BF119" s="1546">
        <v>8400000</v>
      </c>
    </row>
    <row r="120" spans="2:58">
      <c r="B120" s="941" t="s">
        <v>713</v>
      </c>
      <c r="D120" s="941" t="s">
        <v>1186</v>
      </c>
      <c r="E120" s="941" t="s">
        <v>11151</v>
      </c>
      <c r="K120" s="1253" t="s">
        <v>12477</v>
      </c>
      <c r="L120" s="1049"/>
      <c r="M120" s="1049"/>
      <c r="N120" s="1049"/>
      <c r="O120" s="1049"/>
      <c r="AG120" t="s">
        <v>12514</v>
      </c>
      <c r="AH120" t="s">
        <v>12626</v>
      </c>
      <c r="AI120" t="s">
        <v>9614</v>
      </c>
      <c r="AJ120" s="941" t="s">
        <v>11359</v>
      </c>
      <c r="AL120" s="941" t="s">
        <v>12689</v>
      </c>
      <c r="AM120" s="941" t="s">
        <v>469</v>
      </c>
      <c r="AO120" s="941" t="s">
        <v>11516</v>
      </c>
      <c r="BF120" s="1546">
        <v>8500000</v>
      </c>
    </row>
    <row r="121" spans="2:58">
      <c r="B121" s="941" t="s">
        <v>8103</v>
      </c>
      <c r="D121" s="941" t="s">
        <v>1187</v>
      </c>
      <c r="E121" s="941" t="s">
        <v>11078</v>
      </c>
      <c r="K121" s="1253" t="s">
        <v>12478</v>
      </c>
      <c r="L121" s="1049"/>
      <c r="M121" s="1049"/>
      <c r="N121" s="1049"/>
      <c r="O121" s="1049"/>
      <c r="AG121" t="s">
        <v>12514</v>
      </c>
      <c r="AH121" t="s">
        <v>12752</v>
      </c>
      <c r="AI121" t="s">
        <v>9614</v>
      </c>
      <c r="AJ121" s="941" t="s">
        <v>11516</v>
      </c>
      <c r="AL121" s="941" t="s">
        <v>12689</v>
      </c>
      <c r="AM121" s="941" t="s">
        <v>457</v>
      </c>
      <c r="AO121" s="941" t="s">
        <v>11516</v>
      </c>
      <c r="BF121" s="1546">
        <v>9000000</v>
      </c>
    </row>
    <row r="122" spans="2:58">
      <c r="B122" s="941" t="s">
        <v>7948</v>
      </c>
      <c r="D122" s="941" t="s">
        <v>1188</v>
      </c>
      <c r="E122" s="941" t="s">
        <v>11079</v>
      </c>
      <c r="K122" s="1253" t="s">
        <v>12479</v>
      </c>
      <c r="L122" s="1049"/>
      <c r="M122" s="1049"/>
      <c r="N122" s="1049"/>
      <c r="O122" s="1049"/>
      <c r="AG122" t="s">
        <v>12514</v>
      </c>
      <c r="AH122" t="s">
        <v>12753</v>
      </c>
      <c r="AI122" t="s">
        <v>9614</v>
      </c>
      <c r="AJ122" s="941" t="s">
        <v>11516</v>
      </c>
      <c r="AL122" s="941" t="s">
        <v>12689</v>
      </c>
      <c r="AM122" s="941" t="s">
        <v>6587</v>
      </c>
      <c r="AO122" s="941" t="s">
        <v>11516</v>
      </c>
      <c r="BF122" s="1546">
        <v>9600000</v>
      </c>
    </row>
    <row r="123" spans="2:58">
      <c r="B123" s="941" t="s">
        <v>8104</v>
      </c>
      <c r="D123" s="941" t="s">
        <v>1189</v>
      </c>
      <c r="E123" s="941" t="s">
        <v>222</v>
      </c>
      <c r="K123" s="1253" t="s">
        <v>12480</v>
      </c>
      <c r="L123" s="1049"/>
      <c r="M123" s="1049"/>
      <c r="N123" s="1049"/>
      <c r="O123" s="1049"/>
      <c r="AG123" t="s">
        <v>12514</v>
      </c>
      <c r="AH123" t="s">
        <v>12754</v>
      </c>
      <c r="AI123" t="s">
        <v>9614</v>
      </c>
      <c r="AJ123" s="941" t="s">
        <v>11516</v>
      </c>
      <c r="AL123" s="941" t="s">
        <v>12689</v>
      </c>
      <c r="AM123" s="941" t="s">
        <v>408</v>
      </c>
      <c r="AO123" s="941" t="s">
        <v>11516</v>
      </c>
      <c r="BF123" s="1546">
        <v>10080000</v>
      </c>
    </row>
    <row r="124" spans="2:58">
      <c r="B124" s="941" t="s">
        <v>714</v>
      </c>
      <c r="D124" s="941" t="s">
        <v>1190</v>
      </c>
      <c r="E124" s="941" t="s">
        <v>11152</v>
      </c>
      <c r="K124" s="1253" t="s">
        <v>12481</v>
      </c>
      <c r="L124" s="1049"/>
      <c r="M124" s="1049"/>
      <c r="N124" s="1049"/>
      <c r="O124" s="1049"/>
      <c r="AG124" t="s">
        <v>12694</v>
      </c>
      <c r="AH124" t="s">
        <v>12718</v>
      </c>
      <c r="AI124" t="s">
        <v>9614</v>
      </c>
      <c r="AJ124" s="941" t="s">
        <v>11516</v>
      </c>
      <c r="AL124" s="941" t="s">
        <v>12689</v>
      </c>
      <c r="AM124" s="941" t="s">
        <v>6763</v>
      </c>
      <c r="AO124" s="941" t="s">
        <v>11516</v>
      </c>
      <c r="BF124" s="1546">
        <v>12000000</v>
      </c>
    </row>
    <row r="125" spans="2:58">
      <c r="B125" s="941" t="s">
        <v>8105</v>
      </c>
      <c r="D125" s="941" t="s">
        <v>1191</v>
      </c>
      <c r="E125" s="941" t="s">
        <v>11245</v>
      </c>
      <c r="K125" s="1253" t="s">
        <v>12482</v>
      </c>
      <c r="L125" s="1049"/>
      <c r="M125" s="1049"/>
      <c r="N125" s="1049"/>
      <c r="O125" s="1049"/>
      <c r="AG125" t="s">
        <v>12694</v>
      </c>
      <c r="AH125" t="s">
        <v>12760</v>
      </c>
      <c r="AI125" t="s">
        <v>9614</v>
      </c>
      <c r="AJ125" s="941" t="s">
        <v>11438</v>
      </c>
      <c r="AL125" s="941" t="s">
        <v>619</v>
      </c>
      <c r="AM125" s="941" t="s">
        <v>12815</v>
      </c>
      <c r="AO125" s="941" t="s">
        <v>11516</v>
      </c>
      <c r="BF125" s="1546">
        <v>13000000</v>
      </c>
    </row>
    <row r="126" spans="2:58">
      <c r="B126" s="941" t="s">
        <v>715</v>
      </c>
      <c r="D126" s="941" t="s">
        <v>1192</v>
      </c>
      <c r="E126" s="941" t="s">
        <v>468</v>
      </c>
      <c r="K126" s="1253" t="s">
        <v>12483</v>
      </c>
      <c r="L126" s="1049"/>
      <c r="M126" s="1049"/>
      <c r="N126" s="1049"/>
      <c r="O126" s="1049"/>
      <c r="AG126" t="s">
        <v>12701</v>
      </c>
      <c r="AH126" t="s">
        <v>12761</v>
      </c>
      <c r="AI126" t="s">
        <v>9614</v>
      </c>
      <c r="AJ126" s="941" t="s">
        <v>11516</v>
      </c>
      <c r="AL126" s="941" t="s">
        <v>12587</v>
      </c>
      <c r="AM126" s="941" t="s">
        <v>11220</v>
      </c>
      <c r="AO126" s="941" t="s">
        <v>11516</v>
      </c>
      <c r="BF126" s="1546">
        <v>13200000</v>
      </c>
    </row>
    <row r="127" spans="2:58">
      <c r="B127" s="941" t="s">
        <v>11199</v>
      </c>
      <c r="D127" s="941" t="s">
        <v>1193</v>
      </c>
      <c r="E127" s="941" t="s">
        <v>223</v>
      </c>
      <c r="K127" s="1253" t="s">
        <v>12484</v>
      </c>
      <c r="L127" s="1049"/>
      <c r="M127" s="1049"/>
      <c r="N127" s="1049"/>
      <c r="O127" s="1049"/>
      <c r="AG127" t="s">
        <v>12701</v>
      </c>
      <c r="AH127" t="s">
        <v>12762</v>
      </c>
      <c r="AI127" t="s">
        <v>9614</v>
      </c>
      <c r="AJ127" s="941" t="s">
        <v>11516</v>
      </c>
      <c r="AL127" s="941" t="s">
        <v>12587</v>
      </c>
      <c r="AM127" s="941" t="s">
        <v>11150</v>
      </c>
      <c r="AO127" s="941" t="s">
        <v>11516</v>
      </c>
      <c r="BF127" s="1546">
        <v>14000000</v>
      </c>
    </row>
    <row r="128" spans="2:58">
      <c r="B128" s="941" t="s">
        <v>7928</v>
      </c>
      <c r="D128" s="941" t="s">
        <v>1194</v>
      </c>
      <c r="E128" s="941" t="s">
        <v>224</v>
      </c>
      <c r="K128" s="1253" t="s">
        <v>12485</v>
      </c>
      <c r="L128" s="1049"/>
      <c r="M128" s="1049"/>
      <c r="N128" s="1049"/>
      <c r="O128" s="1049"/>
      <c r="AG128" t="s">
        <v>12701</v>
      </c>
      <c r="AH128" t="s">
        <v>12763</v>
      </c>
      <c r="AI128" t="s">
        <v>9614</v>
      </c>
      <c r="AJ128" s="941" t="s">
        <v>11516</v>
      </c>
      <c r="AL128" s="941" t="s">
        <v>12587</v>
      </c>
      <c r="AM128" s="941" t="s">
        <v>11245</v>
      </c>
      <c r="AO128" s="941" t="s">
        <v>11516</v>
      </c>
      <c r="BF128" s="1546">
        <v>15000000</v>
      </c>
    </row>
    <row r="129" spans="2:58">
      <c r="B129" s="941" t="s">
        <v>8106</v>
      </c>
      <c r="D129" s="941" t="s">
        <v>1195</v>
      </c>
      <c r="E129" s="941" t="s">
        <v>495</v>
      </c>
      <c r="K129" s="1253" t="s">
        <v>12486</v>
      </c>
      <c r="L129" s="1049"/>
      <c r="M129" s="1049"/>
      <c r="N129" s="1049"/>
      <c r="O129" s="1049"/>
      <c r="AG129" t="s">
        <v>12701</v>
      </c>
      <c r="AH129" t="s">
        <v>12764</v>
      </c>
      <c r="AI129" t="s">
        <v>9614</v>
      </c>
      <c r="AJ129" s="941" t="s">
        <v>11516</v>
      </c>
      <c r="AL129" s="941" t="s">
        <v>12685</v>
      </c>
      <c r="AM129" s="941" t="s">
        <v>12537</v>
      </c>
      <c r="AO129" s="941" t="s">
        <v>11516</v>
      </c>
      <c r="BF129" s="1546">
        <v>15552000</v>
      </c>
    </row>
    <row r="130" spans="2:58">
      <c r="B130" s="941" t="s">
        <v>8107</v>
      </c>
      <c r="D130" s="941" t="s">
        <v>1196</v>
      </c>
      <c r="E130" s="941" t="s">
        <v>11246</v>
      </c>
      <c r="K130" s="1253" t="s">
        <v>12487</v>
      </c>
      <c r="L130" s="1049"/>
      <c r="M130" s="1049"/>
      <c r="N130" s="1049"/>
      <c r="O130" s="1049"/>
      <c r="AG130" t="s">
        <v>12701</v>
      </c>
      <c r="AH130" t="s">
        <v>12765</v>
      </c>
      <c r="AI130" t="s">
        <v>9614</v>
      </c>
      <c r="AJ130" s="941" t="s">
        <v>11516</v>
      </c>
      <c r="AL130" s="941" t="s">
        <v>12685</v>
      </c>
      <c r="AM130" s="941" t="s">
        <v>12538</v>
      </c>
      <c r="AO130" s="941" t="s">
        <v>11516</v>
      </c>
      <c r="BF130" s="1546">
        <v>16200000</v>
      </c>
    </row>
    <row r="131" spans="2:58">
      <c r="B131" s="941" t="s">
        <v>8108</v>
      </c>
      <c r="D131" s="941" t="s">
        <v>10493</v>
      </c>
      <c r="E131" s="941" t="s">
        <v>10617</v>
      </c>
      <c r="K131" s="1253" t="s">
        <v>12488</v>
      </c>
      <c r="L131" s="1049"/>
      <c r="M131" s="1049"/>
      <c r="N131" s="1049"/>
      <c r="O131" s="1049"/>
      <c r="AG131" t="s">
        <v>12701</v>
      </c>
      <c r="AH131" t="s">
        <v>12766</v>
      </c>
      <c r="AI131" t="s">
        <v>9614</v>
      </c>
      <c r="AJ131" s="941" t="s">
        <v>11516</v>
      </c>
      <c r="AL131" s="941" t="s">
        <v>12685</v>
      </c>
      <c r="AM131" s="941" t="s">
        <v>4337</v>
      </c>
      <c r="AO131" s="941" t="s">
        <v>11516</v>
      </c>
      <c r="BF131" s="1546">
        <v>18000000</v>
      </c>
    </row>
    <row r="132" spans="2:58">
      <c r="B132" s="941" t="s">
        <v>11488</v>
      </c>
      <c r="D132" s="941" t="s">
        <v>1197</v>
      </c>
      <c r="E132" s="941" t="s">
        <v>629</v>
      </c>
      <c r="K132" s="1253" t="s">
        <v>12489</v>
      </c>
      <c r="L132" s="1049"/>
      <c r="M132" s="1049"/>
      <c r="N132" s="1049"/>
      <c r="O132" s="1049"/>
      <c r="AG132" t="s">
        <v>12586</v>
      </c>
      <c r="AH132" t="s">
        <v>12517</v>
      </c>
      <c r="AI132" t="s">
        <v>9614</v>
      </c>
      <c r="AJ132" s="941" t="s">
        <v>11516</v>
      </c>
      <c r="AL132" s="941" t="s">
        <v>12685</v>
      </c>
      <c r="AM132" s="941" t="s">
        <v>12816</v>
      </c>
      <c r="AO132" s="941" t="s">
        <v>11516</v>
      </c>
      <c r="BF132" s="1546">
        <v>18900000</v>
      </c>
    </row>
    <row r="133" spans="2:58">
      <c r="B133" s="941" t="s">
        <v>7751</v>
      </c>
      <c r="D133" s="941" t="s">
        <v>1198</v>
      </c>
      <c r="E133" s="941" t="s">
        <v>7593</v>
      </c>
      <c r="K133" s="1253" t="s">
        <v>12490</v>
      </c>
      <c r="L133" s="1049"/>
      <c r="M133" s="1049"/>
      <c r="N133" s="1049"/>
      <c r="O133" s="1049"/>
      <c r="AG133" t="s">
        <v>440</v>
      </c>
      <c r="AH133" t="s">
        <v>10635</v>
      </c>
      <c r="AI133" t="s">
        <v>9614</v>
      </c>
      <c r="AJ133" s="941" t="s">
        <v>11516</v>
      </c>
      <c r="AL133" s="941" t="s">
        <v>12526</v>
      </c>
      <c r="AM133" s="941" t="s">
        <v>12537</v>
      </c>
      <c r="AO133" s="941" t="s">
        <v>11359</v>
      </c>
      <c r="BF133" s="1546">
        <v>19800000</v>
      </c>
    </row>
    <row r="134" spans="2:58">
      <c r="B134" s="941" t="s">
        <v>716</v>
      </c>
      <c r="D134" s="941" t="s">
        <v>1199</v>
      </c>
      <c r="E134" s="941" t="s">
        <v>11247</v>
      </c>
      <c r="K134" s="1253" t="s">
        <v>12491</v>
      </c>
      <c r="L134" s="1049"/>
      <c r="M134" s="1049"/>
      <c r="N134" s="1049"/>
      <c r="O134" s="1049"/>
      <c r="AG134" t="s">
        <v>440</v>
      </c>
      <c r="AH134" t="s">
        <v>12767</v>
      </c>
      <c r="AI134" t="s">
        <v>9614</v>
      </c>
      <c r="AJ134" s="941" t="s">
        <v>11516</v>
      </c>
      <c r="AL134" s="941" t="s">
        <v>12526</v>
      </c>
      <c r="AM134" s="941" t="s">
        <v>12538</v>
      </c>
      <c r="AO134" s="941" t="s">
        <v>11359</v>
      </c>
      <c r="BF134" s="1546">
        <v>20000000</v>
      </c>
    </row>
    <row r="135" spans="2:58">
      <c r="B135" s="941" t="s">
        <v>8109</v>
      </c>
      <c r="D135" s="941" t="s">
        <v>1200</v>
      </c>
      <c r="E135" s="941" t="s">
        <v>11153</v>
      </c>
      <c r="AG135" t="s">
        <v>440</v>
      </c>
      <c r="AH135" t="s">
        <v>12768</v>
      </c>
      <c r="AI135" t="s">
        <v>9614</v>
      </c>
      <c r="AJ135" s="941" t="s">
        <v>11516</v>
      </c>
      <c r="AL135" s="941" t="s">
        <v>12526</v>
      </c>
      <c r="AM135" s="941" t="s">
        <v>12550</v>
      </c>
      <c r="AO135" s="941" t="s">
        <v>11359</v>
      </c>
      <c r="BF135" s="1546">
        <v>21000000</v>
      </c>
    </row>
    <row r="136" spans="2:58">
      <c r="B136" s="941" t="s">
        <v>717</v>
      </c>
      <c r="D136" s="941" t="s">
        <v>12599</v>
      </c>
      <c r="E136" s="941" t="s">
        <v>3871</v>
      </c>
      <c r="AG136" t="s">
        <v>440</v>
      </c>
      <c r="AH136" t="s">
        <v>12769</v>
      </c>
      <c r="AI136" t="s">
        <v>9614</v>
      </c>
      <c r="AJ136" s="941" t="s">
        <v>11516</v>
      </c>
      <c r="AL136" s="941" t="s">
        <v>12526</v>
      </c>
      <c r="AM136" s="941" t="s">
        <v>4337</v>
      </c>
      <c r="AO136" s="941" t="s">
        <v>11359</v>
      </c>
      <c r="BF136" s="1546">
        <v>21024000</v>
      </c>
    </row>
    <row r="137" spans="2:58">
      <c r="B137" s="941" t="s">
        <v>7949</v>
      </c>
      <c r="D137" s="941" t="s">
        <v>1201</v>
      </c>
      <c r="E137" s="941" t="s">
        <v>3872</v>
      </c>
      <c r="AG137" t="s">
        <v>440</v>
      </c>
      <c r="AH137" t="s">
        <v>12770</v>
      </c>
      <c r="AI137" t="s">
        <v>9614</v>
      </c>
      <c r="AJ137" s="941" t="s">
        <v>11516</v>
      </c>
      <c r="AL137" s="941" t="s">
        <v>12686</v>
      </c>
      <c r="AM137" s="941" t="s">
        <v>1120</v>
      </c>
      <c r="AO137" s="941" t="s">
        <v>11516</v>
      </c>
      <c r="BF137" s="1546">
        <v>22320000</v>
      </c>
    </row>
    <row r="138" spans="2:58">
      <c r="B138" s="941" t="s">
        <v>10875</v>
      </c>
      <c r="D138" s="941" t="s">
        <v>1202</v>
      </c>
      <c r="E138" s="941" t="s">
        <v>3876</v>
      </c>
      <c r="AG138" t="s">
        <v>440</v>
      </c>
      <c r="AH138" t="s">
        <v>12771</v>
      </c>
      <c r="AI138" t="s">
        <v>9614</v>
      </c>
      <c r="AJ138" s="941" t="s">
        <v>11516</v>
      </c>
      <c r="AL138" s="941" t="s">
        <v>12686</v>
      </c>
      <c r="AM138" s="941" t="s">
        <v>11211</v>
      </c>
      <c r="AO138" s="941" t="s">
        <v>11516</v>
      </c>
      <c r="BF138" s="1546">
        <v>22500000</v>
      </c>
    </row>
    <row r="139" spans="2:58">
      <c r="B139" s="941" t="s">
        <v>718</v>
      </c>
      <c r="D139" s="941" t="s">
        <v>1203</v>
      </c>
      <c r="E139" s="941" t="s">
        <v>3901</v>
      </c>
      <c r="AG139" t="s">
        <v>440</v>
      </c>
      <c r="AH139" t="s">
        <v>12772</v>
      </c>
      <c r="AI139" t="s">
        <v>9614</v>
      </c>
      <c r="AJ139" s="941" t="s">
        <v>11516</v>
      </c>
      <c r="AL139" s="941" t="s">
        <v>12686</v>
      </c>
      <c r="AM139" s="941" t="s">
        <v>286</v>
      </c>
      <c r="AO139" s="941" t="s">
        <v>11516</v>
      </c>
      <c r="BF139" s="1546">
        <v>22800000</v>
      </c>
    </row>
    <row r="140" spans="2:58">
      <c r="B140" s="941" t="s">
        <v>719</v>
      </c>
      <c r="D140" s="941" t="s">
        <v>1204</v>
      </c>
      <c r="E140" s="941" t="s">
        <v>11248</v>
      </c>
      <c r="AG140" t="s">
        <v>440</v>
      </c>
      <c r="AH140" t="s">
        <v>12773</v>
      </c>
      <c r="AI140" t="s">
        <v>9614</v>
      </c>
      <c r="AJ140" s="941" t="s">
        <v>11516</v>
      </c>
      <c r="AL140" s="941" t="s">
        <v>12686</v>
      </c>
      <c r="AM140" s="941" t="s">
        <v>11292</v>
      </c>
      <c r="AO140" s="941" t="s">
        <v>11516</v>
      </c>
      <c r="BF140" s="1546">
        <v>27600000</v>
      </c>
    </row>
    <row r="141" spans="2:58">
      <c r="B141" s="941" t="s">
        <v>720</v>
      </c>
      <c r="D141" s="941" t="s">
        <v>1205</v>
      </c>
      <c r="E141" s="941" t="s">
        <v>499</v>
      </c>
      <c r="AG141" t="s">
        <v>440</v>
      </c>
      <c r="AH141" t="s">
        <v>7774</v>
      </c>
      <c r="AI141" t="s">
        <v>9614</v>
      </c>
      <c r="AJ141" s="941" t="s">
        <v>11516</v>
      </c>
      <c r="AL141" s="941" t="s">
        <v>12686</v>
      </c>
      <c r="AM141" s="941" t="s">
        <v>413</v>
      </c>
      <c r="AO141" s="941" t="s">
        <v>11516</v>
      </c>
      <c r="BF141" s="1546">
        <v>43620000</v>
      </c>
    </row>
    <row r="142" spans="2:58">
      <c r="B142" s="941" t="s">
        <v>7694</v>
      </c>
      <c r="D142" s="941" t="s">
        <v>10318</v>
      </c>
      <c r="E142" s="941" t="s">
        <v>411</v>
      </c>
      <c r="AG142" t="s">
        <v>440</v>
      </c>
      <c r="AH142" t="s">
        <v>12774</v>
      </c>
      <c r="AI142" t="s">
        <v>9614</v>
      </c>
      <c r="AJ142" s="941" t="s">
        <v>11516</v>
      </c>
      <c r="AL142" s="941" t="s">
        <v>12686</v>
      </c>
      <c r="AM142" s="941" t="s">
        <v>11147</v>
      </c>
      <c r="AO142" s="941" t="s">
        <v>11516</v>
      </c>
      <c r="BF142" s="1546">
        <v>50544000</v>
      </c>
    </row>
    <row r="143" spans="2:58">
      <c r="B143" s="941" t="s">
        <v>9929</v>
      </c>
      <c r="D143" s="941" t="s">
        <v>1206</v>
      </c>
      <c r="E143" s="941" t="s">
        <v>188</v>
      </c>
      <c r="AG143" t="s">
        <v>440</v>
      </c>
      <c r="AH143" t="s">
        <v>12775</v>
      </c>
      <c r="AI143" t="s">
        <v>9614</v>
      </c>
      <c r="AJ143" s="941" t="s">
        <v>11516</v>
      </c>
      <c r="AL143" s="941" t="s">
        <v>12686</v>
      </c>
      <c r="AM143" s="941" t="s">
        <v>525</v>
      </c>
      <c r="AO143" s="941" t="s">
        <v>11516</v>
      </c>
      <c r="BF143" s="1546">
        <v>54000000</v>
      </c>
    </row>
    <row r="144" spans="2:58">
      <c r="B144" s="941" t="s">
        <v>8110</v>
      </c>
      <c r="D144" s="941" t="s">
        <v>1207</v>
      </c>
      <c r="E144" s="941" t="s">
        <v>10618</v>
      </c>
      <c r="AG144" t="s">
        <v>440</v>
      </c>
      <c r="AH144" t="s">
        <v>12776</v>
      </c>
      <c r="AI144" t="s">
        <v>9614</v>
      </c>
      <c r="AJ144" s="941" t="s">
        <v>11516</v>
      </c>
      <c r="AL144" s="941" t="s">
        <v>12686</v>
      </c>
      <c r="AM144" s="941" t="s">
        <v>528</v>
      </c>
      <c r="AO144" s="941" t="s">
        <v>11516</v>
      </c>
      <c r="BF144" s="1546">
        <v>60000000</v>
      </c>
    </row>
    <row r="145" spans="2:41">
      <c r="B145" s="941" t="s">
        <v>8111</v>
      </c>
      <c r="D145" s="941" t="s">
        <v>1208</v>
      </c>
      <c r="E145" s="941" t="s">
        <v>11249</v>
      </c>
      <c r="AG145" t="s">
        <v>440</v>
      </c>
      <c r="AH145" t="s">
        <v>12777</v>
      </c>
      <c r="AI145" t="s">
        <v>9614</v>
      </c>
      <c r="AJ145" s="941" t="s">
        <v>11516</v>
      </c>
      <c r="AL145" s="941" t="s">
        <v>12686</v>
      </c>
      <c r="AM145" s="941" t="s">
        <v>11233</v>
      </c>
      <c r="AO145" s="941" t="s">
        <v>11516</v>
      </c>
    </row>
    <row r="146" spans="2:41">
      <c r="B146" s="941" t="s">
        <v>721</v>
      </c>
      <c r="D146" s="941" t="s">
        <v>1209</v>
      </c>
      <c r="E146" s="941" t="s">
        <v>10619</v>
      </c>
      <c r="AG146" t="s">
        <v>440</v>
      </c>
      <c r="AH146" t="s">
        <v>12778</v>
      </c>
      <c r="AI146" t="s">
        <v>9614</v>
      </c>
      <c r="AJ146" s="941" t="s">
        <v>11516</v>
      </c>
      <c r="AL146" s="941" t="s">
        <v>12686</v>
      </c>
      <c r="AM146" s="941" t="s">
        <v>585</v>
      </c>
      <c r="AO146" s="941" t="s">
        <v>11516</v>
      </c>
    </row>
    <row r="147" spans="2:41">
      <c r="B147" s="941" t="s">
        <v>7929</v>
      </c>
      <c r="D147" s="941" t="s">
        <v>10367</v>
      </c>
      <c r="E147" s="941" t="s">
        <v>11250</v>
      </c>
      <c r="AG147" t="s">
        <v>440</v>
      </c>
      <c r="AH147" t="s">
        <v>12779</v>
      </c>
      <c r="AI147" t="s">
        <v>9614</v>
      </c>
      <c r="AJ147" s="941" t="s">
        <v>11516</v>
      </c>
      <c r="AL147" s="941" t="s">
        <v>12686</v>
      </c>
      <c r="AM147" s="941" t="s">
        <v>11540</v>
      </c>
      <c r="AO147" s="941" t="s">
        <v>11516</v>
      </c>
    </row>
    <row r="148" spans="2:41">
      <c r="B148" s="941" t="s">
        <v>10218</v>
      </c>
      <c r="D148" s="941" t="s">
        <v>1210</v>
      </c>
      <c r="E148" s="941" t="s">
        <v>10620</v>
      </c>
      <c r="AG148" t="s">
        <v>440</v>
      </c>
      <c r="AH148" t="s">
        <v>12780</v>
      </c>
      <c r="AI148" t="s">
        <v>9614</v>
      </c>
      <c r="AJ148" s="941" t="s">
        <v>11516</v>
      </c>
      <c r="AL148" s="941" t="s">
        <v>12686</v>
      </c>
      <c r="AM148" s="941" t="s">
        <v>3871</v>
      </c>
      <c r="AO148" s="941" t="s">
        <v>11516</v>
      </c>
    </row>
    <row r="149" spans="2:41">
      <c r="B149" s="941" t="s">
        <v>722</v>
      </c>
      <c r="D149" s="941" t="s">
        <v>1211</v>
      </c>
      <c r="E149" s="941" t="s">
        <v>10621</v>
      </c>
      <c r="AG149" t="s">
        <v>440</v>
      </c>
      <c r="AH149" t="s">
        <v>12781</v>
      </c>
      <c r="AI149" t="s">
        <v>9614</v>
      </c>
      <c r="AJ149" s="941" t="s">
        <v>11516</v>
      </c>
      <c r="AL149" s="941" t="s">
        <v>12686</v>
      </c>
      <c r="AM149" s="941" t="s">
        <v>3872</v>
      </c>
      <c r="AO149" s="941" t="s">
        <v>11516</v>
      </c>
    </row>
    <row r="150" spans="2:41">
      <c r="B150" s="941" t="s">
        <v>723</v>
      </c>
      <c r="D150" s="941" t="s">
        <v>1212</v>
      </c>
      <c r="E150" s="941" t="s">
        <v>4289</v>
      </c>
      <c r="AG150" t="s">
        <v>440</v>
      </c>
      <c r="AH150" t="s">
        <v>12782</v>
      </c>
      <c r="AI150" t="s">
        <v>9614</v>
      </c>
      <c r="AJ150" s="941" t="s">
        <v>11516</v>
      </c>
      <c r="AL150" s="941" t="s">
        <v>12686</v>
      </c>
      <c r="AM150" s="941" t="s">
        <v>11541</v>
      </c>
      <c r="AO150" s="941" t="s">
        <v>11516</v>
      </c>
    </row>
    <row r="151" spans="2:41">
      <c r="B151" s="941" t="s">
        <v>10444</v>
      </c>
      <c r="D151" s="941" t="s">
        <v>1213</v>
      </c>
      <c r="E151" s="941" t="s">
        <v>10622</v>
      </c>
      <c r="AG151" t="s">
        <v>440</v>
      </c>
      <c r="AH151" t="s">
        <v>12783</v>
      </c>
      <c r="AI151" t="s">
        <v>9614</v>
      </c>
      <c r="AJ151" s="941" t="s">
        <v>11516</v>
      </c>
      <c r="AL151" s="941" t="s">
        <v>12686</v>
      </c>
      <c r="AM151" s="941" t="s">
        <v>9897</v>
      </c>
      <c r="AO151" s="941" t="s">
        <v>11516</v>
      </c>
    </row>
    <row r="152" spans="2:41">
      <c r="B152" s="941" t="s">
        <v>8112</v>
      </c>
      <c r="D152" s="941" t="s">
        <v>1214</v>
      </c>
      <c r="E152" s="941" t="s">
        <v>8375</v>
      </c>
      <c r="AG152" t="s">
        <v>440</v>
      </c>
      <c r="AH152" t="s">
        <v>12784</v>
      </c>
      <c r="AI152" t="s">
        <v>9614</v>
      </c>
      <c r="AJ152" s="941" t="s">
        <v>11516</v>
      </c>
      <c r="AL152" s="941" t="s">
        <v>12686</v>
      </c>
      <c r="AM152" s="941" t="s">
        <v>270</v>
      </c>
      <c r="AO152" s="941" t="s">
        <v>11516</v>
      </c>
    </row>
    <row r="153" spans="2:41">
      <c r="B153" s="941" t="s">
        <v>7930</v>
      </c>
      <c r="D153" s="941" t="s">
        <v>1215</v>
      </c>
      <c r="E153" s="941" t="s">
        <v>195</v>
      </c>
      <c r="AG153" t="s">
        <v>440</v>
      </c>
      <c r="AH153" t="s">
        <v>12785</v>
      </c>
      <c r="AI153" t="s">
        <v>9614</v>
      </c>
      <c r="AJ153" s="941" t="s">
        <v>11516</v>
      </c>
      <c r="AL153" s="941" t="s">
        <v>12686</v>
      </c>
      <c r="AM153" s="941" t="s">
        <v>341</v>
      </c>
      <c r="AO153" s="941" t="s">
        <v>11516</v>
      </c>
    </row>
    <row r="154" spans="2:41">
      <c r="B154" s="941" t="s">
        <v>724</v>
      </c>
      <c r="D154" s="941" t="s">
        <v>1216</v>
      </c>
      <c r="E154" s="941" t="s">
        <v>4418</v>
      </c>
      <c r="AG154" t="s">
        <v>440</v>
      </c>
      <c r="AH154" t="s">
        <v>12786</v>
      </c>
      <c r="AI154" t="s">
        <v>9614</v>
      </c>
      <c r="AJ154" s="941" t="s">
        <v>11516</v>
      </c>
      <c r="AL154" s="941" t="s">
        <v>12686</v>
      </c>
      <c r="AM154" s="941" t="s">
        <v>430</v>
      </c>
      <c r="AO154" s="941" t="s">
        <v>11516</v>
      </c>
    </row>
    <row r="155" spans="2:41">
      <c r="B155" s="941" t="s">
        <v>12317</v>
      </c>
      <c r="D155" s="941" t="s">
        <v>1217</v>
      </c>
      <c r="E155" s="941" t="s">
        <v>654</v>
      </c>
      <c r="AG155" t="s">
        <v>440</v>
      </c>
      <c r="AH155" t="s">
        <v>12787</v>
      </c>
      <c r="AI155" t="s">
        <v>9614</v>
      </c>
      <c r="AJ155" s="941" t="s">
        <v>11516</v>
      </c>
      <c r="AL155" s="941" t="s">
        <v>12686</v>
      </c>
      <c r="AM155" s="941" t="s">
        <v>11161</v>
      </c>
      <c r="AO155" s="941" t="s">
        <v>11516</v>
      </c>
    </row>
    <row r="156" spans="2:41">
      <c r="B156" s="941" t="s">
        <v>725</v>
      </c>
      <c r="D156" s="941" t="s">
        <v>1218</v>
      </c>
      <c r="E156" s="941" t="s">
        <v>10106</v>
      </c>
      <c r="AG156" t="s">
        <v>440</v>
      </c>
      <c r="AH156" t="s">
        <v>12788</v>
      </c>
      <c r="AI156" t="s">
        <v>9614</v>
      </c>
      <c r="AJ156" s="941" t="s">
        <v>11516</v>
      </c>
      <c r="AL156" s="941" t="s">
        <v>12686</v>
      </c>
      <c r="AM156" s="941" t="s">
        <v>3</v>
      </c>
      <c r="AO156" s="941" t="s">
        <v>11516</v>
      </c>
    </row>
    <row r="157" spans="2:41">
      <c r="B157" s="941" t="s">
        <v>727</v>
      </c>
      <c r="D157" s="941" t="s">
        <v>1219</v>
      </c>
      <c r="E157" s="941" t="s">
        <v>10623</v>
      </c>
      <c r="AG157" t="s">
        <v>440</v>
      </c>
      <c r="AH157" t="s">
        <v>12789</v>
      </c>
      <c r="AI157" t="s">
        <v>9614</v>
      </c>
      <c r="AJ157" s="941" t="s">
        <v>11516</v>
      </c>
      <c r="AL157" s="941" t="s">
        <v>5</v>
      </c>
      <c r="AM157" s="941" t="s">
        <v>11210</v>
      </c>
      <c r="AO157" s="941" t="s">
        <v>11516</v>
      </c>
    </row>
    <row r="158" spans="2:41">
      <c r="B158" s="941" t="s">
        <v>729</v>
      </c>
      <c r="D158" s="941" t="s">
        <v>1220</v>
      </c>
      <c r="E158" s="941" t="s">
        <v>4474</v>
      </c>
      <c r="AG158" t="s">
        <v>440</v>
      </c>
      <c r="AH158" t="s">
        <v>12790</v>
      </c>
      <c r="AI158" t="s">
        <v>9614</v>
      </c>
      <c r="AJ158" s="941" t="s">
        <v>11516</v>
      </c>
      <c r="AL158" s="941" t="s">
        <v>5</v>
      </c>
      <c r="AM158" s="941" t="s">
        <v>12551</v>
      </c>
      <c r="AO158" s="941" t="s">
        <v>11359</v>
      </c>
    </row>
    <row r="159" spans="2:41">
      <c r="B159" s="941" t="s">
        <v>8122</v>
      </c>
      <c r="D159" s="941" t="s">
        <v>9297</v>
      </c>
      <c r="E159" s="941" t="s">
        <v>9897</v>
      </c>
      <c r="AG159" t="s">
        <v>440</v>
      </c>
      <c r="AH159" t="s">
        <v>12791</v>
      </c>
      <c r="AI159" t="s">
        <v>9614</v>
      </c>
      <c r="AJ159" s="941" t="s">
        <v>11516</v>
      </c>
      <c r="AL159" s="941" t="s">
        <v>5</v>
      </c>
      <c r="AM159" s="941" t="s">
        <v>11146</v>
      </c>
      <c r="AO159" s="941" t="s">
        <v>11516</v>
      </c>
    </row>
    <row r="160" spans="2:41">
      <c r="B160" s="941" t="s">
        <v>10110</v>
      </c>
      <c r="D160" s="941" t="s">
        <v>1221</v>
      </c>
      <c r="E160" s="941" t="s">
        <v>4500</v>
      </c>
      <c r="AG160" t="s">
        <v>440</v>
      </c>
      <c r="AH160" t="s">
        <v>12792</v>
      </c>
      <c r="AI160" t="s">
        <v>9614</v>
      </c>
      <c r="AJ160" s="941" t="s">
        <v>11516</v>
      </c>
      <c r="AL160" s="941" t="s">
        <v>5</v>
      </c>
      <c r="AM160" s="941" t="s">
        <v>11231</v>
      </c>
      <c r="AO160" s="941" t="s">
        <v>11516</v>
      </c>
    </row>
    <row r="161" spans="2:41">
      <c r="B161" s="941" t="s">
        <v>11110</v>
      </c>
      <c r="D161" s="941" t="s">
        <v>1222</v>
      </c>
      <c r="E161" s="941" t="s">
        <v>11251</v>
      </c>
      <c r="AG161" t="s">
        <v>440</v>
      </c>
      <c r="AH161" t="s">
        <v>12793</v>
      </c>
      <c r="AI161" t="s">
        <v>9614</v>
      </c>
      <c r="AJ161" s="941" t="s">
        <v>11516</v>
      </c>
      <c r="AL161" s="941" t="s">
        <v>5</v>
      </c>
      <c r="AM161" s="941" t="s">
        <v>11231</v>
      </c>
      <c r="AO161" s="941" t="s">
        <v>11359</v>
      </c>
    </row>
    <row r="162" spans="2:41">
      <c r="B162" s="941" t="s">
        <v>7951</v>
      </c>
      <c r="D162" s="941" t="s">
        <v>1223</v>
      </c>
      <c r="E162" s="941" t="s">
        <v>4550</v>
      </c>
      <c r="AG162" t="s">
        <v>440</v>
      </c>
      <c r="AH162" t="s">
        <v>12794</v>
      </c>
      <c r="AI162" t="s">
        <v>9614</v>
      </c>
      <c r="AJ162" s="941" t="s">
        <v>11516</v>
      </c>
      <c r="AL162" s="941" t="s">
        <v>5</v>
      </c>
      <c r="AM162" s="941" t="s">
        <v>12817</v>
      </c>
      <c r="AO162" s="941" t="s">
        <v>11516</v>
      </c>
    </row>
    <row r="163" spans="2:41">
      <c r="B163" s="941" t="s">
        <v>8138</v>
      </c>
      <c r="D163" s="941" t="s">
        <v>1224</v>
      </c>
      <c r="E163" s="941" t="s">
        <v>7806</v>
      </c>
      <c r="AG163" t="s">
        <v>440</v>
      </c>
      <c r="AH163" t="s">
        <v>12795</v>
      </c>
      <c r="AI163" t="s">
        <v>9614</v>
      </c>
      <c r="AJ163" s="941" t="s">
        <v>11516</v>
      </c>
      <c r="AL163" s="941" t="s">
        <v>5</v>
      </c>
      <c r="AM163" s="941" t="s">
        <v>10290</v>
      </c>
      <c r="AO163" s="941" t="s">
        <v>11516</v>
      </c>
    </row>
    <row r="164" spans="2:41">
      <c r="B164" s="941" t="s">
        <v>10704</v>
      </c>
      <c r="D164" s="941" t="s">
        <v>1225</v>
      </c>
      <c r="E164" s="941" t="s">
        <v>399</v>
      </c>
      <c r="AG164" t="s">
        <v>12695</v>
      </c>
      <c r="AH164" t="s">
        <v>12718</v>
      </c>
      <c r="AI164" t="s">
        <v>9614</v>
      </c>
      <c r="AJ164" s="941" t="s">
        <v>11516</v>
      </c>
      <c r="AL164" s="941" t="s">
        <v>5</v>
      </c>
      <c r="AM164" s="941" t="s">
        <v>633</v>
      </c>
      <c r="AO164" s="941" t="s">
        <v>11516</v>
      </c>
    </row>
    <row r="165" spans="2:41">
      <c r="B165" s="941" t="s">
        <v>735</v>
      </c>
      <c r="D165" s="941" t="s">
        <v>1226</v>
      </c>
      <c r="E165" s="941" t="s">
        <v>10624</v>
      </c>
      <c r="AG165" t="s">
        <v>12695</v>
      </c>
      <c r="AH165" t="s">
        <v>12796</v>
      </c>
      <c r="AI165" t="s">
        <v>9614</v>
      </c>
      <c r="AJ165" s="941" t="s">
        <v>11438</v>
      </c>
      <c r="AL165" s="941" t="s">
        <v>5</v>
      </c>
      <c r="AM165" s="941" t="s">
        <v>12552</v>
      </c>
      <c r="AO165" s="941" t="s">
        <v>11359</v>
      </c>
    </row>
    <row r="166" spans="2:41">
      <c r="B166" s="941" t="s">
        <v>737</v>
      </c>
      <c r="D166" s="941" t="s">
        <v>445</v>
      </c>
      <c r="E166" s="941" t="s">
        <v>11252</v>
      </c>
      <c r="AG166" t="s">
        <v>12515</v>
      </c>
      <c r="AH166" t="s">
        <v>10635</v>
      </c>
      <c r="AI166" t="s">
        <v>9614</v>
      </c>
      <c r="AJ166" s="941" t="s">
        <v>11516</v>
      </c>
      <c r="AL166" s="941" t="s">
        <v>5</v>
      </c>
      <c r="AM166" s="941" t="s">
        <v>220</v>
      </c>
      <c r="AO166" s="941" t="s">
        <v>11516</v>
      </c>
    </row>
    <row r="167" spans="2:41">
      <c r="B167" s="941" t="s">
        <v>738</v>
      </c>
      <c r="D167" s="941" t="s">
        <v>1227</v>
      </c>
      <c r="E167" s="941" t="s">
        <v>340</v>
      </c>
      <c r="AG167" t="s">
        <v>12515</v>
      </c>
      <c r="AH167" t="s">
        <v>12730</v>
      </c>
      <c r="AI167" t="s">
        <v>9614</v>
      </c>
      <c r="AJ167" s="941" t="s">
        <v>11516</v>
      </c>
      <c r="AL167" s="941" t="s">
        <v>5</v>
      </c>
      <c r="AM167" s="941" t="s">
        <v>222</v>
      </c>
      <c r="AO167" s="941" t="s">
        <v>11516</v>
      </c>
    </row>
    <row r="168" spans="2:41">
      <c r="B168" s="941" t="s">
        <v>10696</v>
      </c>
      <c r="D168" s="941" t="s">
        <v>1228</v>
      </c>
      <c r="E168" s="941" t="s">
        <v>11253</v>
      </c>
      <c r="AG168" t="s">
        <v>12515</v>
      </c>
      <c r="AH168" t="s">
        <v>12627</v>
      </c>
      <c r="AI168" t="s">
        <v>9614</v>
      </c>
      <c r="AJ168" s="941" t="s">
        <v>11359</v>
      </c>
      <c r="AL168" s="941" t="s">
        <v>5</v>
      </c>
      <c r="AM168" s="941" t="s">
        <v>3590</v>
      </c>
      <c r="AO168" s="941" t="s">
        <v>11359</v>
      </c>
    </row>
    <row r="169" spans="2:41">
      <c r="B169" s="941" t="s">
        <v>11548</v>
      </c>
      <c r="D169" s="941" t="s">
        <v>1229</v>
      </c>
      <c r="E169" s="941" t="s">
        <v>10128</v>
      </c>
      <c r="AG169" t="s">
        <v>12515</v>
      </c>
      <c r="AH169" t="s">
        <v>12628</v>
      </c>
      <c r="AI169" t="s">
        <v>9614</v>
      </c>
      <c r="AJ169" s="941" t="s">
        <v>11359</v>
      </c>
      <c r="AL169" s="941" t="s">
        <v>5</v>
      </c>
      <c r="AM169" s="941" t="s">
        <v>3730</v>
      </c>
      <c r="AO169" s="941" t="s">
        <v>11516</v>
      </c>
    </row>
    <row r="170" spans="2:41">
      <c r="B170" s="941" t="s">
        <v>7952</v>
      </c>
      <c r="D170" s="941" t="s">
        <v>1230</v>
      </c>
      <c r="E170" s="941" t="s">
        <v>11254</v>
      </c>
      <c r="AG170" t="s">
        <v>12515</v>
      </c>
      <c r="AH170" t="s">
        <v>12629</v>
      </c>
      <c r="AI170" t="s">
        <v>9614</v>
      </c>
      <c r="AJ170" s="941" t="s">
        <v>11359</v>
      </c>
      <c r="AL170" s="941" t="s">
        <v>5</v>
      </c>
      <c r="AM170" s="941" t="s">
        <v>11153</v>
      </c>
      <c r="AO170" s="941" t="s">
        <v>11516</v>
      </c>
    </row>
    <row r="171" spans="2:41">
      <c r="B171" s="941" t="s">
        <v>8166</v>
      </c>
      <c r="D171" s="941" t="s">
        <v>1231</v>
      </c>
      <c r="E171" s="941" t="s">
        <v>11255</v>
      </c>
      <c r="AG171" t="s">
        <v>12515</v>
      </c>
      <c r="AH171" t="s">
        <v>12731</v>
      </c>
      <c r="AI171" t="s">
        <v>9614</v>
      </c>
      <c r="AJ171" s="941" t="s">
        <v>11516</v>
      </c>
      <c r="AL171" s="941" t="s">
        <v>5</v>
      </c>
      <c r="AM171" s="941" t="s">
        <v>12553</v>
      </c>
      <c r="AO171" s="941" t="s">
        <v>11359</v>
      </c>
    </row>
    <row r="172" spans="2:41">
      <c r="B172" s="941" t="s">
        <v>12633</v>
      </c>
      <c r="D172" s="941" t="s">
        <v>1232</v>
      </c>
      <c r="E172" s="941" t="s">
        <v>4736</v>
      </c>
      <c r="AG172" t="s">
        <v>12516</v>
      </c>
      <c r="AH172" t="s">
        <v>11522</v>
      </c>
      <c r="AI172" t="s">
        <v>9614</v>
      </c>
      <c r="AJ172" s="941" t="s">
        <v>11359</v>
      </c>
      <c r="AL172" s="941" t="s">
        <v>5</v>
      </c>
      <c r="AM172" s="941" t="s">
        <v>12554</v>
      </c>
      <c r="AO172" s="941" t="s">
        <v>11359</v>
      </c>
    </row>
    <row r="173" spans="2:41">
      <c r="B173" s="941" t="s">
        <v>10898</v>
      </c>
      <c r="D173" s="941" t="s">
        <v>1233</v>
      </c>
      <c r="E173" s="941" t="s">
        <v>11256</v>
      </c>
      <c r="AG173" t="s">
        <v>12516</v>
      </c>
      <c r="AH173" t="s">
        <v>12543</v>
      </c>
      <c r="AI173" t="s">
        <v>9614</v>
      </c>
      <c r="AJ173" s="941" t="s">
        <v>11359</v>
      </c>
      <c r="AL173" s="941" t="s">
        <v>5</v>
      </c>
      <c r="AM173" s="941" t="s">
        <v>4550</v>
      </c>
      <c r="AO173" s="941" t="s">
        <v>11516</v>
      </c>
    </row>
    <row r="174" spans="2:41">
      <c r="B174" s="941" t="s">
        <v>12350</v>
      </c>
      <c r="D174" s="941" t="s">
        <v>1234</v>
      </c>
      <c r="E174" s="941" t="s">
        <v>11257</v>
      </c>
      <c r="AG174" t="s">
        <v>12516</v>
      </c>
      <c r="AH174" t="s">
        <v>11523</v>
      </c>
      <c r="AI174" t="s">
        <v>9614</v>
      </c>
      <c r="AJ174" s="941" t="s">
        <v>11359</v>
      </c>
      <c r="AL174" s="941" t="s">
        <v>5</v>
      </c>
      <c r="AM174" s="941" t="s">
        <v>11256</v>
      </c>
      <c r="AO174" s="941" t="s">
        <v>11516</v>
      </c>
    </row>
    <row r="175" spans="2:41">
      <c r="B175" s="941" t="s">
        <v>8190</v>
      </c>
      <c r="D175" s="941" t="s">
        <v>1235</v>
      </c>
      <c r="E175" s="941" t="s">
        <v>270</v>
      </c>
      <c r="AG175" t="s">
        <v>12528</v>
      </c>
      <c r="AH175" t="s">
        <v>12518</v>
      </c>
      <c r="AI175" t="s">
        <v>9614</v>
      </c>
      <c r="AJ175" s="941" t="s">
        <v>11359</v>
      </c>
      <c r="AL175" s="941" t="s">
        <v>5</v>
      </c>
      <c r="AM175" s="941" t="s">
        <v>12555</v>
      </c>
      <c r="AO175" s="941" t="s">
        <v>11359</v>
      </c>
    </row>
    <row r="176" spans="2:41">
      <c r="B176" s="941" t="s">
        <v>746</v>
      </c>
      <c r="D176" s="941" t="s">
        <v>1236</v>
      </c>
      <c r="E176" s="941" t="s">
        <v>11258</v>
      </c>
      <c r="AG176" t="s">
        <v>12528</v>
      </c>
      <c r="AH176" t="s">
        <v>12519</v>
      </c>
      <c r="AI176" t="s">
        <v>9614</v>
      </c>
      <c r="AJ176" s="941" t="s">
        <v>11359</v>
      </c>
      <c r="AL176" s="941" t="s">
        <v>5</v>
      </c>
      <c r="AM176" s="941" t="s">
        <v>12556</v>
      </c>
      <c r="AO176" s="941" t="s">
        <v>11359</v>
      </c>
    </row>
    <row r="177" spans="2:41">
      <c r="B177" s="941" t="s">
        <v>8193</v>
      </c>
      <c r="D177" s="941" t="s">
        <v>1237</v>
      </c>
      <c r="E177" s="941" t="s">
        <v>341</v>
      </c>
      <c r="AG177" t="s">
        <v>12528</v>
      </c>
      <c r="AH177" t="s">
        <v>12520</v>
      </c>
      <c r="AI177" t="s">
        <v>9614</v>
      </c>
      <c r="AJ177" s="941" t="s">
        <v>11359</v>
      </c>
      <c r="AL177" s="941" t="s">
        <v>5</v>
      </c>
      <c r="AM177" s="941" t="s">
        <v>12557</v>
      </c>
      <c r="AO177" s="941" t="s">
        <v>11359</v>
      </c>
    </row>
    <row r="178" spans="2:41">
      <c r="B178" s="941" t="s">
        <v>748</v>
      </c>
      <c r="D178" s="941" t="s">
        <v>1238</v>
      </c>
      <c r="E178" s="941" t="s">
        <v>401</v>
      </c>
      <c r="AG178" t="s">
        <v>12528</v>
      </c>
      <c r="AH178" t="s">
        <v>12521</v>
      </c>
      <c r="AI178" t="s">
        <v>9614</v>
      </c>
      <c r="AJ178" s="941" t="s">
        <v>11359</v>
      </c>
      <c r="AL178" s="941" t="s">
        <v>5</v>
      </c>
      <c r="AM178" s="941" t="s">
        <v>355</v>
      </c>
      <c r="AO178" s="941" t="s">
        <v>11516</v>
      </c>
    </row>
    <row r="179" spans="2:41">
      <c r="B179" s="941" t="s">
        <v>8196</v>
      </c>
      <c r="D179" s="941" t="s">
        <v>1239</v>
      </c>
      <c r="E179" s="941" t="s">
        <v>5083</v>
      </c>
      <c r="AG179" t="s">
        <v>12528</v>
      </c>
      <c r="AH179" t="s">
        <v>12522</v>
      </c>
      <c r="AI179" t="s">
        <v>9614</v>
      </c>
      <c r="AJ179" s="941" t="s">
        <v>11359</v>
      </c>
      <c r="AL179" s="941" t="s">
        <v>5</v>
      </c>
      <c r="AM179" s="941" t="s">
        <v>12558</v>
      </c>
      <c r="AO179" s="941" t="s">
        <v>11359</v>
      </c>
    </row>
    <row r="180" spans="2:41">
      <c r="B180" s="941" t="s">
        <v>8215</v>
      </c>
      <c r="D180" s="941" t="s">
        <v>1240</v>
      </c>
      <c r="E180" s="941" t="s">
        <v>53</v>
      </c>
      <c r="AG180" t="s">
        <v>12528</v>
      </c>
      <c r="AH180" t="s">
        <v>12523</v>
      </c>
      <c r="AI180" t="s">
        <v>9614</v>
      </c>
      <c r="AJ180" s="941" t="s">
        <v>11359</v>
      </c>
      <c r="AL180" s="941" t="s">
        <v>5</v>
      </c>
      <c r="AM180" s="941" t="s">
        <v>11155</v>
      </c>
      <c r="AO180" s="941" t="s">
        <v>11516</v>
      </c>
    </row>
    <row r="181" spans="2:41">
      <c r="B181" s="941" t="s">
        <v>10492</v>
      </c>
      <c r="D181" s="941" t="s">
        <v>9298</v>
      </c>
      <c r="E181" s="941" t="s">
        <v>11154</v>
      </c>
      <c r="AG181" t="s">
        <v>12696</v>
      </c>
      <c r="AH181" t="s">
        <v>12718</v>
      </c>
      <c r="AI181" t="s">
        <v>9614</v>
      </c>
      <c r="AJ181" s="941" t="s">
        <v>11516</v>
      </c>
      <c r="AL181" s="941" t="s">
        <v>5</v>
      </c>
      <c r="AM181" s="941" t="s">
        <v>5340</v>
      </c>
      <c r="AO181" s="941" t="s">
        <v>11516</v>
      </c>
    </row>
    <row r="182" spans="2:41">
      <c r="B182" s="941" t="s">
        <v>754</v>
      </c>
      <c r="D182" s="941" t="s">
        <v>1241</v>
      </c>
      <c r="E182" s="941" t="s">
        <v>402</v>
      </c>
      <c r="AG182" t="s">
        <v>12696</v>
      </c>
      <c r="AH182" t="s">
        <v>12797</v>
      </c>
      <c r="AI182" t="s">
        <v>9614</v>
      </c>
      <c r="AJ182" s="941" t="s">
        <v>11438</v>
      </c>
      <c r="AL182" s="941" t="s">
        <v>5</v>
      </c>
      <c r="AM182" s="941" t="s">
        <v>5340</v>
      </c>
      <c r="AO182" s="941" t="s">
        <v>11359</v>
      </c>
    </row>
    <row r="183" spans="2:41">
      <c r="B183" s="941" t="s">
        <v>11463</v>
      </c>
      <c r="D183" s="941" t="s">
        <v>1242</v>
      </c>
      <c r="E183" s="941" t="s">
        <v>11259</v>
      </c>
      <c r="AG183" t="s">
        <v>12681</v>
      </c>
      <c r="AH183" t="s">
        <v>619</v>
      </c>
      <c r="AI183" t="s">
        <v>9614</v>
      </c>
      <c r="AJ183" s="941" t="s">
        <v>11516</v>
      </c>
      <c r="AL183" s="941" t="s">
        <v>5</v>
      </c>
      <c r="AM183" s="941" t="s">
        <v>11262</v>
      </c>
      <c r="AO183" s="941" t="s">
        <v>11516</v>
      </c>
    </row>
    <row r="184" spans="2:41">
      <c r="B184" s="941" t="s">
        <v>9809</v>
      </c>
      <c r="D184" s="941" t="s">
        <v>1243</v>
      </c>
      <c r="E184" s="941" t="s">
        <v>1026</v>
      </c>
      <c r="AG184" t="s">
        <v>12681</v>
      </c>
      <c r="AH184" t="s">
        <v>12798</v>
      </c>
      <c r="AI184" t="s">
        <v>9614</v>
      </c>
      <c r="AJ184" s="941" t="s">
        <v>11516</v>
      </c>
      <c r="AL184" s="941" t="s">
        <v>5</v>
      </c>
      <c r="AM184" s="941" t="s">
        <v>12818</v>
      </c>
      <c r="AO184" s="941" t="s">
        <v>11516</v>
      </c>
    </row>
    <row r="185" spans="2:41">
      <c r="B185" s="941" t="s">
        <v>755</v>
      </c>
      <c r="D185" s="941" t="s">
        <v>1244</v>
      </c>
      <c r="E185" s="941" t="s">
        <v>10625</v>
      </c>
      <c r="AG185" t="s">
        <v>12359</v>
      </c>
      <c r="AH185" t="s">
        <v>12544</v>
      </c>
      <c r="AI185" t="s">
        <v>9614</v>
      </c>
      <c r="AJ185" s="941" t="s">
        <v>11359</v>
      </c>
      <c r="AL185" s="941" t="s">
        <v>5</v>
      </c>
      <c r="AM185" s="941" t="s">
        <v>11158</v>
      </c>
      <c r="AO185" s="941" t="s">
        <v>11359</v>
      </c>
    </row>
    <row r="186" spans="2:41">
      <c r="B186" s="941" t="s">
        <v>756</v>
      </c>
      <c r="D186" s="941" t="s">
        <v>597</v>
      </c>
      <c r="E186" s="941" t="s">
        <v>10626</v>
      </c>
      <c r="AG186" t="s">
        <v>12359</v>
      </c>
      <c r="AH186" t="s">
        <v>12545</v>
      </c>
      <c r="AI186" t="s">
        <v>9614</v>
      </c>
      <c r="AJ186" s="941" t="s">
        <v>11359</v>
      </c>
      <c r="AL186" s="941" t="s">
        <v>5</v>
      </c>
      <c r="AM186" s="941" t="s">
        <v>11158</v>
      </c>
      <c r="AO186" s="941" t="s">
        <v>11516</v>
      </c>
    </row>
    <row r="187" spans="2:41">
      <c r="B187" s="941" t="s">
        <v>8229</v>
      </c>
      <c r="D187" s="941" t="s">
        <v>10506</v>
      </c>
      <c r="E187" s="941" t="s">
        <v>11260</v>
      </c>
      <c r="AG187" t="s">
        <v>12359</v>
      </c>
      <c r="AH187" t="s">
        <v>12546</v>
      </c>
      <c r="AI187" t="s">
        <v>9614</v>
      </c>
      <c r="AJ187" s="941" t="s">
        <v>11359</v>
      </c>
      <c r="AL187" s="941" t="s">
        <v>5</v>
      </c>
      <c r="AM187" s="941" t="s">
        <v>11267</v>
      </c>
      <c r="AO187" s="941" t="s">
        <v>11516</v>
      </c>
    </row>
    <row r="188" spans="2:41">
      <c r="B188" s="941" t="s">
        <v>758</v>
      </c>
      <c r="D188" s="941" t="s">
        <v>1245</v>
      </c>
      <c r="E188" s="941" t="s">
        <v>7980</v>
      </c>
      <c r="AG188" t="s">
        <v>12691</v>
      </c>
      <c r="AH188" t="s">
        <v>11522</v>
      </c>
      <c r="AI188" t="s">
        <v>9614</v>
      </c>
      <c r="AJ188" s="941" t="s">
        <v>11516</v>
      </c>
      <c r="AL188" s="941" t="s">
        <v>5</v>
      </c>
      <c r="AM188" s="941" t="s">
        <v>8852</v>
      </c>
      <c r="AO188" s="941" t="s">
        <v>11516</v>
      </c>
    </row>
    <row r="189" spans="2:41">
      <c r="B189" s="941" t="s">
        <v>9662</v>
      </c>
      <c r="D189" s="941" t="s">
        <v>1246</v>
      </c>
      <c r="E189" s="941" t="s">
        <v>279</v>
      </c>
      <c r="AG189" t="s">
        <v>12691</v>
      </c>
      <c r="AH189" t="s">
        <v>12799</v>
      </c>
      <c r="AI189" t="s">
        <v>9614</v>
      </c>
      <c r="AJ189" s="941" t="s">
        <v>11516</v>
      </c>
      <c r="AL189" s="941" t="s">
        <v>5</v>
      </c>
      <c r="AM189" s="941" t="s">
        <v>371</v>
      </c>
      <c r="AO189" s="941" t="s">
        <v>11516</v>
      </c>
    </row>
    <row r="190" spans="2:41">
      <c r="B190" s="941" t="s">
        <v>760</v>
      </c>
      <c r="D190" s="941" t="s">
        <v>1247</v>
      </c>
      <c r="E190" s="941" t="s">
        <v>10578</v>
      </c>
      <c r="AG190" t="s">
        <v>12691</v>
      </c>
      <c r="AH190" t="s">
        <v>12800</v>
      </c>
      <c r="AI190" t="s">
        <v>9614</v>
      </c>
      <c r="AJ190" s="941" t="s">
        <v>11516</v>
      </c>
      <c r="AL190" s="941" t="s">
        <v>5</v>
      </c>
      <c r="AM190" s="941" t="s">
        <v>176</v>
      </c>
      <c r="AO190" s="941" t="s">
        <v>11516</v>
      </c>
    </row>
    <row r="191" spans="2:41">
      <c r="B191" s="941" t="s">
        <v>761</v>
      </c>
      <c r="D191" s="941" t="s">
        <v>1248</v>
      </c>
      <c r="E191" s="941" t="s">
        <v>11261</v>
      </c>
      <c r="AG191" t="s">
        <v>12691</v>
      </c>
      <c r="AH191" t="s">
        <v>11523</v>
      </c>
      <c r="AI191" t="s">
        <v>9614</v>
      </c>
      <c r="AJ191" s="941" t="s">
        <v>11516</v>
      </c>
      <c r="AL191" s="941" t="s">
        <v>5</v>
      </c>
      <c r="AM191" s="941" t="s">
        <v>11273</v>
      </c>
      <c r="AO191" s="941" t="s">
        <v>11516</v>
      </c>
    </row>
    <row r="192" spans="2:41">
      <c r="B192" s="941" t="s">
        <v>7590</v>
      </c>
      <c r="D192" s="941" t="s">
        <v>1249</v>
      </c>
      <c r="E192" s="941" t="s">
        <v>355</v>
      </c>
      <c r="AG192" t="s">
        <v>12697</v>
      </c>
      <c r="AH192" t="s">
        <v>12705</v>
      </c>
      <c r="AI192" t="s">
        <v>9614</v>
      </c>
      <c r="AJ192" s="941" t="s">
        <v>11516</v>
      </c>
      <c r="AL192" s="941" t="s">
        <v>5</v>
      </c>
      <c r="AM192" s="941" t="s">
        <v>11162</v>
      </c>
      <c r="AO192" s="941" t="s">
        <v>11516</v>
      </c>
    </row>
    <row r="193" spans="2:41">
      <c r="B193" s="941" t="s">
        <v>8253</v>
      </c>
      <c r="D193" s="941" t="s">
        <v>1250</v>
      </c>
      <c r="E193" s="941" t="s">
        <v>1027</v>
      </c>
      <c r="AG193" t="s">
        <v>12697</v>
      </c>
      <c r="AH193" t="s">
        <v>12801</v>
      </c>
      <c r="AI193" t="s">
        <v>9614</v>
      </c>
      <c r="AJ193" s="941" t="s">
        <v>11438</v>
      </c>
      <c r="AL193" s="941" t="s">
        <v>5</v>
      </c>
      <c r="AM193" s="941" t="s">
        <v>11162</v>
      </c>
      <c r="AO193" s="941" t="s">
        <v>11359</v>
      </c>
    </row>
    <row r="194" spans="2:41">
      <c r="B194" s="941" t="s">
        <v>7753</v>
      </c>
      <c r="D194" s="941" t="s">
        <v>1251</v>
      </c>
      <c r="E194" s="941" t="s">
        <v>11155</v>
      </c>
      <c r="AG194" t="s">
        <v>12697</v>
      </c>
      <c r="AH194" t="s">
        <v>12802</v>
      </c>
      <c r="AI194" t="s">
        <v>9614</v>
      </c>
      <c r="AJ194" s="941" t="s">
        <v>11438</v>
      </c>
      <c r="AL194" s="941" t="s">
        <v>5</v>
      </c>
      <c r="AM194" s="941" t="s">
        <v>12559</v>
      </c>
      <c r="AO194" s="941" t="s">
        <v>11359</v>
      </c>
    </row>
    <row r="195" spans="2:41">
      <c r="B195" s="941" t="s">
        <v>11489</v>
      </c>
      <c r="D195" s="941" t="s">
        <v>1252</v>
      </c>
      <c r="E195" s="941" t="s">
        <v>5340</v>
      </c>
      <c r="AG195" t="s">
        <v>12697</v>
      </c>
      <c r="AH195" t="s">
        <v>12706</v>
      </c>
      <c r="AI195" t="s">
        <v>9614</v>
      </c>
      <c r="AJ195" s="941" t="s">
        <v>11516</v>
      </c>
      <c r="AL195" s="941" t="s">
        <v>5</v>
      </c>
      <c r="AM195" s="941" t="s">
        <v>7224</v>
      </c>
      <c r="AO195" s="941" t="s">
        <v>11516</v>
      </c>
    </row>
    <row r="196" spans="2:41">
      <c r="B196" s="941" t="s">
        <v>764</v>
      </c>
      <c r="D196" s="941" t="s">
        <v>1253</v>
      </c>
      <c r="E196" s="941" t="s">
        <v>280</v>
      </c>
      <c r="AG196" t="s">
        <v>12703</v>
      </c>
      <c r="AH196" t="s">
        <v>12803</v>
      </c>
      <c r="AI196" t="s">
        <v>9614</v>
      </c>
      <c r="AJ196" s="941" t="s">
        <v>11516</v>
      </c>
      <c r="AL196" s="941" t="s">
        <v>12512</v>
      </c>
      <c r="AM196" s="941" t="s">
        <v>286</v>
      </c>
      <c r="AO196" s="941" t="s">
        <v>11359</v>
      </c>
    </row>
    <row r="197" spans="2:41">
      <c r="B197" s="941" t="s">
        <v>765</v>
      </c>
      <c r="D197" s="941" t="s">
        <v>1254</v>
      </c>
      <c r="E197" s="941" t="s">
        <v>7808</v>
      </c>
      <c r="AG197" t="s">
        <v>12535</v>
      </c>
      <c r="AH197" t="s">
        <v>12718</v>
      </c>
      <c r="AI197" t="s">
        <v>9614</v>
      </c>
      <c r="AJ197" s="941" t="s">
        <v>11516</v>
      </c>
      <c r="AL197" s="941" t="s">
        <v>12512</v>
      </c>
      <c r="AM197" s="941" t="s">
        <v>413</v>
      </c>
      <c r="AO197" s="941" t="s">
        <v>11359</v>
      </c>
    </row>
    <row r="198" spans="2:41">
      <c r="B198" s="941" t="s">
        <v>9732</v>
      </c>
      <c r="D198" s="941" t="s">
        <v>1255</v>
      </c>
      <c r="E198" s="941" t="s">
        <v>1018</v>
      </c>
      <c r="AG198" t="s">
        <v>12535</v>
      </c>
      <c r="AH198" t="s">
        <v>12630</v>
      </c>
      <c r="AI198" t="s">
        <v>9614</v>
      </c>
      <c r="AJ198" s="941" t="s">
        <v>11359</v>
      </c>
      <c r="AL198" s="941" t="s">
        <v>12512</v>
      </c>
      <c r="AM198" s="941" t="s">
        <v>11147</v>
      </c>
      <c r="AO198" s="941" t="s">
        <v>11359</v>
      </c>
    </row>
    <row r="199" spans="2:41">
      <c r="B199" s="941" t="s">
        <v>12331</v>
      </c>
      <c r="D199" s="941" t="s">
        <v>1256</v>
      </c>
      <c r="E199" s="941" t="s">
        <v>9640</v>
      </c>
      <c r="AG199" t="s">
        <v>12702</v>
      </c>
      <c r="AH199" t="s">
        <v>12804</v>
      </c>
      <c r="AI199" t="s">
        <v>9614</v>
      </c>
      <c r="AJ199" s="941" t="s">
        <v>11516</v>
      </c>
      <c r="AL199" s="941" t="s">
        <v>12512</v>
      </c>
      <c r="AM199" s="941" t="s">
        <v>415</v>
      </c>
      <c r="AO199" s="941" t="s">
        <v>11359</v>
      </c>
    </row>
    <row r="200" spans="2:41">
      <c r="B200" s="941" t="s">
        <v>768</v>
      </c>
      <c r="D200" s="941" t="s">
        <v>1257</v>
      </c>
      <c r="E200" s="941" t="s">
        <v>502</v>
      </c>
      <c r="AG200" t="s">
        <v>12679</v>
      </c>
      <c r="AH200" t="s">
        <v>12805</v>
      </c>
      <c r="AI200" t="s">
        <v>9614</v>
      </c>
      <c r="AJ200" s="941" t="s">
        <v>11516</v>
      </c>
      <c r="AL200" s="941" t="s">
        <v>12512</v>
      </c>
      <c r="AM200" s="941" t="s">
        <v>585</v>
      </c>
      <c r="AO200" s="941" t="s">
        <v>11359</v>
      </c>
    </row>
    <row r="201" spans="2:41">
      <c r="B201" s="941" t="s">
        <v>10899</v>
      </c>
      <c r="D201" s="941" t="s">
        <v>1258</v>
      </c>
      <c r="E201" s="941" t="s">
        <v>11262</v>
      </c>
      <c r="AG201" t="s">
        <v>481</v>
      </c>
      <c r="AH201" t="s">
        <v>313</v>
      </c>
      <c r="AI201" t="s">
        <v>9614</v>
      </c>
      <c r="AJ201" s="941" t="s">
        <v>11359</v>
      </c>
      <c r="AL201" s="941" t="s">
        <v>12512</v>
      </c>
      <c r="AM201" s="941" t="s">
        <v>4078</v>
      </c>
      <c r="AO201" s="941" t="s">
        <v>11359</v>
      </c>
    </row>
    <row r="202" spans="2:41">
      <c r="B202" s="941" t="s">
        <v>770</v>
      </c>
      <c r="D202" s="941" t="s">
        <v>1259</v>
      </c>
      <c r="E202" s="941" t="s">
        <v>11263</v>
      </c>
      <c r="AG202" t="s">
        <v>481</v>
      </c>
      <c r="AH202" t="s">
        <v>12806</v>
      </c>
      <c r="AI202" t="s">
        <v>9614</v>
      </c>
      <c r="AJ202" s="941" t="s">
        <v>11516</v>
      </c>
      <c r="AL202" s="941" t="s">
        <v>12512</v>
      </c>
      <c r="AM202" s="941" t="s">
        <v>11535</v>
      </c>
      <c r="AO202" s="941" t="s">
        <v>11359</v>
      </c>
    </row>
    <row r="203" spans="2:41">
      <c r="B203" s="941" t="s">
        <v>8276</v>
      </c>
      <c r="D203" s="941" t="s">
        <v>1260</v>
      </c>
      <c r="E203" s="941" t="s">
        <v>10905</v>
      </c>
      <c r="AG203" t="s">
        <v>481</v>
      </c>
      <c r="AH203" t="s">
        <v>12807</v>
      </c>
      <c r="AI203" t="s">
        <v>9614</v>
      </c>
      <c r="AJ203" s="941" t="s">
        <v>11516</v>
      </c>
      <c r="AL203" s="941" t="s">
        <v>12512</v>
      </c>
      <c r="AM203" s="941" t="s">
        <v>12594</v>
      </c>
      <c r="AO203" s="941" t="s">
        <v>11359</v>
      </c>
    </row>
    <row r="204" spans="2:41">
      <c r="B204" s="941" t="s">
        <v>11346</v>
      </c>
      <c r="D204" s="941" t="s">
        <v>1261</v>
      </c>
      <c r="E204" s="941" t="s">
        <v>198</v>
      </c>
      <c r="AG204" t="s">
        <v>481</v>
      </c>
      <c r="AH204" t="s">
        <v>12808</v>
      </c>
      <c r="AI204" t="s">
        <v>9614</v>
      </c>
      <c r="AJ204" s="941" t="s">
        <v>11516</v>
      </c>
      <c r="AL204" s="941" t="s">
        <v>12512</v>
      </c>
      <c r="AM204" s="941" t="s">
        <v>270</v>
      </c>
      <c r="AO204" s="941" t="s">
        <v>11359</v>
      </c>
    </row>
    <row r="205" spans="2:41">
      <c r="B205" s="941" t="s">
        <v>7955</v>
      </c>
      <c r="D205" s="941" t="s">
        <v>9299</v>
      </c>
      <c r="E205" s="941" t="s">
        <v>5523</v>
      </c>
      <c r="AG205" t="s">
        <v>481</v>
      </c>
      <c r="AH205" t="s">
        <v>481</v>
      </c>
      <c r="AI205" t="s">
        <v>9614</v>
      </c>
      <c r="AJ205" s="941" t="s">
        <v>11359</v>
      </c>
      <c r="AL205" s="941" t="s">
        <v>12512</v>
      </c>
      <c r="AM205" s="941" t="s">
        <v>12560</v>
      </c>
      <c r="AO205" s="941" t="s">
        <v>11359</v>
      </c>
    </row>
    <row r="206" spans="2:41">
      <c r="B206" s="941" t="s">
        <v>7956</v>
      </c>
      <c r="D206" s="941" t="s">
        <v>1262</v>
      </c>
      <c r="E206" s="941" t="s">
        <v>5548</v>
      </c>
      <c r="AG206" t="s">
        <v>481</v>
      </c>
      <c r="AH206" t="s">
        <v>12547</v>
      </c>
      <c r="AI206" t="s">
        <v>9614</v>
      </c>
      <c r="AJ206" s="941" t="s">
        <v>11359</v>
      </c>
      <c r="AL206" s="941" t="s">
        <v>12512</v>
      </c>
      <c r="AM206" s="941" t="s">
        <v>12819</v>
      </c>
      <c r="AO206" s="941" t="s">
        <v>11516</v>
      </c>
    </row>
    <row r="207" spans="2:41">
      <c r="B207" s="941" t="s">
        <v>8289</v>
      </c>
      <c r="D207" s="941" t="s">
        <v>1263</v>
      </c>
      <c r="E207" s="941" t="s">
        <v>11157</v>
      </c>
      <c r="AG207" t="s">
        <v>481</v>
      </c>
      <c r="AH207" t="s">
        <v>228</v>
      </c>
      <c r="AI207" t="s">
        <v>9614</v>
      </c>
      <c r="AJ207" s="941" t="s">
        <v>11359</v>
      </c>
      <c r="AL207" s="941" t="s">
        <v>12690</v>
      </c>
      <c r="AM207" s="941" t="s">
        <v>1739</v>
      </c>
      <c r="AO207" s="941" t="s">
        <v>11516</v>
      </c>
    </row>
    <row r="208" spans="2:41">
      <c r="B208" s="941" t="s">
        <v>774</v>
      </c>
      <c r="D208" s="941" t="s">
        <v>1264</v>
      </c>
      <c r="E208" s="941" t="s">
        <v>422</v>
      </c>
      <c r="AG208" t="s">
        <v>481</v>
      </c>
      <c r="AH208" t="s">
        <v>628</v>
      </c>
      <c r="AI208" t="s">
        <v>9614</v>
      </c>
      <c r="AJ208" s="941" t="s">
        <v>11359</v>
      </c>
      <c r="AL208" s="941" t="s">
        <v>12690</v>
      </c>
      <c r="AM208" s="941" t="s">
        <v>1739</v>
      </c>
      <c r="AO208" s="941" t="s">
        <v>11516</v>
      </c>
    </row>
    <row r="209" spans="2:41">
      <c r="B209" s="941" t="s">
        <v>775</v>
      </c>
      <c r="D209" s="941" t="s">
        <v>1265</v>
      </c>
      <c r="E209" s="941" t="s">
        <v>1028</v>
      </c>
      <c r="AL209" s="941" t="s">
        <v>12690</v>
      </c>
      <c r="AM209" s="941" t="s">
        <v>11250</v>
      </c>
      <c r="AO209" s="941" t="s">
        <v>11516</v>
      </c>
    </row>
    <row r="210" spans="2:41">
      <c r="B210" s="941" t="s">
        <v>7595</v>
      </c>
      <c r="D210" s="941" t="s">
        <v>1266</v>
      </c>
      <c r="E210" s="941" t="s">
        <v>11264</v>
      </c>
      <c r="AL210" s="941" t="s">
        <v>12690</v>
      </c>
      <c r="AM210" s="941" t="s">
        <v>11250</v>
      </c>
      <c r="AO210" s="941" t="s">
        <v>11516</v>
      </c>
    </row>
    <row r="211" spans="2:41">
      <c r="B211" s="941" t="s">
        <v>7957</v>
      </c>
      <c r="D211" s="941" t="s">
        <v>1267</v>
      </c>
      <c r="E211" s="941" t="s">
        <v>5651</v>
      </c>
      <c r="AL211" s="941" t="s">
        <v>12690</v>
      </c>
      <c r="AM211" s="941" t="s">
        <v>4500</v>
      </c>
      <c r="AO211" s="941" t="s">
        <v>11516</v>
      </c>
    </row>
    <row r="212" spans="2:41">
      <c r="B212" s="941" t="s">
        <v>777</v>
      </c>
      <c r="D212" s="941" t="s">
        <v>1268</v>
      </c>
      <c r="E212" s="941" t="s">
        <v>5725</v>
      </c>
      <c r="AL212" s="941" t="s">
        <v>12690</v>
      </c>
      <c r="AM212" s="941" t="s">
        <v>4500</v>
      </c>
      <c r="AO212" s="941" t="s">
        <v>11516</v>
      </c>
    </row>
    <row r="213" spans="2:41">
      <c r="B213" s="941" t="s">
        <v>8312</v>
      </c>
      <c r="D213" s="941" t="s">
        <v>1269</v>
      </c>
      <c r="E213" s="941" t="s">
        <v>11102</v>
      </c>
      <c r="AL213" s="941" t="s">
        <v>12690</v>
      </c>
      <c r="AM213" s="941" t="s">
        <v>11251</v>
      </c>
      <c r="AO213" s="941" t="s">
        <v>11516</v>
      </c>
    </row>
    <row r="214" spans="2:41">
      <c r="B214" s="941" t="s">
        <v>778</v>
      </c>
      <c r="D214" s="941" t="s">
        <v>1270</v>
      </c>
      <c r="E214" s="941" t="s">
        <v>11158</v>
      </c>
      <c r="AL214" s="941" t="s">
        <v>12690</v>
      </c>
      <c r="AM214" s="941" t="s">
        <v>11251</v>
      </c>
      <c r="AO214" s="941" t="s">
        <v>11516</v>
      </c>
    </row>
    <row r="215" spans="2:41">
      <c r="B215" s="941" t="s">
        <v>779</v>
      </c>
      <c r="D215" s="941" t="s">
        <v>1271</v>
      </c>
      <c r="E215" s="941" t="s">
        <v>7939</v>
      </c>
      <c r="AL215" s="941" t="s">
        <v>12690</v>
      </c>
      <c r="AM215" s="941" t="s">
        <v>7806</v>
      </c>
      <c r="AO215" s="941" t="s">
        <v>11516</v>
      </c>
    </row>
    <row r="216" spans="2:41">
      <c r="B216" s="941" t="s">
        <v>11578</v>
      </c>
      <c r="D216" s="941" t="s">
        <v>1272</v>
      </c>
      <c r="E216" s="941" t="s">
        <v>624</v>
      </c>
      <c r="AL216" s="941" t="s">
        <v>12690</v>
      </c>
      <c r="AM216" s="941" t="s">
        <v>7806</v>
      </c>
      <c r="AO216" s="941" t="s">
        <v>11516</v>
      </c>
    </row>
    <row r="217" spans="2:41">
      <c r="B217" s="941" t="s">
        <v>8319</v>
      </c>
      <c r="D217" s="941" t="s">
        <v>1273</v>
      </c>
      <c r="E217" s="941" t="s">
        <v>452</v>
      </c>
      <c r="AL217" s="941" t="s">
        <v>12690</v>
      </c>
      <c r="AM217" s="941" t="s">
        <v>1026</v>
      </c>
      <c r="AO217" s="941" t="s">
        <v>11516</v>
      </c>
    </row>
    <row r="218" spans="2:41">
      <c r="B218" s="941" t="s">
        <v>8335</v>
      </c>
      <c r="D218" s="941" t="s">
        <v>1274</v>
      </c>
      <c r="E218" s="941" t="s">
        <v>453</v>
      </c>
      <c r="AL218" s="941" t="s">
        <v>12690</v>
      </c>
      <c r="AM218" s="941" t="s">
        <v>1026</v>
      </c>
      <c r="AO218" s="941" t="s">
        <v>11516</v>
      </c>
    </row>
    <row r="219" spans="2:41">
      <c r="B219" s="941" t="s">
        <v>8344</v>
      </c>
      <c r="D219" s="941" t="s">
        <v>1275</v>
      </c>
      <c r="E219" s="941" t="s">
        <v>430</v>
      </c>
      <c r="AL219" s="941" t="s">
        <v>12687</v>
      </c>
      <c r="AM219" s="941" t="s">
        <v>259</v>
      </c>
      <c r="AO219" s="941" t="s">
        <v>11516</v>
      </c>
    </row>
    <row r="220" spans="2:41">
      <c r="B220" s="941" t="s">
        <v>787</v>
      </c>
      <c r="D220" s="941" t="s">
        <v>1276</v>
      </c>
      <c r="E220" s="941" t="s">
        <v>8794</v>
      </c>
      <c r="AL220" s="941" t="s">
        <v>12687</v>
      </c>
      <c r="AM220" s="941" t="s">
        <v>11214</v>
      </c>
      <c r="AO220" s="941" t="s">
        <v>11516</v>
      </c>
    </row>
    <row r="221" spans="2:41">
      <c r="B221" s="941" t="s">
        <v>11111</v>
      </c>
      <c r="D221" s="941" t="s">
        <v>1277</v>
      </c>
      <c r="E221" s="941" t="s">
        <v>11265</v>
      </c>
      <c r="AL221" s="941" t="s">
        <v>12687</v>
      </c>
      <c r="AM221" s="941" t="s">
        <v>10251</v>
      </c>
      <c r="AO221" s="941" t="s">
        <v>11516</v>
      </c>
    </row>
    <row r="222" spans="2:41">
      <c r="B222" s="941" t="s">
        <v>790</v>
      </c>
      <c r="D222" s="941" t="s">
        <v>1278</v>
      </c>
      <c r="E222" s="941" t="s">
        <v>10890</v>
      </c>
      <c r="AL222" s="941" t="s">
        <v>12687</v>
      </c>
      <c r="AM222" s="941" t="s">
        <v>229</v>
      </c>
      <c r="AO222" s="941" t="s">
        <v>11516</v>
      </c>
    </row>
    <row r="223" spans="2:41">
      <c r="B223" s="941" t="s">
        <v>12540</v>
      </c>
      <c r="D223" s="941" t="s">
        <v>1279</v>
      </c>
      <c r="E223" s="941" t="s">
        <v>454</v>
      </c>
      <c r="AL223" s="941" t="s">
        <v>12687</v>
      </c>
      <c r="AM223" s="941" t="s">
        <v>1025</v>
      </c>
      <c r="AO223" s="941" t="s">
        <v>11516</v>
      </c>
    </row>
    <row r="224" spans="2:41">
      <c r="B224" s="941" t="s">
        <v>792</v>
      </c>
      <c r="D224" s="941" t="s">
        <v>1280</v>
      </c>
      <c r="E224" s="941" t="s">
        <v>11266</v>
      </c>
      <c r="AL224" s="941" t="s">
        <v>12687</v>
      </c>
      <c r="AM224" s="941" t="s">
        <v>410</v>
      </c>
      <c r="AO224" s="941" t="s">
        <v>11516</v>
      </c>
    </row>
    <row r="225" spans="2:41">
      <c r="B225" s="941" t="s">
        <v>793</v>
      </c>
      <c r="D225" s="941" t="s">
        <v>1281</v>
      </c>
      <c r="E225" s="941" t="s">
        <v>455</v>
      </c>
      <c r="AL225" s="941" t="s">
        <v>12687</v>
      </c>
      <c r="AM225" s="941" t="s">
        <v>11242</v>
      </c>
      <c r="AO225" s="941" t="s">
        <v>11516</v>
      </c>
    </row>
    <row r="226" spans="2:41">
      <c r="B226" s="941" t="s">
        <v>8358</v>
      </c>
      <c r="D226" s="941" t="s">
        <v>1282</v>
      </c>
      <c r="E226" s="941" t="s">
        <v>439</v>
      </c>
      <c r="AL226" s="941" t="s">
        <v>12687</v>
      </c>
      <c r="AM226" s="941" t="s">
        <v>195</v>
      </c>
      <c r="AO226" s="941" t="s">
        <v>11516</v>
      </c>
    </row>
    <row r="227" spans="2:41">
      <c r="B227" s="941" t="s">
        <v>8360</v>
      </c>
      <c r="D227" s="941" t="s">
        <v>1283</v>
      </c>
      <c r="E227" s="941" t="s">
        <v>366</v>
      </c>
      <c r="AL227" s="941" t="s">
        <v>12687</v>
      </c>
      <c r="AM227" s="941" t="s">
        <v>4474</v>
      </c>
      <c r="AO227" s="941" t="s">
        <v>11516</v>
      </c>
    </row>
    <row r="228" spans="2:41">
      <c r="B228" s="941" t="s">
        <v>794</v>
      </c>
      <c r="D228" s="941" t="s">
        <v>1284</v>
      </c>
      <c r="E228" s="941" t="s">
        <v>11267</v>
      </c>
      <c r="AL228" s="941" t="s">
        <v>12687</v>
      </c>
      <c r="AM228" s="941" t="s">
        <v>11253</v>
      </c>
      <c r="AO228" s="941" t="s">
        <v>11516</v>
      </c>
    </row>
    <row r="229" spans="2:41">
      <c r="B229" s="941" t="s">
        <v>796</v>
      </c>
      <c r="D229" s="941" t="s">
        <v>1285</v>
      </c>
      <c r="E229" s="941" t="s">
        <v>369</v>
      </c>
      <c r="AL229" s="941" t="s">
        <v>12687</v>
      </c>
      <c r="AM229" s="941" t="s">
        <v>279</v>
      </c>
      <c r="AO229" s="941" t="s">
        <v>11516</v>
      </c>
    </row>
    <row r="230" spans="2:41">
      <c r="B230" s="941" t="s">
        <v>8370</v>
      </c>
      <c r="D230" s="941" t="s">
        <v>1286</v>
      </c>
      <c r="E230" s="941" t="s">
        <v>8852</v>
      </c>
      <c r="AL230" s="941" t="s">
        <v>12687</v>
      </c>
      <c r="AM230" s="941" t="s">
        <v>502</v>
      </c>
      <c r="AO230" s="941" t="s">
        <v>11516</v>
      </c>
    </row>
    <row r="231" spans="2:41">
      <c r="B231" s="941" t="s">
        <v>799</v>
      </c>
      <c r="D231" s="941" t="s">
        <v>1287</v>
      </c>
      <c r="E231" s="941" t="s">
        <v>290</v>
      </c>
      <c r="AL231" s="941" t="s">
        <v>12687</v>
      </c>
      <c r="AM231" s="941" t="s">
        <v>10890</v>
      </c>
      <c r="AO231" s="941" t="s">
        <v>11516</v>
      </c>
    </row>
    <row r="232" spans="2:41">
      <c r="B232" s="941" t="s">
        <v>800</v>
      </c>
      <c r="D232" s="941" t="s">
        <v>1288</v>
      </c>
      <c r="E232" s="941" t="s">
        <v>371</v>
      </c>
      <c r="AL232" s="941" t="s">
        <v>12687</v>
      </c>
      <c r="AM232" s="941" t="s">
        <v>10892</v>
      </c>
      <c r="AO232" s="941" t="s">
        <v>11516</v>
      </c>
    </row>
    <row r="233" spans="2:41">
      <c r="B233" s="941" t="s">
        <v>801</v>
      </c>
      <c r="D233" s="941" t="s">
        <v>1289</v>
      </c>
      <c r="E233" s="941" t="s">
        <v>469</v>
      </c>
      <c r="AL233" s="941" t="s">
        <v>12687</v>
      </c>
      <c r="AM233" s="941" t="s">
        <v>7940</v>
      </c>
      <c r="AO233" s="941" t="s">
        <v>11516</v>
      </c>
    </row>
    <row r="234" spans="2:41">
      <c r="B234" s="941" t="s">
        <v>7960</v>
      </c>
      <c r="D234" s="941" t="s">
        <v>1290</v>
      </c>
      <c r="E234" s="941" t="s">
        <v>10628</v>
      </c>
      <c r="AL234" s="941" t="s">
        <v>12687</v>
      </c>
      <c r="AM234" s="941" t="s">
        <v>11278</v>
      </c>
      <c r="AO234" s="941" t="s">
        <v>11516</v>
      </c>
    </row>
    <row r="235" spans="2:41">
      <c r="B235" s="941" t="s">
        <v>8376</v>
      </c>
      <c r="D235" s="941" t="s">
        <v>1291</v>
      </c>
      <c r="E235" s="941" t="s">
        <v>8870</v>
      </c>
      <c r="AL235" s="941" t="s">
        <v>12678</v>
      </c>
      <c r="AM235" s="941" t="s">
        <v>259</v>
      </c>
      <c r="AO235" s="941" t="s">
        <v>11516</v>
      </c>
    </row>
    <row r="236" spans="2:41">
      <c r="B236" s="941" t="s">
        <v>802</v>
      </c>
      <c r="D236" s="941" t="s">
        <v>1292</v>
      </c>
      <c r="E236" s="941" t="s">
        <v>7809</v>
      </c>
      <c r="AL236" s="941" t="s">
        <v>12678</v>
      </c>
      <c r="AM236" s="941" t="s">
        <v>11214</v>
      </c>
      <c r="AO236" s="941" t="s">
        <v>11516</v>
      </c>
    </row>
    <row r="237" spans="2:41">
      <c r="B237" s="941" t="s">
        <v>804</v>
      </c>
      <c r="D237" s="941" t="s">
        <v>1293</v>
      </c>
      <c r="E237" s="941" t="s">
        <v>457</v>
      </c>
      <c r="AL237" s="941" t="s">
        <v>12678</v>
      </c>
      <c r="AM237" s="941" t="s">
        <v>10251</v>
      </c>
      <c r="AO237" s="941" t="s">
        <v>11516</v>
      </c>
    </row>
    <row r="238" spans="2:41">
      <c r="B238" s="941" t="s">
        <v>8384</v>
      </c>
      <c r="D238" s="941" t="s">
        <v>1294</v>
      </c>
      <c r="E238" s="941" t="s">
        <v>11268</v>
      </c>
      <c r="AL238" s="941" t="s">
        <v>12678</v>
      </c>
      <c r="AM238" s="941" t="s">
        <v>11225</v>
      </c>
      <c r="AO238" s="941" t="s">
        <v>11516</v>
      </c>
    </row>
    <row r="239" spans="2:41">
      <c r="B239" s="941" t="s">
        <v>8385</v>
      </c>
      <c r="D239" s="941" t="s">
        <v>1295</v>
      </c>
      <c r="E239" s="941" t="s">
        <v>10629</v>
      </c>
      <c r="AL239" s="941" t="s">
        <v>12678</v>
      </c>
      <c r="AM239" s="941" t="s">
        <v>229</v>
      </c>
      <c r="AO239" s="941" t="s">
        <v>11516</v>
      </c>
    </row>
    <row r="240" spans="2:41">
      <c r="B240" s="941" t="s">
        <v>12351</v>
      </c>
      <c r="D240" s="941" t="s">
        <v>1296</v>
      </c>
      <c r="E240" s="941" t="s">
        <v>593</v>
      </c>
      <c r="AL240" s="941" t="s">
        <v>12678</v>
      </c>
      <c r="AM240" s="941" t="s">
        <v>491</v>
      </c>
      <c r="AO240" s="941" t="s">
        <v>11516</v>
      </c>
    </row>
    <row r="241" spans="2:41">
      <c r="B241" s="941" t="s">
        <v>806</v>
      </c>
      <c r="D241" s="941" t="s">
        <v>1297</v>
      </c>
      <c r="E241" s="941" t="s">
        <v>594</v>
      </c>
      <c r="AL241" s="941" t="s">
        <v>12678</v>
      </c>
      <c r="AM241" s="941" t="s">
        <v>1025</v>
      </c>
      <c r="AO241" s="941" t="s">
        <v>11516</v>
      </c>
    </row>
    <row r="242" spans="2:41">
      <c r="B242" s="941" t="s">
        <v>808</v>
      </c>
      <c r="D242" s="941" t="s">
        <v>1298</v>
      </c>
      <c r="E242" s="941" t="s">
        <v>458</v>
      </c>
      <c r="AL242" s="941" t="s">
        <v>12678</v>
      </c>
      <c r="AM242" s="941" t="s">
        <v>410</v>
      </c>
      <c r="AO242" s="941" t="s">
        <v>11516</v>
      </c>
    </row>
    <row r="243" spans="2:41">
      <c r="B243" s="941" t="s">
        <v>812</v>
      </c>
      <c r="D243" s="941" t="s">
        <v>1299</v>
      </c>
      <c r="E243" s="941" t="s">
        <v>11269</v>
      </c>
      <c r="AL243" s="941" t="s">
        <v>12678</v>
      </c>
      <c r="AM243" s="941" t="s">
        <v>219</v>
      </c>
      <c r="AO243" s="941" t="s">
        <v>11516</v>
      </c>
    </row>
    <row r="244" spans="2:41">
      <c r="B244" s="941" t="s">
        <v>813</v>
      </c>
      <c r="D244" s="941" t="s">
        <v>1300</v>
      </c>
      <c r="E244" s="941" t="s">
        <v>10891</v>
      </c>
      <c r="AL244" s="941" t="s">
        <v>12678</v>
      </c>
      <c r="AM244" s="941" t="s">
        <v>11240</v>
      </c>
      <c r="AO244" s="941" t="s">
        <v>11516</v>
      </c>
    </row>
    <row r="245" spans="2:41">
      <c r="B245" s="941" t="s">
        <v>12332</v>
      </c>
      <c r="D245" s="941" t="s">
        <v>1301</v>
      </c>
      <c r="E245" s="941" t="s">
        <v>6469</v>
      </c>
      <c r="AL245" s="941" t="s">
        <v>12678</v>
      </c>
      <c r="AM245" s="941" t="s">
        <v>11242</v>
      </c>
      <c r="AO245" s="941" t="s">
        <v>11516</v>
      </c>
    </row>
    <row r="246" spans="2:41">
      <c r="B246" s="941" t="s">
        <v>11452</v>
      </c>
      <c r="D246" s="941" t="s">
        <v>1302</v>
      </c>
      <c r="E246" s="941" t="s">
        <v>295</v>
      </c>
      <c r="AL246" s="941" t="s">
        <v>12678</v>
      </c>
      <c r="AM246" s="941" t="s">
        <v>12319</v>
      </c>
      <c r="AO246" s="941" t="s">
        <v>11516</v>
      </c>
    </row>
    <row r="247" spans="2:41">
      <c r="B247" s="941" t="s">
        <v>8430</v>
      </c>
      <c r="D247" s="941" t="s">
        <v>1303</v>
      </c>
      <c r="E247" s="941" t="s">
        <v>8941</v>
      </c>
      <c r="AL247" s="941" t="s">
        <v>12678</v>
      </c>
      <c r="AM247" s="941" t="s">
        <v>629</v>
      </c>
      <c r="AO247" s="941" t="s">
        <v>11516</v>
      </c>
    </row>
    <row r="248" spans="2:41">
      <c r="B248" s="941" t="s">
        <v>816</v>
      </c>
      <c r="D248" s="941" t="s">
        <v>10403</v>
      </c>
      <c r="E248" s="941" t="s">
        <v>11270</v>
      </c>
      <c r="AL248" s="941" t="s">
        <v>12678</v>
      </c>
      <c r="AM248" s="941" t="s">
        <v>195</v>
      </c>
      <c r="AO248" s="941" t="s">
        <v>11516</v>
      </c>
    </row>
    <row r="249" spans="2:41">
      <c r="B249" s="941" t="s">
        <v>820</v>
      </c>
      <c r="D249" s="941" t="s">
        <v>1304</v>
      </c>
      <c r="E249" s="941" t="s">
        <v>7940</v>
      </c>
      <c r="AL249" s="941" t="s">
        <v>12678</v>
      </c>
      <c r="AM249" s="941" t="s">
        <v>4474</v>
      </c>
      <c r="AO249" s="941" t="s">
        <v>11516</v>
      </c>
    </row>
    <row r="250" spans="2:41">
      <c r="B250" s="941" t="s">
        <v>12660</v>
      </c>
      <c r="D250" s="941" t="s">
        <v>1305</v>
      </c>
      <c r="E250" s="941" t="s">
        <v>11160</v>
      </c>
      <c r="AL250" s="941" t="s">
        <v>12678</v>
      </c>
      <c r="AM250" s="941" t="s">
        <v>11253</v>
      </c>
      <c r="AO250" s="941" t="s">
        <v>11516</v>
      </c>
    </row>
    <row r="251" spans="2:41">
      <c r="B251" s="941" t="s">
        <v>8462</v>
      </c>
      <c r="D251" s="941" t="s">
        <v>1306</v>
      </c>
      <c r="E251" s="941" t="s">
        <v>11161</v>
      </c>
      <c r="AL251" s="941" t="s">
        <v>12678</v>
      </c>
      <c r="AM251" s="941" t="s">
        <v>279</v>
      </c>
      <c r="AO251" s="941" t="s">
        <v>11516</v>
      </c>
    </row>
    <row r="252" spans="2:41">
      <c r="B252" s="941" t="s">
        <v>11456</v>
      </c>
      <c r="D252" s="941" t="s">
        <v>1307</v>
      </c>
      <c r="E252" s="941" t="s">
        <v>6656</v>
      </c>
      <c r="AL252" s="941" t="s">
        <v>12678</v>
      </c>
      <c r="AM252" s="941" t="s">
        <v>12339</v>
      </c>
      <c r="AO252" s="941" t="s">
        <v>11516</v>
      </c>
    </row>
    <row r="253" spans="2:41">
      <c r="B253" s="941" t="s">
        <v>828</v>
      </c>
      <c r="D253" s="941" t="s">
        <v>9300</v>
      </c>
      <c r="E253" s="941" t="s">
        <v>11271</v>
      </c>
      <c r="AL253" s="941" t="s">
        <v>12678</v>
      </c>
      <c r="AM253" s="941" t="s">
        <v>1018</v>
      </c>
      <c r="AO253" s="941" t="s">
        <v>11516</v>
      </c>
    </row>
    <row r="254" spans="2:41">
      <c r="B254" s="941" t="s">
        <v>7600</v>
      </c>
      <c r="D254" s="941" t="s">
        <v>1308</v>
      </c>
      <c r="E254" s="941" t="s">
        <v>176</v>
      </c>
      <c r="AL254" s="941" t="s">
        <v>12678</v>
      </c>
      <c r="AM254" s="941" t="s">
        <v>502</v>
      </c>
      <c r="AO254" s="941" t="s">
        <v>11516</v>
      </c>
    </row>
    <row r="255" spans="2:41">
      <c r="B255" s="941" t="s">
        <v>8482</v>
      </c>
      <c r="D255" s="941" t="s">
        <v>1309</v>
      </c>
      <c r="E255" s="941" t="s">
        <v>7811</v>
      </c>
      <c r="AL255" s="941" t="s">
        <v>12678</v>
      </c>
      <c r="AM255" s="941" t="s">
        <v>5523</v>
      </c>
      <c r="AO255" s="941" t="s">
        <v>11516</v>
      </c>
    </row>
    <row r="256" spans="2:41">
      <c r="B256" s="941" t="s">
        <v>8486</v>
      </c>
      <c r="D256" s="941" t="s">
        <v>1310</v>
      </c>
      <c r="E256" s="941" t="s">
        <v>408</v>
      </c>
      <c r="AL256" s="941" t="s">
        <v>12678</v>
      </c>
      <c r="AM256" s="941" t="s">
        <v>11157</v>
      </c>
      <c r="AO256" s="941" t="s">
        <v>11516</v>
      </c>
    </row>
    <row r="257" spans="2:41">
      <c r="B257" s="941" t="s">
        <v>10599</v>
      </c>
      <c r="D257" s="941" t="s">
        <v>1311</v>
      </c>
      <c r="E257" s="941" t="s">
        <v>11272</v>
      </c>
      <c r="AL257" s="941" t="s">
        <v>12678</v>
      </c>
      <c r="AM257" s="941" t="s">
        <v>430</v>
      </c>
      <c r="AO257" s="941" t="s">
        <v>11516</v>
      </c>
    </row>
    <row r="258" spans="2:41">
      <c r="B258" s="941" t="s">
        <v>7887</v>
      </c>
      <c r="D258" s="941" t="s">
        <v>1312</v>
      </c>
      <c r="E258" s="941" t="s">
        <v>10630</v>
      </c>
      <c r="AL258" s="941" t="s">
        <v>12678</v>
      </c>
      <c r="AM258" s="941" t="s">
        <v>10890</v>
      </c>
      <c r="AO258" s="941" t="s">
        <v>11516</v>
      </c>
    </row>
    <row r="259" spans="2:41">
      <c r="B259" s="941" t="s">
        <v>8508</v>
      </c>
      <c r="D259" s="941" t="s">
        <v>1313</v>
      </c>
      <c r="E259" s="941" t="s">
        <v>10631</v>
      </c>
      <c r="AL259" s="941" t="s">
        <v>12678</v>
      </c>
      <c r="AM259" s="941" t="s">
        <v>10892</v>
      </c>
      <c r="AO259" s="941" t="s">
        <v>11516</v>
      </c>
    </row>
    <row r="260" spans="2:41">
      <c r="B260" s="941" t="s">
        <v>12352</v>
      </c>
      <c r="D260" s="941" t="s">
        <v>1314</v>
      </c>
      <c r="E260" s="941" t="s">
        <v>460</v>
      </c>
      <c r="AL260" s="941" t="s">
        <v>12678</v>
      </c>
      <c r="AM260" s="941" t="s">
        <v>11268</v>
      </c>
      <c r="AO260" s="941" t="s">
        <v>11516</v>
      </c>
    </row>
    <row r="261" spans="2:41">
      <c r="B261" s="941" t="s">
        <v>12524</v>
      </c>
      <c r="D261" s="941" t="s">
        <v>1315</v>
      </c>
      <c r="E261" s="941" t="s">
        <v>11273</v>
      </c>
      <c r="AL261" s="941" t="s">
        <v>12678</v>
      </c>
      <c r="AM261" s="941" t="s">
        <v>7940</v>
      </c>
      <c r="AO261" s="941" t="s">
        <v>11516</v>
      </c>
    </row>
    <row r="262" spans="2:41">
      <c r="B262" s="941" t="s">
        <v>835</v>
      </c>
      <c r="D262" s="941" t="s">
        <v>1316</v>
      </c>
      <c r="E262" s="941" t="s">
        <v>177</v>
      </c>
      <c r="AL262" s="941" t="s">
        <v>12678</v>
      </c>
      <c r="AM262" s="941" t="s">
        <v>11275</v>
      </c>
      <c r="AO262" s="941" t="s">
        <v>11516</v>
      </c>
    </row>
    <row r="263" spans="2:41">
      <c r="B263" s="941" t="s">
        <v>837</v>
      </c>
      <c r="D263" s="941" t="s">
        <v>1317</v>
      </c>
      <c r="E263" s="941" t="s">
        <v>6791</v>
      </c>
      <c r="AL263" s="941" t="s">
        <v>12678</v>
      </c>
      <c r="AM263" s="941" t="s">
        <v>11278</v>
      </c>
      <c r="AO263" s="941" t="s">
        <v>11516</v>
      </c>
    </row>
    <row r="264" spans="2:41">
      <c r="B264" s="941" t="s">
        <v>8550</v>
      </c>
      <c r="D264" s="941" t="s">
        <v>1318</v>
      </c>
      <c r="E264" s="941" t="s">
        <v>11162</v>
      </c>
      <c r="AL264" s="941" t="s">
        <v>12678</v>
      </c>
      <c r="AM264" s="941" t="s">
        <v>181</v>
      </c>
      <c r="AO264" s="941" t="s">
        <v>11516</v>
      </c>
    </row>
    <row r="265" spans="2:41">
      <c r="B265" s="941" t="s">
        <v>839</v>
      </c>
      <c r="D265" s="941" t="s">
        <v>1319</v>
      </c>
      <c r="E265" s="941" t="s">
        <v>11274</v>
      </c>
      <c r="AL265" s="941" t="s">
        <v>12680</v>
      </c>
      <c r="AM265" s="941" t="s">
        <v>532</v>
      </c>
      <c r="AO265" s="941" t="s">
        <v>11516</v>
      </c>
    </row>
    <row r="266" spans="2:41">
      <c r="B266" s="941" t="s">
        <v>11508</v>
      </c>
      <c r="D266" s="941" t="s">
        <v>1320</v>
      </c>
      <c r="E266" s="941" t="s">
        <v>11275</v>
      </c>
      <c r="AL266" s="941" t="s">
        <v>12680</v>
      </c>
      <c r="AM266" s="941" t="s">
        <v>10607</v>
      </c>
      <c r="AO266" s="941" t="s">
        <v>11516</v>
      </c>
    </row>
    <row r="267" spans="2:41">
      <c r="B267" s="941" t="s">
        <v>840</v>
      </c>
      <c r="D267" s="941" t="s">
        <v>1321</v>
      </c>
      <c r="E267" s="941" t="s">
        <v>10632</v>
      </c>
      <c r="AL267" s="941" t="s">
        <v>12680</v>
      </c>
      <c r="AM267" s="941" t="s">
        <v>7933</v>
      </c>
      <c r="AO267" s="941" t="s">
        <v>11516</v>
      </c>
    </row>
    <row r="268" spans="2:41">
      <c r="B268" s="941" t="s">
        <v>10600</v>
      </c>
      <c r="D268" s="941" t="s">
        <v>1322</v>
      </c>
      <c r="E268" s="941" t="s">
        <v>7812</v>
      </c>
      <c r="AL268" s="941" t="s">
        <v>12680</v>
      </c>
      <c r="AM268" s="941" t="s">
        <v>10608</v>
      </c>
      <c r="AO268" s="941" t="s">
        <v>11516</v>
      </c>
    </row>
    <row r="269" spans="2:41">
      <c r="B269" s="941" t="s">
        <v>844</v>
      </c>
      <c r="D269" s="941" t="s">
        <v>9301</v>
      </c>
      <c r="E269" s="941" t="s">
        <v>461</v>
      </c>
      <c r="AL269" s="941" t="s">
        <v>12680</v>
      </c>
      <c r="AM269" s="941" t="s">
        <v>10609</v>
      </c>
      <c r="AO269" s="941" t="s">
        <v>11516</v>
      </c>
    </row>
    <row r="270" spans="2:41">
      <c r="B270" s="941" t="s">
        <v>846</v>
      </c>
      <c r="D270" s="941" t="s">
        <v>1323</v>
      </c>
      <c r="E270" s="941" t="s">
        <v>11276</v>
      </c>
      <c r="AL270" s="941" t="s">
        <v>12680</v>
      </c>
      <c r="AM270" s="941" t="s">
        <v>377</v>
      </c>
      <c r="AO270" s="941" t="s">
        <v>11516</v>
      </c>
    </row>
    <row r="271" spans="2:41">
      <c r="B271" s="941" t="s">
        <v>10288</v>
      </c>
      <c r="D271" s="941" t="s">
        <v>1324</v>
      </c>
      <c r="E271" s="941" t="s">
        <v>6922</v>
      </c>
      <c r="AL271" s="941" t="s">
        <v>12680</v>
      </c>
      <c r="AM271" s="941" t="s">
        <v>10610</v>
      </c>
      <c r="AO271" s="941" t="s">
        <v>11516</v>
      </c>
    </row>
    <row r="272" spans="2:41">
      <c r="B272" s="941" t="s">
        <v>11490</v>
      </c>
      <c r="D272" s="941" t="s">
        <v>1325</v>
      </c>
      <c r="E272" s="941" t="s">
        <v>298</v>
      </c>
      <c r="AL272" s="941" t="s">
        <v>12680</v>
      </c>
      <c r="AM272" s="941" t="s">
        <v>11216</v>
      </c>
      <c r="AO272" s="941" t="s">
        <v>11516</v>
      </c>
    </row>
    <row r="273" spans="2:41">
      <c r="B273" s="941" t="s">
        <v>10498</v>
      </c>
      <c r="D273" s="941" t="s">
        <v>1326</v>
      </c>
      <c r="E273" s="941" t="s">
        <v>655</v>
      </c>
      <c r="AL273" s="941" t="s">
        <v>12680</v>
      </c>
      <c r="AM273" s="941" t="s">
        <v>11218</v>
      </c>
      <c r="AO273" s="941" t="s">
        <v>11516</v>
      </c>
    </row>
    <row r="274" spans="2:41">
      <c r="B274" s="941" t="s">
        <v>7962</v>
      </c>
      <c r="D274" s="941" t="s">
        <v>1327</v>
      </c>
      <c r="E274" s="941" t="s">
        <v>6985</v>
      </c>
      <c r="AL274" s="941" t="s">
        <v>12680</v>
      </c>
      <c r="AM274" s="941" t="s">
        <v>11221</v>
      </c>
      <c r="AO274" s="941" t="s">
        <v>11516</v>
      </c>
    </row>
    <row r="275" spans="2:41">
      <c r="B275" s="941" t="s">
        <v>8609</v>
      </c>
      <c r="D275" s="941" t="s">
        <v>1328</v>
      </c>
      <c r="E275" s="941" t="s">
        <v>6996</v>
      </c>
      <c r="AL275" s="941" t="s">
        <v>12680</v>
      </c>
      <c r="AM275" s="941" t="s">
        <v>11222</v>
      </c>
      <c r="AO275" s="941" t="s">
        <v>11516</v>
      </c>
    </row>
    <row r="276" spans="2:41">
      <c r="B276" s="941" t="s">
        <v>10176</v>
      </c>
      <c r="D276" s="941" t="s">
        <v>1329</v>
      </c>
      <c r="E276" s="941" t="s">
        <v>3</v>
      </c>
      <c r="AL276" s="941" t="s">
        <v>12680</v>
      </c>
      <c r="AM276" s="941" t="s">
        <v>10611</v>
      </c>
      <c r="AO276" s="941" t="s">
        <v>11516</v>
      </c>
    </row>
    <row r="277" spans="2:41">
      <c r="B277" s="941" t="s">
        <v>10177</v>
      </c>
      <c r="D277" s="941" t="s">
        <v>1330</v>
      </c>
      <c r="E277" s="941" t="s">
        <v>11277</v>
      </c>
      <c r="AL277" s="941" t="s">
        <v>12680</v>
      </c>
      <c r="AM277" s="941" t="s">
        <v>11224</v>
      </c>
      <c r="AO277" s="941" t="s">
        <v>11516</v>
      </c>
    </row>
    <row r="278" spans="2:41">
      <c r="B278" s="941" t="s">
        <v>10178</v>
      </c>
      <c r="D278" s="941" t="s">
        <v>1331</v>
      </c>
      <c r="E278" s="941" t="s">
        <v>11278</v>
      </c>
      <c r="AL278" s="941" t="s">
        <v>12680</v>
      </c>
      <c r="AM278" s="941" t="s">
        <v>2327</v>
      </c>
      <c r="AO278" s="941" t="s">
        <v>11516</v>
      </c>
    </row>
    <row r="279" spans="2:41">
      <c r="B279" s="941" t="s">
        <v>851</v>
      </c>
      <c r="D279" s="941" t="s">
        <v>1332</v>
      </c>
      <c r="E279" s="941" t="s">
        <v>7137</v>
      </c>
      <c r="AL279" s="941" t="s">
        <v>12680</v>
      </c>
      <c r="AM279" s="941" t="s">
        <v>10612</v>
      </c>
      <c r="AO279" s="941" t="s">
        <v>11516</v>
      </c>
    </row>
    <row r="280" spans="2:41">
      <c r="B280" s="941" t="s">
        <v>8612</v>
      </c>
      <c r="D280" s="941" t="s">
        <v>1333</v>
      </c>
      <c r="E280" s="941" t="s">
        <v>7224</v>
      </c>
      <c r="AL280" s="941" t="s">
        <v>12680</v>
      </c>
      <c r="AM280" s="941" t="s">
        <v>10613</v>
      </c>
      <c r="AO280" s="941" t="s">
        <v>11516</v>
      </c>
    </row>
    <row r="281" spans="2:41">
      <c r="B281" s="941" t="s">
        <v>852</v>
      </c>
      <c r="D281" s="941" t="s">
        <v>9302</v>
      </c>
      <c r="E281" s="941" t="s">
        <v>7231</v>
      </c>
      <c r="AL281" s="941" t="s">
        <v>12680</v>
      </c>
      <c r="AM281" s="941" t="s">
        <v>526</v>
      </c>
      <c r="AO281" s="941" t="s">
        <v>11516</v>
      </c>
    </row>
    <row r="282" spans="2:41">
      <c r="B282" s="941" t="s">
        <v>7963</v>
      </c>
      <c r="D282" s="941" t="s">
        <v>1334</v>
      </c>
      <c r="E282" s="941" t="s">
        <v>10633</v>
      </c>
      <c r="AL282" s="941" t="s">
        <v>12680</v>
      </c>
      <c r="AM282" s="941" t="s">
        <v>10614</v>
      </c>
      <c r="AO282" s="941" t="s">
        <v>11516</v>
      </c>
    </row>
    <row r="283" spans="2:41">
      <c r="B283" s="941" t="s">
        <v>10179</v>
      </c>
      <c r="D283" s="941" t="s">
        <v>1335</v>
      </c>
      <c r="E283" s="941" t="s">
        <v>7814</v>
      </c>
      <c r="AL283" s="941" t="s">
        <v>12680</v>
      </c>
      <c r="AM283" s="941" t="s">
        <v>397</v>
      </c>
      <c r="AO283" s="941" t="s">
        <v>11516</v>
      </c>
    </row>
    <row r="284" spans="2:41">
      <c r="B284" s="941" t="s">
        <v>8615</v>
      </c>
      <c r="D284" s="941" t="s">
        <v>1336</v>
      </c>
      <c r="E284" s="941" t="s">
        <v>10134</v>
      </c>
      <c r="AL284" s="941" t="s">
        <v>12680</v>
      </c>
      <c r="AM284" s="941" t="s">
        <v>11234</v>
      </c>
      <c r="AO284" s="941" t="s">
        <v>11516</v>
      </c>
    </row>
    <row r="285" spans="2:41">
      <c r="B285" s="941" t="s">
        <v>5319</v>
      </c>
      <c r="D285" s="941" t="s">
        <v>1337</v>
      </c>
      <c r="E285" s="941" t="s">
        <v>464</v>
      </c>
      <c r="AL285" s="941" t="s">
        <v>12680</v>
      </c>
      <c r="AM285" s="941" t="s">
        <v>10615</v>
      </c>
      <c r="AO285" s="941" t="s">
        <v>11516</v>
      </c>
    </row>
    <row r="286" spans="2:41">
      <c r="B286" s="941" t="s">
        <v>11204</v>
      </c>
      <c r="D286" s="941" t="s">
        <v>1338</v>
      </c>
      <c r="E286" s="941" t="s">
        <v>10435</v>
      </c>
      <c r="AL286" s="941" t="s">
        <v>12680</v>
      </c>
      <c r="AM286" s="941" t="s">
        <v>3289</v>
      </c>
      <c r="AO286" s="941" t="s">
        <v>11516</v>
      </c>
    </row>
    <row r="287" spans="2:41">
      <c r="B287" s="941" t="s">
        <v>11464</v>
      </c>
      <c r="D287" s="941" t="s">
        <v>1339</v>
      </c>
      <c r="E287" s="941" t="s">
        <v>10909</v>
      </c>
      <c r="AL287" s="941" t="s">
        <v>12680</v>
      </c>
      <c r="AM287" s="941" t="s">
        <v>11241</v>
      </c>
      <c r="AO287" s="941" t="s">
        <v>11516</v>
      </c>
    </row>
    <row r="288" spans="2:41">
      <c r="B288" s="941" t="s">
        <v>853</v>
      </c>
      <c r="D288" s="941" t="s">
        <v>1340</v>
      </c>
      <c r="E288" s="941" t="s">
        <v>11279</v>
      </c>
      <c r="AL288" s="941" t="s">
        <v>12680</v>
      </c>
      <c r="AM288" s="941" t="s">
        <v>10616</v>
      </c>
      <c r="AO288" s="941" t="s">
        <v>11516</v>
      </c>
    </row>
    <row r="289" spans="2:41">
      <c r="B289" s="941" t="s">
        <v>9663</v>
      </c>
      <c r="D289" s="941" t="s">
        <v>10507</v>
      </c>
      <c r="E289" s="941" t="s">
        <v>609</v>
      </c>
      <c r="AL289" s="941" t="s">
        <v>12680</v>
      </c>
      <c r="AM289" s="941" t="s">
        <v>11243</v>
      </c>
      <c r="AO289" s="941" t="s">
        <v>11516</v>
      </c>
    </row>
    <row r="290" spans="2:41">
      <c r="B290" s="941" t="s">
        <v>854</v>
      </c>
      <c r="D290" s="941" t="s">
        <v>1341</v>
      </c>
      <c r="E290" s="941" t="s">
        <v>7815</v>
      </c>
      <c r="AL290" s="941" t="s">
        <v>12680</v>
      </c>
      <c r="AM290" s="941" t="s">
        <v>468</v>
      </c>
      <c r="AO290" s="941" t="s">
        <v>11516</v>
      </c>
    </row>
    <row r="291" spans="2:41">
      <c r="B291" s="941" t="s">
        <v>11054</v>
      </c>
      <c r="D291" s="941" t="s">
        <v>1342</v>
      </c>
      <c r="E291" s="941" t="s">
        <v>181</v>
      </c>
      <c r="AL291" s="941" t="s">
        <v>12680</v>
      </c>
      <c r="AM291" s="941" t="s">
        <v>10617</v>
      </c>
      <c r="AO291" s="941" t="s">
        <v>11516</v>
      </c>
    </row>
    <row r="292" spans="2:41">
      <c r="B292" s="941" t="s">
        <v>855</v>
      </c>
      <c r="D292" s="941" t="s">
        <v>1343</v>
      </c>
      <c r="E292" s="941" t="s">
        <v>7508</v>
      </c>
      <c r="AL292" s="941" t="s">
        <v>12680</v>
      </c>
      <c r="AM292" s="941" t="s">
        <v>499</v>
      </c>
      <c r="AO292" s="941" t="s">
        <v>11516</v>
      </c>
    </row>
    <row r="293" spans="2:41">
      <c r="B293" s="941" t="s">
        <v>858</v>
      </c>
      <c r="D293" s="941" t="s">
        <v>1344</v>
      </c>
      <c r="E293" s="941" t="s">
        <v>7525</v>
      </c>
      <c r="AL293" s="941" t="s">
        <v>12680</v>
      </c>
      <c r="AM293" s="941" t="s">
        <v>188</v>
      </c>
      <c r="AO293" s="941" t="s">
        <v>11516</v>
      </c>
    </row>
    <row r="294" spans="2:41">
      <c r="B294" s="941" t="s">
        <v>862</v>
      </c>
      <c r="D294" s="941" t="s">
        <v>1345</v>
      </c>
      <c r="E294" s="941" t="s">
        <v>10577</v>
      </c>
      <c r="AL294" s="941" t="s">
        <v>12680</v>
      </c>
      <c r="AM294" s="941" t="s">
        <v>10618</v>
      </c>
      <c r="AO294" s="941" t="s">
        <v>11516</v>
      </c>
    </row>
    <row r="295" spans="2:41">
      <c r="B295" s="941" t="s">
        <v>11193</v>
      </c>
      <c r="D295" s="941" t="s">
        <v>1346</v>
      </c>
      <c r="E295" s="941" t="s">
        <v>568</v>
      </c>
      <c r="AL295" s="941" t="s">
        <v>12680</v>
      </c>
      <c r="AM295" s="941" t="s">
        <v>11249</v>
      </c>
      <c r="AO295" s="941" t="s">
        <v>11516</v>
      </c>
    </row>
    <row r="296" spans="2:41">
      <c r="B296" s="941" t="s">
        <v>12343</v>
      </c>
      <c r="D296" s="941" t="s">
        <v>1347</v>
      </c>
      <c r="E296" s="941" t="s">
        <v>264</v>
      </c>
      <c r="AL296" s="941" t="s">
        <v>12680</v>
      </c>
      <c r="AM296" s="941" t="s">
        <v>10619</v>
      </c>
      <c r="AO296" s="941" t="s">
        <v>11516</v>
      </c>
    </row>
    <row r="297" spans="2:41">
      <c r="B297" s="941" t="s">
        <v>8650</v>
      </c>
      <c r="D297" s="941" t="s">
        <v>1348</v>
      </c>
      <c r="E297" s="941" t="s">
        <v>265</v>
      </c>
      <c r="AL297" s="941" t="s">
        <v>12680</v>
      </c>
      <c r="AM297" s="941" t="s">
        <v>10620</v>
      </c>
      <c r="AO297" s="941" t="s">
        <v>11516</v>
      </c>
    </row>
    <row r="298" spans="2:41">
      <c r="B298" s="941" t="s">
        <v>864</v>
      </c>
      <c r="D298" s="941" t="s">
        <v>1349</v>
      </c>
      <c r="E298" s="941" t="s">
        <v>10239</v>
      </c>
      <c r="AL298" s="941" t="s">
        <v>12680</v>
      </c>
      <c r="AM298" s="941" t="s">
        <v>10621</v>
      </c>
      <c r="AO298" s="941" t="s">
        <v>11516</v>
      </c>
    </row>
    <row r="299" spans="2:41">
      <c r="B299" s="941" t="s">
        <v>865</v>
      </c>
      <c r="D299" s="941" t="s">
        <v>1350</v>
      </c>
      <c r="E299" s="941" t="s">
        <v>10240</v>
      </c>
      <c r="AL299" s="941" t="s">
        <v>12680</v>
      </c>
      <c r="AM299" s="941" t="s">
        <v>4289</v>
      </c>
      <c r="AO299" s="941" t="s">
        <v>11516</v>
      </c>
    </row>
    <row r="300" spans="2:41">
      <c r="B300" s="941" t="s">
        <v>10901</v>
      </c>
      <c r="D300" s="941" t="s">
        <v>1351</v>
      </c>
      <c r="E300" s="941" t="s">
        <v>10564</v>
      </c>
      <c r="AL300" s="941" t="s">
        <v>12680</v>
      </c>
      <c r="AM300" s="941" t="s">
        <v>10622</v>
      </c>
      <c r="AO300" s="941" t="s">
        <v>11516</v>
      </c>
    </row>
    <row r="301" spans="2:41">
      <c r="B301" s="941" t="s">
        <v>12321</v>
      </c>
      <c r="D301" s="941" t="s">
        <v>1352</v>
      </c>
      <c r="E301" s="941" t="s">
        <v>266</v>
      </c>
      <c r="AL301" s="941" t="s">
        <v>12680</v>
      </c>
      <c r="AM301" s="941" t="s">
        <v>8375</v>
      </c>
      <c r="AO301" s="941" t="s">
        <v>11516</v>
      </c>
    </row>
    <row r="302" spans="2:41">
      <c r="B302" s="941" t="s">
        <v>8681</v>
      </c>
      <c r="D302" s="941" t="s">
        <v>1353</v>
      </c>
      <c r="E302" s="941" t="s">
        <v>11080</v>
      </c>
      <c r="AL302" s="941" t="s">
        <v>12680</v>
      </c>
      <c r="AM302" s="941" t="s">
        <v>654</v>
      </c>
      <c r="AO302" s="941" t="s">
        <v>11516</v>
      </c>
    </row>
    <row r="303" spans="2:41">
      <c r="B303" s="941" t="s">
        <v>8687</v>
      </c>
      <c r="D303" s="941" t="s">
        <v>1354</v>
      </c>
      <c r="E303" s="941" t="s">
        <v>10340</v>
      </c>
      <c r="AL303" s="941" t="s">
        <v>12680</v>
      </c>
      <c r="AM303" s="941" t="s">
        <v>10623</v>
      </c>
      <c r="AO303" s="941" t="s">
        <v>11516</v>
      </c>
    </row>
    <row r="304" spans="2:41">
      <c r="B304" s="941" t="s">
        <v>7966</v>
      </c>
      <c r="D304" s="941" t="s">
        <v>1355</v>
      </c>
      <c r="E304" s="941" t="s">
        <v>7937</v>
      </c>
      <c r="AL304" s="941" t="s">
        <v>12680</v>
      </c>
      <c r="AM304" s="941" t="s">
        <v>399</v>
      </c>
      <c r="AO304" s="941" t="s">
        <v>11516</v>
      </c>
    </row>
    <row r="305" spans="2:41">
      <c r="B305" s="941" t="s">
        <v>7606</v>
      </c>
      <c r="D305" s="941" t="s">
        <v>10404</v>
      </c>
      <c r="E305" s="941" t="s">
        <v>267</v>
      </c>
      <c r="AL305" s="941" t="s">
        <v>12680</v>
      </c>
      <c r="AM305" s="941" t="s">
        <v>10624</v>
      </c>
      <c r="AO305" s="941" t="s">
        <v>11516</v>
      </c>
    </row>
    <row r="306" spans="2:41">
      <c r="B306" s="941" t="s">
        <v>871</v>
      </c>
      <c r="D306" s="941" t="s">
        <v>1356</v>
      </c>
      <c r="E306" s="941" t="s">
        <v>588</v>
      </c>
      <c r="AL306" s="941" t="s">
        <v>12680</v>
      </c>
      <c r="AM306" s="941" t="s">
        <v>340</v>
      </c>
      <c r="AO306" s="941" t="s">
        <v>11516</v>
      </c>
    </row>
    <row r="307" spans="2:41">
      <c r="B307" s="941" t="s">
        <v>872</v>
      </c>
      <c r="D307" s="941" t="s">
        <v>1357</v>
      </c>
      <c r="E307" s="941" t="s">
        <v>268</v>
      </c>
      <c r="AL307" s="941" t="s">
        <v>12680</v>
      </c>
      <c r="AM307" s="941" t="s">
        <v>5083</v>
      </c>
      <c r="AO307" s="941" t="s">
        <v>11516</v>
      </c>
    </row>
    <row r="308" spans="2:41">
      <c r="B308" s="941" t="s">
        <v>873</v>
      </c>
      <c r="D308" s="941" t="s">
        <v>1358</v>
      </c>
      <c r="E308" s="941" t="s">
        <v>269</v>
      </c>
      <c r="AL308" s="941" t="s">
        <v>12680</v>
      </c>
      <c r="AM308" s="941" t="s">
        <v>10625</v>
      </c>
      <c r="AO308" s="941" t="s">
        <v>11516</v>
      </c>
    </row>
    <row r="309" spans="2:41">
      <c r="B309" s="941" t="s">
        <v>8700</v>
      </c>
      <c r="D309" s="941" t="s">
        <v>1359</v>
      </c>
      <c r="E309" s="941" t="s">
        <v>270</v>
      </c>
      <c r="AL309" s="941" t="s">
        <v>12680</v>
      </c>
      <c r="AM309" s="941" t="s">
        <v>10626</v>
      </c>
      <c r="AO309" s="941" t="s">
        <v>11516</v>
      </c>
    </row>
    <row r="310" spans="2:41">
      <c r="B310" s="941" t="s">
        <v>8701</v>
      </c>
      <c r="D310" s="941" t="s">
        <v>9303</v>
      </c>
      <c r="E310" s="941" t="s">
        <v>271</v>
      </c>
      <c r="AL310" s="941" t="s">
        <v>12680</v>
      </c>
      <c r="AM310" s="941" t="s">
        <v>11260</v>
      </c>
      <c r="AO310" s="941" t="s">
        <v>11516</v>
      </c>
    </row>
    <row r="311" spans="2:41">
      <c r="B311" s="941" t="s">
        <v>8705</v>
      </c>
      <c r="D311" s="941" t="s">
        <v>1360</v>
      </c>
      <c r="E311" s="941" t="s">
        <v>7938</v>
      </c>
      <c r="AL311" s="941" t="s">
        <v>12680</v>
      </c>
      <c r="AM311" s="941" t="s">
        <v>1027</v>
      </c>
      <c r="AO311" s="941" t="s">
        <v>11516</v>
      </c>
    </row>
    <row r="312" spans="2:41">
      <c r="B312" s="941" t="s">
        <v>8711</v>
      </c>
      <c r="D312" s="941" t="s">
        <v>1361</v>
      </c>
      <c r="E312" s="941" t="s">
        <v>299</v>
      </c>
      <c r="AL312" s="941" t="s">
        <v>12680</v>
      </c>
      <c r="AM312" s="941" t="s">
        <v>280</v>
      </c>
      <c r="AO312" s="941" t="s">
        <v>11516</v>
      </c>
    </row>
    <row r="313" spans="2:41">
      <c r="B313" s="941" t="s">
        <v>877</v>
      </c>
      <c r="D313" s="941" t="s">
        <v>1362</v>
      </c>
      <c r="E313" s="941" t="s">
        <v>341</v>
      </c>
      <c r="AL313" s="941" t="s">
        <v>12680</v>
      </c>
      <c r="AM313" s="941" t="s">
        <v>422</v>
      </c>
      <c r="AO313" s="941" t="s">
        <v>11516</v>
      </c>
    </row>
    <row r="314" spans="2:41">
      <c r="B314" s="941" t="s">
        <v>878</v>
      </c>
      <c r="D314" s="941" t="s">
        <v>49</v>
      </c>
      <c r="E314" s="941" t="s">
        <v>272</v>
      </c>
      <c r="AL314" s="941" t="s">
        <v>12680</v>
      </c>
      <c r="AM314" s="941" t="s">
        <v>1028</v>
      </c>
      <c r="AO314" s="941" t="s">
        <v>11516</v>
      </c>
    </row>
    <row r="315" spans="2:41">
      <c r="B315" s="941" t="s">
        <v>879</v>
      </c>
      <c r="D315" s="941" t="s">
        <v>1363</v>
      </c>
      <c r="E315" s="941" t="s">
        <v>273</v>
      </c>
      <c r="AL315" s="941" t="s">
        <v>12680</v>
      </c>
      <c r="AM315" s="941" t="s">
        <v>435</v>
      </c>
      <c r="AO315" s="941" t="s">
        <v>11516</v>
      </c>
    </row>
    <row r="316" spans="2:41">
      <c r="B316" s="941" t="s">
        <v>880</v>
      </c>
      <c r="D316" s="941" t="s">
        <v>1364</v>
      </c>
      <c r="E316" s="941" t="s">
        <v>400</v>
      </c>
      <c r="AL316" s="941" t="s">
        <v>12680</v>
      </c>
      <c r="AM316" s="941" t="s">
        <v>10628</v>
      </c>
      <c r="AO316" s="941" t="s">
        <v>11516</v>
      </c>
    </row>
    <row r="317" spans="2:41">
      <c r="B317" s="941" t="s">
        <v>10302</v>
      </c>
      <c r="D317" s="941" t="s">
        <v>1365</v>
      </c>
      <c r="E317" s="941" t="s">
        <v>274</v>
      </c>
      <c r="AL317" s="941" t="s">
        <v>12680</v>
      </c>
      <c r="AM317" s="941" t="s">
        <v>8870</v>
      </c>
      <c r="AO317" s="941" t="s">
        <v>11516</v>
      </c>
    </row>
    <row r="318" spans="2:41">
      <c r="B318" s="941" t="s">
        <v>882</v>
      </c>
      <c r="D318" s="941" t="s">
        <v>1366</v>
      </c>
      <c r="E318" s="941" t="s">
        <v>401</v>
      </c>
      <c r="AL318" s="941" t="s">
        <v>12680</v>
      </c>
      <c r="AM318" s="941" t="s">
        <v>10629</v>
      </c>
      <c r="AO318" s="941" t="s">
        <v>11516</v>
      </c>
    </row>
    <row r="319" spans="2:41">
      <c r="B319" s="941" t="s">
        <v>9932</v>
      </c>
      <c r="D319" s="941" t="s">
        <v>1367</v>
      </c>
      <c r="E319" s="941" t="s">
        <v>7807</v>
      </c>
      <c r="AL319" s="941" t="s">
        <v>12680</v>
      </c>
      <c r="AM319" s="941" t="s">
        <v>593</v>
      </c>
      <c r="AO319" s="941" t="s">
        <v>11516</v>
      </c>
    </row>
    <row r="320" spans="2:41">
      <c r="B320" s="941" t="s">
        <v>8736</v>
      </c>
      <c r="D320" s="941" t="s">
        <v>10368</v>
      </c>
      <c r="E320" s="941" t="s">
        <v>5083</v>
      </c>
      <c r="AL320" s="941" t="s">
        <v>12680</v>
      </c>
      <c r="AM320" s="941" t="s">
        <v>6469</v>
      </c>
      <c r="AO320" s="941" t="s">
        <v>11516</v>
      </c>
    </row>
    <row r="321" spans="2:41">
      <c r="B321" s="941" t="s">
        <v>884</v>
      </c>
      <c r="D321" s="941" t="s">
        <v>1368</v>
      </c>
      <c r="E321" s="941" t="s">
        <v>572</v>
      </c>
      <c r="AL321" s="941" t="s">
        <v>12680</v>
      </c>
      <c r="AM321" s="941" t="s">
        <v>8941</v>
      </c>
      <c r="AO321" s="941" t="s">
        <v>11516</v>
      </c>
    </row>
    <row r="322" spans="2:41">
      <c r="B322" s="941" t="s">
        <v>8746</v>
      </c>
      <c r="D322" s="941" t="s">
        <v>9304</v>
      </c>
      <c r="E322" s="941" t="s">
        <v>237</v>
      </c>
      <c r="AL322" s="941" t="s">
        <v>12680</v>
      </c>
      <c r="AM322" s="941" t="s">
        <v>6656</v>
      </c>
      <c r="AO322" s="941" t="s">
        <v>11516</v>
      </c>
    </row>
    <row r="323" spans="2:41">
      <c r="B323" s="941" t="s">
        <v>12353</v>
      </c>
      <c r="D323" s="941" t="s">
        <v>1369</v>
      </c>
      <c r="E323" s="941" t="s">
        <v>275</v>
      </c>
      <c r="AL323" s="941" t="s">
        <v>12680</v>
      </c>
      <c r="AM323" s="941" t="s">
        <v>10630</v>
      </c>
      <c r="AO323" s="941" t="s">
        <v>11516</v>
      </c>
    </row>
    <row r="324" spans="2:41">
      <c r="B324" s="941" t="s">
        <v>889</v>
      </c>
      <c r="D324" s="941" t="s">
        <v>1370</v>
      </c>
      <c r="E324" s="941" t="s">
        <v>409</v>
      </c>
      <c r="AL324" s="941" t="s">
        <v>12680</v>
      </c>
      <c r="AM324" s="941" t="s">
        <v>10631</v>
      </c>
      <c r="AO324" s="941" t="s">
        <v>11516</v>
      </c>
    </row>
    <row r="325" spans="2:41">
      <c r="B325" s="941" t="s">
        <v>892</v>
      </c>
      <c r="D325" s="941" t="s">
        <v>1371</v>
      </c>
      <c r="E325" s="941" t="s">
        <v>276</v>
      </c>
      <c r="AL325" s="941" t="s">
        <v>12680</v>
      </c>
      <c r="AM325" s="941" t="s">
        <v>177</v>
      </c>
      <c r="AO325" s="941" t="s">
        <v>11516</v>
      </c>
    </row>
    <row r="326" spans="2:41">
      <c r="B326" s="941" t="s">
        <v>10180</v>
      </c>
      <c r="D326" s="941" t="s">
        <v>1372</v>
      </c>
      <c r="E326" s="941" t="s">
        <v>53</v>
      </c>
      <c r="AL326" s="941" t="s">
        <v>12680</v>
      </c>
      <c r="AM326" s="941" t="s">
        <v>10632</v>
      </c>
      <c r="AO326" s="941" t="s">
        <v>11516</v>
      </c>
    </row>
    <row r="327" spans="2:41">
      <c r="B327" s="941" t="s">
        <v>5872</v>
      </c>
      <c r="D327" s="941" t="s">
        <v>1373</v>
      </c>
      <c r="E327" s="941" t="s">
        <v>11154</v>
      </c>
      <c r="AL327" s="941" t="s">
        <v>12680</v>
      </c>
      <c r="AM327" s="941" t="s">
        <v>655</v>
      </c>
      <c r="AO327" s="941" t="s">
        <v>11516</v>
      </c>
    </row>
    <row r="328" spans="2:41">
      <c r="B328" s="941" t="s">
        <v>895</v>
      </c>
      <c r="D328" s="941" t="s">
        <v>1374</v>
      </c>
      <c r="E328" s="941" t="s">
        <v>402</v>
      </c>
      <c r="AL328" s="941" t="s">
        <v>12680</v>
      </c>
      <c r="AM328" s="941" t="s">
        <v>10633</v>
      </c>
      <c r="AO328" s="941" t="s">
        <v>11516</v>
      </c>
    </row>
    <row r="329" spans="2:41">
      <c r="B329" s="941" t="s">
        <v>10016</v>
      </c>
      <c r="D329" s="941" t="s">
        <v>1375</v>
      </c>
      <c r="E329" s="941" t="s">
        <v>11081</v>
      </c>
      <c r="AL329" s="941" t="s">
        <v>12680</v>
      </c>
      <c r="AM329" s="941" t="s">
        <v>609</v>
      </c>
      <c r="AO329" s="941" t="s">
        <v>11516</v>
      </c>
    </row>
    <row r="330" spans="2:41">
      <c r="B330" s="941" t="s">
        <v>896</v>
      </c>
      <c r="D330" s="941" t="s">
        <v>1376</v>
      </c>
      <c r="E330" s="941" t="s">
        <v>1026</v>
      </c>
      <c r="AL330" s="941" t="s">
        <v>12680</v>
      </c>
      <c r="AM330" s="941" t="s">
        <v>7508</v>
      </c>
      <c r="AO330" s="941" t="s">
        <v>11516</v>
      </c>
    </row>
    <row r="331" spans="2:41">
      <c r="B331" s="941" t="s">
        <v>9650</v>
      </c>
      <c r="D331" s="941" t="s">
        <v>1377</v>
      </c>
      <c r="E331" s="941" t="s">
        <v>498</v>
      </c>
      <c r="AL331" s="941" t="s">
        <v>12527</v>
      </c>
      <c r="AM331" s="941" t="s">
        <v>10607</v>
      </c>
      <c r="AO331" s="941" t="s">
        <v>11359</v>
      </c>
    </row>
    <row r="332" spans="2:41">
      <c r="B332" s="941" t="s">
        <v>7969</v>
      </c>
      <c r="D332" s="941" t="s">
        <v>1378</v>
      </c>
      <c r="E332" s="941" t="s">
        <v>10625</v>
      </c>
      <c r="AL332" s="941" t="s">
        <v>12527</v>
      </c>
      <c r="AM332" s="941" t="s">
        <v>377</v>
      </c>
      <c r="AO332" s="941" t="s">
        <v>11359</v>
      </c>
    </row>
    <row r="333" spans="2:41">
      <c r="B333" s="941" t="s">
        <v>9972</v>
      </c>
      <c r="D333" s="941" t="s">
        <v>1379</v>
      </c>
      <c r="E333" s="941" t="s">
        <v>277</v>
      </c>
      <c r="AL333" s="941" t="s">
        <v>12527</v>
      </c>
      <c r="AM333" s="941" t="s">
        <v>11224</v>
      </c>
      <c r="AO333" s="941" t="s">
        <v>11359</v>
      </c>
    </row>
    <row r="334" spans="2:41">
      <c r="B334" s="941" t="s">
        <v>905</v>
      </c>
      <c r="D334" s="941" t="s">
        <v>1380</v>
      </c>
      <c r="E334" s="941" t="s">
        <v>278</v>
      </c>
      <c r="AL334" s="941" t="s">
        <v>12527</v>
      </c>
      <c r="AM334" s="941" t="s">
        <v>2327</v>
      </c>
      <c r="AO334" s="941" t="s">
        <v>11359</v>
      </c>
    </row>
    <row r="335" spans="2:41">
      <c r="B335" s="941" t="s">
        <v>8806</v>
      </c>
      <c r="D335" s="941" t="s">
        <v>1381</v>
      </c>
      <c r="E335" s="941" t="s">
        <v>403</v>
      </c>
      <c r="AL335" s="941" t="s">
        <v>12527</v>
      </c>
      <c r="AM335" s="941" t="s">
        <v>12561</v>
      </c>
      <c r="AO335" s="941" t="s">
        <v>11359</v>
      </c>
    </row>
    <row r="336" spans="2:41">
      <c r="B336" s="941" t="s">
        <v>906</v>
      </c>
      <c r="D336" s="941" t="s">
        <v>1382</v>
      </c>
      <c r="E336" s="941" t="s">
        <v>10626</v>
      </c>
      <c r="AL336" s="941" t="s">
        <v>12527</v>
      </c>
      <c r="AM336" s="941" t="s">
        <v>10612</v>
      </c>
      <c r="AO336" s="941" t="s">
        <v>11359</v>
      </c>
    </row>
    <row r="337" spans="2:41">
      <c r="B337" s="941" t="s">
        <v>8810</v>
      </c>
      <c r="D337" s="941" t="s">
        <v>1383</v>
      </c>
      <c r="E337" s="941" t="s">
        <v>7980</v>
      </c>
      <c r="AL337" s="941" t="s">
        <v>12527</v>
      </c>
      <c r="AM337" s="941" t="s">
        <v>12562</v>
      </c>
      <c r="AO337" s="941" t="s">
        <v>11359</v>
      </c>
    </row>
    <row r="338" spans="2:41">
      <c r="B338" s="941" t="s">
        <v>8812</v>
      </c>
      <c r="D338" s="941" t="s">
        <v>1384</v>
      </c>
      <c r="E338" s="941" t="s">
        <v>279</v>
      </c>
      <c r="AL338" s="941" t="s">
        <v>12527</v>
      </c>
      <c r="AM338" s="941" t="s">
        <v>397</v>
      </c>
      <c r="AO338" s="941" t="s">
        <v>11359</v>
      </c>
    </row>
    <row r="339" spans="2:41">
      <c r="B339" s="941" t="s">
        <v>908</v>
      </c>
      <c r="D339" s="941" t="s">
        <v>1385</v>
      </c>
      <c r="E339" s="941" t="s">
        <v>10578</v>
      </c>
      <c r="AL339" s="941" t="s">
        <v>12527</v>
      </c>
      <c r="AM339" s="941" t="s">
        <v>12563</v>
      </c>
      <c r="AO339" s="941" t="s">
        <v>11359</v>
      </c>
    </row>
    <row r="340" spans="2:41">
      <c r="B340" s="941" t="s">
        <v>911</v>
      </c>
      <c r="D340" s="941" t="s">
        <v>1386</v>
      </c>
      <c r="E340" s="941" t="s">
        <v>355</v>
      </c>
      <c r="AL340" s="941" t="s">
        <v>12527</v>
      </c>
      <c r="AM340" s="941" t="s">
        <v>188</v>
      </c>
      <c r="AO340" s="941" t="s">
        <v>11359</v>
      </c>
    </row>
    <row r="341" spans="2:41">
      <c r="B341" s="941" t="s">
        <v>10215</v>
      </c>
      <c r="D341" s="941" t="s">
        <v>1387</v>
      </c>
      <c r="E341" s="941" t="s">
        <v>5327</v>
      </c>
      <c r="AL341" s="941" t="s">
        <v>12527</v>
      </c>
      <c r="AM341" s="941" t="s">
        <v>11249</v>
      </c>
      <c r="AO341" s="941" t="s">
        <v>11359</v>
      </c>
    </row>
    <row r="342" spans="2:41">
      <c r="B342" s="941" t="s">
        <v>10216</v>
      </c>
      <c r="D342" s="941" t="s">
        <v>10188</v>
      </c>
      <c r="E342" s="941" t="s">
        <v>1027</v>
      </c>
      <c r="AL342" s="941" t="s">
        <v>12527</v>
      </c>
      <c r="AM342" s="941" t="s">
        <v>12564</v>
      </c>
      <c r="AO342" s="941" t="s">
        <v>11359</v>
      </c>
    </row>
    <row r="343" spans="2:41">
      <c r="B343" s="941" t="s">
        <v>10575</v>
      </c>
      <c r="D343" s="941" t="s">
        <v>9305</v>
      </c>
      <c r="E343" s="941" t="s">
        <v>11155</v>
      </c>
      <c r="AL343" s="941" t="s">
        <v>12527</v>
      </c>
      <c r="AM343" s="941" t="s">
        <v>340</v>
      </c>
      <c r="AO343" s="941" t="s">
        <v>11359</v>
      </c>
    </row>
    <row r="344" spans="2:41">
      <c r="B344" s="941" t="s">
        <v>912</v>
      </c>
      <c r="D344" s="941" t="s">
        <v>1388</v>
      </c>
      <c r="E344" s="941" t="s">
        <v>11156</v>
      </c>
      <c r="AL344" s="941" t="s">
        <v>12527</v>
      </c>
      <c r="AM344" s="941" t="s">
        <v>10626</v>
      </c>
      <c r="AO344" s="941" t="s">
        <v>11359</v>
      </c>
    </row>
    <row r="345" spans="2:41">
      <c r="B345" s="941" t="s">
        <v>10678</v>
      </c>
      <c r="D345" s="941" t="s">
        <v>1389</v>
      </c>
      <c r="E345" s="941" t="s">
        <v>404</v>
      </c>
      <c r="AL345" s="941" t="s">
        <v>12527</v>
      </c>
      <c r="AM345" s="941" t="s">
        <v>1027</v>
      </c>
      <c r="AO345" s="941" t="s">
        <v>11359</v>
      </c>
    </row>
    <row r="346" spans="2:41">
      <c r="B346" s="941" t="s">
        <v>8843</v>
      </c>
      <c r="D346" s="941" t="s">
        <v>1390</v>
      </c>
      <c r="E346" s="941" t="s">
        <v>356</v>
      </c>
      <c r="AL346" s="941" t="s">
        <v>12527</v>
      </c>
      <c r="AM346" s="941" t="s">
        <v>5449</v>
      </c>
      <c r="AO346" s="941" t="s">
        <v>11359</v>
      </c>
    </row>
    <row r="347" spans="2:41">
      <c r="B347" s="941" t="s">
        <v>8845</v>
      </c>
      <c r="D347" s="941" t="s">
        <v>11008</v>
      </c>
      <c r="E347" s="941" t="s">
        <v>280</v>
      </c>
      <c r="AL347" s="941" t="s">
        <v>12527</v>
      </c>
      <c r="AM347" s="941" t="s">
        <v>435</v>
      </c>
      <c r="AO347" s="941" t="s">
        <v>11359</v>
      </c>
    </row>
    <row r="348" spans="2:41">
      <c r="B348" s="941" t="s">
        <v>918</v>
      </c>
      <c r="D348" s="941" t="s">
        <v>1391</v>
      </c>
      <c r="E348" s="941" t="s">
        <v>7808</v>
      </c>
      <c r="AL348" s="941" t="s">
        <v>12513</v>
      </c>
      <c r="AM348" s="941" t="s">
        <v>11225</v>
      </c>
      <c r="AO348" s="941" t="s">
        <v>11359</v>
      </c>
    </row>
    <row r="349" spans="2:41">
      <c r="B349" s="941" t="s">
        <v>8860</v>
      </c>
      <c r="D349" s="941" t="s">
        <v>1392</v>
      </c>
      <c r="E349" s="941" t="s">
        <v>281</v>
      </c>
      <c r="AL349" s="941" t="s">
        <v>12513</v>
      </c>
      <c r="AM349" s="941" t="s">
        <v>1025</v>
      </c>
      <c r="AO349" s="941" t="s">
        <v>11359</v>
      </c>
    </row>
    <row r="350" spans="2:41">
      <c r="B350" s="941" t="s">
        <v>919</v>
      </c>
      <c r="D350" s="941" t="s">
        <v>10405</v>
      </c>
      <c r="E350" s="941" t="s">
        <v>1018</v>
      </c>
      <c r="AL350" s="941" t="s">
        <v>12513</v>
      </c>
      <c r="AM350" s="941" t="s">
        <v>195</v>
      </c>
      <c r="AO350" s="941" t="s">
        <v>11359</v>
      </c>
    </row>
    <row r="351" spans="2:41">
      <c r="B351" s="941" t="s">
        <v>10902</v>
      </c>
      <c r="D351" s="941" t="s">
        <v>1393</v>
      </c>
      <c r="E351" s="941" t="s">
        <v>9640</v>
      </c>
      <c r="AL351" s="941" t="s">
        <v>12513</v>
      </c>
      <c r="AM351" s="941" t="s">
        <v>12592</v>
      </c>
      <c r="AO351" s="941" t="s">
        <v>11359</v>
      </c>
    </row>
    <row r="352" spans="2:41">
      <c r="B352" s="941" t="s">
        <v>8884</v>
      </c>
      <c r="D352" s="941" t="s">
        <v>1394</v>
      </c>
      <c r="E352" s="941" t="s">
        <v>502</v>
      </c>
      <c r="AL352" s="941" t="s">
        <v>12513</v>
      </c>
      <c r="AM352" s="941" t="s">
        <v>11278</v>
      </c>
      <c r="AO352" s="941" t="s">
        <v>11359</v>
      </c>
    </row>
    <row r="353" spans="2:41">
      <c r="B353" s="941" t="s">
        <v>8890</v>
      </c>
      <c r="D353" s="941" t="s">
        <v>1395</v>
      </c>
      <c r="E353" s="941" t="s">
        <v>282</v>
      </c>
      <c r="AL353" s="941" t="s">
        <v>12533</v>
      </c>
      <c r="AM353" s="941" t="s">
        <v>11076</v>
      </c>
      <c r="AO353" s="941" t="s">
        <v>11359</v>
      </c>
    </row>
    <row r="354" spans="2:41">
      <c r="B354" s="941" t="s">
        <v>11512</v>
      </c>
      <c r="D354" s="941" t="s">
        <v>1396</v>
      </c>
      <c r="E354" s="941" t="s">
        <v>626</v>
      </c>
      <c r="AL354" s="941" t="s">
        <v>12533</v>
      </c>
      <c r="AM354" s="941" t="s">
        <v>525</v>
      </c>
      <c r="AO354" s="941" t="s">
        <v>11359</v>
      </c>
    </row>
    <row r="355" spans="2:41">
      <c r="B355" s="941" t="s">
        <v>8897</v>
      </c>
      <c r="D355" s="941" t="s">
        <v>9306</v>
      </c>
      <c r="E355" s="941" t="s">
        <v>10129</v>
      </c>
      <c r="AL355" s="941" t="s">
        <v>12533</v>
      </c>
      <c r="AM355" s="941" t="s">
        <v>584</v>
      </c>
      <c r="AO355" s="941" t="s">
        <v>11359</v>
      </c>
    </row>
    <row r="356" spans="2:41">
      <c r="B356" s="941" t="s">
        <v>12357</v>
      </c>
      <c r="D356" s="941" t="s">
        <v>1397</v>
      </c>
      <c r="E356" s="941" t="s">
        <v>10905</v>
      </c>
      <c r="AL356" s="941" t="s">
        <v>12533</v>
      </c>
      <c r="AM356" s="941" t="s">
        <v>341</v>
      </c>
      <c r="AO356" s="941" t="s">
        <v>11359</v>
      </c>
    </row>
    <row r="357" spans="2:41">
      <c r="B357" s="941" t="s">
        <v>11491</v>
      </c>
      <c r="D357" s="941" t="s">
        <v>1398</v>
      </c>
      <c r="E357" s="941" t="s">
        <v>198</v>
      </c>
      <c r="AL357" s="941" t="s">
        <v>12533</v>
      </c>
      <c r="AM357" s="941" t="s">
        <v>439</v>
      </c>
      <c r="AO357" s="941" t="s">
        <v>11359</v>
      </c>
    </row>
    <row r="358" spans="2:41">
      <c r="B358" s="941" t="s">
        <v>7591</v>
      </c>
      <c r="D358" s="941" t="s">
        <v>1399</v>
      </c>
      <c r="E358" s="941" t="s">
        <v>5523</v>
      </c>
      <c r="AL358" s="941" t="s">
        <v>12533</v>
      </c>
      <c r="AM358" s="941" t="s">
        <v>408</v>
      </c>
      <c r="AO358" s="941" t="s">
        <v>11359</v>
      </c>
    </row>
    <row r="359" spans="2:41">
      <c r="B359" s="941" t="s">
        <v>8907</v>
      </c>
      <c r="D359" s="941" t="s">
        <v>1400</v>
      </c>
      <c r="E359" s="941" t="s">
        <v>419</v>
      </c>
      <c r="AL359" s="941" t="s">
        <v>12534</v>
      </c>
      <c r="AM359" s="941" t="s">
        <v>558</v>
      </c>
      <c r="AO359" s="941" t="s">
        <v>11359</v>
      </c>
    </row>
    <row r="360" spans="2:41">
      <c r="B360" s="941" t="s">
        <v>7970</v>
      </c>
      <c r="D360" s="941" t="s">
        <v>1401</v>
      </c>
      <c r="E360" s="941" t="s">
        <v>420</v>
      </c>
      <c r="AL360" s="941" t="s">
        <v>12534</v>
      </c>
      <c r="AM360" s="941" t="s">
        <v>12671</v>
      </c>
      <c r="AO360" s="941" t="s">
        <v>11359</v>
      </c>
    </row>
    <row r="361" spans="2:41">
      <c r="B361" s="941" t="s">
        <v>9933</v>
      </c>
      <c r="D361" s="941" t="s">
        <v>1402</v>
      </c>
      <c r="E361" s="941" t="s">
        <v>421</v>
      </c>
      <c r="AL361" s="941" t="s">
        <v>12534</v>
      </c>
      <c r="AM361" s="941" t="s">
        <v>11540</v>
      </c>
      <c r="AO361" s="941" t="s">
        <v>11359</v>
      </c>
    </row>
    <row r="362" spans="2:41">
      <c r="B362" s="941" t="s">
        <v>928</v>
      </c>
      <c r="D362" s="941" t="s">
        <v>1403</v>
      </c>
      <c r="E362" s="941" t="s">
        <v>11157</v>
      </c>
      <c r="AL362" s="941" t="s">
        <v>12534</v>
      </c>
      <c r="AM362" s="941" t="s">
        <v>224</v>
      </c>
      <c r="AO362" s="941" t="s">
        <v>11359</v>
      </c>
    </row>
    <row r="363" spans="2:41">
      <c r="B363" s="941" t="s">
        <v>7932</v>
      </c>
      <c r="D363" s="941" t="s">
        <v>1404</v>
      </c>
      <c r="E363" s="941" t="s">
        <v>422</v>
      </c>
      <c r="AL363" s="941" t="s">
        <v>12534</v>
      </c>
      <c r="AM363" s="941" t="s">
        <v>53</v>
      </c>
      <c r="AO363" s="941" t="s">
        <v>11516</v>
      </c>
    </row>
    <row r="364" spans="2:41">
      <c r="B364" s="941" t="s">
        <v>9885</v>
      </c>
      <c r="D364" s="941" t="s">
        <v>1405</v>
      </c>
      <c r="E364" s="941" t="s">
        <v>447</v>
      </c>
      <c r="AL364" s="941" t="s">
        <v>12534</v>
      </c>
      <c r="AM364" s="941" t="s">
        <v>11259</v>
      </c>
      <c r="AO364" s="941" t="s">
        <v>11359</v>
      </c>
    </row>
    <row r="365" spans="2:41">
      <c r="B365" s="941" t="s">
        <v>932</v>
      </c>
      <c r="D365" s="941" t="s">
        <v>10112</v>
      </c>
      <c r="E365" s="941" t="s">
        <v>10130</v>
      </c>
      <c r="AL365" s="941" t="s">
        <v>12534</v>
      </c>
      <c r="AM365" s="941" t="s">
        <v>12672</v>
      </c>
      <c r="AO365" s="941" t="s">
        <v>11359</v>
      </c>
    </row>
    <row r="366" spans="2:41">
      <c r="B366" s="941" t="s">
        <v>9552</v>
      </c>
      <c r="D366" s="941" t="s">
        <v>1406</v>
      </c>
      <c r="E366" s="941" t="s">
        <v>423</v>
      </c>
      <c r="AL366" s="941" t="s">
        <v>12534</v>
      </c>
      <c r="AM366" s="941" t="s">
        <v>469</v>
      </c>
      <c r="AO366" s="941" t="s">
        <v>11359</v>
      </c>
    </row>
    <row r="367" spans="2:41">
      <c r="B367" s="941" t="s">
        <v>10725</v>
      </c>
      <c r="D367" s="941" t="s">
        <v>10345</v>
      </c>
      <c r="E367" s="941" t="s">
        <v>424</v>
      </c>
      <c r="AL367" s="941" t="s">
        <v>12534</v>
      </c>
      <c r="AM367" s="941" t="s">
        <v>6763</v>
      </c>
      <c r="AO367" s="941" t="s">
        <v>11516</v>
      </c>
    </row>
    <row r="368" spans="2:41">
      <c r="B368" s="941" t="s">
        <v>11035</v>
      </c>
      <c r="D368" s="941" t="s">
        <v>10508</v>
      </c>
      <c r="E368" s="941" t="s">
        <v>11082</v>
      </c>
      <c r="AL368" s="941" t="s">
        <v>12534</v>
      </c>
      <c r="AM368" s="941" t="s">
        <v>7553</v>
      </c>
      <c r="AO368" s="941" t="s">
        <v>11359</v>
      </c>
    </row>
    <row r="369" spans="2:41">
      <c r="B369" s="941" t="s">
        <v>8938</v>
      </c>
      <c r="D369" s="941" t="s">
        <v>1407</v>
      </c>
      <c r="E369" s="941" t="s">
        <v>1028</v>
      </c>
      <c r="AL369" s="941" t="s">
        <v>12536</v>
      </c>
      <c r="AM369" s="941" t="s">
        <v>12565</v>
      </c>
      <c r="AO369" s="941" t="s">
        <v>11359</v>
      </c>
    </row>
    <row r="370" spans="2:41">
      <c r="B370" s="941" t="s">
        <v>8940</v>
      </c>
      <c r="D370" s="941" t="s">
        <v>1408</v>
      </c>
      <c r="E370" s="941" t="s">
        <v>451</v>
      </c>
      <c r="AL370" s="941" t="s">
        <v>12536</v>
      </c>
      <c r="AM370" s="941" t="s">
        <v>11149</v>
      </c>
      <c r="AO370" s="941" t="s">
        <v>11359</v>
      </c>
    </row>
    <row r="371" spans="2:41">
      <c r="B371" s="941" t="s">
        <v>12525</v>
      </c>
      <c r="D371" s="941" t="s">
        <v>1409</v>
      </c>
      <c r="E371" s="941" t="s">
        <v>5725</v>
      </c>
      <c r="AL371" s="941" t="s">
        <v>12536</v>
      </c>
      <c r="AM371" s="941" t="s">
        <v>12566</v>
      </c>
      <c r="AO371" s="941" t="s">
        <v>11359</v>
      </c>
    </row>
    <row r="372" spans="2:41">
      <c r="B372" s="941" t="s">
        <v>10576</v>
      </c>
      <c r="D372" s="941" t="s">
        <v>1410</v>
      </c>
      <c r="E372" s="941" t="s">
        <v>425</v>
      </c>
      <c r="AL372" s="941" t="s">
        <v>12536</v>
      </c>
      <c r="AM372" s="941" t="s">
        <v>12354</v>
      </c>
      <c r="AO372" s="941" t="s">
        <v>11359</v>
      </c>
    </row>
    <row r="373" spans="2:41">
      <c r="B373" s="941" t="s">
        <v>934</v>
      </c>
      <c r="D373" s="941" t="s">
        <v>1411</v>
      </c>
      <c r="E373" s="941" t="s">
        <v>426</v>
      </c>
      <c r="AL373" s="941" t="s">
        <v>12536</v>
      </c>
      <c r="AM373" s="941" t="s">
        <v>11154</v>
      </c>
      <c r="AO373" s="941" t="s">
        <v>11359</v>
      </c>
    </row>
    <row r="374" spans="2:41">
      <c r="B374" s="941" t="s">
        <v>9205</v>
      </c>
      <c r="D374" s="941" t="s">
        <v>9307</v>
      </c>
      <c r="E374" s="941" t="s">
        <v>10627</v>
      </c>
      <c r="AL374" s="941" t="s">
        <v>12536</v>
      </c>
      <c r="AM374" s="941" t="s">
        <v>11261</v>
      </c>
      <c r="AO374" s="941" t="s">
        <v>11359</v>
      </c>
    </row>
    <row r="375" spans="2:41">
      <c r="B375" s="941" t="s">
        <v>936</v>
      </c>
      <c r="D375" s="941" t="s">
        <v>1412</v>
      </c>
      <c r="E375" s="941" t="s">
        <v>427</v>
      </c>
      <c r="AL375" s="941" t="s">
        <v>12536</v>
      </c>
      <c r="AM375" s="941" t="s">
        <v>12567</v>
      </c>
      <c r="AO375" s="941" t="s">
        <v>11359</v>
      </c>
    </row>
    <row r="376" spans="2:41">
      <c r="B376" s="941" t="s">
        <v>938</v>
      </c>
      <c r="D376" s="941" t="s">
        <v>309</v>
      </c>
      <c r="E376" s="941" t="s">
        <v>11102</v>
      </c>
      <c r="AL376" s="941" t="s">
        <v>12536</v>
      </c>
      <c r="AM376" s="941" t="s">
        <v>12568</v>
      </c>
      <c r="AO376" s="941" t="s">
        <v>11359</v>
      </c>
    </row>
    <row r="377" spans="2:41">
      <c r="B377" s="941" t="s">
        <v>10574</v>
      </c>
      <c r="D377" s="941" t="s">
        <v>1413</v>
      </c>
      <c r="E377" s="941" t="s">
        <v>11158</v>
      </c>
      <c r="AL377" s="941" t="s">
        <v>12700</v>
      </c>
      <c r="AM377" s="941" t="s">
        <v>412</v>
      </c>
      <c r="AO377" s="941" t="s">
        <v>11516</v>
      </c>
    </row>
    <row r="378" spans="2:41">
      <c r="B378" s="941" t="s">
        <v>939</v>
      </c>
      <c r="D378" s="941" t="s">
        <v>1414</v>
      </c>
      <c r="E378" s="941" t="s">
        <v>11083</v>
      </c>
      <c r="AL378" s="941" t="s">
        <v>12700</v>
      </c>
      <c r="AM378" s="941" t="s">
        <v>11149</v>
      </c>
      <c r="AO378" s="941" t="s">
        <v>11516</v>
      </c>
    </row>
    <row r="379" spans="2:41">
      <c r="B379" s="941" t="s">
        <v>7852</v>
      </c>
      <c r="D379" s="941" t="s">
        <v>1415</v>
      </c>
      <c r="E379" s="941" t="s">
        <v>428</v>
      </c>
      <c r="AL379" s="941" t="s">
        <v>12700</v>
      </c>
      <c r="AM379" s="941" t="s">
        <v>11154</v>
      </c>
      <c r="AO379" s="941" t="s">
        <v>11516</v>
      </c>
    </row>
    <row r="380" spans="2:41">
      <c r="B380" s="941" t="s">
        <v>10181</v>
      </c>
      <c r="D380" s="941" t="s">
        <v>1416</v>
      </c>
      <c r="E380" s="941" t="s">
        <v>7939</v>
      </c>
      <c r="AL380" s="941" t="s">
        <v>12700</v>
      </c>
      <c r="AM380" s="941" t="s">
        <v>298</v>
      </c>
      <c r="AO380" s="941" t="s">
        <v>11516</v>
      </c>
    </row>
    <row r="381" spans="2:41">
      <c r="B381" s="941" t="s">
        <v>941</v>
      </c>
      <c r="D381" s="941" t="s">
        <v>1417</v>
      </c>
      <c r="E381" s="941" t="s">
        <v>247</v>
      </c>
      <c r="AL381" s="941" t="s">
        <v>12514</v>
      </c>
      <c r="AM381" s="941" t="s">
        <v>11211</v>
      </c>
      <c r="AO381" s="941" t="s">
        <v>11359</v>
      </c>
    </row>
    <row r="382" spans="2:41">
      <c r="B382" s="941" t="s">
        <v>8979</v>
      </c>
      <c r="D382" s="941" t="s">
        <v>1418</v>
      </c>
      <c r="E382" s="941" t="s">
        <v>620</v>
      </c>
      <c r="AL382" s="941" t="s">
        <v>12514</v>
      </c>
      <c r="AM382" s="941" t="s">
        <v>11075</v>
      </c>
      <c r="AO382" s="941" t="s">
        <v>11359</v>
      </c>
    </row>
    <row r="383" spans="2:41">
      <c r="B383" s="941" t="s">
        <v>12318</v>
      </c>
      <c r="D383" s="941" t="s">
        <v>1419</v>
      </c>
      <c r="E383" s="941" t="s">
        <v>288</v>
      </c>
      <c r="AL383" s="941" t="s">
        <v>12514</v>
      </c>
      <c r="AM383" s="941" t="s">
        <v>587</v>
      </c>
      <c r="AO383" s="941" t="s">
        <v>11359</v>
      </c>
    </row>
    <row r="384" spans="2:41">
      <c r="B384" s="941" t="s">
        <v>12313</v>
      </c>
      <c r="D384" s="941" t="s">
        <v>1420</v>
      </c>
      <c r="E384" s="941" t="s">
        <v>624</v>
      </c>
      <c r="AL384" s="941" t="s">
        <v>12514</v>
      </c>
      <c r="AM384" s="941" t="s">
        <v>2717</v>
      </c>
      <c r="AO384" s="941" t="s">
        <v>11359</v>
      </c>
    </row>
    <row r="385" spans="2:41">
      <c r="B385" s="941" t="s">
        <v>11461</v>
      </c>
      <c r="D385" s="941" t="s">
        <v>1421</v>
      </c>
      <c r="E385" s="941" t="s">
        <v>429</v>
      </c>
      <c r="AL385" s="941" t="s">
        <v>12514</v>
      </c>
      <c r="AM385" s="941" t="s">
        <v>397</v>
      </c>
      <c r="AO385" s="941" t="s">
        <v>11359</v>
      </c>
    </row>
    <row r="386" spans="2:41">
      <c r="B386" s="941" t="s">
        <v>944</v>
      </c>
      <c r="D386" s="941" t="s">
        <v>1422</v>
      </c>
      <c r="E386" s="941" t="s">
        <v>467</v>
      </c>
      <c r="AL386" s="941" t="s">
        <v>12514</v>
      </c>
      <c r="AM386" s="941" t="s">
        <v>11235</v>
      </c>
      <c r="AO386" s="941" t="s">
        <v>11359</v>
      </c>
    </row>
    <row r="387" spans="2:41">
      <c r="B387" s="941" t="s">
        <v>946</v>
      </c>
      <c r="D387" s="941" t="s">
        <v>1423</v>
      </c>
      <c r="E387" s="941" t="s">
        <v>452</v>
      </c>
      <c r="AL387" s="941" t="s">
        <v>12514</v>
      </c>
      <c r="AM387" s="941" t="s">
        <v>223</v>
      </c>
      <c r="AO387" s="941" t="s">
        <v>11359</v>
      </c>
    </row>
    <row r="388" spans="2:41">
      <c r="B388" s="941" t="s">
        <v>11453</v>
      </c>
      <c r="D388" s="941" t="s">
        <v>11003</v>
      </c>
      <c r="E388" s="941" t="s">
        <v>453</v>
      </c>
      <c r="AL388" s="941" t="s">
        <v>12514</v>
      </c>
      <c r="AM388" s="941" t="s">
        <v>11246</v>
      </c>
      <c r="AO388" s="941" t="s">
        <v>11359</v>
      </c>
    </row>
    <row r="389" spans="2:41">
      <c r="B389" s="941" t="s">
        <v>9009</v>
      </c>
      <c r="D389" s="941" t="s">
        <v>1424</v>
      </c>
      <c r="E389" s="941" t="s">
        <v>430</v>
      </c>
      <c r="AL389" s="941" t="s">
        <v>12514</v>
      </c>
      <c r="AM389" s="941" t="s">
        <v>12569</v>
      </c>
      <c r="AO389" s="941" t="s">
        <v>11359</v>
      </c>
    </row>
    <row r="390" spans="2:41">
      <c r="B390" s="941" t="s">
        <v>10185</v>
      </c>
      <c r="D390" s="941" t="s">
        <v>1425</v>
      </c>
      <c r="E390" s="941" t="s">
        <v>9203</v>
      </c>
      <c r="AL390" s="941" t="s">
        <v>12514</v>
      </c>
      <c r="AM390" s="941" t="s">
        <v>268</v>
      </c>
      <c r="AO390" s="941" t="s">
        <v>11359</v>
      </c>
    </row>
    <row r="391" spans="2:41">
      <c r="B391" s="941" t="s">
        <v>9019</v>
      </c>
      <c r="D391" s="941" t="s">
        <v>1426</v>
      </c>
      <c r="E391" s="941" t="s">
        <v>10890</v>
      </c>
      <c r="AL391" s="941" t="s">
        <v>12514</v>
      </c>
      <c r="AM391" s="941" t="s">
        <v>8794</v>
      </c>
      <c r="AO391" s="941" t="s">
        <v>11516</v>
      </c>
    </row>
    <row r="392" spans="2:41">
      <c r="B392" s="941" t="s">
        <v>7592</v>
      </c>
      <c r="D392" s="941" t="s">
        <v>1427</v>
      </c>
      <c r="E392" s="941" t="s">
        <v>454</v>
      </c>
      <c r="AL392" s="941" t="s">
        <v>12514</v>
      </c>
      <c r="AM392" s="941" t="s">
        <v>6587</v>
      </c>
      <c r="AO392" s="941" t="s">
        <v>11359</v>
      </c>
    </row>
    <row r="393" spans="2:41">
      <c r="B393" s="941" t="s">
        <v>10182</v>
      </c>
      <c r="D393" s="941" t="s">
        <v>1428</v>
      </c>
      <c r="E393" s="941" t="s">
        <v>431</v>
      </c>
      <c r="AL393" s="941" t="s">
        <v>12514</v>
      </c>
      <c r="AM393" s="941" t="s">
        <v>11161</v>
      </c>
      <c r="AO393" s="941" t="s">
        <v>11359</v>
      </c>
    </row>
    <row r="394" spans="2:41">
      <c r="B394" s="941" t="s">
        <v>950</v>
      </c>
      <c r="D394" s="941" t="s">
        <v>1429</v>
      </c>
      <c r="E394" s="941" t="s">
        <v>432</v>
      </c>
      <c r="AL394" s="941" t="s">
        <v>12701</v>
      </c>
      <c r="AM394" s="941" t="s">
        <v>372</v>
      </c>
      <c r="AO394" s="941" t="s">
        <v>11516</v>
      </c>
    </row>
    <row r="395" spans="2:41">
      <c r="B395" s="941" t="s">
        <v>11317</v>
      </c>
      <c r="D395" s="941" t="s">
        <v>1430</v>
      </c>
      <c r="E395" s="941" t="s">
        <v>433</v>
      </c>
      <c r="AL395" s="941" t="s">
        <v>12701</v>
      </c>
      <c r="AM395" s="941" t="s">
        <v>493</v>
      </c>
      <c r="AO395" s="941" t="s">
        <v>11516</v>
      </c>
    </row>
    <row r="396" spans="2:41">
      <c r="B396" s="941" t="s">
        <v>951</v>
      </c>
      <c r="D396" s="941" t="s">
        <v>1431</v>
      </c>
      <c r="E396" s="941" t="s">
        <v>455</v>
      </c>
      <c r="AL396" s="941" t="s">
        <v>12701</v>
      </c>
      <c r="AM396" s="941" t="s">
        <v>9693</v>
      </c>
      <c r="AO396" s="941" t="s">
        <v>11516</v>
      </c>
    </row>
    <row r="397" spans="2:41">
      <c r="B397" s="941" t="s">
        <v>952</v>
      </c>
      <c r="D397" s="941" t="s">
        <v>1432</v>
      </c>
      <c r="E397" s="941" t="s">
        <v>434</v>
      </c>
      <c r="AL397" s="941" t="s">
        <v>12701</v>
      </c>
      <c r="AM397" s="941" t="s">
        <v>11466</v>
      </c>
      <c r="AO397" s="941" t="s">
        <v>11516</v>
      </c>
    </row>
    <row r="398" spans="2:41">
      <c r="B398" s="941" t="s">
        <v>953</v>
      </c>
      <c r="D398" s="941" t="s">
        <v>1433</v>
      </c>
      <c r="E398" s="941" t="s">
        <v>449</v>
      </c>
      <c r="AL398" s="941" t="s">
        <v>12701</v>
      </c>
      <c r="AM398" s="941" t="s">
        <v>2277</v>
      </c>
      <c r="AO398" s="941" t="s">
        <v>11516</v>
      </c>
    </row>
    <row r="399" spans="2:41">
      <c r="B399" s="941" t="s">
        <v>954</v>
      </c>
      <c r="D399" s="941" t="s">
        <v>1434</v>
      </c>
      <c r="E399" s="941" t="s">
        <v>435</v>
      </c>
      <c r="AL399" s="941" t="s">
        <v>12701</v>
      </c>
      <c r="AM399" s="941" t="s">
        <v>11228</v>
      </c>
      <c r="AO399" s="941" t="s">
        <v>11516</v>
      </c>
    </row>
    <row r="400" spans="2:41">
      <c r="B400" s="941" t="s">
        <v>955</v>
      </c>
      <c r="D400" s="941" t="s">
        <v>1435</v>
      </c>
      <c r="E400" s="941" t="s">
        <v>436</v>
      </c>
      <c r="AL400" s="941" t="s">
        <v>12701</v>
      </c>
      <c r="AM400" s="941" t="s">
        <v>557</v>
      </c>
      <c r="AO400" s="941" t="s">
        <v>11516</v>
      </c>
    </row>
    <row r="401" spans="2:41">
      <c r="B401" s="941" t="s">
        <v>956</v>
      </c>
      <c r="D401" s="941" t="s">
        <v>1436</v>
      </c>
      <c r="E401" s="941" t="s">
        <v>437</v>
      </c>
      <c r="AL401" s="941" t="s">
        <v>12701</v>
      </c>
      <c r="AM401" s="941" t="s">
        <v>495</v>
      </c>
      <c r="AO401" s="941" t="s">
        <v>11516</v>
      </c>
    </row>
    <row r="402" spans="2:41">
      <c r="B402" s="941" t="s">
        <v>11638</v>
      </c>
      <c r="D402" s="941" t="s">
        <v>1437</v>
      </c>
      <c r="E402" s="941" t="s">
        <v>438</v>
      </c>
      <c r="AL402" s="941" t="s">
        <v>12701</v>
      </c>
      <c r="AM402" s="941" t="s">
        <v>7593</v>
      </c>
      <c r="AO402" s="941" t="s">
        <v>11516</v>
      </c>
    </row>
    <row r="403" spans="2:41">
      <c r="B403" s="941" t="s">
        <v>9038</v>
      </c>
      <c r="D403" s="941" t="s">
        <v>1438</v>
      </c>
      <c r="E403" s="941" t="s">
        <v>439</v>
      </c>
      <c r="AL403" s="941" t="s">
        <v>12701</v>
      </c>
      <c r="AM403" s="941" t="s">
        <v>4736</v>
      </c>
      <c r="AO403" s="941" t="s">
        <v>11516</v>
      </c>
    </row>
    <row r="404" spans="2:41">
      <c r="B404" s="941" t="s">
        <v>11205</v>
      </c>
      <c r="D404" s="941" t="s">
        <v>1439</v>
      </c>
      <c r="E404" s="941" t="s">
        <v>366</v>
      </c>
      <c r="AL404" s="941" t="s">
        <v>12701</v>
      </c>
      <c r="AM404" s="941" t="s">
        <v>9640</v>
      </c>
      <c r="AO404" s="941" t="s">
        <v>11516</v>
      </c>
    </row>
    <row r="405" spans="2:41">
      <c r="B405" s="941" t="s">
        <v>12541</v>
      </c>
      <c r="D405" s="941" t="s">
        <v>1440</v>
      </c>
      <c r="E405" s="941" t="s">
        <v>367</v>
      </c>
      <c r="AL405" s="941" t="s">
        <v>12701</v>
      </c>
      <c r="AM405" s="941" t="s">
        <v>11263</v>
      </c>
      <c r="AO405" s="941" t="s">
        <v>11516</v>
      </c>
    </row>
    <row r="406" spans="2:41">
      <c r="B406" s="941" t="s">
        <v>962</v>
      </c>
      <c r="D406" s="941" t="s">
        <v>1441</v>
      </c>
      <c r="E406" s="941" t="s">
        <v>368</v>
      </c>
      <c r="AL406" s="941" t="s">
        <v>12701</v>
      </c>
      <c r="AM406" s="941" t="s">
        <v>5651</v>
      </c>
      <c r="AO406" s="941" t="s">
        <v>11516</v>
      </c>
    </row>
    <row r="407" spans="2:41">
      <c r="B407" s="941" t="s">
        <v>9735</v>
      </c>
      <c r="D407" s="941" t="s">
        <v>1442</v>
      </c>
      <c r="E407" s="941" t="s">
        <v>11159</v>
      </c>
      <c r="AL407" s="941" t="s">
        <v>12701</v>
      </c>
      <c r="AM407" s="941" t="s">
        <v>624</v>
      </c>
      <c r="AO407" s="941" t="s">
        <v>11516</v>
      </c>
    </row>
    <row r="408" spans="2:41">
      <c r="B408" s="941" t="s">
        <v>964</v>
      </c>
      <c r="D408" s="941" t="s">
        <v>1443</v>
      </c>
      <c r="E408" s="941" t="s">
        <v>369</v>
      </c>
      <c r="AL408" s="941" t="s">
        <v>12701</v>
      </c>
      <c r="AM408" s="941" t="s">
        <v>290</v>
      </c>
      <c r="AO408" s="941" t="s">
        <v>11516</v>
      </c>
    </row>
    <row r="409" spans="2:41">
      <c r="B409" s="941" t="s">
        <v>9091</v>
      </c>
      <c r="D409" s="941" t="s">
        <v>1444</v>
      </c>
      <c r="E409" s="941" t="s">
        <v>290</v>
      </c>
      <c r="AL409" s="941" t="s">
        <v>12701</v>
      </c>
      <c r="AM409" s="941" t="s">
        <v>458</v>
      </c>
      <c r="AO409" s="941" t="s">
        <v>11516</v>
      </c>
    </row>
    <row r="410" spans="2:41">
      <c r="B410" s="941" t="s">
        <v>11352</v>
      </c>
      <c r="D410" s="941" t="s">
        <v>1445</v>
      </c>
      <c r="E410" s="941" t="s">
        <v>370</v>
      </c>
      <c r="AL410" s="941" t="s">
        <v>12701</v>
      </c>
      <c r="AM410" s="941" t="s">
        <v>295</v>
      </c>
      <c r="AO410" s="941" t="s">
        <v>11516</v>
      </c>
    </row>
    <row r="411" spans="2:41">
      <c r="B411" s="941" t="s">
        <v>966</v>
      </c>
      <c r="D411" s="941" t="s">
        <v>1446</v>
      </c>
      <c r="E411" s="941" t="s">
        <v>371</v>
      </c>
      <c r="AL411" s="941" t="s">
        <v>12701</v>
      </c>
      <c r="AM411" s="941" t="s">
        <v>11271</v>
      </c>
      <c r="AO411" s="941" t="s">
        <v>11516</v>
      </c>
    </row>
    <row r="412" spans="2:41">
      <c r="B412" s="941" t="s">
        <v>9095</v>
      </c>
      <c r="D412" s="941" t="s">
        <v>1447</v>
      </c>
      <c r="E412" s="941" t="s">
        <v>469</v>
      </c>
      <c r="AL412" s="941" t="s">
        <v>12701</v>
      </c>
      <c r="AM412" s="941" t="s">
        <v>11276</v>
      </c>
      <c r="AO412" s="941" t="s">
        <v>11516</v>
      </c>
    </row>
    <row r="413" spans="2:41">
      <c r="B413" s="941" t="s">
        <v>7045</v>
      </c>
      <c r="D413" s="941" t="s">
        <v>1448</v>
      </c>
      <c r="E413" s="941" t="s">
        <v>589</v>
      </c>
      <c r="AL413" s="941" t="s">
        <v>12701</v>
      </c>
      <c r="AM413" s="941" t="s">
        <v>7137</v>
      </c>
      <c r="AO413" s="941" t="s">
        <v>11516</v>
      </c>
    </row>
    <row r="414" spans="2:41">
      <c r="B414" s="941" t="s">
        <v>12325</v>
      </c>
      <c r="D414" s="941" t="s">
        <v>1449</v>
      </c>
      <c r="E414" s="941" t="s">
        <v>10628</v>
      </c>
      <c r="AL414" s="941" t="s">
        <v>12701</v>
      </c>
      <c r="AM414" s="941" t="s">
        <v>7231</v>
      </c>
      <c r="AO414" s="941" t="s">
        <v>11516</v>
      </c>
    </row>
    <row r="415" spans="2:41">
      <c r="B415" s="941" t="s">
        <v>9651</v>
      </c>
      <c r="D415" s="941" t="s">
        <v>1450</v>
      </c>
      <c r="E415" s="941" t="s">
        <v>456</v>
      </c>
      <c r="AL415" s="941" t="s">
        <v>12701</v>
      </c>
      <c r="AM415" s="941" t="s">
        <v>11279</v>
      </c>
      <c r="AO415" s="941" t="s">
        <v>11516</v>
      </c>
    </row>
    <row r="416" spans="2:41">
      <c r="B416" s="941" t="s">
        <v>9110</v>
      </c>
      <c r="D416" s="941" t="s">
        <v>1451</v>
      </c>
      <c r="E416" s="941" t="s">
        <v>283</v>
      </c>
      <c r="AL416" s="941" t="s">
        <v>440</v>
      </c>
      <c r="AM416" s="941" t="s">
        <v>11209</v>
      </c>
      <c r="AO416" s="941" t="s">
        <v>11516</v>
      </c>
    </row>
    <row r="417" spans="2:41">
      <c r="B417" s="941" t="s">
        <v>969</v>
      </c>
      <c r="D417" s="941" t="s">
        <v>1452</v>
      </c>
      <c r="E417" s="941" t="s">
        <v>470</v>
      </c>
      <c r="AL417" s="941" t="s">
        <v>440</v>
      </c>
      <c r="AM417" s="941" t="s">
        <v>573</v>
      </c>
      <c r="AO417" s="941" t="s">
        <v>11516</v>
      </c>
    </row>
    <row r="418" spans="2:41">
      <c r="B418" s="941" t="s">
        <v>9896</v>
      </c>
      <c r="D418" s="941" t="s">
        <v>1453</v>
      </c>
      <c r="E418" s="941" t="s">
        <v>7809</v>
      </c>
      <c r="AL418" s="941" t="s">
        <v>440</v>
      </c>
      <c r="AM418" s="941" t="s">
        <v>7934</v>
      </c>
      <c r="AO418" s="941" t="s">
        <v>11516</v>
      </c>
    </row>
    <row r="419" spans="2:41">
      <c r="B419" s="941" t="s">
        <v>9117</v>
      </c>
      <c r="D419" s="941" t="s">
        <v>1454</v>
      </c>
      <c r="E419" s="941" t="s">
        <v>471</v>
      </c>
      <c r="AL419" s="941" t="s">
        <v>440</v>
      </c>
      <c r="AM419" s="941" t="s">
        <v>11075</v>
      </c>
      <c r="AO419" s="941" t="s">
        <v>11516</v>
      </c>
    </row>
    <row r="420" spans="2:41">
      <c r="B420" s="941" t="s">
        <v>972</v>
      </c>
      <c r="D420" s="941" t="s">
        <v>1455</v>
      </c>
      <c r="E420" s="941" t="s">
        <v>472</v>
      </c>
      <c r="AL420" s="941" t="s">
        <v>440</v>
      </c>
      <c r="AM420" s="941" t="s">
        <v>11076</v>
      </c>
      <c r="AO420" s="941" t="s">
        <v>11516</v>
      </c>
    </row>
    <row r="421" spans="2:41">
      <c r="B421" s="941" t="s">
        <v>9121</v>
      </c>
      <c r="D421" s="941" t="s">
        <v>10445</v>
      </c>
      <c r="E421" s="941" t="s">
        <v>473</v>
      </c>
      <c r="AL421" s="941" t="s">
        <v>440</v>
      </c>
      <c r="AM421" s="941" t="s">
        <v>558</v>
      </c>
      <c r="AO421" s="941" t="s">
        <v>11516</v>
      </c>
    </row>
    <row r="422" spans="2:41">
      <c r="B422" s="941" t="s">
        <v>9126</v>
      </c>
      <c r="D422" s="941" t="s">
        <v>1456</v>
      </c>
      <c r="E422" s="941" t="s">
        <v>457</v>
      </c>
      <c r="AL422" s="941" t="s">
        <v>440</v>
      </c>
      <c r="AM422" s="941" t="s">
        <v>11226</v>
      </c>
      <c r="AO422" s="941" t="s">
        <v>11516</v>
      </c>
    </row>
    <row r="423" spans="2:41">
      <c r="B423" s="941" t="s">
        <v>10903</v>
      </c>
      <c r="D423" s="941" t="s">
        <v>9308</v>
      </c>
      <c r="E423" s="941" t="s">
        <v>217</v>
      </c>
      <c r="AL423" s="941" t="s">
        <v>440</v>
      </c>
      <c r="AM423" s="941" t="s">
        <v>587</v>
      </c>
      <c r="AO423" s="941" t="s">
        <v>11516</v>
      </c>
    </row>
    <row r="424" spans="2:41">
      <c r="B424" s="941" t="s">
        <v>9128</v>
      </c>
      <c r="D424" s="941" t="s">
        <v>1457</v>
      </c>
      <c r="E424" s="941" t="s">
        <v>590</v>
      </c>
      <c r="AL424" s="941" t="s">
        <v>440</v>
      </c>
      <c r="AM424" s="941" t="s">
        <v>414</v>
      </c>
      <c r="AO424" s="941" t="s">
        <v>11516</v>
      </c>
    </row>
    <row r="425" spans="2:41">
      <c r="B425" s="941" t="s">
        <v>10633</v>
      </c>
      <c r="D425" s="941" t="s">
        <v>9309</v>
      </c>
      <c r="E425" s="941" t="s">
        <v>7810</v>
      </c>
      <c r="AL425" s="941" t="s">
        <v>440</v>
      </c>
      <c r="AM425" s="941" t="s">
        <v>415</v>
      </c>
      <c r="AO425" s="941" t="s">
        <v>11516</v>
      </c>
    </row>
    <row r="426" spans="2:41">
      <c r="B426" s="941" t="s">
        <v>9141</v>
      </c>
      <c r="D426" s="941" t="s">
        <v>1458</v>
      </c>
      <c r="E426" s="941" t="s">
        <v>591</v>
      </c>
      <c r="AL426" s="941" t="s">
        <v>440</v>
      </c>
      <c r="AM426" s="941" t="s">
        <v>527</v>
      </c>
      <c r="AO426" s="941" t="s">
        <v>11516</v>
      </c>
    </row>
    <row r="427" spans="2:41">
      <c r="B427" s="941" t="s">
        <v>982</v>
      </c>
      <c r="D427" s="941" t="s">
        <v>1459</v>
      </c>
      <c r="E427" s="941" t="s">
        <v>592</v>
      </c>
      <c r="AL427" s="941" t="s">
        <v>440</v>
      </c>
      <c r="AM427" s="941" t="s">
        <v>10351</v>
      </c>
      <c r="AO427" s="941" t="s">
        <v>11516</v>
      </c>
    </row>
    <row r="428" spans="2:41">
      <c r="B428" s="941" t="s">
        <v>9146</v>
      </c>
      <c r="D428" s="941" t="s">
        <v>1460</v>
      </c>
      <c r="E428" s="941" t="s">
        <v>10629</v>
      </c>
      <c r="AL428" s="941" t="s">
        <v>440</v>
      </c>
      <c r="AM428" s="941" t="s">
        <v>11077</v>
      </c>
      <c r="AO428" s="941" t="s">
        <v>11516</v>
      </c>
    </row>
    <row r="429" spans="2:41">
      <c r="B429" s="941" t="s">
        <v>9148</v>
      </c>
      <c r="D429" s="941" t="s">
        <v>1461</v>
      </c>
      <c r="E429" s="941" t="s">
        <v>593</v>
      </c>
      <c r="AL429" s="941" t="s">
        <v>440</v>
      </c>
      <c r="AM429" s="941" t="s">
        <v>584</v>
      </c>
      <c r="AO429" s="941" t="s">
        <v>11516</v>
      </c>
    </row>
    <row r="430" spans="2:41">
      <c r="B430" s="941" t="s">
        <v>984</v>
      </c>
      <c r="D430" s="941" t="s">
        <v>1462</v>
      </c>
      <c r="E430" s="941" t="s">
        <v>594</v>
      </c>
      <c r="AL430" s="941" t="s">
        <v>440</v>
      </c>
      <c r="AM430" s="941" t="s">
        <v>11235</v>
      </c>
      <c r="AO430" s="941" t="s">
        <v>11516</v>
      </c>
    </row>
    <row r="431" spans="2:41">
      <c r="B431" s="941" t="s">
        <v>987</v>
      </c>
      <c r="D431" s="941" t="s">
        <v>1463</v>
      </c>
      <c r="E431" s="941" t="s">
        <v>458</v>
      </c>
      <c r="AL431" s="941" t="s">
        <v>440</v>
      </c>
      <c r="AM431" s="941" t="s">
        <v>218</v>
      </c>
      <c r="AO431" s="941" t="s">
        <v>11516</v>
      </c>
    </row>
    <row r="432" spans="2:41">
      <c r="B432" s="941" t="s">
        <v>10697</v>
      </c>
      <c r="D432" s="941" t="s">
        <v>1464</v>
      </c>
      <c r="E432" s="941" t="s">
        <v>595</v>
      </c>
      <c r="AL432" s="941" t="s">
        <v>440</v>
      </c>
      <c r="AM432" s="941" t="s">
        <v>7935</v>
      </c>
      <c r="AO432" s="941" t="s">
        <v>11516</v>
      </c>
    </row>
    <row r="433" spans="2:41">
      <c r="B433" s="941" t="s">
        <v>990</v>
      </c>
      <c r="D433" s="941" t="s">
        <v>1465</v>
      </c>
      <c r="E433" s="941" t="s">
        <v>459</v>
      </c>
      <c r="AL433" s="941" t="s">
        <v>440</v>
      </c>
      <c r="AM433" s="941" t="s">
        <v>7936</v>
      </c>
      <c r="AO433" s="941" t="s">
        <v>11516</v>
      </c>
    </row>
    <row r="434" spans="2:41">
      <c r="B434" s="941" t="s">
        <v>991</v>
      </c>
      <c r="D434" s="941" t="s">
        <v>1466</v>
      </c>
      <c r="E434" s="941" t="s">
        <v>10891</v>
      </c>
      <c r="AL434" s="941" t="s">
        <v>440</v>
      </c>
      <c r="AM434" s="941" t="s">
        <v>11239</v>
      </c>
      <c r="AO434" s="941" t="s">
        <v>11516</v>
      </c>
    </row>
    <row r="435" spans="2:41">
      <c r="B435" s="941" t="s">
        <v>994</v>
      </c>
      <c r="D435" s="941" t="s">
        <v>10247</v>
      </c>
      <c r="E435" s="941" t="s">
        <v>524</v>
      </c>
      <c r="AL435" s="941" t="s">
        <v>440</v>
      </c>
      <c r="AM435" s="941" t="s">
        <v>11151</v>
      </c>
      <c r="AO435" s="941" t="s">
        <v>11516</v>
      </c>
    </row>
    <row r="436" spans="2:41">
      <c r="B436" s="941" t="s">
        <v>10502</v>
      </c>
      <c r="D436" s="941" t="s">
        <v>10135</v>
      </c>
      <c r="E436" s="941" t="s">
        <v>6469</v>
      </c>
      <c r="AL436" s="941" t="s">
        <v>440</v>
      </c>
      <c r="AM436" s="941" t="s">
        <v>11078</v>
      </c>
      <c r="AO436" s="941" t="s">
        <v>11516</v>
      </c>
    </row>
    <row r="437" spans="2:41">
      <c r="B437" s="941" t="s">
        <v>12542</v>
      </c>
      <c r="D437" s="941" t="s">
        <v>10248</v>
      </c>
      <c r="E437" s="941" t="s">
        <v>596</v>
      </c>
      <c r="AL437" s="941" t="s">
        <v>440</v>
      </c>
      <c r="AM437" s="941" t="s">
        <v>11079</v>
      </c>
      <c r="AO437" s="941" t="s">
        <v>11516</v>
      </c>
    </row>
    <row r="438" spans="2:41">
      <c r="B438" s="941" t="s">
        <v>9177</v>
      </c>
      <c r="D438" s="941" t="s">
        <v>1467</v>
      </c>
      <c r="E438" s="941" t="s">
        <v>295</v>
      </c>
      <c r="AL438" s="941" t="s">
        <v>440</v>
      </c>
      <c r="AM438" s="941" t="s">
        <v>223</v>
      </c>
      <c r="AO438" s="941" t="s">
        <v>11516</v>
      </c>
    </row>
    <row r="439" spans="2:41">
      <c r="B439" s="941" t="s">
        <v>1000</v>
      </c>
      <c r="D439" s="941" t="s">
        <v>1468</v>
      </c>
      <c r="E439" s="941" t="s">
        <v>398</v>
      </c>
      <c r="AL439" s="941" t="s">
        <v>440</v>
      </c>
      <c r="AM439" s="941" t="s">
        <v>224</v>
      </c>
      <c r="AO439" s="941" t="s">
        <v>11516</v>
      </c>
    </row>
    <row r="440" spans="2:41">
      <c r="B440" s="941" t="s">
        <v>11509</v>
      </c>
      <c r="D440" s="941" t="s">
        <v>1469</v>
      </c>
      <c r="E440" s="941" t="s">
        <v>10131</v>
      </c>
      <c r="AL440" s="941" t="s">
        <v>440</v>
      </c>
      <c r="AM440" s="941" t="s">
        <v>11246</v>
      </c>
      <c r="AO440" s="941" t="s">
        <v>11516</v>
      </c>
    </row>
    <row r="441" spans="2:41">
      <c r="B441" s="941" t="s">
        <v>9187</v>
      </c>
      <c r="D441" s="941" t="s">
        <v>1470</v>
      </c>
      <c r="E441" s="941" t="s">
        <v>7940</v>
      </c>
      <c r="AL441" s="941" t="s">
        <v>440</v>
      </c>
      <c r="AM441" s="941" t="s">
        <v>11248</v>
      </c>
      <c r="AO441" s="941" t="s">
        <v>11516</v>
      </c>
    </row>
    <row r="442" spans="2:41">
      <c r="B442" s="941" t="s">
        <v>830</v>
      </c>
      <c r="D442" s="941" t="s">
        <v>1471</v>
      </c>
      <c r="E442" s="941" t="s">
        <v>173</v>
      </c>
      <c r="AL442" s="941" t="s">
        <v>440</v>
      </c>
      <c r="AM442" s="941" t="s">
        <v>11252</v>
      </c>
      <c r="AO442" s="941" t="s">
        <v>11516</v>
      </c>
    </row>
    <row r="443" spans="2:41">
      <c r="B443" s="941" t="s">
        <v>8470</v>
      </c>
      <c r="D443" s="941" t="s">
        <v>1472</v>
      </c>
      <c r="E443" s="941" t="s">
        <v>11160</v>
      </c>
      <c r="AL443" s="941" t="s">
        <v>440</v>
      </c>
      <c r="AM443" s="941" t="s">
        <v>11257</v>
      </c>
      <c r="AO443" s="941" t="s">
        <v>11516</v>
      </c>
    </row>
    <row r="444" spans="2:41">
      <c r="B444" s="941" t="s">
        <v>8482</v>
      </c>
      <c r="D444" s="941" t="s">
        <v>1473</v>
      </c>
      <c r="E444" s="941" t="s">
        <v>11161</v>
      </c>
      <c r="AL444" s="941" t="s">
        <v>440</v>
      </c>
      <c r="AM444" s="941" t="s">
        <v>53</v>
      </c>
      <c r="AO444" s="941" t="s">
        <v>11516</v>
      </c>
    </row>
    <row r="445" spans="2:41">
      <c r="B445" s="941" t="s">
        <v>8483</v>
      </c>
      <c r="D445" s="941" t="s">
        <v>1474</v>
      </c>
      <c r="E445" s="941" t="s">
        <v>174</v>
      </c>
      <c r="AL445" s="941" t="s">
        <v>440</v>
      </c>
      <c r="AM445" s="941" t="s">
        <v>402</v>
      </c>
      <c r="AO445" s="941" t="s">
        <v>11516</v>
      </c>
    </row>
    <row r="446" spans="2:41">
      <c r="B446" s="941" t="s">
        <v>8486</v>
      </c>
      <c r="D446" s="941" t="s">
        <v>1475</v>
      </c>
      <c r="E446" s="941" t="s">
        <v>10597</v>
      </c>
      <c r="AL446" s="941" t="s">
        <v>440</v>
      </c>
      <c r="AM446" s="941" t="s">
        <v>11259</v>
      </c>
      <c r="AO446" s="941" t="s">
        <v>11516</v>
      </c>
    </row>
    <row r="447" spans="2:41">
      <c r="B447" s="941" t="s">
        <v>10599</v>
      </c>
      <c r="D447" s="941" t="s">
        <v>10509</v>
      </c>
      <c r="E447" s="941" t="s">
        <v>6656</v>
      </c>
      <c r="AL447" s="941" t="s">
        <v>440</v>
      </c>
      <c r="AM447" s="941" t="s">
        <v>10578</v>
      </c>
      <c r="AO447" s="941" t="s">
        <v>11516</v>
      </c>
    </row>
    <row r="448" spans="2:41">
      <c r="B448" s="941" t="s">
        <v>832</v>
      </c>
      <c r="D448" s="941" t="s">
        <v>1476</v>
      </c>
      <c r="E448" s="941" t="s">
        <v>175</v>
      </c>
      <c r="AL448" s="941" t="s">
        <v>440</v>
      </c>
      <c r="AM448" s="941" t="s">
        <v>7939</v>
      </c>
      <c r="AO448" s="941" t="s">
        <v>11516</v>
      </c>
    </row>
    <row r="449" spans="2:41">
      <c r="B449" s="941" t="s">
        <v>833</v>
      </c>
      <c r="D449" s="941" t="s">
        <v>1477</v>
      </c>
      <c r="E449" s="941" t="s">
        <v>7941</v>
      </c>
      <c r="AL449" s="941" t="s">
        <v>440</v>
      </c>
      <c r="AM449" s="941" t="s">
        <v>8794</v>
      </c>
      <c r="AO449" s="941" t="s">
        <v>11516</v>
      </c>
    </row>
    <row r="450" spans="2:41">
      <c r="B450" s="941" t="s">
        <v>7887</v>
      </c>
      <c r="D450" s="941" t="s">
        <v>1478</v>
      </c>
      <c r="E450" s="941" t="s">
        <v>348</v>
      </c>
      <c r="AL450" s="941" t="s">
        <v>440</v>
      </c>
      <c r="AM450" s="941" t="s">
        <v>439</v>
      </c>
      <c r="AO450" s="941" t="s">
        <v>11516</v>
      </c>
    </row>
    <row r="451" spans="2:41">
      <c r="B451" s="941" t="s">
        <v>8507</v>
      </c>
      <c r="D451" s="941" t="s">
        <v>1479</v>
      </c>
      <c r="E451" s="941" t="s">
        <v>176</v>
      </c>
      <c r="AL451" s="941" t="s">
        <v>440</v>
      </c>
      <c r="AM451" s="941" t="s">
        <v>366</v>
      </c>
      <c r="AO451" s="941" t="s">
        <v>11516</v>
      </c>
    </row>
    <row r="452" spans="2:41">
      <c r="B452" s="941" t="s">
        <v>8508</v>
      </c>
      <c r="D452" s="941" t="s">
        <v>1480</v>
      </c>
      <c r="E452" s="941" t="s">
        <v>7811</v>
      </c>
      <c r="AL452" s="941" t="s">
        <v>440</v>
      </c>
      <c r="AM452" s="941" t="s">
        <v>369</v>
      </c>
      <c r="AO452" s="941" t="s">
        <v>11516</v>
      </c>
    </row>
    <row r="453" spans="2:41">
      <c r="B453" s="941" t="s">
        <v>12352</v>
      </c>
      <c r="D453" s="941" t="s">
        <v>1481</v>
      </c>
      <c r="E453" s="941" t="s">
        <v>10132</v>
      </c>
      <c r="AL453" s="941" t="s">
        <v>440</v>
      </c>
      <c r="AM453" s="941" t="s">
        <v>469</v>
      </c>
      <c r="AO453" s="941" t="s">
        <v>11516</v>
      </c>
    </row>
    <row r="454" spans="2:41">
      <c r="B454" s="941" t="s">
        <v>12524</v>
      </c>
      <c r="D454" s="941" t="s">
        <v>1482</v>
      </c>
      <c r="E454" s="941" t="s">
        <v>408</v>
      </c>
      <c r="AL454" s="941" t="s">
        <v>440</v>
      </c>
      <c r="AM454" s="941" t="s">
        <v>457</v>
      </c>
      <c r="AO454" s="941" t="s">
        <v>11516</v>
      </c>
    </row>
    <row r="455" spans="2:41">
      <c r="B455" s="941" t="s">
        <v>11439</v>
      </c>
      <c r="D455" s="941" t="s">
        <v>1483</v>
      </c>
      <c r="E455" s="941" t="s">
        <v>10630</v>
      </c>
      <c r="AL455" s="941" t="s">
        <v>440</v>
      </c>
      <c r="AM455" s="941" t="s">
        <v>594</v>
      </c>
      <c r="AO455" s="941" t="s">
        <v>11516</v>
      </c>
    </row>
    <row r="456" spans="2:41">
      <c r="B456" s="941" t="s">
        <v>835</v>
      </c>
      <c r="D456" s="941" t="s">
        <v>1484</v>
      </c>
      <c r="E456" s="941" t="s">
        <v>10631</v>
      </c>
      <c r="AL456" s="941" t="s">
        <v>440</v>
      </c>
      <c r="AM456" s="941" t="s">
        <v>11160</v>
      </c>
      <c r="AO456" s="941" t="s">
        <v>11516</v>
      </c>
    </row>
    <row r="457" spans="2:41">
      <c r="B457" s="941" t="s">
        <v>10500</v>
      </c>
      <c r="D457" s="941" t="s">
        <v>1485</v>
      </c>
      <c r="E457" s="941" t="s">
        <v>460</v>
      </c>
      <c r="AL457" s="941" t="s">
        <v>440</v>
      </c>
      <c r="AM457" s="941" t="s">
        <v>408</v>
      </c>
      <c r="AO457" s="941" t="s">
        <v>11516</v>
      </c>
    </row>
    <row r="458" spans="2:41">
      <c r="B458" s="941" t="s">
        <v>837</v>
      </c>
      <c r="D458" s="941" t="s">
        <v>9310</v>
      </c>
      <c r="E458" s="941" t="s">
        <v>177</v>
      </c>
      <c r="AL458" s="941" t="s">
        <v>440</v>
      </c>
      <c r="AM458" s="941" t="s">
        <v>11272</v>
      </c>
      <c r="AO458" s="941" t="s">
        <v>11516</v>
      </c>
    </row>
    <row r="459" spans="2:41">
      <c r="B459" s="941" t="s">
        <v>838</v>
      </c>
      <c r="D459" s="941" t="s">
        <v>1486</v>
      </c>
      <c r="E459" s="941" t="s">
        <v>6791</v>
      </c>
      <c r="AL459" s="941" t="s">
        <v>440</v>
      </c>
      <c r="AM459" s="941" t="s">
        <v>6922</v>
      </c>
      <c r="AO459" s="941" t="s">
        <v>11516</v>
      </c>
    </row>
    <row r="460" spans="2:41">
      <c r="B460" s="941" t="s">
        <v>8548</v>
      </c>
      <c r="D460" s="941" t="s">
        <v>1487</v>
      </c>
      <c r="E460" s="941" t="s">
        <v>11162</v>
      </c>
      <c r="AL460" s="941" t="s">
        <v>12515</v>
      </c>
      <c r="AM460" s="941" t="s">
        <v>12570</v>
      </c>
      <c r="AO460" s="941" t="s">
        <v>11359</v>
      </c>
    </row>
    <row r="461" spans="2:41">
      <c r="B461" s="941" t="s">
        <v>8550</v>
      </c>
      <c r="D461" s="941" t="s">
        <v>1488</v>
      </c>
      <c r="E461" s="941" t="s">
        <v>178</v>
      </c>
      <c r="AL461" s="941" t="s">
        <v>12515</v>
      </c>
      <c r="AM461" s="941" t="s">
        <v>11541</v>
      </c>
      <c r="AO461" s="941" t="s">
        <v>11359</v>
      </c>
    </row>
    <row r="462" spans="2:41">
      <c r="B462" s="941" t="s">
        <v>8551</v>
      </c>
      <c r="D462" s="941" t="s">
        <v>1489</v>
      </c>
      <c r="E462" s="941" t="s">
        <v>10019</v>
      </c>
      <c r="AL462" s="941" t="s">
        <v>12515</v>
      </c>
      <c r="AM462" s="941" t="s">
        <v>9897</v>
      </c>
      <c r="AO462" s="941" t="s">
        <v>11359</v>
      </c>
    </row>
    <row r="463" spans="2:41">
      <c r="B463" s="941" t="s">
        <v>11135</v>
      </c>
      <c r="D463" s="941" t="s">
        <v>1490</v>
      </c>
      <c r="E463" s="941" t="s">
        <v>189</v>
      </c>
      <c r="AL463" s="941" t="s">
        <v>12515</v>
      </c>
      <c r="AM463" s="941" t="s">
        <v>12571</v>
      </c>
      <c r="AO463" s="941" t="s">
        <v>11359</v>
      </c>
    </row>
    <row r="464" spans="2:41">
      <c r="B464" s="941" t="s">
        <v>839</v>
      </c>
      <c r="D464" s="941" t="s">
        <v>1491</v>
      </c>
      <c r="E464" s="941" t="s">
        <v>10632</v>
      </c>
      <c r="AL464" s="941" t="s">
        <v>12515</v>
      </c>
      <c r="AM464" s="941" t="s">
        <v>402</v>
      </c>
      <c r="AO464" s="941" t="s">
        <v>11359</v>
      </c>
    </row>
    <row r="465" spans="2:41">
      <c r="B465" s="941" t="s">
        <v>11508</v>
      </c>
      <c r="D465" s="941" t="s">
        <v>1492</v>
      </c>
      <c r="E465" s="941" t="s">
        <v>7812</v>
      </c>
      <c r="AL465" s="941" t="s">
        <v>12515</v>
      </c>
      <c r="AM465" s="941" t="s">
        <v>12572</v>
      </c>
      <c r="AO465" s="941" t="s">
        <v>11359</v>
      </c>
    </row>
    <row r="466" spans="2:41">
      <c r="B466" s="941" t="s">
        <v>840</v>
      </c>
      <c r="D466" s="941" t="s">
        <v>1493</v>
      </c>
      <c r="E466" s="941" t="s">
        <v>461</v>
      </c>
      <c r="AL466" s="941" t="s">
        <v>12516</v>
      </c>
      <c r="AM466" s="941" t="s">
        <v>12573</v>
      </c>
      <c r="AO466" s="941" t="s">
        <v>11359</v>
      </c>
    </row>
    <row r="467" spans="2:41">
      <c r="B467" s="941" t="s">
        <v>8004</v>
      </c>
      <c r="D467" s="941" t="s">
        <v>1494</v>
      </c>
      <c r="E467" s="941" t="s">
        <v>10342</v>
      </c>
      <c r="AL467" s="941" t="s">
        <v>12516</v>
      </c>
      <c r="AM467" s="941" t="s">
        <v>12574</v>
      </c>
      <c r="AO467" s="941" t="s">
        <v>11359</v>
      </c>
    </row>
    <row r="468" spans="2:41">
      <c r="B468" s="941" t="s">
        <v>841</v>
      </c>
      <c r="D468" s="941" t="s">
        <v>1495</v>
      </c>
      <c r="E468" s="941" t="s">
        <v>462</v>
      </c>
      <c r="AL468" s="941" t="s">
        <v>12516</v>
      </c>
      <c r="AM468" s="941" t="s">
        <v>11212</v>
      </c>
      <c r="AO468" s="941" t="s">
        <v>11359</v>
      </c>
    </row>
    <row r="469" spans="2:41">
      <c r="B469" s="941" t="s">
        <v>8565</v>
      </c>
      <c r="D469" s="941" t="s">
        <v>256</v>
      </c>
      <c r="E469" s="941" t="s">
        <v>6922</v>
      </c>
      <c r="AL469" s="941" t="s">
        <v>12516</v>
      </c>
      <c r="AM469" s="941" t="s">
        <v>11466</v>
      </c>
      <c r="AO469" s="941" t="s">
        <v>11359</v>
      </c>
    </row>
    <row r="470" spans="2:41">
      <c r="B470" s="941" t="s">
        <v>10600</v>
      </c>
      <c r="D470" s="941" t="s">
        <v>1496</v>
      </c>
      <c r="E470" s="941" t="s">
        <v>297</v>
      </c>
      <c r="AL470" s="941" t="s">
        <v>12516</v>
      </c>
      <c r="AM470" s="941" t="s">
        <v>12575</v>
      </c>
      <c r="AO470" s="941" t="s">
        <v>11359</v>
      </c>
    </row>
    <row r="471" spans="2:41">
      <c r="B471" s="941" t="s">
        <v>844</v>
      </c>
      <c r="D471" s="941" t="s">
        <v>1497</v>
      </c>
      <c r="E471" s="941" t="s">
        <v>298</v>
      </c>
      <c r="AL471" s="941" t="s">
        <v>12516</v>
      </c>
      <c r="AM471" s="941" t="s">
        <v>11526</v>
      </c>
      <c r="AO471" s="941" t="s">
        <v>11359</v>
      </c>
    </row>
    <row r="472" spans="2:41">
      <c r="B472" s="941" t="s">
        <v>10900</v>
      </c>
      <c r="D472" s="941" t="s">
        <v>1498</v>
      </c>
      <c r="E472" s="941" t="s">
        <v>7942</v>
      </c>
      <c r="AL472" s="941" t="s">
        <v>12516</v>
      </c>
      <c r="AM472" s="941" t="s">
        <v>12529</v>
      </c>
      <c r="AO472" s="941" t="s">
        <v>11359</v>
      </c>
    </row>
    <row r="473" spans="2:41">
      <c r="B473" s="941" t="s">
        <v>846</v>
      </c>
      <c r="D473" s="941" t="s">
        <v>1499</v>
      </c>
      <c r="E473" s="941" t="s">
        <v>655</v>
      </c>
      <c r="AL473" s="941" t="s">
        <v>12516</v>
      </c>
      <c r="AM473" s="941" t="s">
        <v>12344</v>
      </c>
      <c r="AO473" s="941" t="s">
        <v>11359</v>
      </c>
    </row>
    <row r="474" spans="2:41">
      <c r="B474" s="941" t="s">
        <v>10288</v>
      </c>
      <c r="D474" s="941" t="s">
        <v>1500</v>
      </c>
      <c r="E474" s="941" t="s">
        <v>6985</v>
      </c>
      <c r="AL474" s="941" t="s">
        <v>12516</v>
      </c>
      <c r="AM474" s="941" t="s">
        <v>11237</v>
      </c>
      <c r="AO474" s="941" t="s">
        <v>11359</v>
      </c>
    </row>
    <row r="475" spans="2:41">
      <c r="B475" s="941" t="s">
        <v>11490</v>
      </c>
      <c r="D475" s="941" t="s">
        <v>1501</v>
      </c>
      <c r="E475" s="941" t="s">
        <v>10133</v>
      </c>
      <c r="AL475" s="941" t="s">
        <v>12516</v>
      </c>
      <c r="AM475" s="941" t="s">
        <v>495</v>
      </c>
      <c r="AO475" s="941" t="s">
        <v>11359</v>
      </c>
    </row>
    <row r="476" spans="2:41">
      <c r="B476" s="941" t="s">
        <v>10498</v>
      </c>
      <c r="D476" s="941" t="s">
        <v>1502</v>
      </c>
      <c r="E476" s="941" t="s">
        <v>33</v>
      </c>
      <c r="AL476" s="941" t="s">
        <v>12516</v>
      </c>
      <c r="AM476" s="941" t="s">
        <v>11250</v>
      </c>
      <c r="AO476" s="941" t="s">
        <v>11359</v>
      </c>
    </row>
    <row r="477" spans="2:41">
      <c r="B477" s="941" t="s">
        <v>847</v>
      </c>
      <c r="D477" s="941" t="s">
        <v>1503</v>
      </c>
      <c r="E477" s="941" t="s">
        <v>3</v>
      </c>
      <c r="AL477" s="941" t="s">
        <v>12516</v>
      </c>
      <c r="AM477" s="941" t="s">
        <v>11251</v>
      </c>
      <c r="AO477" s="941" t="s">
        <v>11359</v>
      </c>
    </row>
    <row r="478" spans="2:41">
      <c r="B478" s="941" t="s">
        <v>7962</v>
      </c>
      <c r="D478" s="941" t="s">
        <v>1504</v>
      </c>
      <c r="E478" s="941" t="s">
        <v>34</v>
      </c>
      <c r="AL478" s="941" t="s">
        <v>12516</v>
      </c>
      <c r="AM478" s="941" t="s">
        <v>12576</v>
      </c>
      <c r="AO478" s="941" t="s">
        <v>11359</v>
      </c>
    </row>
    <row r="479" spans="2:41">
      <c r="B479" s="941" t="s">
        <v>8609</v>
      </c>
      <c r="D479" s="941" t="s">
        <v>1505</v>
      </c>
      <c r="E479" s="941" t="s">
        <v>7813</v>
      </c>
      <c r="AL479" s="941" t="s">
        <v>12516</v>
      </c>
      <c r="AM479" s="941" t="s">
        <v>11527</v>
      </c>
      <c r="AO479" s="941" t="s">
        <v>11359</v>
      </c>
    </row>
    <row r="480" spans="2:41">
      <c r="B480" s="941" t="s">
        <v>849</v>
      </c>
      <c r="D480" s="941" t="s">
        <v>9281</v>
      </c>
      <c r="E480" s="941" t="s">
        <v>35</v>
      </c>
      <c r="AL480" s="941" t="s">
        <v>12516</v>
      </c>
      <c r="AM480" s="941" t="s">
        <v>1026</v>
      </c>
      <c r="AO480" s="941" t="s">
        <v>11359</v>
      </c>
    </row>
    <row r="481" spans="2:41">
      <c r="B481" s="941" t="s">
        <v>10176</v>
      </c>
      <c r="D481" s="941" t="s">
        <v>1506</v>
      </c>
      <c r="E481" s="941" t="s">
        <v>463</v>
      </c>
      <c r="AL481" s="941" t="s">
        <v>12516</v>
      </c>
      <c r="AM481" s="941" t="s">
        <v>6868</v>
      </c>
      <c r="AO481" s="941" t="s">
        <v>11359</v>
      </c>
    </row>
    <row r="482" spans="2:41">
      <c r="B482" s="941" t="s">
        <v>10177</v>
      </c>
      <c r="D482" s="941" t="s">
        <v>1507</v>
      </c>
      <c r="E482" s="941" t="s">
        <v>7137</v>
      </c>
      <c r="AL482" s="941" t="s">
        <v>12516</v>
      </c>
      <c r="AM482" s="941" t="s">
        <v>11277</v>
      </c>
      <c r="AO482" s="941" t="s">
        <v>11359</v>
      </c>
    </row>
    <row r="483" spans="2:41">
      <c r="B483" s="941" t="s">
        <v>10178</v>
      </c>
      <c r="D483" s="941" t="s">
        <v>1508</v>
      </c>
      <c r="E483" s="941" t="s">
        <v>36</v>
      </c>
      <c r="AL483" s="941" t="s">
        <v>12516</v>
      </c>
      <c r="AM483" s="941" t="s">
        <v>7231</v>
      </c>
      <c r="AO483" s="941" t="s">
        <v>11359</v>
      </c>
    </row>
    <row r="484" spans="2:41">
      <c r="B484" s="941" t="s">
        <v>850</v>
      </c>
      <c r="D484" s="941" t="s">
        <v>1509</v>
      </c>
      <c r="E484" s="941" t="s">
        <v>9892</v>
      </c>
      <c r="AL484" s="941" t="s">
        <v>12528</v>
      </c>
      <c r="AM484" s="941" t="s">
        <v>11533</v>
      </c>
      <c r="AO484" s="941" t="s">
        <v>11359</v>
      </c>
    </row>
    <row r="485" spans="2:41">
      <c r="B485" s="941" t="s">
        <v>851</v>
      </c>
      <c r="D485" s="941" t="s">
        <v>1510</v>
      </c>
      <c r="E485" s="941" t="s">
        <v>10633</v>
      </c>
      <c r="AL485" s="941" t="s">
        <v>12528</v>
      </c>
      <c r="AM485" s="941" t="s">
        <v>12673</v>
      </c>
      <c r="AO485" s="941" t="s">
        <v>11359</v>
      </c>
    </row>
    <row r="486" spans="2:41">
      <c r="B486" s="941" t="s">
        <v>8612</v>
      </c>
      <c r="D486" s="941" t="s">
        <v>1511</v>
      </c>
      <c r="E486" s="941" t="s">
        <v>7814</v>
      </c>
      <c r="AL486" s="941" t="s">
        <v>12528</v>
      </c>
      <c r="AM486" s="941" t="s">
        <v>12577</v>
      </c>
      <c r="AO486" s="941" t="s">
        <v>11359</v>
      </c>
    </row>
    <row r="487" spans="2:41">
      <c r="B487" s="941" t="s">
        <v>852</v>
      </c>
      <c r="D487" s="941" t="s">
        <v>1512</v>
      </c>
      <c r="E487" s="941" t="s">
        <v>10134</v>
      </c>
      <c r="AL487" s="941" t="s">
        <v>12528</v>
      </c>
      <c r="AM487" s="941" t="s">
        <v>11534</v>
      </c>
      <c r="AO487" s="941" t="s">
        <v>11359</v>
      </c>
    </row>
    <row r="488" spans="2:41">
      <c r="B488" s="941" t="s">
        <v>7963</v>
      </c>
      <c r="D488" s="941" t="s">
        <v>1513</v>
      </c>
      <c r="E488" s="941" t="s">
        <v>37</v>
      </c>
      <c r="AL488" s="941" t="s">
        <v>12528</v>
      </c>
      <c r="AM488" s="941" t="s">
        <v>11536</v>
      </c>
      <c r="AO488" s="941" t="s">
        <v>11359</v>
      </c>
    </row>
    <row r="489" spans="2:41">
      <c r="B489" s="941" t="s">
        <v>10179</v>
      </c>
      <c r="D489" s="941" t="s">
        <v>1514</v>
      </c>
      <c r="E489" s="941" t="s">
        <v>608</v>
      </c>
      <c r="AL489" s="941" t="s">
        <v>12528</v>
      </c>
      <c r="AM489" s="941" t="s">
        <v>9640</v>
      </c>
      <c r="AO489" s="941" t="s">
        <v>11359</v>
      </c>
    </row>
    <row r="490" spans="2:41">
      <c r="B490" s="941" t="s">
        <v>8615</v>
      </c>
      <c r="D490" s="941" t="s">
        <v>1515</v>
      </c>
      <c r="E490" s="941" t="s">
        <v>464</v>
      </c>
      <c r="AL490" s="941" t="s">
        <v>12528</v>
      </c>
      <c r="AM490" s="941" t="s">
        <v>11271</v>
      </c>
      <c r="AO490" s="941" t="s">
        <v>11359</v>
      </c>
    </row>
    <row r="491" spans="2:41">
      <c r="B491" s="941" t="s">
        <v>9895</v>
      </c>
      <c r="D491" s="941" t="s">
        <v>1516</v>
      </c>
      <c r="E491" s="941" t="s">
        <v>10909</v>
      </c>
      <c r="AL491" s="941" t="s">
        <v>12681</v>
      </c>
      <c r="AM491" s="941" t="s">
        <v>1120</v>
      </c>
      <c r="AO491" s="941" t="s">
        <v>11516</v>
      </c>
    </row>
    <row r="492" spans="2:41">
      <c r="B492" s="941" t="s">
        <v>5319</v>
      </c>
      <c r="D492" s="941" t="s">
        <v>1517</v>
      </c>
      <c r="E492" s="941" t="s">
        <v>609</v>
      </c>
      <c r="AL492" s="941" t="s">
        <v>12681</v>
      </c>
      <c r="AM492" s="941" t="s">
        <v>11211</v>
      </c>
      <c r="AO492" s="941" t="s">
        <v>11516</v>
      </c>
    </row>
    <row r="493" spans="2:41">
      <c r="B493" s="941" t="s">
        <v>11204</v>
      </c>
      <c r="D493" s="941" t="s">
        <v>1518</v>
      </c>
      <c r="E493" s="941" t="s">
        <v>405</v>
      </c>
      <c r="AL493" s="941" t="s">
        <v>12681</v>
      </c>
      <c r="AM493" s="941" t="s">
        <v>286</v>
      </c>
      <c r="AO493" s="941" t="s">
        <v>11516</v>
      </c>
    </row>
    <row r="494" spans="2:41">
      <c r="B494" s="941" t="s">
        <v>11464</v>
      </c>
      <c r="D494" s="941" t="s">
        <v>1519</v>
      </c>
      <c r="E494" s="941" t="s">
        <v>248</v>
      </c>
      <c r="AL494" s="941" t="s">
        <v>12681</v>
      </c>
      <c r="AM494" s="941" t="s">
        <v>11292</v>
      </c>
      <c r="AO494" s="941" t="s">
        <v>11516</v>
      </c>
    </row>
    <row r="495" spans="2:41">
      <c r="B495" s="941" t="s">
        <v>853</v>
      </c>
      <c r="D495" s="941" t="s">
        <v>1520</v>
      </c>
      <c r="E495" s="941" t="s">
        <v>610</v>
      </c>
      <c r="AL495" s="941" t="s">
        <v>12681</v>
      </c>
      <c r="AM495" s="941" t="s">
        <v>11229</v>
      </c>
      <c r="AO495" s="941" t="s">
        <v>11516</v>
      </c>
    </row>
    <row r="496" spans="2:41">
      <c r="B496" s="941" t="s">
        <v>9663</v>
      </c>
      <c r="D496" s="941" t="s">
        <v>1521</v>
      </c>
      <c r="E496" s="941" t="s">
        <v>394</v>
      </c>
      <c r="AL496" s="941" t="s">
        <v>12681</v>
      </c>
      <c r="AM496" s="941" t="s">
        <v>413</v>
      </c>
      <c r="AO496" s="941" t="s">
        <v>11516</v>
      </c>
    </row>
    <row r="497" spans="2:41">
      <c r="B497" s="941" t="s">
        <v>854</v>
      </c>
      <c r="D497" s="941" t="s">
        <v>1522</v>
      </c>
      <c r="E497" s="941" t="s">
        <v>7815</v>
      </c>
      <c r="AL497" s="941" t="s">
        <v>12681</v>
      </c>
      <c r="AM497" s="941" t="s">
        <v>11147</v>
      </c>
      <c r="AO497" s="941" t="s">
        <v>11516</v>
      </c>
    </row>
    <row r="498" spans="2:41">
      <c r="B498" s="941" t="s">
        <v>11054</v>
      </c>
      <c r="D498" s="941" t="s">
        <v>1523</v>
      </c>
      <c r="E498" s="941" t="s">
        <v>25</v>
      </c>
      <c r="AL498" s="941" t="s">
        <v>12681</v>
      </c>
      <c r="AM498" s="941" t="s">
        <v>525</v>
      </c>
      <c r="AO498" s="941" t="s">
        <v>11516</v>
      </c>
    </row>
    <row r="499" spans="2:41">
      <c r="B499" s="941" t="s">
        <v>855</v>
      </c>
      <c r="D499" s="941" t="s">
        <v>1524</v>
      </c>
      <c r="E499" s="941" t="s">
        <v>611</v>
      </c>
      <c r="AL499" s="941" t="s">
        <v>12681</v>
      </c>
      <c r="AM499" s="941" t="s">
        <v>528</v>
      </c>
      <c r="AO499" s="941" t="s">
        <v>11516</v>
      </c>
    </row>
    <row r="500" spans="2:41">
      <c r="B500" s="941" t="s">
        <v>8629</v>
      </c>
      <c r="D500" s="941" t="s">
        <v>1525</v>
      </c>
      <c r="E500" s="941" t="s">
        <v>612</v>
      </c>
      <c r="AL500" s="941" t="s">
        <v>12681</v>
      </c>
      <c r="AM500" s="941" t="s">
        <v>11233</v>
      </c>
      <c r="AO500" s="941" t="s">
        <v>11516</v>
      </c>
    </row>
    <row r="501" spans="2:41">
      <c r="B501" s="941" t="s">
        <v>856</v>
      </c>
      <c r="D501" s="941" t="s">
        <v>1526</v>
      </c>
      <c r="E501" s="941" t="s">
        <v>179</v>
      </c>
      <c r="AL501" s="941" t="s">
        <v>12681</v>
      </c>
      <c r="AM501" s="941" t="s">
        <v>11236</v>
      </c>
      <c r="AO501" s="941" t="s">
        <v>11516</v>
      </c>
    </row>
    <row r="502" spans="2:41">
      <c r="B502" s="941" t="s">
        <v>857</v>
      </c>
      <c r="D502" s="941" t="s">
        <v>1527</v>
      </c>
      <c r="E502" s="941" t="s">
        <v>7816</v>
      </c>
      <c r="AL502" s="941" t="s">
        <v>12681</v>
      </c>
      <c r="AM502" s="941" t="s">
        <v>585</v>
      </c>
      <c r="AO502" s="941" t="s">
        <v>11516</v>
      </c>
    </row>
    <row r="503" spans="2:41">
      <c r="B503" s="941" t="s">
        <v>858</v>
      </c>
      <c r="D503" s="941" t="s">
        <v>1528</v>
      </c>
      <c r="E503" s="941" t="s">
        <v>10634</v>
      </c>
      <c r="AL503" s="941" t="s">
        <v>12681</v>
      </c>
      <c r="AM503" s="941" t="s">
        <v>11238</v>
      </c>
      <c r="AO503" s="941" t="s">
        <v>11516</v>
      </c>
    </row>
    <row r="504" spans="2:41">
      <c r="B504" s="941" t="s">
        <v>859</v>
      </c>
      <c r="D504" s="941" t="s">
        <v>1529</v>
      </c>
      <c r="E504" s="941" t="s">
        <v>216</v>
      </c>
      <c r="AL504" s="941" t="s">
        <v>12681</v>
      </c>
      <c r="AM504" s="941" t="s">
        <v>3871</v>
      </c>
      <c r="AO504" s="941" t="s">
        <v>11516</v>
      </c>
    </row>
    <row r="505" spans="2:41">
      <c r="B505" s="941" t="s">
        <v>861</v>
      </c>
      <c r="D505" s="941" t="s">
        <v>1530</v>
      </c>
      <c r="E505" s="941" t="s">
        <v>180</v>
      </c>
      <c r="AL505" s="941" t="s">
        <v>12681</v>
      </c>
      <c r="AM505" s="941" t="s">
        <v>3872</v>
      </c>
      <c r="AO505" s="941" t="s">
        <v>11516</v>
      </c>
    </row>
    <row r="506" spans="2:41">
      <c r="B506" s="941" t="s">
        <v>862</v>
      </c>
      <c r="D506" s="941" t="s">
        <v>1531</v>
      </c>
      <c r="E506" s="941" t="s">
        <v>181</v>
      </c>
      <c r="AL506" s="941" t="s">
        <v>12681</v>
      </c>
      <c r="AM506" s="941" t="s">
        <v>10106</v>
      </c>
      <c r="AO506" s="941" t="s">
        <v>11516</v>
      </c>
    </row>
    <row r="507" spans="2:41">
      <c r="B507" s="941" t="s">
        <v>863</v>
      </c>
      <c r="D507" s="941" t="s">
        <v>1532</v>
      </c>
      <c r="E507" s="941" t="s">
        <v>7508</v>
      </c>
      <c r="AL507" s="941" t="s">
        <v>12681</v>
      </c>
      <c r="AM507" s="941" t="s">
        <v>9897</v>
      </c>
      <c r="AO507" s="941" t="s">
        <v>11516</v>
      </c>
    </row>
    <row r="508" spans="2:41">
      <c r="B508" s="941" t="s">
        <v>11193</v>
      </c>
      <c r="D508" s="941" t="s">
        <v>1533</v>
      </c>
      <c r="E508" s="941" t="s">
        <v>7525</v>
      </c>
      <c r="AL508" s="941" t="s">
        <v>12681</v>
      </c>
      <c r="AM508" s="941" t="s">
        <v>270</v>
      </c>
      <c r="AO508" s="941" t="s">
        <v>11516</v>
      </c>
    </row>
    <row r="509" spans="2:41">
      <c r="B509" s="941" t="s">
        <v>12343</v>
      </c>
      <c r="D509" s="941" t="s">
        <v>1534</v>
      </c>
      <c r="E509" s="941" t="s">
        <v>182</v>
      </c>
      <c r="AL509" s="941" t="s">
        <v>12681</v>
      </c>
      <c r="AM509" s="941" t="s">
        <v>341</v>
      </c>
      <c r="AO509" s="941" t="s">
        <v>11516</v>
      </c>
    </row>
    <row r="510" spans="2:41">
      <c r="B510" s="941" t="s">
        <v>8650</v>
      </c>
      <c r="D510" s="941" t="s">
        <v>1535</v>
      </c>
      <c r="E510" s="941" t="s">
        <v>183</v>
      </c>
      <c r="AL510" s="941" t="s">
        <v>12681</v>
      </c>
      <c r="AM510" s="941" t="s">
        <v>198</v>
      </c>
      <c r="AO510" s="941" t="s">
        <v>11516</v>
      </c>
    </row>
    <row r="511" spans="2:41">
      <c r="B511" s="941" t="s">
        <v>864</v>
      </c>
      <c r="D511" s="941" t="s">
        <v>1536</v>
      </c>
      <c r="E511" s="941" t="s">
        <v>456</v>
      </c>
      <c r="AL511" s="941" t="s">
        <v>12681</v>
      </c>
      <c r="AM511" s="941" t="s">
        <v>12820</v>
      </c>
      <c r="AO511" s="941" t="s">
        <v>11516</v>
      </c>
    </row>
    <row r="512" spans="2:41">
      <c r="B512" s="941" t="s">
        <v>865</v>
      </c>
      <c r="D512" s="941" t="s">
        <v>1537</v>
      </c>
      <c r="E512" s="941" t="s">
        <v>283</v>
      </c>
      <c r="AL512" s="941" t="s">
        <v>12681</v>
      </c>
      <c r="AM512" s="941" t="s">
        <v>11266</v>
      </c>
      <c r="AO512" s="941" t="s">
        <v>11516</v>
      </c>
    </row>
    <row r="513" spans="2:41">
      <c r="B513" s="941" t="s">
        <v>10901</v>
      </c>
      <c r="D513" s="941" t="s">
        <v>1538</v>
      </c>
      <c r="E513" s="941" t="s">
        <v>470</v>
      </c>
      <c r="AL513" s="941" t="s">
        <v>12681</v>
      </c>
      <c r="AM513" s="941" t="s">
        <v>11270</v>
      </c>
      <c r="AO513" s="941" t="s">
        <v>11516</v>
      </c>
    </row>
    <row r="514" spans="2:41">
      <c r="B514" s="941" t="s">
        <v>12321</v>
      </c>
      <c r="D514" s="941" t="s">
        <v>1539</v>
      </c>
      <c r="E514" s="941" t="s">
        <v>7809</v>
      </c>
      <c r="AL514" s="941" t="s">
        <v>12681</v>
      </c>
      <c r="AM514" s="941" t="s">
        <v>11161</v>
      </c>
      <c r="AO514" s="941" t="s">
        <v>11516</v>
      </c>
    </row>
    <row r="515" spans="2:41">
      <c r="B515" s="941" t="s">
        <v>10309</v>
      </c>
      <c r="D515" s="941" t="s">
        <v>1540</v>
      </c>
      <c r="E515" s="941" t="s">
        <v>471</v>
      </c>
      <c r="AL515" s="941" t="s">
        <v>12681</v>
      </c>
      <c r="AM515" s="941" t="s">
        <v>3</v>
      </c>
      <c r="AO515" s="941" t="s">
        <v>11516</v>
      </c>
    </row>
    <row r="516" spans="2:41">
      <c r="B516" s="941" t="s">
        <v>10012</v>
      </c>
      <c r="D516" s="941" t="s">
        <v>1541</v>
      </c>
      <c r="E516" s="941" t="s">
        <v>472</v>
      </c>
      <c r="AL516" s="941" t="s">
        <v>12359</v>
      </c>
      <c r="AM516" s="941" t="s">
        <v>259</v>
      </c>
      <c r="AO516" s="941" t="s">
        <v>11359</v>
      </c>
    </row>
    <row r="517" spans="2:41">
      <c r="B517" s="941" t="s">
        <v>867</v>
      </c>
      <c r="D517" s="941" t="s">
        <v>1542</v>
      </c>
      <c r="E517" s="941" t="s">
        <v>473</v>
      </c>
      <c r="AL517" s="941" t="s">
        <v>12359</v>
      </c>
      <c r="AM517" s="941" t="s">
        <v>229</v>
      </c>
      <c r="AO517" s="941" t="s">
        <v>11359</v>
      </c>
    </row>
    <row r="518" spans="2:41">
      <c r="B518" s="941" t="s">
        <v>8671</v>
      </c>
      <c r="D518" s="941" t="s">
        <v>1543</v>
      </c>
      <c r="E518" s="941" t="s">
        <v>1029</v>
      </c>
      <c r="AL518" s="941" t="s">
        <v>12359</v>
      </c>
      <c r="AM518" s="941" t="s">
        <v>12830</v>
      </c>
      <c r="AO518" s="941" t="s">
        <v>11359</v>
      </c>
    </row>
    <row r="519" spans="2:41">
      <c r="B519" s="941" t="s">
        <v>8672</v>
      </c>
      <c r="D519" s="941" t="s">
        <v>377</v>
      </c>
      <c r="E519" s="941" t="s">
        <v>457</v>
      </c>
      <c r="AL519" s="941" t="s">
        <v>12359</v>
      </c>
      <c r="AM519" s="941" t="s">
        <v>410</v>
      </c>
      <c r="AO519" s="941" t="s">
        <v>11516</v>
      </c>
    </row>
    <row r="520" spans="2:41">
      <c r="B520" s="941" t="s">
        <v>7964</v>
      </c>
      <c r="D520" s="941" t="s">
        <v>1544</v>
      </c>
      <c r="E520" s="941" t="s">
        <v>217</v>
      </c>
      <c r="AL520" s="941" t="s">
        <v>12359</v>
      </c>
      <c r="AM520" s="941" t="s">
        <v>410</v>
      </c>
      <c r="AO520" s="941" t="s">
        <v>11359</v>
      </c>
    </row>
    <row r="521" spans="2:41">
      <c r="B521" s="941" t="s">
        <v>7965</v>
      </c>
      <c r="D521" s="941" t="s">
        <v>1545</v>
      </c>
      <c r="E521" s="941" t="s">
        <v>1030</v>
      </c>
      <c r="AL521" s="941" t="s">
        <v>12359</v>
      </c>
      <c r="AM521" s="941" t="s">
        <v>219</v>
      </c>
      <c r="AO521" s="941" t="s">
        <v>11359</v>
      </c>
    </row>
    <row r="522" spans="2:41">
      <c r="B522" s="941" t="s">
        <v>8675</v>
      </c>
      <c r="D522" s="941" t="s">
        <v>1546</v>
      </c>
      <c r="E522" s="941" t="s">
        <v>590</v>
      </c>
      <c r="AL522" s="941" t="s">
        <v>12359</v>
      </c>
      <c r="AM522" s="941" t="s">
        <v>219</v>
      </c>
      <c r="AO522" s="941" t="s">
        <v>11516</v>
      </c>
    </row>
    <row r="523" spans="2:41">
      <c r="B523" s="941" t="s">
        <v>868</v>
      </c>
      <c r="D523" s="941" t="s">
        <v>1547</v>
      </c>
      <c r="E523" s="941" t="s">
        <v>7810</v>
      </c>
      <c r="AL523" s="941" t="s">
        <v>12359</v>
      </c>
      <c r="AM523" s="941" t="s">
        <v>11240</v>
      </c>
      <c r="AO523" s="941" t="s">
        <v>11516</v>
      </c>
    </row>
    <row r="524" spans="2:41">
      <c r="B524" s="941" t="s">
        <v>8681</v>
      </c>
      <c r="D524" s="941" t="s">
        <v>1548</v>
      </c>
      <c r="E524" s="941" t="s">
        <v>1031</v>
      </c>
      <c r="AL524" s="941" t="s">
        <v>12359</v>
      </c>
      <c r="AM524" s="941" t="s">
        <v>11240</v>
      </c>
      <c r="AO524" s="941" t="s">
        <v>11516</v>
      </c>
    </row>
    <row r="525" spans="2:41">
      <c r="B525" s="941" t="s">
        <v>869</v>
      </c>
      <c r="D525" s="941" t="s">
        <v>1549</v>
      </c>
      <c r="E525" s="941" t="s">
        <v>591</v>
      </c>
      <c r="AL525" s="941" t="s">
        <v>12359</v>
      </c>
      <c r="AM525" s="941" t="s">
        <v>12319</v>
      </c>
      <c r="AO525" s="941" t="s">
        <v>11359</v>
      </c>
    </row>
    <row r="526" spans="2:41">
      <c r="B526" s="941" t="s">
        <v>8687</v>
      </c>
      <c r="D526" s="941" t="s">
        <v>1550</v>
      </c>
      <c r="E526" s="941" t="s">
        <v>592</v>
      </c>
      <c r="AL526" s="941" t="s">
        <v>12359</v>
      </c>
      <c r="AM526" s="941" t="s">
        <v>629</v>
      </c>
      <c r="AO526" s="941" t="s">
        <v>11516</v>
      </c>
    </row>
    <row r="527" spans="2:41">
      <c r="B527" s="941" t="s">
        <v>7966</v>
      </c>
      <c r="D527" s="941" t="s">
        <v>1551</v>
      </c>
      <c r="E527" s="941" t="s">
        <v>1032</v>
      </c>
      <c r="AL527" s="941" t="s">
        <v>12359</v>
      </c>
      <c r="AM527" s="941" t="s">
        <v>629</v>
      </c>
      <c r="AO527" s="941" t="s">
        <v>11359</v>
      </c>
    </row>
    <row r="528" spans="2:41">
      <c r="B528" s="941" t="s">
        <v>7606</v>
      </c>
      <c r="D528" s="941" t="s">
        <v>9853</v>
      </c>
      <c r="E528" s="941" t="s">
        <v>10629</v>
      </c>
      <c r="AL528" s="941" t="s">
        <v>12359</v>
      </c>
      <c r="AM528" s="941" t="s">
        <v>4474</v>
      </c>
      <c r="AO528" s="941" t="s">
        <v>11359</v>
      </c>
    </row>
    <row r="529" spans="2:41">
      <c r="B529" s="941" t="s">
        <v>871</v>
      </c>
      <c r="D529" s="941" t="s">
        <v>1552</v>
      </c>
      <c r="E529" s="941" t="s">
        <v>593</v>
      </c>
      <c r="AL529" s="941" t="s">
        <v>12359</v>
      </c>
      <c r="AM529" s="941" t="s">
        <v>11253</v>
      </c>
      <c r="AO529" s="941" t="s">
        <v>11359</v>
      </c>
    </row>
    <row r="530" spans="2:41">
      <c r="B530" s="941" t="s">
        <v>872</v>
      </c>
      <c r="D530" s="941" t="s">
        <v>9311</v>
      </c>
      <c r="E530" s="941" t="s">
        <v>594</v>
      </c>
      <c r="AL530" t="s">
        <v>12359</v>
      </c>
      <c r="AM530" t="s">
        <v>12339</v>
      </c>
      <c r="AO530" s="941" t="s">
        <v>11516</v>
      </c>
    </row>
    <row r="531" spans="2:41">
      <c r="B531" s="941" t="s">
        <v>873</v>
      </c>
      <c r="D531" s="941" t="s">
        <v>1553</v>
      </c>
      <c r="E531" s="941" t="s">
        <v>458</v>
      </c>
      <c r="AL531" t="s">
        <v>12359</v>
      </c>
      <c r="AM531" t="s">
        <v>12339</v>
      </c>
      <c r="AO531" s="941" t="s">
        <v>11359</v>
      </c>
    </row>
    <row r="532" spans="2:41">
      <c r="B532" s="941" t="s">
        <v>8700</v>
      </c>
      <c r="D532" s="941" t="s">
        <v>1554</v>
      </c>
      <c r="E532" s="941" t="s">
        <v>595</v>
      </c>
      <c r="AL532" t="s">
        <v>12359</v>
      </c>
      <c r="AM532" t="s">
        <v>5523</v>
      </c>
      <c r="AO532" s="941" t="s">
        <v>11359</v>
      </c>
    </row>
    <row r="533" spans="2:41">
      <c r="B533" s="941" t="s">
        <v>874</v>
      </c>
      <c r="D533" s="941" t="s">
        <v>1555</v>
      </c>
      <c r="E533" s="941" t="s">
        <v>459</v>
      </c>
      <c r="AL533" t="s">
        <v>12359</v>
      </c>
      <c r="AM533" t="s">
        <v>10890</v>
      </c>
      <c r="AO533" s="941" t="s">
        <v>11359</v>
      </c>
    </row>
    <row r="534" spans="2:41">
      <c r="B534" s="941" t="s">
        <v>8701</v>
      </c>
      <c r="D534" s="941" t="s">
        <v>1556</v>
      </c>
      <c r="E534" s="941" t="s">
        <v>1033</v>
      </c>
      <c r="AL534" t="s">
        <v>12359</v>
      </c>
      <c r="AM534" t="s">
        <v>10892</v>
      </c>
      <c r="AO534" s="941" t="s">
        <v>11359</v>
      </c>
    </row>
    <row r="535" spans="2:41">
      <c r="B535" s="941" t="s">
        <v>875</v>
      </c>
      <c r="D535" s="941" t="s">
        <v>1557</v>
      </c>
      <c r="E535" s="941" t="s">
        <v>10891</v>
      </c>
      <c r="AL535" t="s">
        <v>12359</v>
      </c>
      <c r="AM535" t="s">
        <v>11268</v>
      </c>
      <c r="AO535" s="941" t="s">
        <v>11516</v>
      </c>
    </row>
    <row r="536" spans="2:41">
      <c r="B536" s="941" t="s">
        <v>8705</v>
      </c>
      <c r="D536" s="941" t="s">
        <v>1558</v>
      </c>
      <c r="E536" s="941" t="s">
        <v>524</v>
      </c>
      <c r="AL536" t="s">
        <v>12359</v>
      </c>
      <c r="AM536" t="s">
        <v>11268</v>
      </c>
      <c r="AO536" s="941" t="s">
        <v>11359</v>
      </c>
    </row>
    <row r="537" spans="2:41">
      <c r="B537" s="941" t="s">
        <v>876</v>
      </c>
      <c r="D537" s="941" t="s">
        <v>1559</v>
      </c>
      <c r="E537" s="941" t="s">
        <v>6469</v>
      </c>
      <c r="AL537" t="s">
        <v>12359</v>
      </c>
      <c r="AM537" t="s">
        <v>7940</v>
      </c>
      <c r="AO537" s="941" t="s">
        <v>11359</v>
      </c>
    </row>
    <row r="538" spans="2:41">
      <c r="B538" s="941" t="s">
        <v>8708</v>
      </c>
      <c r="D538" s="941" t="s">
        <v>1560</v>
      </c>
      <c r="E538" s="941" t="s">
        <v>596</v>
      </c>
      <c r="AL538" t="s">
        <v>12359</v>
      </c>
      <c r="AM538" t="s">
        <v>490</v>
      </c>
      <c r="AO538" s="941" t="s">
        <v>11359</v>
      </c>
    </row>
    <row r="539" spans="2:41">
      <c r="B539" s="941" t="s">
        <v>8711</v>
      </c>
      <c r="D539" s="941" t="s">
        <v>9312</v>
      </c>
      <c r="E539" s="941" t="s">
        <v>295</v>
      </c>
      <c r="AL539" t="s">
        <v>12691</v>
      </c>
      <c r="AM539" t="s">
        <v>11208</v>
      </c>
      <c r="AO539" s="941" t="s">
        <v>11516</v>
      </c>
    </row>
    <row r="540" spans="2:41">
      <c r="B540" s="941" t="s">
        <v>877</v>
      </c>
      <c r="D540" s="941" t="s">
        <v>1561</v>
      </c>
      <c r="E540" s="941" t="s">
        <v>1034</v>
      </c>
      <c r="AL540" t="s">
        <v>12691</v>
      </c>
      <c r="AM540" t="s">
        <v>9693</v>
      </c>
      <c r="AO540" s="941" t="s">
        <v>11516</v>
      </c>
    </row>
    <row r="541" spans="2:41">
      <c r="B541" s="941" t="s">
        <v>878</v>
      </c>
      <c r="D541" s="941" t="s">
        <v>1562</v>
      </c>
      <c r="E541" s="941" t="s">
        <v>398</v>
      </c>
      <c r="AL541" t="s">
        <v>12691</v>
      </c>
      <c r="AM541" t="s">
        <v>12811</v>
      </c>
      <c r="AO541" s="941" t="s">
        <v>11516</v>
      </c>
    </row>
    <row r="542" spans="2:41">
      <c r="B542" s="941" t="s">
        <v>879</v>
      </c>
      <c r="D542" s="941" t="s">
        <v>1563</v>
      </c>
      <c r="E542" s="941" t="s">
        <v>10131</v>
      </c>
      <c r="AL542" t="s">
        <v>12691</v>
      </c>
      <c r="AM542" t="s">
        <v>11212</v>
      </c>
      <c r="AO542" s="941" t="s">
        <v>11516</v>
      </c>
    </row>
    <row r="543" spans="2:41">
      <c r="B543" s="941" t="s">
        <v>7754</v>
      </c>
      <c r="D543" s="941" t="s">
        <v>1564</v>
      </c>
      <c r="E543" s="941" t="s">
        <v>7940</v>
      </c>
      <c r="AL543" t="s">
        <v>12691</v>
      </c>
      <c r="AM543" t="s">
        <v>11213</v>
      </c>
      <c r="AO543" s="941" t="s">
        <v>11516</v>
      </c>
    </row>
    <row r="544" spans="2:41">
      <c r="B544" s="941" t="s">
        <v>880</v>
      </c>
      <c r="D544" s="941" t="s">
        <v>1565</v>
      </c>
      <c r="E544" s="941" t="s">
        <v>1035</v>
      </c>
      <c r="AL544" t="s">
        <v>12691</v>
      </c>
      <c r="AM544" t="s">
        <v>7804</v>
      </c>
      <c r="AO544" s="941" t="s">
        <v>11516</v>
      </c>
    </row>
    <row r="545" spans="2:41">
      <c r="B545" s="941" t="s">
        <v>10302</v>
      </c>
      <c r="D545" s="941" t="s">
        <v>10510</v>
      </c>
      <c r="E545" s="941" t="s">
        <v>173</v>
      </c>
      <c r="AL545" t="s">
        <v>12691</v>
      </c>
      <c r="AM545" t="s">
        <v>11466</v>
      </c>
      <c r="AO545" s="941" t="s">
        <v>11516</v>
      </c>
    </row>
    <row r="546" spans="2:41">
      <c r="B546" s="941" t="s">
        <v>881</v>
      </c>
      <c r="D546" s="941" t="s">
        <v>1566</v>
      </c>
      <c r="E546" s="941" t="s">
        <v>11160</v>
      </c>
      <c r="AL546" t="s">
        <v>12691</v>
      </c>
      <c r="AM546" t="s">
        <v>11223</v>
      </c>
      <c r="AO546" s="941" t="s">
        <v>11516</v>
      </c>
    </row>
    <row r="547" spans="2:41">
      <c r="B547" s="941" t="s">
        <v>882</v>
      </c>
      <c r="D547" s="941" t="s">
        <v>9313</v>
      </c>
      <c r="E547" s="941" t="s">
        <v>1036</v>
      </c>
      <c r="AL547" t="s">
        <v>12691</v>
      </c>
      <c r="AM547" t="s">
        <v>12821</v>
      </c>
      <c r="AO547" s="941" t="s">
        <v>11516</v>
      </c>
    </row>
    <row r="548" spans="2:41">
      <c r="B548" s="941" t="s">
        <v>9932</v>
      </c>
      <c r="D548" s="941" t="s">
        <v>1567</v>
      </c>
      <c r="E548" s="941" t="s">
        <v>1037</v>
      </c>
      <c r="AL548" t="s">
        <v>12691</v>
      </c>
      <c r="AM548" t="s">
        <v>11526</v>
      </c>
      <c r="AO548" s="941" t="s">
        <v>11516</v>
      </c>
    </row>
    <row r="549" spans="2:41">
      <c r="B549" s="941" t="s">
        <v>8736</v>
      </c>
      <c r="D549" s="941" t="s">
        <v>10406</v>
      </c>
      <c r="E549" s="941" t="s">
        <v>11161</v>
      </c>
      <c r="AL549" t="s">
        <v>12691</v>
      </c>
      <c r="AM549" t="s">
        <v>12529</v>
      </c>
      <c r="AO549" s="941" t="s">
        <v>11516</v>
      </c>
    </row>
    <row r="550" spans="2:41">
      <c r="B550" s="941" t="s">
        <v>11579</v>
      </c>
      <c r="D550" s="941" t="s">
        <v>1568</v>
      </c>
      <c r="E550" s="941" t="s">
        <v>174</v>
      </c>
      <c r="AL550" t="s">
        <v>12691</v>
      </c>
      <c r="AM550" t="s">
        <v>12344</v>
      </c>
      <c r="AO550" s="941" t="s">
        <v>11516</v>
      </c>
    </row>
    <row r="551" spans="2:41">
      <c r="B551" s="941" t="s">
        <v>5749</v>
      </c>
      <c r="D551" s="941" t="s">
        <v>1569</v>
      </c>
      <c r="E551" s="941" t="s">
        <v>6656</v>
      </c>
      <c r="AL551" t="s">
        <v>12691</v>
      </c>
      <c r="AM551" t="s">
        <v>12822</v>
      </c>
      <c r="AO551" s="941" t="s">
        <v>11516</v>
      </c>
    </row>
    <row r="552" spans="2:41">
      <c r="B552" s="941" t="s">
        <v>884</v>
      </c>
      <c r="D552" s="941" t="s">
        <v>1570</v>
      </c>
      <c r="E552" s="941" t="s">
        <v>175</v>
      </c>
      <c r="AL552" t="s">
        <v>12691</v>
      </c>
      <c r="AM552" t="s">
        <v>11237</v>
      </c>
      <c r="AO552" s="941" t="s">
        <v>11516</v>
      </c>
    </row>
    <row r="553" spans="2:41">
      <c r="B553" s="941" t="s">
        <v>8746</v>
      </c>
      <c r="D553" s="941" t="s">
        <v>1571</v>
      </c>
      <c r="E553" s="941" t="s">
        <v>1020</v>
      </c>
      <c r="AL553" t="s">
        <v>12691</v>
      </c>
      <c r="AM553" t="s">
        <v>11151</v>
      </c>
      <c r="AO553" s="941" t="s">
        <v>11516</v>
      </c>
    </row>
    <row r="554" spans="2:41">
      <c r="B554" s="941" t="s">
        <v>885</v>
      </c>
      <c r="D554" s="941" t="s">
        <v>1572</v>
      </c>
      <c r="E554" s="941" t="s">
        <v>7941</v>
      </c>
      <c r="AL554" t="s">
        <v>12691</v>
      </c>
      <c r="AM554" t="s">
        <v>495</v>
      </c>
      <c r="AO554" s="941" t="s">
        <v>11516</v>
      </c>
    </row>
    <row r="555" spans="2:41">
      <c r="B555" s="941" t="s">
        <v>8748</v>
      </c>
      <c r="D555" s="941" t="s">
        <v>1573</v>
      </c>
      <c r="E555" s="941" t="s">
        <v>348</v>
      </c>
      <c r="AL555" t="s">
        <v>12691</v>
      </c>
      <c r="AM555" t="s">
        <v>7593</v>
      </c>
      <c r="AO555" s="941" t="s">
        <v>11516</v>
      </c>
    </row>
    <row r="556" spans="2:41">
      <c r="B556" s="941" t="s">
        <v>7968</v>
      </c>
      <c r="D556" s="941" t="s">
        <v>1574</v>
      </c>
      <c r="E556" s="941" t="s">
        <v>176</v>
      </c>
      <c r="AL556" t="s">
        <v>12691</v>
      </c>
      <c r="AM556" t="s">
        <v>11250</v>
      </c>
      <c r="AO556" s="941" t="s">
        <v>11516</v>
      </c>
    </row>
    <row r="557" spans="2:41">
      <c r="B557" s="941" t="s">
        <v>12353</v>
      </c>
      <c r="D557" s="941" t="s">
        <v>1575</v>
      </c>
      <c r="E557" s="941" t="s">
        <v>7811</v>
      </c>
      <c r="AL557" t="s">
        <v>12691</v>
      </c>
      <c r="AM557" t="s">
        <v>11527</v>
      </c>
      <c r="AO557" s="941" t="s">
        <v>11516</v>
      </c>
    </row>
    <row r="558" spans="2:41">
      <c r="B558" s="941" t="s">
        <v>7607</v>
      </c>
      <c r="D558" s="941" t="s">
        <v>1576</v>
      </c>
      <c r="E558" s="941" t="s">
        <v>10132</v>
      </c>
      <c r="AL558" t="s">
        <v>12691</v>
      </c>
      <c r="AM558" t="s">
        <v>9640</v>
      </c>
      <c r="AO558" s="941" t="s">
        <v>11516</v>
      </c>
    </row>
    <row r="559" spans="2:41">
      <c r="B559" s="941" t="s">
        <v>889</v>
      </c>
      <c r="D559" s="941" t="s">
        <v>1577</v>
      </c>
      <c r="E559" s="941" t="s">
        <v>1038</v>
      </c>
      <c r="AL559" t="s">
        <v>12691</v>
      </c>
      <c r="AM559" t="s">
        <v>12823</v>
      </c>
      <c r="AO559" s="941" t="s">
        <v>11516</v>
      </c>
    </row>
    <row r="560" spans="2:41">
      <c r="B560" s="941" t="s">
        <v>890</v>
      </c>
      <c r="D560" s="941" t="s">
        <v>1578</v>
      </c>
      <c r="E560" s="941" t="s">
        <v>408</v>
      </c>
      <c r="AL560" t="s">
        <v>12691</v>
      </c>
      <c r="AM560" t="s">
        <v>5725</v>
      </c>
      <c r="AO560" s="941" t="s">
        <v>11516</v>
      </c>
    </row>
    <row r="561" spans="2:41">
      <c r="B561" s="941" t="s">
        <v>891</v>
      </c>
      <c r="D561" s="941" t="s">
        <v>1579</v>
      </c>
      <c r="E561" s="941" t="s">
        <v>1039</v>
      </c>
      <c r="AL561" t="s">
        <v>12691</v>
      </c>
      <c r="AM561" t="s">
        <v>11271</v>
      </c>
      <c r="AO561" s="941" t="s">
        <v>11516</v>
      </c>
    </row>
    <row r="562" spans="2:41">
      <c r="B562" s="941" t="s">
        <v>892</v>
      </c>
      <c r="D562" s="941" t="s">
        <v>1580</v>
      </c>
      <c r="E562" s="941" t="s">
        <v>10630</v>
      </c>
      <c r="AL562" t="s">
        <v>12691</v>
      </c>
      <c r="AM562" t="s">
        <v>7811</v>
      </c>
      <c r="AO562" s="941" t="s">
        <v>11516</v>
      </c>
    </row>
    <row r="563" spans="2:41">
      <c r="B563" s="941" t="s">
        <v>10180</v>
      </c>
      <c r="D563" s="941" t="s">
        <v>1581</v>
      </c>
      <c r="E563" s="941" t="s">
        <v>10631</v>
      </c>
      <c r="AL563" t="s">
        <v>12691</v>
      </c>
      <c r="AM563" t="s">
        <v>7811</v>
      </c>
      <c r="AO563" s="941" t="s">
        <v>11516</v>
      </c>
    </row>
    <row r="564" spans="2:41">
      <c r="B564" s="941" t="s">
        <v>893</v>
      </c>
      <c r="D564" s="941" t="s">
        <v>1582</v>
      </c>
      <c r="E564" s="941" t="s">
        <v>460</v>
      </c>
      <c r="AL564" t="s">
        <v>12691</v>
      </c>
      <c r="AM564" t="s">
        <v>6791</v>
      </c>
      <c r="AO564" s="941" t="s">
        <v>11516</v>
      </c>
    </row>
    <row r="565" spans="2:41">
      <c r="B565" s="941" t="s">
        <v>5872</v>
      </c>
      <c r="D565" s="941" t="s">
        <v>1583</v>
      </c>
      <c r="E565" s="941" t="s">
        <v>1040</v>
      </c>
      <c r="AL565" t="s">
        <v>12691</v>
      </c>
      <c r="AM565" t="s">
        <v>11276</v>
      </c>
      <c r="AO565" s="941" t="s">
        <v>11516</v>
      </c>
    </row>
    <row r="566" spans="2:41">
      <c r="B566" s="941" t="s">
        <v>9884</v>
      </c>
      <c r="D566" s="941" t="s">
        <v>1584</v>
      </c>
      <c r="E566" s="941" t="s">
        <v>177</v>
      </c>
      <c r="AL566" t="s">
        <v>12691</v>
      </c>
      <c r="AM566" t="s">
        <v>7231</v>
      </c>
      <c r="AO566" s="941" t="s">
        <v>11516</v>
      </c>
    </row>
    <row r="567" spans="2:41">
      <c r="B567" s="941" t="s">
        <v>8786</v>
      </c>
      <c r="D567" s="941" t="s">
        <v>1585</v>
      </c>
      <c r="E567" s="941" t="s">
        <v>6791</v>
      </c>
      <c r="AL567" t="s">
        <v>12703</v>
      </c>
      <c r="AM567" t="s">
        <v>11145</v>
      </c>
      <c r="AO567" s="941" t="s">
        <v>11516</v>
      </c>
    </row>
    <row r="568" spans="2:41">
      <c r="B568" s="941" t="s">
        <v>894</v>
      </c>
      <c r="D568" s="941" t="s">
        <v>1586</v>
      </c>
      <c r="E568" s="941" t="s">
        <v>11162</v>
      </c>
      <c r="AL568" t="s">
        <v>12703</v>
      </c>
      <c r="AM568" t="s">
        <v>488</v>
      </c>
      <c r="AO568" s="941" t="s">
        <v>11516</v>
      </c>
    </row>
    <row r="569" spans="2:41">
      <c r="B569" s="941" t="s">
        <v>895</v>
      </c>
      <c r="D569" s="941" t="s">
        <v>1587</v>
      </c>
      <c r="E569" s="941" t="s">
        <v>178</v>
      </c>
      <c r="AL569" t="s">
        <v>12703</v>
      </c>
      <c r="AM569" t="s">
        <v>11227</v>
      </c>
      <c r="AO569" s="941" t="s">
        <v>11516</v>
      </c>
    </row>
    <row r="570" spans="2:41">
      <c r="B570" s="941" t="s">
        <v>10016</v>
      </c>
      <c r="D570" s="941" t="s">
        <v>10219</v>
      </c>
      <c r="E570" s="941" t="s">
        <v>10019</v>
      </c>
      <c r="AL570" t="s">
        <v>12703</v>
      </c>
      <c r="AM570" t="s">
        <v>11232</v>
      </c>
      <c r="AO570" s="941" t="s">
        <v>11516</v>
      </c>
    </row>
    <row r="571" spans="2:41">
      <c r="B571" s="941" t="s">
        <v>896</v>
      </c>
      <c r="D571" s="941" t="s">
        <v>1588</v>
      </c>
      <c r="E571" s="941" t="s">
        <v>189</v>
      </c>
      <c r="AL571" t="s">
        <v>12703</v>
      </c>
      <c r="AM571" t="s">
        <v>529</v>
      </c>
      <c r="AO571" s="941" t="s">
        <v>11516</v>
      </c>
    </row>
    <row r="572" spans="2:41">
      <c r="B572" s="941" t="s">
        <v>9650</v>
      </c>
      <c r="D572" s="941" t="s">
        <v>1589</v>
      </c>
      <c r="E572" s="941" t="s">
        <v>10632</v>
      </c>
      <c r="AL572" t="s">
        <v>12703</v>
      </c>
      <c r="AM572" t="s">
        <v>11152</v>
      </c>
      <c r="AO572" s="941" t="s">
        <v>11516</v>
      </c>
    </row>
    <row r="573" spans="2:41">
      <c r="B573" s="941" t="s">
        <v>900</v>
      </c>
      <c r="D573" s="941" t="s">
        <v>1590</v>
      </c>
      <c r="E573" s="941" t="s">
        <v>7812</v>
      </c>
      <c r="AL573" t="s">
        <v>12703</v>
      </c>
      <c r="AM573" t="s">
        <v>3876</v>
      </c>
      <c r="AO573" s="941" t="s">
        <v>11516</v>
      </c>
    </row>
    <row r="574" spans="2:41">
      <c r="B574" s="941" t="s">
        <v>901</v>
      </c>
      <c r="D574" s="941" t="s">
        <v>1591</v>
      </c>
      <c r="E574" s="941" t="s">
        <v>1041</v>
      </c>
      <c r="AL574" t="s">
        <v>12703</v>
      </c>
      <c r="AM574" t="s">
        <v>4418</v>
      </c>
      <c r="AO574" s="941" t="s">
        <v>11516</v>
      </c>
    </row>
    <row r="575" spans="2:41">
      <c r="B575" s="941" t="s">
        <v>902</v>
      </c>
      <c r="D575" s="941" t="s">
        <v>1592</v>
      </c>
      <c r="E575" s="941" t="s">
        <v>461</v>
      </c>
      <c r="AL575" t="s">
        <v>12703</v>
      </c>
      <c r="AM575" t="s">
        <v>10128</v>
      </c>
      <c r="AO575" s="941" t="s">
        <v>11516</v>
      </c>
    </row>
    <row r="576" spans="2:41">
      <c r="B576" s="941" t="s">
        <v>7969</v>
      </c>
      <c r="D576" s="941" t="s">
        <v>1593</v>
      </c>
      <c r="E576" s="941" t="s">
        <v>10342</v>
      </c>
      <c r="AL576" t="s">
        <v>12703</v>
      </c>
      <c r="AM576" t="s">
        <v>10905</v>
      </c>
      <c r="AO576" s="941" t="s">
        <v>11516</v>
      </c>
    </row>
    <row r="577" spans="2:41">
      <c r="B577" s="941" t="s">
        <v>904</v>
      </c>
      <c r="D577" s="941" t="s">
        <v>1594</v>
      </c>
      <c r="E577" s="941" t="s">
        <v>462</v>
      </c>
      <c r="AL577" t="s">
        <v>12703</v>
      </c>
      <c r="AM577" t="s">
        <v>11102</v>
      </c>
      <c r="AO577" s="941" t="s">
        <v>11516</v>
      </c>
    </row>
    <row r="578" spans="2:41">
      <c r="B578" s="941" t="s">
        <v>9972</v>
      </c>
      <c r="D578" s="941" t="s">
        <v>1595</v>
      </c>
      <c r="E578" s="941" t="s">
        <v>6922</v>
      </c>
      <c r="AL578" t="s">
        <v>12703</v>
      </c>
      <c r="AM578" t="s">
        <v>452</v>
      </c>
      <c r="AO578" s="941" t="s">
        <v>11516</v>
      </c>
    </row>
    <row r="579" spans="2:41">
      <c r="B579" s="941" t="s">
        <v>905</v>
      </c>
      <c r="D579" s="941" t="s">
        <v>1596</v>
      </c>
      <c r="E579" s="941" t="s">
        <v>1042</v>
      </c>
      <c r="AL579" t="s">
        <v>12703</v>
      </c>
      <c r="AM579" t="s">
        <v>461</v>
      </c>
      <c r="AO579" s="941" t="s">
        <v>11516</v>
      </c>
    </row>
    <row r="580" spans="2:41">
      <c r="B580" s="941" t="s">
        <v>8806</v>
      </c>
      <c r="D580" s="941" t="s">
        <v>1597</v>
      </c>
      <c r="E580" s="941" t="s">
        <v>297</v>
      </c>
      <c r="AL580" t="s">
        <v>12703</v>
      </c>
      <c r="AM580" t="s">
        <v>10134</v>
      </c>
      <c r="AO580" s="941" t="s">
        <v>11516</v>
      </c>
    </row>
    <row r="581" spans="2:41">
      <c r="B581" s="941" t="s">
        <v>10705</v>
      </c>
      <c r="D581" s="941" t="s">
        <v>1598</v>
      </c>
      <c r="E581" s="941" t="s">
        <v>298</v>
      </c>
      <c r="AL581" t="s">
        <v>12703</v>
      </c>
      <c r="AM581" t="s">
        <v>7525</v>
      </c>
      <c r="AO581" s="941" t="s">
        <v>11516</v>
      </c>
    </row>
    <row r="582" spans="2:41">
      <c r="B582" s="941" t="s">
        <v>906</v>
      </c>
      <c r="D582" s="941" t="s">
        <v>1599</v>
      </c>
      <c r="E582" s="941" t="s">
        <v>7942</v>
      </c>
      <c r="AL582" t="s">
        <v>12535</v>
      </c>
      <c r="AM582" t="s">
        <v>377</v>
      </c>
      <c r="AO582" s="941" t="s">
        <v>11516</v>
      </c>
    </row>
    <row r="583" spans="2:41">
      <c r="B583" s="941" t="s">
        <v>8810</v>
      </c>
      <c r="D583" s="941" t="s">
        <v>9314</v>
      </c>
      <c r="E583" s="941" t="s">
        <v>1043</v>
      </c>
      <c r="AL583" t="s">
        <v>12535</v>
      </c>
      <c r="AM583" t="s">
        <v>11217</v>
      </c>
      <c r="AO583" s="941" t="s">
        <v>11359</v>
      </c>
    </row>
    <row r="584" spans="2:41">
      <c r="B584" s="941" t="s">
        <v>8812</v>
      </c>
      <c r="D584" s="941" t="s">
        <v>9315</v>
      </c>
      <c r="E584" s="941" t="s">
        <v>655</v>
      </c>
      <c r="AL584" t="s">
        <v>12535</v>
      </c>
      <c r="AM584" t="s">
        <v>11227</v>
      </c>
      <c r="AO584" s="941" t="s">
        <v>11359</v>
      </c>
    </row>
    <row r="585" spans="2:41">
      <c r="B585" s="941" t="s">
        <v>908</v>
      </c>
      <c r="D585" s="941" t="s">
        <v>1600</v>
      </c>
      <c r="E585" s="941" t="s">
        <v>6985</v>
      </c>
      <c r="AL585" t="s">
        <v>12535</v>
      </c>
      <c r="AM585" t="s">
        <v>468</v>
      </c>
      <c r="AO585" s="941" t="s">
        <v>11359</v>
      </c>
    </row>
    <row r="586" spans="2:41">
      <c r="B586" s="941" t="s">
        <v>910</v>
      </c>
      <c r="D586" s="941" t="s">
        <v>9316</v>
      </c>
      <c r="E586" s="941" t="s">
        <v>10133</v>
      </c>
      <c r="AL586" t="s">
        <v>12535</v>
      </c>
      <c r="AM586" t="s">
        <v>3876</v>
      </c>
      <c r="AO586" s="941" t="s">
        <v>11359</v>
      </c>
    </row>
    <row r="587" spans="2:41">
      <c r="B587" s="941" t="s">
        <v>911</v>
      </c>
      <c r="D587" s="941" t="s">
        <v>1601</v>
      </c>
      <c r="E587" s="941" t="s">
        <v>1044</v>
      </c>
      <c r="AL587" t="s">
        <v>12535</v>
      </c>
      <c r="AM587" t="s">
        <v>4418</v>
      </c>
      <c r="AO587" s="941" t="s">
        <v>11359</v>
      </c>
    </row>
    <row r="588" spans="2:41">
      <c r="B588" s="941" t="s">
        <v>10215</v>
      </c>
      <c r="D588" s="941" t="s">
        <v>1602</v>
      </c>
      <c r="E588" s="941" t="s">
        <v>33</v>
      </c>
      <c r="AL588" t="s">
        <v>12535</v>
      </c>
      <c r="AM588" t="s">
        <v>10128</v>
      </c>
      <c r="AO588" s="941" t="s">
        <v>11359</v>
      </c>
    </row>
    <row r="589" spans="2:41">
      <c r="B589" s="941" t="s">
        <v>10216</v>
      </c>
      <c r="D589" s="941" t="s">
        <v>1603</v>
      </c>
      <c r="E589" s="941" t="s">
        <v>3</v>
      </c>
      <c r="AL589" t="s">
        <v>12535</v>
      </c>
      <c r="AM589" t="s">
        <v>11254</v>
      </c>
      <c r="AO589" s="941" t="s">
        <v>11359</v>
      </c>
    </row>
    <row r="590" spans="2:41">
      <c r="B590" s="941" t="s">
        <v>10575</v>
      </c>
      <c r="D590" s="941" t="s">
        <v>1604</v>
      </c>
      <c r="E590" s="941" t="s">
        <v>1021</v>
      </c>
      <c r="AL590" t="s">
        <v>12535</v>
      </c>
      <c r="AM590" t="s">
        <v>12578</v>
      </c>
      <c r="AO590" s="941" t="s">
        <v>11359</v>
      </c>
    </row>
    <row r="591" spans="2:41">
      <c r="B591" s="941" t="s">
        <v>912</v>
      </c>
      <c r="D591" s="941" t="s">
        <v>1605</v>
      </c>
      <c r="E591" s="941" t="s">
        <v>34</v>
      </c>
      <c r="AL591" t="s">
        <v>12535</v>
      </c>
      <c r="AM591" t="s">
        <v>10905</v>
      </c>
      <c r="AO591" s="941" t="s">
        <v>11359</v>
      </c>
    </row>
    <row r="592" spans="2:41">
      <c r="B592" s="941" t="s">
        <v>8830</v>
      </c>
      <c r="D592" s="941" t="s">
        <v>1606</v>
      </c>
      <c r="E592" s="941" t="s">
        <v>7813</v>
      </c>
      <c r="AL592" t="s">
        <v>12535</v>
      </c>
      <c r="AM592" t="s">
        <v>10131</v>
      </c>
      <c r="AO592" s="941" t="s">
        <v>11359</v>
      </c>
    </row>
    <row r="593" spans="2:41">
      <c r="B593" s="941" t="s">
        <v>913</v>
      </c>
      <c r="D593" s="941" t="s">
        <v>9317</v>
      </c>
      <c r="E593" s="941" t="s">
        <v>1045</v>
      </c>
      <c r="AL593" t="s">
        <v>12535</v>
      </c>
      <c r="AM593" t="s">
        <v>461</v>
      </c>
      <c r="AO593" s="941" t="s">
        <v>11359</v>
      </c>
    </row>
    <row r="594" spans="2:41">
      <c r="B594" s="941" t="s">
        <v>914</v>
      </c>
      <c r="D594" s="941" t="s">
        <v>1607</v>
      </c>
      <c r="E594" s="941" t="s">
        <v>35</v>
      </c>
      <c r="AL594" t="s">
        <v>12702</v>
      </c>
      <c r="AM594" t="s">
        <v>12824</v>
      </c>
      <c r="AO594" s="941" t="s">
        <v>11516</v>
      </c>
    </row>
    <row r="595" spans="2:41">
      <c r="B595" s="941" t="s">
        <v>10678</v>
      </c>
      <c r="D595" s="941" t="s">
        <v>1608</v>
      </c>
      <c r="E595" s="941" t="s">
        <v>1046</v>
      </c>
      <c r="AL595" t="s">
        <v>12679</v>
      </c>
      <c r="AM595" t="s">
        <v>12825</v>
      </c>
      <c r="AO595" s="941" t="s">
        <v>11516</v>
      </c>
    </row>
    <row r="596" spans="2:41">
      <c r="B596" s="941" t="s">
        <v>8843</v>
      </c>
      <c r="D596" s="941" t="s">
        <v>9318</v>
      </c>
      <c r="E596" s="941" t="s">
        <v>1047</v>
      </c>
      <c r="AL596" t="s">
        <v>481</v>
      </c>
      <c r="AM596" t="s">
        <v>55</v>
      </c>
      <c r="AO596" s="941" t="s">
        <v>11516</v>
      </c>
    </row>
    <row r="597" spans="2:41">
      <c r="B597" s="941" t="s">
        <v>8845</v>
      </c>
      <c r="D597" s="941" t="s">
        <v>1609</v>
      </c>
      <c r="E597" s="941" t="s">
        <v>463</v>
      </c>
      <c r="AL597" t="s">
        <v>481</v>
      </c>
      <c r="AM597" t="s">
        <v>55</v>
      </c>
      <c r="AO597" s="941" t="s">
        <v>11359</v>
      </c>
    </row>
    <row r="598" spans="2:41">
      <c r="B598" s="941" t="s">
        <v>916</v>
      </c>
      <c r="D598" s="941" t="s">
        <v>1610</v>
      </c>
      <c r="E598" s="941" t="s">
        <v>7137</v>
      </c>
      <c r="AL598" t="s">
        <v>481</v>
      </c>
      <c r="AM598" t="s">
        <v>569</v>
      </c>
      <c r="AO598" s="941" t="s">
        <v>11516</v>
      </c>
    </row>
    <row r="599" spans="2:41">
      <c r="B599" s="941" t="s">
        <v>7755</v>
      </c>
      <c r="D599" s="941" t="s">
        <v>1611</v>
      </c>
      <c r="E599" s="941" t="s">
        <v>36</v>
      </c>
      <c r="AL599" t="s">
        <v>481</v>
      </c>
      <c r="AM599" t="s">
        <v>12579</v>
      </c>
      <c r="AO599" s="941" t="s">
        <v>11359</v>
      </c>
    </row>
    <row r="600" spans="2:41">
      <c r="B600" s="941" t="s">
        <v>917</v>
      </c>
      <c r="D600" s="941" t="s">
        <v>1612</v>
      </c>
      <c r="E600" s="941" t="s">
        <v>1048</v>
      </c>
      <c r="AL600" t="s">
        <v>481</v>
      </c>
      <c r="AM600" t="s">
        <v>11217</v>
      </c>
      <c r="AO600" s="941" t="s">
        <v>11516</v>
      </c>
    </row>
    <row r="601" spans="2:41">
      <c r="B601" s="941" t="s">
        <v>11580</v>
      </c>
      <c r="D601" s="941" t="s">
        <v>1613</v>
      </c>
      <c r="E601" s="941" t="s">
        <v>1049</v>
      </c>
      <c r="AL601" t="s">
        <v>481</v>
      </c>
      <c r="AM601" t="s">
        <v>11219</v>
      </c>
      <c r="AO601" s="941" t="s">
        <v>11516</v>
      </c>
    </row>
    <row r="602" spans="2:41">
      <c r="B602" s="941" t="s">
        <v>918</v>
      </c>
      <c r="D602" s="941" t="s">
        <v>1614</v>
      </c>
      <c r="E602" s="941" t="s">
        <v>9892</v>
      </c>
      <c r="AL602" t="s">
        <v>481</v>
      </c>
      <c r="AM602" t="s">
        <v>11220</v>
      </c>
      <c r="AO602" s="941" t="s">
        <v>11516</v>
      </c>
    </row>
    <row r="603" spans="2:41">
      <c r="B603" s="941" t="s">
        <v>11034</v>
      </c>
      <c r="D603" s="941" t="s">
        <v>1615</v>
      </c>
      <c r="E603" s="941" t="s">
        <v>10633</v>
      </c>
      <c r="AL603" t="s">
        <v>481</v>
      </c>
      <c r="AM603" t="s">
        <v>11220</v>
      </c>
      <c r="AO603" s="941" t="s">
        <v>11359</v>
      </c>
    </row>
    <row r="604" spans="2:41">
      <c r="B604" s="941" t="s">
        <v>8860</v>
      </c>
      <c r="D604" s="941" t="s">
        <v>1616</v>
      </c>
      <c r="E604" s="941" t="s">
        <v>7814</v>
      </c>
      <c r="AL604" t="s">
        <v>481</v>
      </c>
      <c r="AM604" t="s">
        <v>2618</v>
      </c>
      <c r="AO604" s="941" t="s">
        <v>11359</v>
      </c>
    </row>
    <row r="605" spans="2:41">
      <c r="B605" s="941" t="s">
        <v>919</v>
      </c>
      <c r="D605" s="941" t="s">
        <v>1617</v>
      </c>
      <c r="E605" s="941" t="s">
        <v>10134</v>
      </c>
      <c r="AL605" t="s">
        <v>481</v>
      </c>
      <c r="AM605" t="s">
        <v>2618</v>
      </c>
      <c r="AO605" s="941" t="s">
        <v>11516</v>
      </c>
    </row>
    <row r="606" spans="2:41">
      <c r="B606" s="941" t="s">
        <v>10297</v>
      </c>
      <c r="D606" s="941" t="s">
        <v>1618</v>
      </c>
      <c r="E606" s="941" t="s">
        <v>37</v>
      </c>
      <c r="AL606" t="s">
        <v>481</v>
      </c>
      <c r="AM606" t="s">
        <v>11230</v>
      </c>
      <c r="AO606" s="941" t="s">
        <v>11516</v>
      </c>
    </row>
    <row r="607" spans="2:41">
      <c r="B607" s="941" t="s">
        <v>10902</v>
      </c>
      <c r="D607" s="941" t="s">
        <v>1619</v>
      </c>
      <c r="E607" s="941" t="s">
        <v>608</v>
      </c>
      <c r="AL607" t="s">
        <v>481</v>
      </c>
      <c r="AM607" t="s">
        <v>11148</v>
      </c>
      <c r="AO607" s="941" t="s">
        <v>11516</v>
      </c>
    </row>
    <row r="608" spans="2:41">
      <c r="B608" s="941" t="s">
        <v>920</v>
      </c>
      <c r="D608" s="941" t="s">
        <v>1620</v>
      </c>
      <c r="E608" s="941" t="s">
        <v>1050</v>
      </c>
      <c r="AL608" t="s">
        <v>481</v>
      </c>
      <c r="AM608" t="s">
        <v>11148</v>
      </c>
      <c r="AO608" s="941" t="s">
        <v>11359</v>
      </c>
    </row>
    <row r="609" spans="2:41">
      <c r="B609" s="941" t="s">
        <v>10310</v>
      </c>
      <c r="D609" s="941" t="s">
        <v>1621</v>
      </c>
      <c r="E609" s="941" t="s">
        <v>464</v>
      </c>
      <c r="AL609" t="s">
        <v>481</v>
      </c>
      <c r="AM609" t="s">
        <v>3152</v>
      </c>
      <c r="AO609" s="941" t="s">
        <v>11359</v>
      </c>
    </row>
    <row r="610" spans="2:41">
      <c r="B610" s="941" t="s">
        <v>8884</v>
      </c>
      <c r="D610" s="941" t="s">
        <v>1622</v>
      </c>
      <c r="E610" s="941" t="s">
        <v>10909</v>
      </c>
      <c r="AL610" t="s">
        <v>481</v>
      </c>
      <c r="AM610" t="s">
        <v>3152</v>
      </c>
      <c r="AO610" s="941" t="s">
        <v>11516</v>
      </c>
    </row>
    <row r="611" spans="2:41">
      <c r="B611" s="941" t="s">
        <v>8890</v>
      </c>
      <c r="D611" s="941" t="s">
        <v>1623</v>
      </c>
      <c r="E611" s="941" t="s">
        <v>1051</v>
      </c>
      <c r="AL611" t="s">
        <v>481</v>
      </c>
      <c r="AM611" t="s">
        <v>3429</v>
      </c>
      <c r="AO611" s="941" t="s">
        <v>11516</v>
      </c>
    </row>
    <row r="612" spans="2:41">
      <c r="B612" s="941" t="s">
        <v>11512</v>
      </c>
      <c r="D612" s="941" t="s">
        <v>1624</v>
      </c>
      <c r="E612" s="941" t="s">
        <v>609</v>
      </c>
      <c r="AL612" t="s">
        <v>481</v>
      </c>
      <c r="AM612" t="s">
        <v>11150</v>
      </c>
      <c r="AO612" s="941" t="s">
        <v>11516</v>
      </c>
    </row>
    <row r="613" spans="2:41">
      <c r="B613" s="941" t="s">
        <v>8897</v>
      </c>
      <c r="D613" s="941" t="s">
        <v>1625</v>
      </c>
      <c r="E613" s="941" t="s">
        <v>1052</v>
      </c>
      <c r="AL613" t="s">
        <v>481</v>
      </c>
      <c r="AM613" t="s">
        <v>11150</v>
      </c>
      <c r="AO613" s="941" t="s">
        <v>11359</v>
      </c>
    </row>
    <row r="614" spans="2:41">
      <c r="B614" s="941" t="s">
        <v>923</v>
      </c>
      <c r="D614" s="941" t="s">
        <v>9319</v>
      </c>
      <c r="E614" s="941" t="s">
        <v>1053</v>
      </c>
      <c r="AL614" t="s">
        <v>481</v>
      </c>
      <c r="AM614" t="s">
        <v>221</v>
      </c>
      <c r="AO614" s="941" t="s">
        <v>11516</v>
      </c>
    </row>
    <row r="615" spans="2:41">
      <c r="B615" s="941" t="s">
        <v>12357</v>
      </c>
      <c r="D615" s="941" t="s">
        <v>1626</v>
      </c>
      <c r="E615" s="941" t="s">
        <v>405</v>
      </c>
      <c r="AL615" t="s">
        <v>481</v>
      </c>
      <c r="AM615" t="s">
        <v>11244</v>
      </c>
      <c r="AO615" s="941" t="s">
        <v>11516</v>
      </c>
    </row>
    <row r="616" spans="2:41">
      <c r="B616" s="941" t="s">
        <v>11491</v>
      </c>
      <c r="D616" s="941" t="s">
        <v>1627</v>
      </c>
      <c r="E616" s="941" t="s">
        <v>248</v>
      </c>
      <c r="AL616" t="s">
        <v>481</v>
      </c>
      <c r="AM616" t="s">
        <v>3876</v>
      </c>
      <c r="AO616" s="941" t="s">
        <v>11516</v>
      </c>
    </row>
    <row r="617" spans="2:41">
      <c r="B617" s="941" t="s">
        <v>7591</v>
      </c>
      <c r="D617" s="941" t="s">
        <v>1628</v>
      </c>
      <c r="E617" s="941" t="s">
        <v>610</v>
      </c>
      <c r="AL617" t="s">
        <v>481</v>
      </c>
      <c r="AM617" t="s">
        <v>11254</v>
      </c>
      <c r="AO617" s="941" t="s">
        <v>11516</v>
      </c>
    </row>
    <row r="618" spans="2:41">
      <c r="B618" s="941" t="s">
        <v>924</v>
      </c>
      <c r="D618" s="941" t="s">
        <v>1629</v>
      </c>
      <c r="E618" s="941" t="s">
        <v>1054</v>
      </c>
      <c r="AL618" t="s">
        <v>481</v>
      </c>
      <c r="AM618" t="s">
        <v>12826</v>
      </c>
      <c r="AO618" s="941" t="s">
        <v>11516</v>
      </c>
    </row>
    <row r="619" spans="2:41">
      <c r="B619" s="941" t="s">
        <v>925</v>
      </c>
      <c r="D619" s="941" t="s">
        <v>1630</v>
      </c>
      <c r="E619" s="941" t="s">
        <v>394</v>
      </c>
      <c r="AL619" t="s">
        <v>481</v>
      </c>
      <c r="AM619" t="s">
        <v>12827</v>
      </c>
      <c r="AO619" s="941" t="s">
        <v>11516</v>
      </c>
    </row>
    <row r="620" spans="2:41">
      <c r="B620" s="941" t="s">
        <v>8907</v>
      </c>
      <c r="D620" s="941" t="s">
        <v>1631</v>
      </c>
      <c r="E620" s="941" t="s">
        <v>7815</v>
      </c>
      <c r="AL620" t="s">
        <v>481</v>
      </c>
      <c r="AM620" t="s">
        <v>11258</v>
      </c>
      <c r="AO620" s="941" t="s">
        <v>11516</v>
      </c>
    </row>
    <row r="621" spans="2:41">
      <c r="B621" s="941" t="s">
        <v>7970</v>
      </c>
      <c r="D621" s="941" t="s">
        <v>1632</v>
      </c>
      <c r="E621" s="941" t="s">
        <v>25</v>
      </c>
      <c r="AL621" t="s">
        <v>481</v>
      </c>
      <c r="AM621" t="s">
        <v>11258</v>
      </c>
      <c r="AO621" s="941" t="s">
        <v>11359</v>
      </c>
    </row>
    <row r="622" spans="2:41">
      <c r="B622" s="941" t="s">
        <v>926</v>
      </c>
      <c r="D622" s="941" t="s">
        <v>1633</v>
      </c>
      <c r="E622" s="941" t="s">
        <v>611</v>
      </c>
      <c r="AL622" t="s">
        <v>481</v>
      </c>
      <c r="AM622" t="s">
        <v>401</v>
      </c>
      <c r="AO622" s="941" t="s">
        <v>11516</v>
      </c>
    </row>
    <row r="623" spans="2:41">
      <c r="B623" s="941" t="s">
        <v>9933</v>
      </c>
      <c r="D623" s="941" t="s">
        <v>1634</v>
      </c>
      <c r="E623" s="941" t="s">
        <v>612</v>
      </c>
      <c r="AL623" t="s">
        <v>481</v>
      </c>
      <c r="AM623" t="s">
        <v>7980</v>
      </c>
      <c r="AO623" s="941" t="s">
        <v>11516</v>
      </c>
    </row>
    <row r="624" spans="2:41">
      <c r="B624" s="941" t="s">
        <v>8911</v>
      </c>
      <c r="D624" s="941" t="s">
        <v>1635</v>
      </c>
      <c r="E624" s="941" t="s">
        <v>179</v>
      </c>
      <c r="AL624" t="s">
        <v>481</v>
      </c>
      <c r="AM624" t="s">
        <v>11264</v>
      </c>
      <c r="AO624" s="941" t="s">
        <v>11516</v>
      </c>
    </row>
    <row r="625" spans="2:41">
      <c r="B625" s="941" t="s">
        <v>928</v>
      </c>
      <c r="D625" s="941" t="s">
        <v>1636</v>
      </c>
      <c r="E625" s="941" t="s">
        <v>1055</v>
      </c>
      <c r="AL625" t="s">
        <v>481</v>
      </c>
      <c r="AM625" t="s">
        <v>11265</v>
      </c>
      <c r="AO625" s="941" t="s">
        <v>11516</v>
      </c>
    </row>
    <row r="626" spans="2:41">
      <c r="B626" s="941" t="s">
        <v>7932</v>
      </c>
      <c r="D626" s="941" t="s">
        <v>1637</v>
      </c>
      <c r="E626" s="941" t="s">
        <v>1056</v>
      </c>
      <c r="AL626" t="s">
        <v>481</v>
      </c>
      <c r="AM626" t="s">
        <v>454</v>
      </c>
      <c r="AO626" s="941" t="s">
        <v>11516</v>
      </c>
    </row>
    <row r="627" spans="2:41">
      <c r="B627" s="941" t="s">
        <v>9885</v>
      </c>
      <c r="D627" s="941" t="s">
        <v>1638</v>
      </c>
      <c r="E627" s="941" t="s">
        <v>7816</v>
      </c>
      <c r="AL627" t="s">
        <v>481</v>
      </c>
      <c r="AM627" t="s">
        <v>454</v>
      </c>
      <c r="AO627" s="941" t="s">
        <v>11359</v>
      </c>
    </row>
    <row r="628" spans="2:41">
      <c r="B628" s="941" t="s">
        <v>929</v>
      </c>
      <c r="D628" s="941" t="s">
        <v>1639</v>
      </c>
      <c r="E628" s="941" t="s">
        <v>1057</v>
      </c>
      <c r="AL628" t="s">
        <v>481</v>
      </c>
      <c r="AM628" t="s">
        <v>12809</v>
      </c>
      <c r="AO628" s="941" t="s">
        <v>11516</v>
      </c>
    </row>
    <row r="629" spans="2:41">
      <c r="B629" s="941" t="s">
        <v>930</v>
      </c>
      <c r="D629" s="941" t="s">
        <v>1640</v>
      </c>
      <c r="E629" s="941" t="s">
        <v>10634</v>
      </c>
      <c r="AL629" t="s">
        <v>481</v>
      </c>
      <c r="AM629" t="s">
        <v>12809</v>
      </c>
      <c r="AO629" s="941" t="s">
        <v>11516</v>
      </c>
    </row>
    <row r="630" spans="2:41">
      <c r="B630" s="941" t="s">
        <v>931</v>
      </c>
      <c r="D630" s="941" t="s">
        <v>1641</v>
      </c>
      <c r="E630" s="941" t="s">
        <v>216</v>
      </c>
      <c r="AL630" t="s">
        <v>481</v>
      </c>
      <c r="AM630" t="s">
        <v>7124</v>
      </c>
      <c r="AO630" s="941" t="s">
        <v>11516</v>
      </c>
    </row>
    <row r="631" spans="2:41">
      <c r="B631" s="941" t="s">
        <v>932</v>
      </c>
      <c r="D631" s="941" t="s">
        <v>1642</v>
      </c>
      <c r="E631" s="941" t="s">
        <v>180</v>
      </c>
      <c r="AL631" t="s">
        <v>481</v>
      </c>
      <c r="AM631" t="s">
        <v>7124</v>
      </c>
      <c r="AO631" s="941" t="s">
        <v>11359</v>
      </c>
    </row>
    <row r="632" spans="2:41">
      <c r="B632" s="941" t="s">
        <v>9552</v>
      </c>
      <c r="D632" s="941" t="s">
        <v>10511</v>
      </c>
      <c r="E632" s="941" t="s">
        <v>181</v>
      </c>
      <c r="AL632" t="s">
        <v>481</v>
      </c>
      <c r="AM632" t="s">
        <v>12828</v>
      </c>
      <c r="AO632" s="941" t="s">
        <v>11516</v>
      </c>
    </row>
    <row r="633" spans="2:41">
      <c r="B633" s="941" t="s">
        <v>9746</v>
      </c>
      <c r="D633" s="941" t="s">
        <v>1643</v>
      </c>
      <c r="E633" s="941" t="s">
        <v>7508</v>
      </c>
      <c r="AL633" t="s">
        <v>481</v>
      </c>
      <c r="AM633" t="s">
        <v>10435</v>
      </c>
      <c r="AO633" s="941" t="s">
        <v>11516</v>
      </c>
    </row>
    <row r="634" spans="2:41">
      <c r="B634" s="941" t="s">
        <v>8928</v>
      </c>
      <c r="D634" s="941" t="s">
        <v>1644</v>
      </c>
      <c r="E634" s="941" t="s">
        <v>7525</v>
      </c>
    </row>
    <row r="635" spans="2:41">
      <c r="B635" s="941" t="s">
        <v>10725</v>
      </c>
      <c r="D635" s="941" t="s">
        <v>1645</v>
      </c>
      <c r="E635" s="941" t="s">
        <v>1022</v>
      </c>
    </row>
    <row r="636" spans="2:41">
      <c r="B636" s="941" t="s">
        <v>9886</v>
      </c>
      <c r="D636" s="941" t="s">
        <v>1646</v>
      </c>
      <c r="E636" s="941" t="s">
        <v>182</v>
      </c>
    </row>
    <row r="637" spans="2:41">
      <c r="B637" s="941" t="s">
        <v>11035</v>
      </c>
      <c r="D637" s="941" t="s">
        <v>1647</v>
      </c>
      <c r="E637" s="941" t="s">
        <v>183</v>
      </c>
    </row>
    <row r="638" spans="2:41">
      <c r="B638" s="941" t="s">
        <v>8938</v>
      </c>
      <c r="D638" s="941" t="s">
        <v>1648</v>
      </c>
      <c r="E638" s="941" t="s">
        <v>1058</v>
      </c>
    </row>
    <row r="639" spans="2:41">
      <c r="B639" s="941" t="s">
        <v>8940</v>
      </c>
      <c r="D639" s="941" t="s">
        <v>1649</v>
      </c>
      <c r="E639" s="941" t="s">
        <v>182</v>
      </c>
    </row>
    <row r="640" spans="2:41">
      <c r="B640" s="941" t="s">
        <v>12525</v>
      </c>
      <c r="D640" s="941" t="s">
        <v>1650</v>
      </c>
      <c r="E640" s="941" t="s">
        <v>183</v>
      </c>
    </row>
    <row r="641" spans="2:5">
      <c r="B641" s="941" t="s">
        <v>10576</v>
      </c>
      <c r="D641" s="941" t="s">
        <v>1651</v>
      </c>
      <c r="E641" s="941" t="s">
        <v>1058</v>
      </c>
    </row>
    <row r="642" spans="2:5">
      <c r="B642" s="941" t="s">
        <v>934</v>
      </c>
      <c r="D642" s="941" t="s">
        <v>1652</v>
      </c>
    </row>
    <row r="643" spans="2:5">
      <c r="B643" s="941" t="s">
        <v>7971</v>
      </c>
      <c r="D643" s="941" t="s">
        <v>10136</v>
      </c>
    </row>
    <row r="644" spans="2:5">
      <c r="B644" s="941" t="s">
        <v>11138</v>
      </c>
      <c r="D644" s="941" t="s">
        <v>10249</v>
      </c>
    </row>
    <row r="645" spans="2:5">
      <c r="B645" s="941" t="s">
        <v>9205</v>
      </c>
      <c r="D645" s="941" t="s">
        <v>1653</v>
      </c>
    </row>
    <row r="646" spans="2:5">
      <c r="B646" s="941" t="s">
        <v>10298</v>
      </c>
      <c r="D646" s="941" t="s">
        <v>1654</v>
      </c>
    </row>
    <row r="647" spans="2:5">
      <c r="B647" s="941" t="s">
        <v>935</v>
      </c>
      <c r="D647" s="941" t="s">
        <v>9756</v>
      </c>
    </row>
    <row r="648" spans="2:5">
      <c r="B648" s="941" t="s">
        <v>936</v>
      </c>
      <c r="D648" s="941" t="s">
        <v>1655</v>
      </c>
    </row>
    <row r="649" spans="2:5">
      <c r="B649" s="941" t="s">
        <v>937</v>
      </c>
      <c r="D649" s="941" t="s">
        <v>1656</v>
      </c>
    </row>
    <row r="650" spans="2:5">
      <c r="B650" s="941" t="s">
        <v>938</v>
      </c>
      <c r="D650" s="941" t="s">
        <v>1657</v>
      </c>
    </row>
    <row r="651" spans="2:5">
      <c r="B651" s="941" t="s">
        <v>10574</v>
      </c>
      <c r="D651" s="941" t="s">
        <v>1658</v>
      </c>
    </row>
    <row r="652" spans="2:5">
      <c r="B652" s="941" t="s">
        <v>939</v>
      </c>
      <c r="D652" s="941" t="s">
        <v>1659</v>
      </c>
    </row>
    <row r="653" spans="2:5">
      <c r="B653" s="941" t="s">
        <v>940</v>
      </c>
      <c r="D653" s="941" t="s">
        <v>1660</v>
      </c>
    </row>
    <row r="654" spans="2:5">
      <c r="B654" s="941" t="s">
        <v>7852</v>
      </c>
      <c r="D654" s="941" t="s">
        <v>1661</v>
      </c>
    </row>
    <row r="655" spans="2:5">
      <c r="B655" s="941" t="s">
        <v>6662</v>
      </c>
      <c r="D655" s="941" t="s">
        <v>1662</v>
      </c>
    </row>
    <row r="656" spans="2:5">
      <c r="B656" s="941" t="s">
        <v>10181</v>
      </c>
      <c r="D656" s="941" t="s">
        <v>1663</v>
      </c>
    </row>
    <row r="657" spans="2:4">
      <c r="B657" s="941" t="s">
        <v>941</v>
      </c>
      <c r="D657" s="941" t="s">
        <v>1664</v>
      </c>
    </row>
    <row r="658" spans="2:4">
      <c r="B658" s="941" t="s">
        <v>942</v>
      </c>
      <c r="D658" s="941" t="s">
        <v>1665</v>
      </c>
    </row>
    <row r="659" spans="2:4">
      <c r="B659" s="941" t="s">
        <v>8979</v>
      </c>
      <c r="D659" s="941" t="s">
        <v>1666</v>
      </c>
    </row>
    <row r="660" spans="2:4">
      <c r="B660" s="941" t="s">
        <v>12318</v>
      </c>
      <c r="D660" s="941" t="s">
        <v>1667</v>
      </c>
    </row>
    <row r="661" spans="2:4">
      <c r="B661" s="941" t="s">
        <v>12313</v>
      </c>
      <c r="D661" s="941" t="s">
        <v>1668</v>
      </c>
    </row>
    <row r="662" spans="2:4">
      <c r="B662" s="941" t="s">
        <v>11461</v>
      </c>
      <c r="D662" s="941" t="s">
        <v>10113</v>
      </c>
    </row>
    <row r="663" spans="2:4">
      <c r="B663" s="941" t="s">
        <v>943</v>
      </c>
      <c r="D663" s="941" t="s">
        <v>1669</v>
      </c>
    </row>
    <row r="664" spans="2:4">
      <c r="B664" s="941" t="s">
        <v>944</v>
      </c>
      <c r="D664" s="941" t="s">
        <v>1670</v>
      </c>
    </row>
    <row r="665" spans="2:4">
      <c r="B665" s="941" t="s">
        <v>11465</v>
      </c>
      <c r="D665" s="941" t="s">
        <v>1671</v>
      </c>
    </row>
    <row r="666" spans="2:4">
      <c r="B666" s="941" t="s">
        <v>945</v>
      </c>
      <c r="D666" s="941" t="s">
        <v>1672</v>
      </c>
    </row>
    <row r="667" spans="2:4">
      <c r="B667" s="941" t="s">
        <v>8998</v>
      </c>
      <c r="D667" s="941" t="s">
        <v>1673</v>
      </c>
    </row>
    <row r="668" spans="2:4">
      <c r="B668" s="941" t="s">
        <v>946</v>
      </c>
      <c r="D668" s="941" t="s">
        <v>9320</v>
      </c>
    </row>
    <row r="669" spans="2:4">
      <c r="B669" s="941" t="s">
        <v>9004</v>
      </c>
      <c r="D669" s="941" t="s">
        <v>1674</v>
      </c>
    </row>
    <row r="670" spans="2:4">
      <c r="B670" s="941" t="s">
        <v>11453</v>
      </c>
      <c r="D670" s="941" t="s">
        <v>1675</v>
      </c>
    </row>
    <row r="671" spans="2:4">
      <c r="B671" s="941" t="s">
        <v>9009</v>
      </c>
      <c r="D671" s="941" t="s">
        <v>1676</v>
      </c>
    </row>
    <row r="672" spans="2:4">
      <c r="B672" s="941" t="s">
        <v>9010</v>
      </c>
      <c r="D672" s="941" t="s">
        <v>1677</v>
      </c>
    </row>
    <row r="673" spans="2:4">
      <c r="B673" s="941" t="s">
        <v>947</v>
      </c>
      <c r="D673" s="941" t="s">
        <v>1678</v>
      </c>
    </row>
    <row r="674" spans="2:4">
      <c r="B674" s="941" t="s">
        <v>10185</v>
      </c>
      <c r="D674" s="941" t="s">
        <v>1679</v>
      </c>
    </row>
    <row r="675" spans="2:4">
      <c r="B675" s="941" t="s">
        <v>9018</v>
      </c>
      <c r="D675" s="941" t="s">
        <v>1680</v>
      </c>
    </row>
    <row r="676" spans="2:4">
      <c r="B676" s="941" t="s">
        <v>9019</v>
      </c>
      <c r="D676" s="941" t="s">
        <v>1681</v>
      </c>
    </row>
    <row r="677" spans="2:4">
      <c r="B677" s="941" t="s">
        <v>949</v>
      </c>
      <c r="D677" s="941" t="s">
        <v>1682</v>
      </c>
    </row>
    <row r="678" spans="2:4">
      <c r="B678" s="941" t="s">
        <v>7592</v>
      </c>
      <c r="D678" s="941" t="s">
        <v>1683</v>
      </c>
    </row>
    <row r="679" spans="2:4">
      <c r="B679" s="941" t="s">
        <v>10182</v>
      </c>
      <c r="D679" s="941" t="s">
        <v>1684</v>
      </c>
    </row>
    <row r="680" spans="2:4">
      <c r="B680" s="941" t="s">
        <v>950</v>
      </c>
      <c r="D680" s="941" t="s">
        <v>9321</v>
      </c>
    </row>
    <row r="681" spans="2:4">
      <c r="B681" s="941" t="s">
        <v>11317</v>
      </c>
      <c r="D681" s="941" t="s">
        <v>1685</v>
      </c>
    </row>
    <row r="682" spans="2:4">
      <c r="B682" s="941" t="s">
        <v>951</v>
      </c>
      <c r="D682" s="941" t="s">
        <v>1686</v>
      </c>
    </row>
    <row r="683" spans="2:4">
      <c r="B683" s="941" t="s">
        <v>952</v>
      </c>
      <c r="D683" s="941" t="s">
        <v>1687</v>
      </c>
    </row>
    <row r="684" spans="2:4">
      <c r="B684" s="941" t="s">
        <v>953</v>
      </c>
      <c r="D684" s="941" t="s">
        <v>1688</v>
      </c>
    </row>
    <row r="685" spans="2:4">
      <c r="B685" s="941" t="s">
        <v>954</v>
      </c>
      <c r="D685" s="941" t="s">
        <v>1689</v>
      </c>
    </row>
    <row r="686" spans="2:4">
      <c r="B686" s="941" t="s">
        <v>955</v>
      </c>
      <c r="D686" s="941" t="s">
        <v>1690</v>
      </c>
    </row>
    <row r="687" spans="2:4">
      <c r="B687" s="941" t="s">
        <v>956</v>
      </c>
      <c r="D687" s="941" t="s">
        <v>1691</v>
      </c>
    </row>
    <row r="688" spans="2:4">
      <c r="B688" s="941" t="s">
        <v>11002</v>
      </c>
      <c r="D688" s="941" t="s">
        <v>1692</v>
      </c>
    </row>
    <row r="689" spans="2:4">
      <c r="B689" s="941" t="s">
        <v>9035</v>
      </c>
      <c r="D689" s="941" t="s">
        <v>1693</v>
      </c>
    </row>
    <row r="690" spans="2:4">
      <c r="B690" s="941" t="s">
        <v>11638</v>
      </c>
      <c r="D690" s="941" t="s">
        <v>1694</v>
      </c>
    </row>
    <row r="691" spans="2:4">
      <c r="B691" s="941" t="s">
        <v>9036</v>
      </c>
      <c r="D691" s="941" t="s">
        <v>1695</v>
      </c>
    </row>
    <row r="692" spans="2:4">
      <c r="B692" s="941" t="s">
        <v>6836</v>
      </c>
      <c r="D692" s="941" t="s">
        <v>1696</v>
      </c>
    </row>
    <row r="693" spans="2:4">
      <c r="B693" s="941" t="s">
        <v>9038</v>
      </c>
      <c r="D693" s="941" t="s">
        <v>1697</v>
      </c>
    </row>
    <row r="694" spans="2:4">
      <c r="B694" s="941" t="s">
        <v>957</v>
      </c>
      <c r="D694" s="941" t="s">
        <v>1698</v>
      </c>
    </row>
    <row r="695" spans="2:4">
      <c r="B695" s="941" t="s">
        <v>10692</v>
      </c>
      <c r="D695" s="941" t="s">
        <v>1699</v>
      </c>
    </row>
    <row r="696" spans="2:4">
      <c r="B696" s="941" t="s">
        <v>958</v>
      </c>
      <c r="D696" s="941" t="s">
        <v>1700</v>
      </c>
    </row>
    <row r="697" spans="2:4">
      <c r="B697" s="941" t="s">
        <v>9046</v>
      </c>
      <c r="D697" s="941" t="s">
        <v>1701</v>
      </c>
    </row>
    <row r="698" spans="2:4">
      <c r="B698" s="941" t="s">
        <v>11504</v>
      </c>
      <c r="D698" s="941" t="s">
        <v>1702</v>
      </c>
    </row>
    <row r="699" spans="2:4">
      <c r="B699" s="941" t="s">
        <v>7756</v>
      </c>
      <c r="D699" s="941" t="s">
        <v>1703</v>
      </c>
    </row>
    <row r="700" spans="2:4">
      <c r="B700" s="941" t="s">
        <v>9052</v>
      </c>
      <c r="D700" s="941" t="s">
        <v>1704</v>
      </c>
    </row>
    <row r="701" spans="2:4">
      <c r="B701" s="941" t="s">
        <v>10881</v>
      </c>
      <c r="D701" s="941" t="s">
        <v>1705</v>
      </c>
    </row>
    <row r="702" spans="2:4">
      <c r="B702" s="941" t="s">
        <v>11205</v>
      </c>
      <c r="D702" s="941" t="s">
        <v>1706</v>
      </c>
    </row>
    <row r="703" spans="2:4">
      <c r="B703" s="941" t="s">
        <v>10315</v>
      </c>
      <c r="D703" s="941" t="s">
        <v>1707</v>
      </c>
    </row>
    <row r="704" spans="2:4">
      <c r="B704" s="941" t="s">
        <v>959</v>
      </c>
      <c r="D704" s="941" t="s">
        <v>1708</v>
      </c>
    </row>
    <row r="705" spans="2:4">
      <c r="B705" s="941" t="s">
        <v>960</v>
      </c>
      <c r="D705" s="941" t="s">
        <v>1709</v>
      </c>
    </row>
    <row r="706" spans="2:4">
      <c r="B706" s="941" t="s">
        <v>9887</v>
      </c>
      <c r="D706" s="941" t="s">
        <v>1710</v>
      </c>
    </row>
    <row r="707" spans="2:4">
      <c r="B707" s="941" t="s">
        <v>962</v>
      </c>
      <c r="D707" s="941" t="s">
        <v>1711</v>
      </c>
    </row>
    <row r="708" spans="2:4">
      <c r="B708" s="941" t="s">
        <v>963</v>
      </c>
      <c r="D708" s="941" t="s">
        <v>1712</v>
      </c>
    </row>
    <row r="709" spans="2:4">
      <c r="B709" s="941" t="s">
        <v>9735</v>
      </c>
      <c r="D709" s="941" t="s">
        <v>1713</v>
      </c>
    </row>
    <row r="710" spans="2:4">
      <c r="B710" s="941" t="s">
        <v>964</v>
      </c>
      <c r="D710" s="941" t="s">
        <v>1714</v>
      </c>
    </row>
    <row r="711" spans="2:4">
      <c r="B711" s="941" t="s">
        <v>9091</v>
      </c>
      <c r="D711" s="941" t="s">
        <v>10566</v>
      </c>
    </row>
    <row r="712" spans="2:4">
      <c r="B712" s="941" t="s">
        <v>11352</v>
      </c>
      <c r="D712" s="941" t="s">
        <v>1715</v>
      </c>
    </row>
    <row r="713" spans="2:4">
      <c r="B713" s="941" t="s">
        <v>966</v>
      </c>
      <c r="D713" s="941" t="s">
        <v>1716</v>
      </c>
    </row>
    <row r="714" spans="2:4">
      <c r="B714" s="941" t="s">
        <v>9095</v>
      </c>
      <c r="D714" s="941" t="s">
        <v>1717</v>
      </c>
    </row>
    <row r="715" spans="2:4">
      <c r="B715" s="941" t="s">
        <v>7045</v>
      </c>
      <c r="D715" s="941" t="s">
        <v>9322</v>
      </c>
    </row>
    <row r="716" spans="2:4">
      <c r="B716" s="941" t="s">
        <v>9099</v>
      </c>
      <c r="D716" s="941" t="s">
        <v>1718</v>
      </c>
    </row>
    <row r="717" spans="2:4">
      <c r="B717" s="941" t="s">
        <v>12325</v>
      </c>
      <c r="D717" s="941" t="s">
        <v>1719</v>
      </c>
    </row>
    <row r="718" spans="2:4">
      <c r="B718" s="941" t="s">
        <v>9651</v>
      </c>
      <c r="D718" s="941" t="s">
        <v>1720</v>
      </c>
    </row>
    <row r="719" spans="2:4">
      <c r="B719" s="941" t="s">
        <v>9110</v>
      </c>
      <c r="D719" s="941" t="s">
        <v>1721</v>
      </c>
    </row>
    <row r="720" spans="2:4">
      <c r="B720" s="941" t="s">
        <v>9677</v>
      </c>
      <c r="D720" s="941" t="s">
        <v>1722</v>
      </c>
    </row>
    <row r="721" spans="2:4">
      <c r="B721" s="941" t="s">
        <v>969</v>
      </c>
      <c r="D721" s="941" t="s">
        <v>1723</v>
      </c>
    </row>
    <row r="722" spans="2:4">
      <c r="B722" s="941" t="s">
        <v>9896</v>
      </c>
      <c r="D722" s="941" t="s">
        <v>10407</v>
      </c>
    </row>
    <row r="723" spans="2:4">
      <c r="B723" s="941" t="s">
        <v>9117</v>
      </c>
      <c r="D723" s="941" t="s">
        <v>1724</v>
      </c>
    </row>
    <row r="724" spans="2:4">
      <c r="B724" s="941" t="s">
        <v>971</v>
      </c>
      <c r="D724" s="941" t="s">
        <v>1725</v>
      </c>
    </row>
    <row r="725" spans="2:4">
      <c r="B725" s="941" t="s">
        <v>972</v>
      </c>
      <c r="D725" s="941" t="s">
        <v>1726</v>
      </c>
    </row>
    <row r="726" spans="2:4">
      <c r="B726" s="941" t="s">
        <v>973</v>
      </c>
      <c r="D726" s="941" t="s">
        <v>1727</v>
      </c>
    </row>
    <row r="727" spans="2:4">
      <c r="B727" s="941" t="s">
        <v>9121</v>
      </c>
      <c r="D727" s="941" t="s">
        <v>1728</v>
      </c>
    </row>
    <row r="728" spans="2:4">
      <c r="B728" s="941" t="s">
        <v>974</v>
      </c>
      <c r="D728" s="941" t="s">
        <v>1729</v>
      </c>
    </row>
    <row r="729" spans="2:4">
      <c r="B729" s="941" t="s">
        <v>975</v>
      </c>
      <c r="D729" s="941" t="s">
        <v>1730</v>
      </c>
    </row>
    <row r="730" spans="2:4">
      <c r="B730" s="941" t="s">
        <v>9126</v>
      </c>
      <c r="D730" s="941" t="s">
        <v>1731</v>
      </c>
    </row>
    <row r="731" spans="2:4">
      <c r="B731" s="941" t="s">
        <v>10903</v>
      </c>
      <c r="D731" s="941" t="s">
        <v>1732</v>
      </c>
    </row>
    <row r="732" spans="2:4">
      <c r="B732" s="941" t="s">
        <v>9128</v>
      </c>
      <c r="D732" s="941" t="s">
        <v>1733</v>
      </c>
    </row>
    <row r="733" spans="2:4">
      <c r="B733" s="941" t="s">
        <v>976</v>
      </c>
      <c r="D733" s="941" t="s">
        <v>1734</v>
      </c>
    </row>
    <row r="734" spans="2:4">
      <c r="B734" s="941" t="s">
        <v>978</v>
      </c>
      <c r="D734" s="941" t="s">
        <v>10601</v>
      </c>
    </row>
    <row r="735" spans="2:4">
      <c r="B735" s="941" t="s">
        <v>10633</v>
      </c>
      <c r="D735" s="941" t="s">
        <v>9323</v>
      </c>
    </row>
    <row r="736" spans="2:4">
      <c r="B736" s="941" t="s">
        <v>980</v>
      </c>
      <c r="D736" s="941" t="s">
        <v>1735</v>
      </c>
    </row>
    <row r="737" spans="2:4">
      <c r="B737" s="941" t="s">
        <v>10017</v>
      </c>
      <c r="D737" s="941" t="s">
        <v>1736</v>
      </c>
    </row>
    <row r="738" spans="2:4">
      <c r="B738" s="941" t="s">
        <v>7972</v>
      </c>
      <c r="D738" s="941" t="s">
        <v>1737</v>
      </c>
    </row>
    <row r="739" spans="2:4">
      <c r="B739" s="941" t="s">
        <v>9141</v>
      </c>
      <c r="D739" s="941" t="s">
        <v>1738</v>
      </c>
    </row>
    <row r="740" spans="2:4">
      <c r="B740" s="941" t="s">
        <v>982</v>
      </c>
      <c r="D740" s="941" t="s">
        <v>1739</v>
      </c>
    </row>
    <row r="741" spans="2:4">
      <c r="B741" s="941" t="s">
        <v>9146</v>
      </c>
      <c r="D741" s="941" t="s">
        <v>1740</v>
      </c>
    </row>
    <row r="742" spans="2:4">
      <c r="B742" s="941" t="s">
        <v>983</v>
      </c>
      <c r="D742" s="941" t="s">
        <v>1741</v>
      </c>
    </row>
    <row r="743" spans="2:4">
      <c r="B743" s="941" t="s">
        <v>9148</v>
      </c>
      <c r="D743" s="941" t="s">
        <v>1742</v>
      </c>
    </row>
    <row r="744" spans="2:4">
      <c r="B744" s="941" t="s">
        <v>984</v>
      </c>
      <c r="D744" s="941" t="s">
        <v>1743</v>
      </c>
    </row>
    <row r="745" spans="2:4">
      <c r="B745" s="941" t="s">
        <v>9153</v>
      </c>
      <c r="D745" s="941" t="s">
        <v>1744</v>
      </c>
    </row>
    <row r="746" spans="2:4">
      <c r="B746" s="941" t="s">
        <v>987</v>
      </c>
      <c r="D746" s="941" t="s">
        <v>1745</v>
      </c>
    </row>
    <row r="747" spans="2:4">
      <c r="B747" s="941" t="s">
        <v>10697</v>
      </c>
      <c r="D747" s="941" t="s">
        <v>1746</v>
      </c>
    </row>
    <row r="748" spans="2:4">
      <c r="B748" s="941" t="s">
        <v>989</v>
      </c>
      <c r="D748" s="941" t="s">
        <v>1747</v>
      </c>
    </row>
    <row r="749" spans="2:4">
      <c r="B749" s="941" t="s">
        <v>9934</v>
      </c>
      <c r="D749" s="941" t="s">
        <v>1748</v>
      </c>
    </row>
    <row r="750" spans="2:4">
      <c r="B750" s="941" t="s">
        <v>990</v>
      </c>
      <c r="D750" s="941" t="s">
        <v>1749</v>
      </c>
    </row>
    <row r="751" spans="2:4">
      <c r="B751" s="941" t="s">
        <v>11194</v>
      </c>
      <c r="D751" s="941" t="s">
        <v>1750</v>
      </c>
    </row>
    <row r="752" spans="2:4">
      <c r="B752" s="941" t="s">
        <v>7973</v>
      </c>
      <c r="D752" s="941" t="s">
        <v>1751</v>
      </c>
    </row>
    <row r="753" spans="2:4">
      <c r="B753" s="941" t="s">
        <v>10021</v>
      </c>
      <c r="D753" s="941" t="s">
        <v>1752</v>
      </c>
    </row>
    <row r="754" spans="2:4">
      <c r="B754" s="941" t="s">
        <v>991</v>
      </c>
      <c r="D754" s="941" t="s">
        <v>1753</v>
      </c>
    </row>
    <row r="755" spans="2:4">
      <c r="B755" s="941" t="s">
        <v>994</v>
      </c>
      <c r="D755" s="941" t="s">
        <v>1754</v>
      </c>
    </row>
    <row r="756" spans="2:4">
      <c r="B756" s="941" t="s">
        <v>10502</v>
      </c>
      <c r="D756" s="941" t="s">
        <v>1755</v>
      </c>
    </row>
    <row r="757" spans="2:4">
      <c r="B757" s="941" t="s">
        <v>8076</v>
      </c>
      <c r="D757" s="941" t="s">
        <v>1756</v>
      </c>
    </row>
    <row r="758" spans="2:4">
      <c r="B758" s="941" t="s">
        <v>995</v>
      </c>
      <c r="D758" s="941" t="s">
        <v>1757</v>
      </c>
    </row>
    <row r="759" spans="2:4">
      <c r="B759" s="941" t="s">
        <v>11581</v>
      </c>
      <c r="D759" s="941" t="s">
        <v>1758</v>
      </c>
    </row>
    <row r="760" spans="2:4">
      <c r="B760" s="941" t="s">
        <v>997</v>
      </c>
      <c r="D760" s="941" t="s">
        <v>1759</v>
      </c>
    </row>
    <row r="761" spans="2:4">
      <c r="B761" s="941" t="s">
        <v>9177</v>
      </c>
      <c r="D761" s="941" t="s">
        <v>1760</v>
      </c>
    </row>
    <row r="762" spans="2:4">
      <c r="B762" s="941" t="s">
        <v>998</v>
      </c>
      <c r="D762" s="941" t="s">
        <v>1761</v>
      </c>
    </row>
    <row r="763" spans="2:4">
      <c r="B763" s="941" t="s">
        <v>1000</v>
      </c>
      <c r="D763" s="941" t="s">
        <v>1762</v>
      </c>
    </row>
    <row r="764" spans="2:4">
      <c r="B764" s="941" t="s">
        <v>11509</v>
      </c>
      <c r="D764" s="941" t="s">
        <v>1763</v>
      </c>
    </row>
    <row r="765" spans="2:4">
      <c r="B765" s="941" t="s">
        <v>9187</v>
      </c>
      <c r="D765" s="941" t="s">
        <v>1764</v>
      </c>
    </row>
    <row r="766" spans="2:4">
      <c r="B766" s="941" t="s">
        <v>1003</v>
      </c>
      <c r="D766" s="941" t="s">
        <v>1765</v>
      </c>
    </row>
    <row r="767" spans="2:4">
      <c r="B767" s="941" t="s">
        <v>8112</v>
      </c>
      <c r="D767" s="941" t="s">
        <v>1766</v>
      </c>
    </row>
    <row r="768" spans="2:4">
      <c r="B768" s="941" t="s">
        <v>7930</v>
      </c>
      <c r="D768" s="941" t="s">
        <v>1767</v>
      </c>
    </row>
    <row r="769" spans="2:4">
      <c r="B769" s="941" t="s">
        <v>8113</v>
      </c>
      <c r="D769" s="941" t="s">
        <v>1768</v>
      </c>
    </row>
    <row r="770" spans="2:4">
      <c r="B770" s="941" t="s">
        <v>8114</v>
      </c>
      <c r="D770" s="941" t="s">
        <v>1769</v>
      </c>
    </row>
    <row r="771" spans="2:4">
      <c r="B771" s="941" t="s">
        <v>724</v>
      </c>
      <c r="D771" s="941" t="s">
        <v>1770</v>
      </c>
    </row>
    <row r="772" spans="2:4">
      <c r="B772" s="941" t="s">
        <v>8115</v>
      </c>
      <c r="D772" s="941" t="s">
        <v>1771</v>
      </c>
    </row>
    <row r="773" spans="2:4">
      <c r="B773" s="941" t="s">
        <v>8116</v>
      </c>
      <c r="D773" s="941" t="s">
        <v>1772</v>
      </c>
    </row>
    <row r="774" spans="2:4">
      <c r="B774" s="941" t="s">
        <v>8117</v>
      </c>
      <c r="D774" s="941" t="s">
        <v>1773</v>
      </c>
    </row>
    <row r="775" spans="2:4">
      <c r="B775" s="941" t="s">
        <v>8118</v>
      </c>
      <c r="D775" s="941" t="s">
        <v>1774</v>
      </c>
    </row>
    <row r="776" spans="2:4">
      <c r="B776" s="941" t="s">
        <v>725</v>
      </c>
      <c r="D776" s="941" t="s">
        <v>1775</v>
      </c>
    </row>
    <row r="777" spans="2:4">
      <c r="B777" s="941" t="s">
        <v>726</v>
      </c>
      <c r="D777" s="941" t="s">
        <v>1776</v>
      </c>
    </row>
    <row r="778" spans="2:4">
      <c r="B778" s="941" t="s">
        <v>727</v>
      </c>
      <c r="D778" s="941" t="s">
        <v>1777</v>
      </c>
    </row>
    <row r="779" spans="2:4">
      <c r="B779" s="941" t="s">
        <v>728</v>
      </c>
      <c r="D779" s="941" t="s">
        <v>1778</v>
      </c>
    </row>
    <row r="780" spans="2:4">
      <c r="B780" s="941" t="s">
        <v>8119</v>
      </c>
      <c r="D780" s="941" t="s">
        <v>1779</v>
      </c>
    </row>
    <row r="781" spans="2:4">
      <c r="B781" s="941" t="s">
        <v>729</v>
      </c>
      <c r="D781" s="941" t="s">
        <v>1780</v>
      </c>
    </row>
    <row r="782" spans="2:4">
      <c r="B782" s="941" t="s">
        <v>8120</v>
      </c>
      <c r="D782" s="941" t="s">
        <v>9324</v>
      </c>
    </row>
    <row r="783" spans="2:4">
      <c r="B783" s="941" t="s">
        <v>730</v>
      </c>
      <c r="D783" s="941" t="s">
        <v>1781</v>
      </c>
    </row>
    <row r="784" spans="2:4">
      <c r="B784" s="941" t="s">
        <v>8121</v>
      </c>
      <c r="D784" s="941" t="s">
        <v>1782</v>
      </c>
    </row>
    <row r="785" spans="2:4">
      <c r="B785" s="941" t="s">
        <v>8122</v>
      </c>
      <c r="D785" s="941" t="s">
        <v>1783</v>
      </c>
    </row>
    <row r="786" spans="2:4">
      <c r="B786" s="941" t="s">
        <v>8123</v>
      </c>
      <c r="D786" s="941" t="s">
        <v>1784</v>
      </c>
    </row>
    <row r="787" spans="2:4">
      <c r="B787" s="941" t="s">
        <v>8124</v>
      </c>
      <c r="D787" s="941" t="s">
        <v>1785</v>
      </c>
    </row>
    <row r="788" spans="2:4">
      <c r="B788" s="941" t="s">
        <v>10110</v>
      </c>
      <c r="D788" s="941" t="s">
        <v>1786</v>
      </c>
    </row>
    <row r="789" spans="2:4">
      <c r="B789" s="941" t="s">
        <v>8125</v>
      </c>
      <c r="D789" s="941" t="s">
        <v>1787</v>
      </c>
    </row>
    <row r="790" spans="2:4">
      <c r="B790" s="941" t="s">
        <v>8126</v>
      </c>
      <c r="D790" s="941" t="s">
        <v>1788</v>
      </c>
    </row>
    <row r="791" spans="2:4">
      <c r="B791" s="941" t="s">
        <v>731</v>
      </c>
      <c r="D791" s="941" t="s">
        <v>1789</v>
      </c>
    </row>
    <row r="792" spans="2:4">
      <c r="B792" s="941" t="s">
        <v>7950</v>
      </c>
      <c r="D792" s="941" t="s">
        <v>1790</v>
      </c>
    </row>
    <row r="793" spans="2:4">
      <c r="B793" s="941" t="s">
        <v>8127</v>
      </c>
      <c r="D793" s="941" t="s">
        <v>9325</v>
      </c>
    </row>
    <row r="794" spans="2:4">
      <c r="B794" s="941" t="s">
        <v>8128</v>
      </c>
      <c r="D794" s="941" t="s">
        <v>1791</v>
      </c>
    </row>
    <row r="795" spans="2:4">
      <c r="B795" s="941" t="s">
        <v>8129</v>
      </c>
      <c r="D795" s="941" t="s">
        <v>1792</v>
      </c>
    </row>
    <row r="796" spans="2:4">
      <c r="B796" s="941" t="s">
        <v>8130</v>
      </c>
      <c r="D796" s="941" t="s">
        <v>1793</v>
      </c>
    </row>
    <row r="797" spans="2:4">
      <c r="B797" s="941" t="s">
        <v>8131</v>
      </c>
      <c r="D797" s="941" t="s">
        <v>1794</v>
      </c>
    </row>
    <row r="798" spans="2:4">
      <c r="B798" s="941" t="s">
        <v>8132</v>
      </c>
      <c r="D798" s="941" t="s">
        <v>9326</v>
      </c>
    </row>
    <row r="799" spans="2:4">
      <c r="B799" s="941" t="s">
        <v>8133</v>
      </c>
      <c r="D799" s="941" t="s">
        <v>1795</v>
      </c>
    </row>
    <row r="800" spans="2:4">
      <c r="B800" s="941" t="s">
        <v>8134</v>
      </c>
      <c r="D800" s="941" t="s">
        <v>1796</v>
      </c>
    </row>
    <row r="801" spans="2:4">
      <c r="B801" s="941" t="s">
        <v>732</v>
      </c>
      <c r="D801" s="941" t="s">
        <v>1797</v>
      </c>
    </row>
    <row r="802" spans="2:4">
      <c r="B802" s="941" t="s">
        <v>8135</v>
      </c>
      <c r="D802" s="941" t="s">
        <v>1798</v>
      </c>
    </row>
    <row r="803" spans="2:4">
      <c r="B803" s="941" t="s">
        <v>7752</v>
      </c>
      <c r="D803" s="941" t="s">
        <v>1799</v>
      </c>
    </row>
    <row r="804" spans="2:4">
      <c r="B804" s="941" t="s">
        <v>733</v>
      </c>
      <c r="D804" s="941" t="s">
        <v>9854</v>
      </c>
    </row>
    <row r="805" spans="2:4">
      <c r="B805" s="941" t="s">
        <v>8136</v>
      </c>
      <c r="D805" s="941" t="s">
        <v>10256</v>
      </c>
    </row>
    <row r="806" spans="2:4">
      <c r="B806" s="941" t="s">
        <v>3422</v>
      </c>
      <c r="D806" s="941" t="s">
        <v>1800</v>
      </c>
    </row>
    <row r="807" spans="2:4">
      <c r="B807" s="941" t="s">
        <v>8137</v>
      </c>
      <c r="D807" s="941" t="s">
        <v>1801</v>
      </c>
    </row>
    <row r="808" spans="2:4">
      <c r="B808" s="941" t="s">
        <v>7951</v>
      </c>
      <c r="D808" s="941" t="s">
        <v>1802</v>
      </c>
    </row>
    <row r="809" spans="2:4">
      <c r="B809" s="941" t="s">
        <v>8138</v>
      </c>
      <c r="D809" s="941" t="s">
        <v>1803</v>
      </c>
    </row>
    <row r="810" spans="2:4">
      <c r="B810" s="941" t="s">
        <v>8139</v>
      </c>
      <c r="D810" s="941" t="s">
        <v>1804</v>
      </c>
    </row>
    <row r="811" spans="2:4">
      <c r="B811" s="941" t="s">
        <v>3432</v>
      </c>
      <c r="D811" s="941" t="s">
        <v>1805</v>
      </c>
    </row>
    <row r="812" spans="2:4">
      <c r="B812" s="941" t="s">
        <v>8140</v>
      </c>
      <c r="D812" s="941" t="s">
        <v>1806</v>
      </c>
    </row>
    <row r="813" spans="2:4">
      <c r="B813" s="941" t="s">
        <v>3435</v>
      </c>
      <c r="D813" s="941" t="s">
        <v>1807</v>
      </c>
    </row>
    <row r="814" spans="2:4">
      <c r="B814" s="941" t="s">
        <v>9920</v>
      </c>
      <c r="D814" s="941" t="s">
        <v>1808</v>
      </c>
    </row>
    <row r="815" spans="2:4">
      <c r="B815" s="941" t="s">
        <v>9200</v>
      </c>
      <c r="D815" s="941" t="s">
        <v>1809</v>
      </c>
    </row>
    <row r="816" spans="2:4">
      <c r="B816" s="941" t="s">
        <v>8141</v>
      </c>
      <c r="D816" s="941" t="s">
        <v>1810</v>
      </c>
    </row>
    <row r="817" spans="2:4">
      <c r="B817" s="941" t="s">
        <v>8142</v>
      </c>
      <c r="D817" s="941" t="s">
        <v>1811</v>
      </c>
    </row>
    <row r="818" spans="2:4">
      <c r="B818" s="941" t="s">
        <v>734</v>
      </c>
      <c r="D818" s="941" t="s">
        <v>1812</v>
      </c>
    </row>
    <row r="819" spans="2:4">
      <c r="B819" s="941" t="s">
        <v>735</v>
      </c>
      <c r="D819" s="941" t="s">
        <v>1813</v>
      </c>
    </row>
    <row r="820" spans="2:4">
      <c r="B820" s="941" t="s">
        <v>8143</v>
      </c>
      <c r="D820" s="941" t="s">
        <v>1814</v>
      </c>
    </row>
    <row r="821" spans="2:4">
      <c r="B821" s="941" t="s">
        <v>3445</v>
      </c>
      <c r="D821" s="941" t="s">
        <v>1815</v>
      </c>
    </row>
    <row r="822" spans="2:4">
      <c r="B822" s="941" t="s">
        <v>8144</v>
      </c>
      <c r="D822" s="941" t="s">
        <v>1816</v>
      </c>
    </row>
    <row r="823" spans="2:4">
      <c r="B823" s="941" t="s">
        <v>8145</v>
      </c>
      <c r="D823" s="941" t="s">
        <v>1817</v>
      </c>
    </row>
    <row r="824" spans="2:4">
      <c r="B824" s="941" t="s">
        <v>736</v>
      </c>
      <c r="D824" s="941" t="s">
        <v>1818</v>
      </c>
    </row>
    <row r="825" spans="2:4">
      <c r="B825" s="941" t="s">
        <v>8146</v>
      </c>
      <c r="D825" s="941" t="s">
        <v>9327</v>
      </c>
    </row>
    <row r="826" spans="2:4">
      <c r="B826" s="941" t="s">
        <v>8147</v>
      </c>
      <c r="D826" s="941" t="s">
        <v>9328</v>
      </c>
    </row>
    <row r="827" spans="2:4">
      <c r="B827" s="941" t="s">
        <v>8148</v>
      </c>
      <c r="D827" s="941" t="s">
        <v>9329</v>
      </c>
    </row>
    <row r="828" spans="2:4">
      <c r="B828" s="941" t="s">
        <v>8149</v>
      </c>
      <c r="D828" s="941" t="s">
        <v>1819</v>
      </c>
    </row>
    <row r="829" spans="2:4">
      <c r="B829" s="941" t="s">
        <v>737</v>
      </c>
      <c r="D829" s="941" t="s">
        <v>1820</v>
      </c>
    </row>
    <row r="830" spans="2:4">
      <c r="B830" s="941" t="s">
        <v>738</v>
      </c>
      <c r="D830" s="941" t="s">
        <v>1821</v>
      </c>
    </row>
    <row r="831" spans="2:4">
      <c r="B831" s="941" t="s">
        <v>8150</v>
      </c>
      <c r="D831" s="941" t="s">
        <v>1822</v>
      </c>
    </row>
    <row r="832" spans="2:4">
      <c r="B832" s="941" t="s">
        <v>8151</v>
      </c>
      <c r="D832" s="941" t="s">
        <v>1823</v>
      </c>
    </row>
    <row r="833" spans="2:4">
      <c r="B833" s="941" t="s">
        <v>8152</v>
      </c>
      <c r="D833" s="941" t="s">
        <v>1824</v>
      </c>
    </row>
    <row r="834" spans="2:4">
      <c r="B834" s="941" t="s">
        <v>739</v>
      </c>
      <c r="D834" s="941" t="s">
        <v>1825</v>
      </c>
    </row>
    <row r="835" spans="2:4">
      <c r="B835" s="941" t="s">
        <v>740</v>
      </c>
      <c r="D835" s="941" t="s">
        <v>1826</v>
      </c>
    </row>
    <row r="836" spans="2:4">
      <c r="B836" s="941" t="s">
        <v>8153</v>
      </c>
      <c r="D836" s="941" t="s">
        <v>1827</v>
      </c>
    </row>
    <row r="837" spans="2:4">
      <c r="B837" s="941" t="s">
        <v>8154</v>
      </c>
      <c r="D837" s="941" t="s">
        <v>1828</v>
      </c>
    </row>
    <row r="838" spans="2:4">
      <c r="B838" s="941" t="s">
        <v>8155</v>
      </c>
      <c r="D838" s="941" t="s">
        <v>1829</v>
      </c>
    </row>
    <row r="839" spans="2:4">
      <c r="B839" s="941" t="s">
        <v>8156</v>
      </c>
      <c r="D839" s="941" t="s">
        <v>1830</v>
      </c>
    </row>
    <row r="840" spans="2:4">
      <c r="B840" s="941" t="s">
        <v>8157</v>
      </c>
      <c r="D840" s="941" t="s">
        <v>1831</v>
      </c>
    </row>
    <row r="841" spans="2:4">
      <c r="B841" s="941" t="s">
        <v>8158</v>
      </c>
      <c r="D841" s="941" t="s">
        <v>1832</v>
      </c>
    </row>
    <row r="842" spans="2:4">
      <c r="B842" s="941" t="s">
        <v>8159</v>
      </c>
      <c r="D842" s="941" t="s">
        <v>1833</v>
      </c>
    </row>
    <row r="843" spans="2:4">
      <c r="B843" s="941" t="s">
        <v>8160</v>
      </c>
      <c r="D843" s="941" t="s">
        <v>1834</v>
      </c>
    </row>
    <row r="844" spans="2:4">
      <c r="B844" s="941" t="s">
        <v>8161</v>
      </c>
      <c r="D844" s="941" t="s">
        <v>1835</v>
      </c>
    </row>
    <row r="845" spans="2:4">
      <c r="B845" s="941" t="s">
        <v>8162</v>
      </c>
      <c r="D845" s="941" t="s">
        <v>1836</v>
      </c>
    </row>
    <row r="846" spans="2:4">
      <c r="B846" s="941" t="s">
        <v>8163</v>
      </c>
      <c r="D846" s="941" t="s">
        <v>1837</v>
      </c>
    </row>
    <row r="847" spans="2:4">
      <c r="B847" s="941" t="s">
        <v>8164</v>
      </c>
      <c r="D847" s="941" t="s">
        <v>1838</v>
      </c>
    </row>
    <row r="848" spans="2:4">
      <c r="B848" s="941" t="s">
        <v>8165</v>
      </c>
      <c r="D848" s="941" t="s">
        <v>10512</v>
      </c>
    </row>
    <row r="849" spans="2:4">
      <c r="B849" s="941" t="s">
        <v>7952</v>
      </c>
      <c r="D849" s="941" t="s">
        <v>1839</v>
      </c>
    </row>
    <row r="850" spans="2:4">
      <c r="B850" s="941" t="s">
        <v>7953</v>
      </c>
      <c r="D850" s="941" t="s">
        <v>7994</v>
      </c>
    </row>
    <row r="851" spans="2:4">
      <c r="B851" s="941" t="s">
        <v>10111</v>
      </c>
      <c r="D851" s="941" t="s">
        <v>1840</v>
      </c>
    </row>
    <row r="852" spans="2:4">
      <c r="B852" s="941" t="s">
        <v>8166</v>
      </c>
      <c r="D852" s="941" t="s">
        <v>1841</v>
      </c>
    </row>
    <row r="853" spans="2:4">
      <c r="B853" s="941" t="s">
        <v>8167</v>
      </c>
      <c r="D853" s="941" t="s">
        <v>1842</v>
      </c>
    </row>
    <row r="854" spans="2:4">
      <c r="B854" s="941" t="s">
        <v>741</v>
      </c>
      <c r="D854" s="941" t="s">
        <v>1843</v>
      </c>
    </row>
    <row r="855" spans="2:4">
      <c r="B855" s="941" t="s">
        <v>8168</v>
      </c>
      <c r="D855" s="941" t="s">
        <v>1844</v>
      </c>
    </row>
    <row r="856" spans="2:4">
      <c r="B856" s="941" t="s">
        <v>742</v>
      </c>
      <c r="D856" s="941" t="s">
        <v>1845</v>
      </c>
    </row>
    <row r="857" spans="2:4">
      <c r="B857" s="941" t="s">
        <v>8169</v>
      </c>
      <c r="D857" s="941" t="s">
        <v>1846</v>
      </c>
    </row>
    <row r="858" spans="2:4">
      <c r="B858" s="941" t="s">
        <v>8170</v>
      </c>
      <c r="D858" s="941" t="s">
        <v>1847</v>
      </c>
    </row>
    <row r="859" spans="2:4">
      <c r="B859" s="941" t="s">
        <v>743</v>
      </c>
      <c r="D859" s="941" t="s">
        <v>1848</v>
      </c>
    </row>
    <row r="860" spans="2:4">
      <c r="B860" s="941" t="s">
        <v>8171</v>
      </c>
      <c r="D860" s="941" t="s">
        <v>1849</v>
      </c>
    </row>
    <row r="861" spans="2:4">
      <c r="B861" s="941" t="s">
        <v>8172</v>
      </c>
      <c r="D861" s="941" t="s">
        <v>1850</v>
      </c>
    </row>
    <row r="862" spans="2:4">
      <c r="B862" s="941" t="s">
        <v>8173</v>
      </c>
      <c r="D862" s="941" t="s">
        <v>1851</v>
      </c>
    </row>
    <row r="863" spans="2:4">
      <c r="B863" s="941" t="s">
        <v>8174</v>
      </c>
      <c r="D863" s="941" t="s">
        <v>1852</v>
      </c>
    </row>
    <row r="864" spans="2:4">
      <c r="B864" s="941" t="s">
        <v>8175</v>
      </c>
      <c r="D864" s="941" t="s">
        <v>1853</v>
      </c>
    </row>
    <row r="865" spans="2:4">
      <c r="B865" s="941" t="s">
        <v>8176</v>
      </c>
      <c r="D865" s="941" t="s">
        <v>1854</v>
      </c>
    </row>
    <row r="866" spans="2:4">
      <c r="B866" s="941" t="s">
        <v>744</v>
      </c>
      <c r="D866" s="941" t="s">
        <v>1855</v>
      </c>
    </row>
    <row r="867" spans="2:4">
      <c r="B867" s="941" t="s">
        <v>8177</v>
      </c>
      <c r="D867" s="941" t="s">
        <v>1856</v>
      </c>
    </row>
    <row r="868" spans="2:4">
      <c r="B868" s="941" t="s">
        <v>8178</v>
      </c>
      <c r="D868" s="941" t="s">
        <v>1857</v>
      </c>
    </row>
    <row r="869" spans="2:4">
      <c r="B869" s="941" t="s">
        <v>8179</v>
      </c>
      <c r="D869" s="941" t="s">
        <v>1858</v>
      </c>
    </row>
    <row r="870" spans="2:4">
      <c r="B870" s="941" t="s">
        <v>9894</v>
      </c>
      <c r="D870" s="941" t="s">
        <v>1859</v>
      </c>
    </row>
    <row r="871" spans="2:4">
      <c r="B871" s="941" t="s">
        <v>8180</v>
      </c>
      <c r="D871" s="941" t="s">
        <v>1860</v>
      </c>
    </row>
    <row r="872" spans="2:4">
      <c r="B872" s="941" t="s">
        <v>8181</v>
      </c>
      <c r="D872" s="941" t="s">
        <v>1861</v>
      </c>
    </row>
    <row r="873" spans="2:4">
      <c r="B873" s="941" t="s">
        <v>8182</v>
      </c>
      <c r="D873" s="941" t="s">
        <v>1862</v>
      </c>
    </row>
    <row r="874" spans="2:4">
      <c r="B874" s="941" t="s">
        <v>8183</v>
      </c>
      <c r="D874" s="941" t="s">
        <v>1863</v>
      </c>
    </row>
    <row r="875" spans="2:4">
      <c r="B875" s="941" t="s">
        <v>8184</v>
      </c>
      <c r="D875" s="941" t="s">
        <v>1864</v>
      </c>
    </row>
    <row r="876" spans="2:4">
      <c r="B876" s="941" t="s">
        <v>8185</v>
      </c>
      <c r="D876" s="941" t="s">
        <v>1865</v>
      </c>
    </row>
    <row r="877" spans="2:4">
      <c r="B877" s="941" t="s">
        <v>8186</v>
      </c>
      <c r="D877" s="941" t="s">
        <v>1866</v>
      </c>
    </row>
    <row r="878" spans="2:4">
      <c r="B878" s="941" t="s">
        <v>8187</v>
      </c>
      <c r="D878" s="941" t="s">
        <v>1867</v>
      </c>
    </row>
    <row r="879" spans="2:4">
      <c r="B879" s="941" t="s">
        <v>8188</v>
      </c>
      <c r="D879" s="941" t="s">
        <v>1868</v>
      </c>
    </row>
    <row r="880" spans="2:4">
      <c r="B880" s="941" t="s">
        <v>8189</v>
      </c>
      <c r="D880" s="941" t="s">
        <v>1869</v>
      </c>
    </row>
    <row r="881" spans="2:4">
      <c r="B881" s="941" t="s">
        <v>7954</v>
      </c>
      <c r="D881" s="941" t="s">
        <v>9330</v>
      </c>
    </row>
    <row r="882" spans="2:4">
      <c r="B882" s="941" t="s">
        <v>8190</v>
      </c>
      <c r="D882" s="941" t="s">
        <v>1870</v>
      </c>
    </row>
    <row r="883" spans="2:4">
      <c r="B883" s="941" t="s">
        <v>8191</v>
      </c>
      <c r="D883" s="941" t="s">
        <v>1871</v>
      </c>
    </row>
    <row r="884" spans="2:4">
      <c r="B884" s="941" t="s">
        <v>745</v>
      </c>
      <c r="D884" s="941" t="s">
        <v>1872</v>
      </c>
    </row>
    <row r="885" spans="2:4">
      <c r="B885" s="941" t="s">
        <v>746</v>
      </c>
      <c r="D885" s="941" t="s">
        <v>1873</v>
      </c>
    </row>
    <row r="886" spans="2:4">
      <c r="B886" s="941" t="s">
        <v>8192</v>
      </c>
      <c r="D886" s="941" t="s">
        <v>1874</v>
      </c>
    </row>
    <row r="887" spans="2:4">
      <c r="B887" s="941" t="s">
        <v>8193</v>
      </c>
      <c r="D887" s="941" t="s">
        <v>1875</v>
      </c>
    </row>
    <row r="888" spans="2:4">
      <c r="B888" s="941" t="s">
        <v>8194</v>
      </c>
      <c r="D888" s="941" t="s">
        <v>1876</v>
      </c>
    </row>
    <row r="889" spans="2:4">
      <c r="B889" s="941" t="s">
        <v>747</v>
      </c>
      <c r="D889" s="941" t="s">
        <v>1877</v>
      </c>
    </row>
    <row r="890" spans="2:4">
      <c r="B890" s="941" t="s">
        <v>8195</v>
      </c>
      <c r="D890" s="941" t="s">
        <v>1878</v>
      </c>
    </row>
    <row r="891" spans="2:4">
      <c r="B891" s="941" t="s">
        <v>748</v>
      </c>
      <c r="D891" s="941" t="s">
        <v>1879</v>
      </c>
    </row>
    <row r="892" spans="2:4">
      <c r="B892" s="941" t="s">
        <v>8196</v>
      </c>
      <c r="D892" s="941" t="s">
        <v>1880</v>
      </c>
    </row>
    <row r="893" spans="2:4">
      <c r="B893" s="941" t="s">
        <v>8197</v>
      </c>
      <c r="D893" s="941" t="s">
        <v>1881</v>
      </c>
    </row>
    <row r="894" spans="2:4">
      <c r="B894" s="941" t="s">
        <v>10015</v>
      </c>
      <c r="D894" s="941" t="s">
        <v>1882</v>
      </c>
    </row>
    <row r="895" spans="2:4">
      <c r="B895" s="941" t="s">
        <v>8198</v>
      </c>
      <c r="D895" s="941" t="s">
        <v>1883</v>
      </c>
    </row>
    <row r="896" spans="2:4">
      <c r="B896" s="941" t="s">
        <v>8199</v>
      </c>
      <c r="D896" s="941" t="s">
        <v>9331</v>
      </c>
    </row>
    <row r="897" spans="2:4">
      <c r="B897" s="941" t="s">
        <v>3714</v>
      </c>
      <c r="D897" s="941" t="s">
        <v>1884</v>
      </c>
    </row>
    <row r="898" spans="2:4">
      <c r="B898" s="941" t="s">
        <v>8200</v>
      </c>
      <c r="D898" s="941" t="s">
        <v>1885</v>
      </c>
    </row>
    <row r="899" spans="2:4">
      <c r="B899" s="941" t="s">
        <v>8201</v>
      </c>
      <c r="D899" s="941" t="s">
        <v>10513</v>
      </c>
    </row>
    <row r="900" spans="2:4">
      <c r="B900" s="941" t="s">
        <v>749</v>
      </c>
      <c r="D900" s="941" t="s">
        <v>1886</v>
      </c>
    </row>
    <row r="901" spans="2:4">
      <c r="B901" s="941" t="s">
        <v>8202</v>
      </c>
      <c r="D901" s="941" t="s">
        <v>1887</v>
      </c>
    </row>
    <row r="902" spans="2:4">
      <c r="B902" s="941" t="s">
        <v>750</v>
      </c>
      <c r="D902" s="941" t="s">
        <v>1888</v>
      </c>
    </row>
    <row r="903" spans="2:4">
      <c r="B903" s="941" t="s">
        <v>3731</v>
      </c>
      <c r="D903" s="941" t="s">
        <v>1889</v>
      </c>
    </row>
    <row r="904" spans="2:4">
      <c r="B904" s="941" t="s">
        <v>751</v>
      </c>
      <c r="D904" s="941" t="s">
        <v>1890</v>
      </c>
    </row>
    <row r="905" spans="2:4">
      <c r="B905" s="941" t="s">
        <v>8203</v>
      </c>
      <c r="D905" s="941" t="s">
        <v>1891</v>
      </c>
    </row>
    <row r="906" spans="2:4">
      <c r="B906" s="941" t="s">
        <v>8204</v>
      </c>
      <c r="D906" s="941" t="s">
        <v>1892</v>
      </c>
    </row>
    <row r="907" spans="2:4">
      <c r="B907" s="941" t="s">
        <v>8205</v>
      </c>
      <c r="D907" s="941" t="s">
        <v>1893</v>
      </c>
    </row>
    <row r="908" spans="2:4">
      <c r="B908" s="941" t="s">
        <v>8206</v>
      </c>
      <c r="D908" s="941" t="s">
        <v>1894</v>
      </c>
    </row>
    <row r="909" spans="2:4">
      <c r="B909" s="941" t="s">
        <v>8207</v>
      </c>
      <c r="D909" s="941" t="s">
        <v>1895</v>
      </c>
    </row>
    <row r="910" spans="2:4">
      <c r="B910" s="941" t="s">
        <v>8208</v>
      </c>
      <c r="D910" s="941" t="s">
        <v>1896</v>
      </c>
    </row>
    <row r="911" spans="2:4">
      <c r="B911" s="941" t="s">
        <v>8209</v>
      </c>
      <c r="D911" s="941" t="s">
        <v>1897</v>
      </c>
    </row>
    <row r="912" spans="2:4">
      <c r="B912" s="941" t="s">
        <v>8210</v>
      </c>
      <c r="D912" s="941" t="s">
        <v>1898</v>
      </c>
    </row>
    <row r="913" spans="2:4">
      <c r="B913" s="941" t="s">
        <v>8211</v>
      </c>
      <c r="D913" s="941" t="s">
        <v>1899</v>
      </c>
    </row>
    <row r="914" spans="2:4">
      <c r="B914" s="941" t="s">
        <v>752</v>
      </c>
      <c r="D914" s="941" t="s">
        <v>1900</v>
      </c>
    </row>
    <row r="915" spans="2:4">
      <c r="B915" s="941" t="s">
        <v>8212</v>
      </c>
      <c r="D915" s="941" t="s">
        <v>1901</v>
      </c>
    </row>
    <row r="916" spans="2:4">
      <c r="B916" s="941" t="s">
        <v>8213</v>
      </c>
      <c r="D916" s="941" t="s">
        <v>1902</v>
      </c>
    </row>
    <row r="917" spans="2:4">
      <c r="B917" s="941" t="s">
        <v>8214</v>
      </c>
      <c r="D917" s="941" t="s">
        <v>1903</v>
      </c>
    </row>
    <row r="918" spans="2:4">
      <c r="B918" s="941" t="s">
        <v>8215</v>
      </c>
      <c r="D918" s="941" t="s">
        <v>1904</v>
      </c>
    </row>
    <row r="919" spans="2:4">
      <c r="B919" s="941" t="s">
        <v>753</v>
      </c>
      <c r="D919" s="941" t="s">
        <v>9332</v>
      </c>
    </row>
    <row r="920" spans="2:4">
      <c r="B920" s="941" t="s">
        <v>8216</v>
      </c>
      <c r="D920" s="941" t="s">
        <v>1905</v>
      </c>
    </row>
    <row r="921" spans="2:4">
      <c r="B921" s="941" t="s">
        <v>8217</v>
      </c>
      <c r="D921" s="941" t="s">
        <v>1906</v>
      </c>
    </row>
    <row r="922" spans="2:4">
      <c r="B922" s="941" t="s">
        <v>8218</v>
      </c>
      <c r="D922" s="941" t="s">
        <v>1907</v>
      </c>
    </row>
    <row r="923" spans="2:4">
      <c r="B923" s="941" t="s">
        <v>7931</v>
      </c>
      <c r="D923" s="941" t="s">
        <v>1908</v>
      </c>
    </row>
    <row r="924" spans="2:4">
      <c r="B924" s="941" t="s">
        <v>8219</v>
      </c>
      <c r="D924" s="941" t="s">
        <v>1909</v>
      </c>
    </row>
    <row r="925" spans="2:4">
      <c r="B925" s="941" t="s">
        <v>8220</v>
      </c>
      <c r="D925" s="941" t="s">
        <v>1910</v>
      </c>
    </row>
    <row r="926" spans="2:4">
      <c r="B926" s="941" t="s">
        <v>3772</v>
      </c>
      <c r="D926" s="941" t="s">
        <v>1911</v>
      </c>
    </row>
    <row r="927" spans="2:4">
      <c r="B927" s="941" t="s">
        <v>754</v>
      </c>
      <c r="D927" s="941" t="s">
        <v>1912</v>
      </c>
    </row>
    <row r="928" spans="2:4">
      <c r="B928" s="941" t="s">
        <v>8221</v>
      </c>
      <c r="D928" s="941" t="s">
        <v>1913</v>
      </c>
    </row>
    <row r="929" spans="2:4">
      <c r="B929" s="941" t="s">
        <v>8222</v>
      </c>
      <c r="D929" s="941" t="s">
        <v>1914</v>
      </c>
    </row>
    <row r="930" spans="2:4">
      <c r="B930" s="941" t="s">
        <v>8223</v>
      </c>
      <c r="D930" s="941" t="s">
        <v>1915</v>
      </c>
    </row>
    <row r="931" spans="2:4">
      <c r="B931" s="941" t="s">
        <v>8224</v>
      </c>
      <c r="D931" s="941" t="s">
        <v>1916</v>
      </c>
    </row>
    <row r="932" spans="2:4">
      <c r="B932" s="941" t="s">
        <v>8225</v>
      </c>
      <c r="D932" s="941" t="s">
        <v>1917</v>
      </c>
    </row>
    <row r="933" spans="2:4">
      <c r="B933" s="941" t="s">
        <v>8226</v>
      </c>
      <c r="D933" s="941" t="s">
        <v>1918</v>
      </c>
    </row>
    <row r="934" spans="2:4">
      <c r="B934" s="941" t="s">
        <v>9809</v>
      </c>
      <c r="D934" s="941" t="s">
        <v>1919</v>
      </c>
    </row>
    <row r="935" spans="2:4">
      <c r="B935" s="941" t="s">
        <v>8227</v>
      </c>
      <c r="D935" s="941" t="s">
        <v>1920</v>
      </c>
    </row>
    <row r="936" spans="2:4">
      <c r="B936" s="941" t="s">
        <v>8228</v>
      </c>
      <c r="D936" s="941" t="s">
        <v>1921</v>
      </c>
    </row>
    <row r="937" spans="2:4">
      <c r="B937" s="941" t="s">
        <v>755</v>
      </c>
      <c r="D937" s="941" t="s">
        <v>1922</v>
      </c>
    </row>
    <row r="938" spans="2:4">
      <c r="B938" s="941" t="s">
        <v>756</v>
      </c>
      <c r="D938" s="941" t="s">
        <v>1923</v>
      </c>
    </row>
    <row r="939" spans="2:4">
      <c r="B939" s="941" t="s">
        <v>8229</v>
      </c>
      <c r="D939" s="941" t="s">
        <v>1924</v>
      </c>
    </row>
    <row r="940" spans="2:4">
      <c r="B940" s="941" t="s">
        <v>8230</v>
      </c>
      <c r="D940" s="941" t="s">
        <v>1925</v>
      </c>
    </row>
    <row r="941" spans="2:4">
      <c r="B941" s="941" t="s">
        <v>8231</v>
      </c>
      <c r="D941" s="941" t="s">
        <v>1926</v>
      </c>
    </row>
    <row r="942" spans="2:4">
      <c r="B942" s="941" t="s">
        <v>757</v>
      </c>
      <c r="D942" s="941" t="s">
        <v>1927</v>
      </c>
    </row>
    <row r="943" spans="2:4">
      <c r="B943" s="941" t="s">
        <v>758</v>
      </c>
      <c r="D943" s="941" t="s">
        <v>1928</v>
      </c>
    </row>
    <row r="944" spans="2:4">
      <c r="B944" s="941" t="s">
        <v>8232</v>
      </c>
      <c r="D944" s="941" t="s">
        <v>1929</v>
      </c>
    </row>
    <row r="945" spans="2:4">
      <c r="B945" s="941" t="s">
        <v>8233</v>
      </c>
      <c r="D945" s="941" t="s">
        <v>1930</v>
      </c>
    </row>
    <row r="946" spans="2:4">
      <c r="B946" s="941" t="s">
        <v>8234</v>
      </c>
      <c r="D946" s="941" t="s">
        <v>9333</v>
      </c>
    </row>
    <row r="947" spans="2:4">
      <c r="B947" s="941" t="s">
        <v>8235</v>
      </c>
      <c r="D947" s="941" t="s">
        <v>1931</v>
      </c>
    </row>
    <row r="948" spans="2:4">
      <c r="B948" s="941" t="s">
        <v>759</v>
      </c>
      <c r="D948" s="941" t="s">
        <v>1932</v>
      </c>
    </row>
    <row r="949" spans="2:4">
      <c r="B949" s="941" t="s">
        <v>8236</v>
      </c>
      <c r="D949" s="941" t="s">
        <v>1933</v>
      </c>
    </row>
    <row r="950" spans="2:4">
      <c r="B950" s="941" t="s">
        <v>8237</v>
      </c>
      <c r="D950" s="941" t="s">
        <v>1934</v>
      </c>
    </row>
    <row r="951" spans="2:4">
      <c r="B951" s="941" t="s">
        <v>8238</v>
      </c>
      <c r="D951" s="941" t="s">
        <v>1935</v>
      </c>
    </row>
    <row r="952" spans="2:4">
      <c r="B952" s="941" t="s">
        <v>9662</v>
      </c>
      <c r="D952" s="941" t="s">
        <v>1936</v>
      </c>
    </row>
    <row r="953" spans="2:4">
      <c r="B953" s="941" t="s">
        <v>8239</v>
      </c>
      <c r="D953" s="941" t="s">
        <v>1937</v>
      </c>
    </row>
    <row r="954" spans="2:4">
      <c r="B954" s="941" t="s">
        <v>8240</v>
      </c>
      <c r="D954" s="941" t="s">
        <v>1938</v>
      </c>
    </row>
    <row r="955" spans="2:4">
      <c r="B955" s="941" t="s">
        <v>8241</v>
      </c>
      <c r="D955" s="941" t="s">
        <v>1939</v>
      </c>
    </row>
    <row r="956" spans="2:4">
      <c r="B956" s="941" t="s">
        <v>8242</v>
      </c>
      <c r="D956" s="941" t="s">
        <v>1940</v>
      </c>
    </row>
    <row r="957" spans="2:4">
      <c r="B957" s="941" t="s">
        <v>8243</v>
      </c>
      <c r="D957" s="941" t="s">
        <v>1941</v>
      </c>
    </row>
    <row r="958" spans="2:4">
      <c r="B958" s="941" t="s">
        <v>760</v>
      </c>
      <c r="D958" s="941" t="s">
        <v>9334</v>
      </c>
    </row>
    <row r="959" spans="2:4">
      <c r="B959" s="941" t="s">
        <v>761</v>
      </c>
      <c r="D959" s="941" t="s">
        <v>1942</v>
      </c>
    </row>
    <row r="960" spans="2:4">
      <c r="B960" s="941" t="s">
        <v>8244</v>
      </c>
      <c r="D960" s="941" t="s">
        <v>1943</v>
      </c>
    </row>
    <row r="961" spans="2:4">
      <c r="B961" s="941" t="s">
        <v>8245</v>
      </c>
      <c r="D961" s="941" t="s">
        <v>1944</v>
      </c>
    </row>
    <row r="962" spans="2:4">
      <c r="B962" s="941" t="s">
        <v>8246</v>
      </c>
      <c r="D962" s="941" t="s">
        <v>1945</v>
      </c>
    </row>
    <row r="963" spans="2:4">
      <c r="B963" s="941" t="s">
        <v>8247</v>
      </c>
      <c r="D963" s="941" t="s">
        <v>1946</v>
      </c>
    </row>
    <row r="964" spans="2:4">
      <c r="B964" s="941" t="s">
        <v>762</v>
      </c>
      <c r="D964" s="941" t="s">
        <v>1947</v>
      </c>
    </row>
    <row r="965" spans="2:4">
      <c r="B965" s="941" t="s">
        <v>8248</v>
      </c>
      <c r="D965" s="941" t="s">
        <v>1948</v>
      </c>
    </row>
    <row r="966" spans="2:4">
      <c r="B966" s="941" t="s">
        <v>8249</v>
      </c>
      <c r="D966" s="941" t="s">
        <v>1949</v>
      </c>
    </row>
    <row r="967" spans="2:4">
      <c r="B967" s="941" t="s">
        <v>8250</v>
      </c>
      <c r="D967" s="941" t="s">
        <v>1950</v>
      </c>
    </row>
    <row r="968" spans="2:4">
      <c r="B968" s="941" t="s">
        <v>8251</v>
      </c>
      <c r="D968" s="941" t="s">
        <v>1951</v>
      </c>
    </row>
    <row r="969" spans="2:4">
      <c r="B969" s="941" t="s">
        <v>7590</v>
      </c>
      <c r="D969" s="941" t="s">
        <v>1952</v>
      </c>
    </row>
    <row r="970" spans="2:4">
      <c r="B970" s="941" t="s">
        <v>8252</v>
      </c>
      <c r="D970" s="941" t="s">
        <v>1953</v>
      </c>
    </row>
    <row r="971" spans="2:4">
      <c r="B971" s="941" t="s">
        <v>8253</v>
      </c>
      <c r="D971" s="941" t="s">
        <v>1954</v>
      </c>
    </row>
    <row r="972" spans="2:4">
      <c r="B972" s="941" t="s">
        <v>8254</v>
      </c>
      <c r="D972" s="941" t="s">
        <v>10667</v>
      </c>
    </row>
    <row r="973" spans="2:4">
      <c r="B973" s="941" t="s">
        <v>7753</v>
      </c>
      <c r="D973" s="941" t="s">
        <v>1955</v>
      </c>
    </row>
    <row r="974" spans="2:4">
      <c r="B974" s="941" t="s">
        <v>8255</v>
      </c>
      <c r="D974" s="941" t="s">
        <v>1956</v>
      </c>
    </row>
    <row r="975" spans="2:4">
      <c r="B975" s="941" t="s">
        <v>8256</v>
      </c>
      <c r="D975" s="941" t="s">
        <v>1957</v>
      </c>
    </row>
    <row r="976" spans="2:4">
      <c r="B976" s="941" t="s">
        <v>8257</v>
      </c>
      <c r="D976" s="941" t="s">
        <v>1958</v>
      </c>
    </row>
    <row r="977" spans="2:4">
      <c r="B977" s="941" t="s">
        <v>8258</v>
      </c>
      <c r="D977" s="941" t="s">
        <v>1959</v>
      </c>
    </row>
    <row r="978" spans="2:4">
      <c r="B978" s="941" t="s">
        <v>8259</v>
      </c>
      <c r="D978" s="941" t="s">
        <v>1960</v>
      </c>
    </row>
    <row r="979" spans="2:4">
      <c r="B979" s="941" t="s">
        <v>8260</v>
      </c>
      <c r="D979" s="941" t="s">
        <v>1961</v>
      </c>
    </row>
    <row r="980" spans="2:4">
      <c r="B980" s="941" t="s">
        <v>8261</v>
      </c>
      <c r="D980" s="941" t="s">
        <v>1962</v>
      </c>
    </row>
    <row r="981" spans="2:4">
      <c r="B981" s="941" t="s">
        <v>763</v>
      </c>
      <c r="D981" s="941" t="s">
        <v>1963</v>
      </c>
    </row>
    <row r="982" spans="2:4">
      <c r="B982" s="941" t="s">
        <v>8262</v>
      </c>
      <c r="D982" s="941" t="s">
        <v>1964</v>
      </c>
    </row>
    <row r="983" spans="2:4">
      <c r="B983" s="941" t="s">
        <v>3915</v>
      </c>
      <c r="D983" s="941" t="s">
        <v>1965</v>
      </c>
    </row>
    <row r="984" spans="2:4">
      <c r="B984" s="941" t="s">
        <v>3918</v>
      </c>
      <c r="D984" s="941" t="s">
        <v>1966</v>
      </c>
    </row>
    <row r="985" spans="2:4">
      <c r="B985" s="941" t="s">
        <v>8263</v>
      </c>
      <c r="D985" s="941" t="s">
        <v>1967</v>
      </c>
    </row>
    <row r="986" spans="2:4">
      <c r="B986" s="941" t="s">
        <v>8264</v>
      </c>
      <c r="D986" s="941" t="s">
        <v>1968</v>
      </c>
    </row>
    <row r="987" spans="2:4">
      <c r="B987" s="941" t="s">
        <v>8265</v>
      </c>
      <c r="D987" s="941" t="s">
        <v>1969</v>
      </c>
    </row>
    <row r="988" spans="2:4">
      <c r="B988" s="941" t="s">
        <v>764</v>
      </c>
      <c r="D988" s="941" t="s">
        <v>1970</v>
      </c>
    </row>
    <row r="989" spans="2:4">
      <c r="B989" s="941" t="s">
        <v>765</v>
      </c>
      <c r="D989" s="941" t="s">
        <v>9335</v>
      </c>
    </row>
    <row r="990" spans="2:4">
      <c r="B990" s="941" t="s">
        <v>766</v>
      </c>
      <c r="D990" s="941" t="s">
        <v>1971</v>
      </c>
    </row>
    <row r="991" spans="2:4">
      <c r="B991" s="941" t="s">
        <v>767</v>
      </c>
      <c r="D991" s="941" t="s">
        <v>1972</v>
      </c>
    </row>
    <row r="992" spans="2:4">
      <c r="B992" s="941" t="s">
        <v>8266</v>
      </c>
      <c r="D992" s="941" t="s">
        <v>1973</v>
      </c>
    </row>
    <row r="993" spans="2:4">
      <c r="B993" s="941" t="s">
        <v>9732</v>
      </c>
      <c r="D993" s="941" t="s">
        <v>1974</v>
      </c>
    </row>
    <row r="994" spans="2:4">
      <c r="B994" s="941" t="s">
        <v>8267</v>
      </c>
      <c r="D994" s="941" t="s">
        <v>1975</v>
      </c>
    </row>
    <row r="995" spans="2:4">
      <c r="B995" s="941" t="s">
        <v>8268</v>
      </c>
      <c r="D995" s="941" t="s">
        <v>1976</v>
      </c>
    </row>
    <row r="996" spans="2:4">
      <c r="B996" s="941" t="s">
        <v>768</v>
      </c>
      <c r="D996" s="941" t="s">
        <v>1977</v>
      </c>
    </row>
    <row r="997" spans="2:4">
      <c r="B997" s="941" t="s">
        <v>8269</v>
      </c>
      <c r="D997" s="941" t="s">
        <v>1978</v>
      </c>
    </row>
    <row r="998" spans="2:4">
      <c r="B998" s="941" t="s">
        <v>8270</v>
      </c>
      <c r="D998" s="941" t="s">
        <v>1979</v>
      </c>
    </row>
    <row r="999" spans="2:4">
      <c r="B999" s="941" t="s">
        <v>769</v>
      </c>
      <c r="D999" s="941" t="s">
        <v>10735</v>
      </c>
    </row>
    <row r="1000" spans="2:4">
      <c r="B1000" s="941" t="s">
        <v>8271</v>
      </c>
      <c r="D1000" s="941" t="s">
        <v>507</v>
      </c>
    </row>
    <row r="1001" spans="2:4">
      <c r="B1001" s="941" t="s">
        <v>8272</v>
      </c>
      <c r="D1001" s="941" t="s">
        <v>1980</v>
      </c>
    </row>
    <row r="1002" spans="2:4">
      <c r="B1002" s="941" t="s">
        <v>770</v>
      </c>
      <c r="D1002" s="941" t="s">
        <v>1981</v>
      </c>
    </row>
    <row r="1003" spans="2:4">
      <c r="B1003" s="941" t="s">
        <v>8273</v>
      </c>
      <c r="D1003" s="941" t="s">
        <v>1982</v>
      </c>
    </row>
    <row r="1004" spans="2:4">
      <c r="B1004" s="941" t="s">
        <v>8274</v>
      </c>
      <c r="D1004" s="941" t="s">
        <v>1983</v>
      </c>
    </row>
    <row r="1005" spans="2:4">
      <c r="B1005" s="941" t="s">
        <v>8275</v>
      </c>
      <c r="D1005" s="941" t="s">
        <v>1984</v>
      </c>
    </row>
    <row r="1006" spans="2:4">
      <c r="B1006" s="941" t="s">
        <v>8276</v>
      </c>
      <c r="D1006" s="941" t="s">
        <v>1985</v>
      </c>
    </row>
    <row r="1007" spans="2:4">
      <c r="B1007" s="941" t="s">
        <v>8277</v>
      </c>
      <c r="D1007" s="941" t="s">
        <v>1986</v>
      </c>
    </row>
    <row r="1008" spans="2:4">
      <c r="B1008" s="941" t="s">
        <v>8278</v>
      </c>
      <c r="D1008" s="941" t="s">
        <v>1987</v>
      </c>
    </row>
    <row r="1009" spans="2:4">
      <c r="B1009" s="941" t="s">
        <v>8279</v>
      </c>
      <c r="D1009" s="941" t="s">
        <v>1988</v>
      </c>
    </row>
    <row r="1010" spans="2:4">
      <c r="B1010" s="941" t="s">
        <v>8280</v>
      </c>
      <c r="D1010" s="941" t="s">
        <v>1989</v>
      </c>
    </row>
    <row r="1011" spans="2:4">
      <c r="B1011" s="941" t="s">
        <v>8281</v>
      </c>
      <c r="D1011" s="941" t="s">
        <v>1990</v>
      </c>
    </row>
    <row r="1012" spans="2:4">
      <c r="B1012" s="941" t="s">
        <v>7955</v>
      </c>
      <c r="D1012" s="941" t="s">
        <v>1991</v>
      </c>
    </row>
    <row r="1013" spans="2:4">
      <c r="B1013" s="941" t="s">
        <v>7956</v>
      </c>
      <c r="D1013" s="941" t="s">
        <v>9336</v>
      </c>
    </row>
    <row r="1014" spans="2:4">
      <c r="B1014" s="941" t="s">
        <v>8282</v>
      </c>
      <c r="D1014" s="941" t="s">
        <v>1992</v>
      </c>
    </row>
    <row r="1015" spans="2:4">
      <c r="B1015" s="941" t="s">
        <v>8283</v>
      </c>
      <c r="D1015" s="941" t="s">
        <v>1993</v>
      </c>
    </row>
    <row r="1016" spans="2:4">
      <c r="B1016" s="941" t="s">
        <v>8284</v>
      </c>
      <c r="D1016" s="941" t="s">
        <v>1994</v>
      </c>
    </row>
    <row r="1017" spans="2:4">
      <c r="B1017" s="941" t="s">
        <v>8285</v>
      </c>
      <c r="D1017" s="941" t="s">
        <v>1995</v>
      </c>
    </row>
    <row r="1018" spans="2:4">
      <c r="B1018" s="941" t="s">
        <v>8286</v>
      </c>
      <c r="D1018" s="941" t="s">
        <v>1996</v>
      </c>
    </row>
    <row r="1019" spans="2:4">
      <c r="B1019" s="941" t="s">
        <v>8287</v>
      </c>
      <c r="D1019" s="941" t="s">
        <v>1997</v>
      </c>
    </row>
    <row r="1020" spans="2:4">
      <c r="B1020" s="941" t="s">
        <v>8288</v>
      </c>
      <c r="D1020" s="941" t="s">
        <v>9337</v>
      </c>
    </row>
    <row r="1021" spans="2:4">
      <c r="B1021" s="941" t="s">
        <v>8289</v>
      </c>
      <c r="D1021" s="941" t="s">
        <v>1998</v>
      </c>
    </row>
    <row r="1022" spans="2:4">
      <c r="B1022" s="941" t="s">
        <v>8290</v>
      </c>
      <c r="D1022" s="941" t="s">
        <v>1999</v>
      </c>
    </row>
    <row r="1023" spans="2:4">
      <c r="B1023" s="941" t="s">
        <v>8291</v>
      </c>
      <c r="D1023" s="941" t="s">
        <v>2000</v>
      </c>
    </row>
    <row r="1024" spans="2:4">
      <c r="B1024" s="941" t="s">
        <v>8292</v>
      </c>
      <c r="D1024" s="941" t="s">
        <v>2001</v>
      </c>
    </row>
    <row r="1025" spans="2:4">
      <c r="B1025" s="941" t="s">
        <v>8293</v>
      </c>
      <c r="D1025" s="941" t="s">
        <v>2002</v>
      </c>
    </row>
    <row r="1026" spans="2:4">
      <c r="B1026" s="941" t="s">
        <v>771</v>
      </c>
      <c r="D1026" s="941" t="s">
        <v>2003</v>
      </c>
    </row>
    <row r="1027" spans="2:4">
      <c r="B1027" s="941" t="s">
        <v>8294</v>
      </c>
      <c r="D1027" s="941" t="s">
        <v>2004</v>
      </c>
    </row>
    <row r="1028" spans="2:4">
      <c r="B1028" s="941" t="s">
        <v>8295</v>
      </c>
      <c r="D1028" s="941" t="s">
        <v>47</v>
      </c>
    </row>
    <row r="1029" spans="2:4">
      <c r="B1029" s="941" t="s">
        <v>8296</v>
      </c>
      <c r="D1029" s="941" t="s">
        <v>10514</v>
      </c>
    </row>
    <row r="1030" spans="2:4">
      <c r="B1030" s="941" t="s">
        <v>8297</v>
      </c>
      <c r="D1030" s="941" t="s">
        <v>2005</v>
      </c>
    </row>
    <row r="1031" spans="2:4">
      <c r="B1031" s="941" t="s">
        <v>8298</v>
      </c>
      <c r="D1031" s="941" t="s">
        <v>2006</v>
      </c>
    </row>
    <row r="1032" spans="2:4">
      <c r="B1032" s="941" t="s">
        <v>772</v>
      </c>
      <c r="D1032" s="941" t="s">
        <v>2007</v>
      </c>
    </row>
    <row r="1033" spans="2:4">
      <c r="B1033" s="941" t="s">
        <v>773</v>
      </c>
      <c r="D1033" s="941" t="s">
        <v>10585</v>
      </c>
    </row>
    <row r="1034" spans="2:4">
      <c r="B1034" s="941" t="s">
        <v>8299</v>
      </c>
      <c r="D1034" s="941" t="s">
        <v>2008</v>
      </c>
    </row>
    <row r="1035" spans="2:4">
      <c r="B1035" s="941" t="s">
        <v>774</v>
      </c>
      <c r="D1035" s="941" t="s">
        <v>2009</v>
      </c>
    </row>
    <row r="1036" spans="2:4">
      <c r="B1036" s="941" t="s">
        <v>775</v>
      </c>
      <c r="D1036" s="941" t="s">
        <v>225</v>
      </c>
    </row>
    <row r="1037" spans="2:4">
      <c r="B1037" s="941" t="s">
        <v>7595</v>
      </c>
      <c r="D1037" s="941" t="s">
        <v>2010</v>
      </c>
    </row>
    <row r="1038" spans="2:4">
      <c r="B1038" s="941" t="s">
        <v>776</v>
      </c>
      <c r="D1038" s="941" t="s">
        <v>2011</v>
      </c>
    </row>
    <row r="1039" spans="2:4">
      <c r="B1039" s="941" t="s">
        <v>8300</v>
      </c>
      <c r="D1039" s="941" t="s">
        <v>2012</v>
      </c>
    </row>
    <row r="1040" spans="2:4">
      <c r="B1040" s="941" t="s">
        <v>8301</v>
      </c>
      <c r="D1040" s="941" t="s">
        <v>2013</v>
      </c>
    </row>
    <row r="1041" spans="2:4">
      <c r="B1041" s="941" t="s">
        <v>8302</v>
      </c>
      <c r="D1041" s="941" t="s">
        <v>2014</v>
      </c>
    </row>
    <row r="1042" spans="2:4">
      <c r="B1042" s="941" t="s">
        <v>8303</v>
      </c>
      <c r="D1042" s="941" t="s">
        <v>2015</v>
      </c>
    </row>
    <row r="1043" spans="2:4">
      <c r="B1043" s="941" t="s">
        <v>8304</v>
      </c>
      <c r="D1043" s="941" t="s">
        <v>2016</v>
      </c>
    </row>
    <row r="1044" spans="2:4">
      <c r="B1044" s="941" t="s">
        <v>8305</v>
      </c>
      <c r="D1044" s="941" t="s">
        <v>9338</v>
      </c>
    </row>
    <row r="1045" spans="2:4">
      <c r="B1045" s="941" t="s">
        <v>8306</v>
      </c>
      <c r="D1045" s="941" t="s">
        <v>2017</v>
      </c>
    </row>
    <row r="1046" spans="2:4">
      <c r="B1046" s="941" t="s">
        <v>8307</v>
      </c>
      <c r="D1046" s="941" t="s">
        <v>2018</v>
      </c>
    </row>
    <row r="1047" spans="2:4">
      <c r="B1047" s="941" t="s">
        <v>8308</v>
      </c>
      <c r="D1047" s="941" t="s">
        <v>9339</v>
      </c>
    </row>
    <row r="1048" spans="2:4">
      <c r="B1048" s="941" t="s">
        <v>9733</v>
      </c>
      <c r="D1048" s="941" t="s">
        <v>2019</v>
      </c>
    </row>
    <row r="1049" spans="2:4">
      <c r="B1049" s="941" t="s">
        <v>7957</v>
      </c>
      <c r="D1049" s="941" t="s">
        <v>2020</v>
      </c>
    </row>
    <row r="1050" spans="2:4">
      <c r="B1050" s="941" t="s">
        <v>8309</v>
      </c>
      <c r="D1050" s="941" t="s">
        <v>2021</v>
      </c>
    </row>
    <row r="1051" spans="2:4">
      <c r="B1051" s="941" t="s">
        <v>8310</v>
      </c>
      <c r="D1051" s="941" t="s">
        <v>2022</v>
      </c>
    </row>
    <row r="1052" spans="2:4">
      <c r="B1052" s="941" t="s">
        <v>8311</v>
      </c>
      <c r="D1052" s="941" t="s">
        <v>2023</v>
      </c>
    </row>
    <row r="1053" spans="2:4">
      <c r="B1053" s="941" t="s">
        <v>777</v>
      </c>
      <c r="D1053" s="941" t="s">
        <v>2024</v>
      </c>
    </row>
    <row r="1054" spans="2:4">
      <c r="B1054" s="941" t="s">
        <v>8312</v>
      </c>
      <c r="D1054" s="941" t="s">
        <v>2025</v>
      </c>
    </row>
    <row r="1055" spans="2:4">
      <c r="B1055" s="941" t="s">
        <v>778</v>
      </c>
      <c r="D1055" s="941" t="s">
        <v>2026</v>
      </c>
    </row>
    <row r="1056" spans="2:4">
      <c r="B1056" s="941" t="s">
        <v>8313</v>
      </c>
      <c r="D1056" s="941" t="s">
        <v>2027</v>
      </c>
    </row>
    <row r="1057" spans="2:4">
      <c r="B1057" s="941" t="s">
        <v>8314</v>
      </c>
      <c r="D1057" s="941" t="s">
        <v>2028</v>
      </c>
    </row>
    <row r="1058" spans="2:4">
      <c r="B1058" s="941" t="s">
        <v>8315</v>
      </c>
      <c r="D1058" s="941" t="s">
        <v>2029</v>
      </c>
    </row>
    <row r="1059" spans="2:4">
      <c r="B1059" s="941" t="s">
        <v>8316</v>
      </c>
      <c r="D1059" s="941" t="s">
        <v>2030</v>
      </c>
    </row>
    <row r="1060" spans="2:4">
      <c r="B1060" s="941" t="s">
        <v>8317</v>
      </c>
      <c r="D1060" s="941" t="s">
        <v>2031</v>
      </c>
    </row>
    <row r="1061" spans="2:4">
      <c r="B1061" s="941" t="s">
        <v>779</v>
      </c>
      <c r="D1061" s="941" t="s">
        <v>2032</v>
      </c>
    </row>
    <row r="1062" spans="2:4">
      <c r="B1062" s="941" t="s">
        <v>8318</v>
      </c>
      <c r="D1062" s="941" t="s">
        <v>2033</v>
      </c>
    </row>
    <row r="1063" spans="2:4">
      <c r="B1063" s="941" t="s">
        <v>8319</v>
      </c>
      <c r="D1063" s="941" t="s">
        <v>2034</v>
      </c>
    </row>
    <row r="1064" spans="2:4">
      <c r="B1064" s="941" t="s">
        <v>780</v>
      </c>
      <c r="D1064" s="941" t="s">
        <v>9340</v>
      </c>
    </row>
    <row r="1065" spans="2:4">
      <c r="B1065" s="941" t="s">
        <v>4196</v>
      </c>
      <c r="D1065" s="941" t="s">
        <v>2035</v>
      </c>
    </row>
    <row r="1066" spans="2:4">
      <c r="B1066" s="941" t="s">
        <v>8320</v>
      </c>
      <c r="D1066" s="941" t="s">
        <v>2036</v>
      </c>
    </row>
    <row r="1067" spans="2:4">
      <c r="B1067" s="941" t="s">
        <v>8321</v>
      </c>
      <c r="D1067" s="941" t="s">
        <v>2037</v>
      </c>
    </row>
    <row r="1068" spans="2:4">
      <c r="B1068" s="941" t="s">
        <v>8322</v>
      </c>
      <c r="D1068" s="941" t="s">
        <v>2038</v>
      </c>
    </row>
    <row r="1069" spans="2:4">
      <c r="B1069" s="941" t="s">
        <v>8323</v>
      </c>
      <c r="D1069" s="941" t="s">
        <v>2039</v>
      </c>
    </row>
    <row r="1070" spans="2:4">
      <c r="B1070" s="941" t="s">
        <v>8324</v>
      </c>
      <c r="D1070" s="941" t="s">
        <v>2040</v>
      </c>
    </row>
    <row r="1071" spans="2:4">
      <c r="B1071" s="941" t="s">
        <v>781</v>
      </c>
      <c r="D1071" s="941" t="s">
        <v>2041</v>
      </c>
    </row>
    <row r="1072" spans="2:4">
      <c r="B1072" s="941" t="s">
        <v>782</v>
      </c>
      <c r="D1072" s="941" t="s">
        <v>2042</v>
      </c>
    </row>
    <row r="1073" spans="2:4">
      <c r="B1073" s="941" t="s">
        <v>8325</v>
      </c>
      <c r="D1073" s="941" t="s">
        <v>2043</v>
      </c>
    </row>
    <row r="1074" spans="2:4">
      <c r="B1074" s="941" t="s">
        <v>8326</v>
      </c>
      <c r="D1074" s="941" t="s">
        <v>2044</v>
      </c>
    </row>
    <row r="1075" spans="2:4">
      <c r="B1075" s="941" t="s">
        <v>8327</v>
      </c>
      <c r="D1075" s="941" t="s">
        <v>2045</v>
      </c>
    </row>
    <row r="1076" spans="2:4">
      <c r="B1076" s="941" t="s">
        <v>7958</v>
      </c>
      <c r="D1076" s="941" t="s">
        <v>2046</v>
      </c>
    </row>
    <row r="1077" spans="2:4">
      <c r="B1077" s="941" t="s">
        <v>8328</v>
      </c>
      <c r="D1077" s="941" t="s">
        <v>2047</v>
      </c>
    </row>
    <row r="1078" spans="2:4">
      <c r="B1078" s="941" t="s">
        <v>8329</v>
      </c>
      <c r="D1078" s="941" t="s">
        <v>2048</v>
      </c>
    </row>
    <row r="1079" spans="2:4">
      <c r="B1079" s="941" t="s">
        <v>8330</v>
      </c>
      <c r="D1079" s="941" t="s">
        <v>2049</v>
      </c>
    </row>
    <row r="1080" spans="2:4">
      <c r="B1080" s="941" t="s">
        <v>8331</v>
      </c>
      <c r="D1080" s="941" t="s">
        <v>2050</v>
      </c>
    </row>
    <row r="1081" spans="2:4">
      <c r="B1081" s="941" t="s">
        <v>8332</v>
      </c>
      <c r="D1081" s="941" t="s">
        <v>2051</v>
      </c>
    </row>
    <row r="1082" spans="2:4">
      <c r="B1082" s="941" t="s">
        <v>8333</v>
      </c>
      <c r="D1082" s="941" t="s">
        <v>2052</v>
      </c>
    </row>
    <row r="1083" spans="2:4">
      <c r="B1083" s="941" t="s">
        <v>8334</v>
      </c>
      <c r="D1083" s="941" t="s">
        <v>2053</v>
      </c>
    </row>
    <row r="1084" spans="2:4">
      <c r="B1084" s="941" t="s">
        <v>8335</v>
      </c>
      <c r="D1084" s="941" t="s">
        <v>2054</v>
      </c>
    </row>
    <row r="1085" spans="2:4">
      <c r="B1085" s="941" t="s">
        <v>8336</v>
      </c>
      <c r="D1085" s="941" t="s">
        <v>2055</v>
      </c>
    </row>
    <row r="1086" spans="2:4">
      <c r="B1086" s="941" t="s">
        <v>783</v>
      </c>
      <c r="D1086" s="941" t="s">
        <v>2056</v>
      </c>
    </row>
    <row r="1087" spans="2:4">
      <c r="B1087" s="941" t="s">
        <v>8337</v>
      </c>
      <c r="D1087" s="941" t="s">
        <v>2057</v>
      </c>
    </row>
    <row r="1088" spans="2:4">
      <c r="B1088" s="941" t="s">
        <v>784</v>
      </c>
      <c r="D1088" s="941" t="s">
        <v>2058</v>
      </c>
    </row>
    <row r="1089" spans="2:4">
      <c r="B1089" s="941" t="s">
        <v>8338</v>
      </c>
      <c r="D1089" s="941" t="s">
        <v>2059</v>
      </c>
    </row>
    <row r="1090" spans="2:4">
      <c r="B1090" s="941" t="s">
        <v>8339</v>
      </c>
      <c r="D1090" s="941" t="s">
        <v>2060</v>
      </c>
    </row>
    <row r="1091" spans="2:4">
      <c r="B1091" s="941" t="s">
        <v>8340</v>
      </c>
      <c r="D1091" s="941" t="s">
        <v>10220</v>
      </c>
    </row>
    <row r="1092" spans="2:4">
      <c r="B1092" s="941" t="s">
        <v>8341</v>
      </c>
      <c r="D1092" s="941" t="s">
        <v>2061</v>
      </c>
    </row>
    <row r="1093" spans="2:4">
      <c r="B1093" s="941" t="s">
        <v>8342</v>
      </c>
      <c r="D1093" s="941" t="s">
        <v>2062</v>
      </c>
    </row>
    <row r="1094" spans="2:4">
      <c r="B1094" s="941" t="s">
        <v>785</v>
      </c>
      <c r="D1094" s="941" t="s">
        <v>2063</v>
      </c>
    </row>
    <row r="1095" spans="2:4">
      <c r="B1095" s="941" t="s">
        <v>8343</v>
      </c>
      <c r="D1095" s="941" t="s">
        <v>2064</v>
      </c>
    </row>
    <row r="1096" spans="2:4">
      <c r="B1096" s="941" t="s">
        <v>8344</v>
      </c>
      <c r="D1096" s="941" t="s">
        <v>2065</v>
      </c>
    </row>
    <row r="1097" spans="2:4">
      <c r="B1097" s="941" t="s">
        <v>786</v>
      </c>
      <c r="D1097" s="941" t="s">
        <v>2066</v>
      </c>
    </row>
    <row r="1098" spans="2:4">
      <c r="B1098" s="941" t="s">
        <v>8345</v>
      </c>
      <c r="D1098" s="941" t="s">
        <v>9757</v>
      </c>
    </row>
    <row r="1099" spans="2:4">
      <c r="B1099" s="941" t="s">
        <v>8346</v>
      </c>
      <c r="D1099" s="941" t="s">
        <v>2067</v>
      </c>
    </row>
    <row r="1100" spans="2:4">
      <c r="B1100" s="941" t="s">
        <v>9734</v>
      </c>
      <c r="D1100" s="941" t="s">
        <v>2068</v>
      </c>
    </row>
    <row r="1101" spans="2:4">
      <c r="B1101" s="941" t="s">
        <v>8347</v>
      </c>
      <c r="D1101" s="941" t="s">
        <v>2069</v>
      </c>
    </row>
    <row r="1102" spans="2:4">
      <c r="B1102" s="941" t="s">
        <v>8348</v>
      </c>
      <c r="D1102" s="941" t="s">
        <v>2070</v>
      </c>
    </row>
    <row r="1103" spans="2:4">
      <c r="B1103" s="941" t="s">
        <v>8349</v>
      </c>
      <c r="D1103" s="941" t="s">
        <v>2071</v>
      </c>
    </row>
    <row r="1104" spans="2:4">
      <c r="B1104" s="941" t="s">
        <v>8350</v>
      </c>
      <c r="D1104" s="941" t="s">
        <v>2072</v>
      </c>
    </row>
    <row r="1105" spans="2:4">
      <c r="B1105" s="941" t="s">
        <v>8351</v>
      </c>
      <c r="D1105" s="941" t="s">
        <v>2073</v>
      </c>
    </row>
    <row r="1106" spans="2:4">
      <c r="B1106" s="941" t="s">
        <v>787</v>
      </c>
      <c r="D1106" s="941" t="s">
        <v>2074</v>
      </c>
    </row>
    <row r="1107" spans="2:4">
      <c r="B1107" s="941" t="s">
        <v>8352</v>
      </c>
      <c r="D1107" s="941" t="s">
        <v>2075</v>
      </c>
    </row>
    <row r="1108" spans="2:4">
      <c r="B1108" s="941" t="s">
        <v>788</v>
      </c>
      <c r="D1108" s="941" t="s">
        <v>2076</v>
      </c>
    </row>
    <row r="1109" spans="2:4">
      <c r="B1109" s="941" t="s">
        <v>8353</v>
      </c>
      <c r="D1109" s="941" t="s">
        <v>2077</v>
      </c>
    </row>
    <row r="1110" spans="2:4">
      <c r="B1110" s="941" t="s">
        <v>8354</v>
      </c>
      <c r="D1110" s="941" t="s">
        <v>2078</v>
      </c>
    </row>
    <row r="1111" spans="2:4">
      <c r="B1111" s="941" t="s">
        <v>789</v>
      </c>
      <c r="D1111" s="941" t="s">
        <v>10408</v>
      </c>
    </row>
    <row r="1112" spans="2:4">
      <c r="B1112" s="941" t="s">
        <v>790</v>
      </c>
      <c r="D1112" s="941" t="s">
        <v>2079</v>
      </c>
    </row>
    <row r="1113" spans="2:4">
      <c r="B1113" s="941" t="s">
        <v>791</v>
      </c>
      <c r="D1113" s="941" t="s">
        <v>2080</v>
      </c>
    </row>
    <row r="1114" spans="2:4">
      <c r="B1114" s="941" t="s">
        <v>8355</v>
      </c>
      <c r="D1114" s="941" t="s">
        <v>2081</v>
      </c>
    </row>
    <row r="1115" spans="2:4">
      <c r="B1115" s="941" t="s">
        <v>8356</v>
      </c>
      <c r="D1115" s="941" t="s">
        <v>2082</v>
      </c>
    </row>
    <row r="1116" spans="2:4">
      <c r="B1116" s="941" t="s">
        <v>8357</v>
      </c>
      <c r="D1116" s="941" t="s">
        <v>2083</v>
      </c>
    </row>
    <row r="1117" spans="2:4">
      <c r="B1117" s="941" t="s">
        <v>792</v>
      </c>
      <c r="D1117" s="941" t="s">
        <v>2084</v>
      </c>
    </row>
    <row r="1118" spans="2:4">
      <c r="B1118" s="941" t="s">
        <v>793</v>
      </c>
      <c r="D1118" s="941" t="s">
        <v>2085</v>
      </c>
    </row>
    <row r="1119" spans="2:4">
      <c r="B1119" s="941" t="s">
        <v>8358</v>
      </c>
      <c r="D1119" s="941" t="s">
        <v>2086</v>
      </c>
    </row>
    <row r="1120" spans="2:4">
      <c r="B1120" s="941" t="s">
        <v>8359</v>
      </c>
      <c r="D1120" s="941" t="s">
        <v>2087</v>
      </c>
    </row>
    <row r="1121" spans="2:4">
      <c r="B1121" s="941" t="s">
        <v>7959</v>
      </c>
      <c r="D1121" s="941" t="s">
        <v>2088</v>
      </c>
    </row>
    <row r="1122" spans="2:4">
      <c r="B1122" s="941" t="s">
        <v>8360</v>
      </c>
      <c r="D1122" s="941" t="s">
        <v>2089</v>
      </c>
    </row>
    <row r="1123" spans="2:4">
      <c r="B1123" s="941" t="s">
        <v>8361</v>
      </c>
      <c r="D1123" s="941" t="s">
        <v>2090</v>
      </c>
    </row>
    <row r="1124" spans="2:4">
      <c r="B1124" s="941" t="s">
        <v>794</v>
      </c>
      <c r="D1124" s="941" t="s">
        <v>2091</v>
      </c>
    </row>
    <row r="1125" spans="2:4">
      <c r="B1125" s="941" t="s">
        <v>8362</v>
      </c>
      <c r="D1125" s="941" t="s">
        <v>2092</v>
      </c>
    </row>
    <row r="1126" spans="2:4">
      <c r="B1126" s="941" t="s">
        <v>8363</v>
      </c>
      <c r="D1126" s="941" t="s">
        <v>2093</v>
      </c>
    </row>
    <row r="1127" spans="2:4">
      <c r="B1127" s="941" t="s">
        <v>8364</v>
      </c>
      <c r="D1127" s="941" t="s">
        <v>10446</v>
      </c>
    </row>
    <row r="1128" spans="2:4">
      <c r="B1128" s="941" t="s">
        <v>795</v>
      </c>
      <c r="D1128" s="941" t="s">
        <v>488</v>
      </c>
    </row>
    <row r="1129" spans="2:4">
      <c r="B1129" s="941" t="s">
        <v>8365</v>
      </c>
      <c r="D1129" s="941" t="s">
        <v>2094</v>
      </c>
    </row>
    <row r="1130" spans="2:4">
      <c r="B1130" s="941" t="s">
        <v>8366</v>
      </c>
      <c r="D1130" s="941" t="s">
        <v>2095</v>
      </c>
    </row>
    <row r="1131" spans="2:4">
      <c r="B1131" s="941" t="s">
        <v>8367</v>
      </c>
      <c r="D1131" s="941" t="s">
        <v>2096</v>
      </c>
    </row>
    <row r="1132" spans="2:4">
      <c r="B1132" s="941" t="s">
        <v>8368</v>
      </c>
      <c r="D1132" s="941" t="s">
        <v>2097</v>
      </c>
    </row>
    <row r="1133" spans="2:4">
      <c r="B1133" s="941" t="s">
        <v>796</v>
      </c>
      <c r="D1133" s="941" t="s">
        <v>2098</v>
      </c>
    </row>
    <row r="1134" spans="2:4">
      <c r="B1134" s="941" t="s">
        <v>797</v>
      </c>
      <c r="D1134" s="941" t="s">
        <v>2099</v>
      </c>
    </row>
    <row r="1135" spans="2:4">
      <c r="B1135" s="941" t="s">
        <v>8369</v>
      </c>
      <c r="D1135" s="941" t="s">
        <v>10189</v>
      </c>
    </row>
    <row r="1136" spans="2:4">
      <c r="B1136" s="941" t="s">
        <v>8370</v>
      </c>
      <c r="D1136" s="941" t="s">
        <v>2100</v>
      </c>
    </row>
    <row r="1137" spans="2:4">
      <c r="B1137" s="941" t="s">
        <v>8371</v>
      </c>
      <c r="D1137" s="941" t="s">
        <v>2101</v>
      </c>
    </row>
    <row r="1138" spans="2:4">
      <c r="B1138" s="941" t="s">
        <v>798</v>
      </c>
      <c r="D1138" s="941" t="s">
        <v>9341</v>
      </c>
    </row>
    <row r="1139" spans="2:4">
      <c r="B1139" s="941" t="s">
        <v>8372</v>
      </c>
      <c r="D1139" s="941" t="s">
        <v>2102</v>
      </c>
    </row>
    <row r="1140" spans="2:4">
      <c r="B1140" s="941" t="s">
        <v>799</v>
      </c>
      <c r="D1140" s="941" t="s">
        <v>2103</v>
      </c>
    </row>
    <row r="1141" spans="2:4">
      <c r="B1141" s="941" t="s">
        <v>800</v>
      </c>
      <c r="D1141" s="941" t="s">
        <v>2104</v>
      </c>
    </row>
    <row r="1142" spans="2:4">
      <c r="B1142" s="941" t="s">
        <v>8373</v>
      </c>
      <c r="D1142" s="941" t="s">
        <v>2105</v>
      </c>
    </row>
    <row r="1143" spans="2:4">
      <c r="B1143" s="941" t="s">
        <v>801</v>
      </c>
      <c r="D1143" s="941" t="s">
        <v>2106</v>
      </c>
    </row>
    <row r="1144" spans="2:4">
      <c r="B1144" s="941" t="s">
        <v>8374</v>
      </c>
      <c r="D1144" s="941" t="s">
        <v>2107</v>
      </c>
    </row>
    <row r="1145" spans="2:4">
      <c r="B1145" s="941" t="s">
        <v>7960</v>
      </c>
      <c r="D1145" s="941" t="s">
        <v>2108</v>
      </c>
    </row>
    <row r="1146" spans="2:4">
      <c r="B1146" s="941" t="s">
        <v>8375</v>
      </c>
      <c r="D1146" s="941" t="s">
        <v>2109</v>
      </c>
    </row>
    <row r="1147" spans="2:4">
      <c r="B1147" s="941" t="s">
        <v>7961</v>
      </c>
      <c r="D1147" s="941" t="s">
        <v>2110</v>
      </c>
    </row>
    <row r="1148" spans="2:4">
      <c r="B1148" s="941" t="s">
        <v>8376</v>
      </c>
      <c r="D1148" s="941" t="s">
        <v>2111</v>
      </c>
    </row>
    <row r="1149" spans="2:4">
      <c r="B1149" s="941" t="s">
        <v>802</v>
      </c>
      <c r="D1149" s="941" t="s">
        <v>2112</v>
      </c>
    </row>
    <row r="1150" spans="2:4">
      <c r="B1150" s="941" t="s">
        <v>8377</v>
      </c>
      <c r="D1150" s="941" t="s">
        <v>2113</v>
      </c>
    </row>
    <row r="1151" spans="2:4">
      <c r="B1151" s="941" t="s">
        <v>4389</v>
      </c>
      <c r="D1151" s="941" t="s">
        <v>2114</v>
      </c>
    </row>
    <row r="1152" spans="2:4">
      <c r="B1152" s="941" t="s">
        <v>8378</v>
      </c>
      <c r="D1152" s="941" t="s">
        <v>2115</v>
      </c>
    </row>
    <row r="1153" spans="2:4">
      <c r="B1153" s="941" t="s">
        <v>803</v>
      </c>
      <c r="D1153" s="941" t="s">
        <v>2116</v>
      </c>
    </row>
    <row r="1154" spans="2:4">
      <c r="B1154" s="941" t="s">
        <v>8379</v>
      </c>
      <c r="D1154" s="941" t="s">
        <v>2117</v>
      </c>
    </row>
    <row r="1155" spans="2:4">
      <c r="B1155" s="941" t="s">
        <v>8380</v>
      </c>
      <c r="D1155" s="941" t="s">
        <v>2118</v>
      </c>
    </row>
    <row r="1156" spans="2:4">
      <c r="B1156" s="941" t="s">
        <v>8381</v>
      </c>
      <c r="D1156" s="941" t="s">
        <v>2119</v>
      </c>
    </row>
    <row r="1157" spans="2:4">
      <c r="B1157" s="941" t="s">
        <v>8382</v>
      </c>
      <c r="D1157" s="941" t="s">
        <v>2120</v>
      </c>
    </row>
    <row r="1158" spans="2:4">
      <c r="B1158" s="941" t="s">
        <v>8383</v>
      </c>
      <c r="D1158" s="941" t="s">
        <v>2121</v>
      </c>
    </row>
    <row r="1159" spans="2:4">
      <c r="B1159" s="941" t="s">
        <v>804</v>
      </c>
      <c r="D1159" s="941" t="s">
        <v>2122</v>
      </c>
    </row>
    <row r="1160" spans="2:4">
      <c r="B1160" s="941" t="s">
        <v>8384</v>
      </c>
      <c r="D1160" s="941" t="s">
        <v>2123</v>
      </c>
    </row>
    <row r="1161" spans="2:4">
      <c r="B1161" s="941" t="s">
        <v>8385</v>
      </c>
      <c r="D1161" s="941" t="s">
        <v>2124</v>
      </c>
    </row>
    <row r="1162" spans="2:4">
      <c r="B1162" s="941" t="s">
        <v>805</v>
      </c>
      <c r="D1162" s="941" t="s">
        <v>2125</v>
      </c>
    </row>
    <row r="1163" spans="2:4">
      <c r="B1163" s="941" t="s">
        <v>8386</v>
      </c>
      <c r="D1163" s="941" t="s">
        <v>2126</v>
      </c>
    </row>
    <row r="1164" spans="2:4">
      <c r="B1164" s="941" t="s">
        <v>8387</v>
      </c>
      <c r="D1164" s="941" t="s">
        <v>2127</v>
      </c>
    </row>
    <row r="1165" spans="2:4">
      <c r="B1165" s="941" t="s">
        <v>8388</v>
      </c>
      <c r="D1165" s="941" t="s">
        <v>2128</v>
      </c>
    </row>
    <row r="1166" spans="2:4">
      <c r="B1166" s="941" t="s">
        <v>8389</v>
      </c>
      <c r="D1166" s="941" t="s">
        <v>2129</v>
      </c>
    </row>
    <row r="1167" spans="2:4">
      <c r="B1167" s="941" t="s">
        <v>8390</v>
      </c>
      <c r="D1167" s="941" t="s">
        <v>2130</v>
      </c>
    </row>
    <row r="1168" spans="2:4">
      <c r="B1168" s="941" t="s">
        <v>8391</v>
      </c>
      <c r="D1168" s="941" t="s">
        <v>2131</v>
      </c>
    </row>
    <row r="1169" spans="2:4">
      <c r="B1169" s="941" t="s">
        <v>806</v>
      </c>
      <c r="D1169" s="941" t="s">
        <v>2132</v>
      </c>
    </row>
    <row r="1170" spans="2:4">
      <c r="B1170" s="941" t="s">
        <v>8392</v>
      </c>
      <c r="D1170" s="941" t="s">
        <v>2133</v>
      </c>
    </row>
    <row r="1171" spans="2:4">
      <c r="B1171" s="941" t="s">
        <v>8393</v>
      </c>
      <c r="D1171" s="941" t="s">
        <v>2134</v>
      </c>
    </row>
    <row r="1172" spans="2:4">
      <c r="B1172" s="941" t="s">
        <v>8394</v>
      </c>
      <c r="D1172" s="941" t="s">
        <v>2135</v>
      </c>
    </row>
    <row r="1173" spans="2:4">
      <c r="B1173" s="941" t="s">
        <v>807</v>
      </c>
      <c r="D1173" s="941" t="s">
        <v>2136</v>
      </c>
    </row>
    <row r="1174" spans="2:4">
      <c r="B1174" s="941" t="s">
        <v>8395</v>
      </c>
      <c r="D1174" s="941" t="s">
        <v>9342</v>
      </c>
    </row>
    <row r="1175" spans="2:4">
      <c r="B1175" s="941" t="s">
        <v>8396</v>
      </c>
      <c r="D1175" s="941" t="s">
        <v>10319</v>
      </c>
    </row>
    <row r="1176" spans="2:4">
      <c r="B1176" s="941" t="s">
        <v>808</v>
      </c>
      <c r="D1176" s="941" t="s">
        <v>2137</v>
      </c>
    </row>
    <row r="1177" spans="2:4">
      <c r="B1177" s="941" t="s">
        <v>8397</v>
      </c>
      <c r="D1177" s="941" t="s">
        <v>2138</v>
      </c>
    </row>
    <row r="1178" spans="2:4">
      <c r="B1178" s="941" t="s">
        <v>8398</v>
      </c>
      <c r="D1178" s="941" t="s">
        <v>2139</v>
      </c>
    </row>
    <row r="1179" spans="2:4">
      <c r="B1179" s="941" t="s">
        <v>8399</v>
      </c>
      <c r="D1179" s="941" t="s">
        <v>2140</v>
      </c>
    </row>
    <row r="1180" spans="2:4">
      <c r="B1180" s="941" t="s">
        <v>8400</v>
      </c>
      <c r="D1180" s="941" t="s">
        <v>2141</v>
      </c>
    </row>
    <row r="1181" spans="2:4">
      <c r="B1181" s="941" t="s">
        <v>4491</v>
      </c>
      <c r="D1181" s="941" t="s">
        <v>2142</v>
      </c>
    </row>
    <row r="1182" spans="2:4">
      <c r="B1182" s="941" t="s">
        <v>809</v>
      </c>
      <c r="D1182" s="941" t="s">
        <v>2143</v>
      </c>
    </row>
    <row r="1183" spans="2:4">
      <c r="B1183" s="941" t="s">
        <v>8401</v>
      </c>
      <c r="D1183" s="941" t="s">
        <v>2144</v>
      </c>
    </row>
    <row r="1184" spans="2:4">
      <c r="B1184" s="941" t="s">
        <v>8402</v>
      </c>
      <c r="D1184" s="941" t="s">
        <v>2145</v>
      </c>
    </row>
    <row r="1185" spans="2:4">
      <c r="B1185" s="941" t="s">
        <v>8403</v>
      </c>
      <c r="D1185" s="941" t="s">
        <v>2146</v>
      </c>
    </row>
    <row r="1186" spans="2:4">
      <c r="B1186" s="941" t="s">
        <v>8404</v>
      </c>
      <c r="D1186" s="941" t="s">
        <v>2147</v>
      </c>
    </row>
    <row r="1187" spans="2:4">
      <c r="B1187" s="941" t="s">
        <v>810</v>
      </c>
      <c r="D1187" s="941" t="s">
        <v>2148</v>
      </c>
    </row>
    <row r="1188" spans="2:4">
      <c r="B1188" s="941" t="s">
        <v>8405</v>
      </c>
      <c r="D1188" s="941" t="s">
        <v>2149</v>
      </c>
    </row>
    <row r="1189" spans="2:4">
      <c r="B1189" s="941" t="s">
        <v>8406</v>
      </c>
      <c r="D1189" s="941" t="s">
        <v>2150</v>
      </c>
    </row>
    <row r="1190" spans="2:4">
      <c r="B1190" s="941" t="s">
        <v>8407</v>
      </c>
      <c r="D1190" s="941" t="s">
        <v>2151</v>
      </c>
    </row>
    <row r="1191" spans="2:4">
      <c r="B1191" s="941" t="s">
        <v>811</v>
      </c>
      <c r="D1191" s="941" t="s">
        <v>2152</v>
      </c>
    </row>
    <row r="1192" spans="2:4">
      <c r="B1192" s="941" t="s">
        <v>8408</v>
      </c>
      <c r="D1192" s="941" t="s">
        <v>2153</v>
      </c>
    </row>
    <row r="1193" spans="2:4">
      <c r="B1193" s="941" t="s">
        <v>8409</v>
      </c>
      <c r="D1193" s="941" t="s">
        <v>2154</v>
      </c>
    </row>
    <row r="1194" spans="2:4">
      <c r="B1194" s="941" t="s">
        <v>8410</v>
      </c>
      <c r="D1194" s="941" t="s">
        <v>2155</v>
      </c>
    </row>
    <row r="1195" spans="2:4">
      <c r="B1195" s="941" t="s">
        <v>812</v>
      </c>
      <c r="D1195" s="941" t="s">
        <v>2156</v>
      </c>
    </row>
    <row r="1196" spans="2:4">
      <c r="B1196" s="941" t="s">
        <v>8411</v>
      </c>
      <c r="D1196" s="941" t="s">
        <v>2157</v>
      </c>
    </row>
    <row r="1197" spans="2:4">
      <c r="B1197" s="941" t="s">
        <v>8412</v>
      </c>
      <c r="D1197" s="941" t="s">
        <v>2158</v>
      </c>
    </row>
    <row r="1198" spans="2:4">
      <c r="B1198" s="941" t="s">
        <v>813</v>
      </c>
      <c r="D1198" s="941" t="s">
        <v>2159</v>
      </c>
    </row>
    <row r="1199" spans="2:4">
      <c r="B1199" s="941" t="s">
        <v>8413</v>
      </c>
      <c r="D1199" s="941" t="s">
        <v>2160</v>
      </c>
    </row>
    <row r="1200" spans="2:4">
      <c r="B1200" s="941" t="s">
        <v>814</v>
      </c>
      <c r="D1200" s="941" t="s">
        <v>2161</v>
      </c>
    </row>
    <row r="1201" spans="2:4">
      <c r="B1201" s="941" t="s">
        <v>8414</v>
      </c>
      <c r="D1201" s="941" t="s">
        <v>2162</v>
      </c>
    </row>
    <row r="1202" spans="2:4">
      <c r="B1202" s="941" t="s">
        <v>8415</v>
      </c>
      <c r="D1202" s="941" t="s">
        <v>2163</v>
      </c>
    </row>
    <row r="1203" spans="2:4">
      <c r="B1203" s="941" t="s">
        <v>8416</v>
      </c>
      <c r="D1203" s="941" t="s">
        <v>2164</v>
      </c>
    </row>
    <row r="1204" spans="2:4">
      <c r="B1204" s="941" t="s">
        <v>8417</v>
      </c>
      <c r="D1204" s="941" t="s">
        <v>2165</v>
      </c>
    </row>
    <row r="1205" spans="2:4">
      <c r="B1205" s="941" t="s">
        <v>8418</v>
      </c>
      <c r="D1205" s="941" t="s">
        <v>2166</v>
      </c>
    </row>
    <row r="1206" spans="2:4">
      <c r="B1206" s="941" t="s">
        <v>8419</v>
      </c>
      <c r="D1206" s="941" t="s">
        <v>2167</v>
      </c>
    </row>
    <row r="1207" spans="2:4">
      <c r="B1207" s="941" t="s">
        <v>8420</v>
      </c>
      <c r="D1207" s="941" t="s">
        <v>2168</v>
      </c>
    </row>
    <row r="1208" spans="2:4">
      <c r="B1208" s="941" t="s">
        <v>8421</v>
      </c>
      <c r="D1208" s="941" t="s">
        <v>9343</v>
      </c>
    </row>
    <row r="1209" spans="2:4">
      <c r="B1209" s="941" t="s">
        <v>8422</v>
      </c>
      <c r="D1209" s="941" t="s">
        <v>2169</v>
      </c>
    </row>
    <row r="1210" spans="2:4">
      <c r="B1210" s="941" t="s">
        <v>8423</v>
      </c>
      <c r="D1210" s="941" t="s">
        <v>2170</v>
      </c>
    </row>
    <row r="1211" spans="2:4">
      <c r="B1211" s="941" t="s">
        <v>8424</v>
      </c>
      <c r="D1211" s="941" t="s">
        <v>2171</v>
      </c>
    </row>
    <row r="1212" spans="2:4">
      <c r="B1212" s="941" t="s">
        <v>8425</v>
      </c>
      <c r="D1212" s="941" t="s">
        <v>2172</v>
      </c>
    </row>
    <row r="1213" spans="2:4">
      <c r="B1213" s="941" t="s">
        <v>8426</v>
      </c>
      <c r="D1213" s="941" t="s">
        <v>2173</v>
      </c>
    </row>
    <row r="1214" spans="2:4">
      <c r="B1214" s="941" t="s">
        <v>8427</v>
      </c>
      <c r="D1214" s="941" t="s">
        <v>2174</v>
      </c>
    </row>
    <row r="1215" spans="2:4">
      <c r="B1215" s="941" t="s">
        <v>8428</v>
      </c>
      <c r="D1215" s="941" t="s">
        <v>9344</v>
      </c>
    </row>
    <row r="1216" spans="2:4">
      <c r="B1216" s="941" t="s">
        <v>8429</v>
      </c>
      <c r="D1216" s="941" t="s">
        <v>2175</v>
      </c>
    </row>
    <row r="1217" spans="2:4">
      <c r="B1217" s="941" t="s">
        <v>815</v>
      </c>
      <c r="D1217" s="941" t="s">
        <v>2176</v>
      </c>
    </row>
    <row r="1218" spans="2:4">
      <c r="B1218" s="941" t="s">
        <v>8430</v>
      </c>
      <c r="D1218" s="941" t="s">
        <v>2177</v>
      </c>
    </row>
    <row r="1219" spans="2:4">
      <c r="B1219" s="941" t="s">
        <v>8431</v>
      </c>
      <c r="D1219" s="941" t="s">
        <v>2178</v>
      </c>
    </row>
    <row r="1220" spans="2:4">
      <c r="B1220" s="941" t="s">
        <v>8432</v>
      </c>
      <c r="D1220" s="941" t="s">
        <v>9345</v>
      </c>
    </row>
    <row r="1221" spans="2:4">
      <c r="B1221" s="941" t="s">
        <v>8433</v>
      </c>
      <c r="D1221" s="941" t="s">
        <v>2179</v>
      </c>
    </row>
    <row r="1222" spans="2:4">
      <c r="B1222" s="941" t="s">
        <v>8434</v>
      </c>
      <c r="D1222" s="941" t="s">
        <v>2180</v>
      </c>
    </row>
    <row r="1223" spans="2:4">
      <c r="B1223" s="941" t="s">
        <v>8435</v>
      </c>
      <c r="D1223" s="941" t="s">
        <v>10369</v>
      </c>
    </row>
    <row r="1224" spans="2:4">
      <c r="B1224" s="941" t="s">
        <v>816</v>
      </c>
      <c r="D1224" s="941" t="s">
        <v>2181</v>
      </c>
    </row>
    <row r="1225" spans="2:4">
      <c r="B1225" s="941" t="s">
        <v>8436</v>
      </c>
      <c r="D1225" s="941" t="s">
        <v>2182</v>
      </c>
    </row>
    <row r="1226" spans="2:4">
      <c r="B1226" s="941" t="s">
        <v>8437</v>
      </c>
      <c r="D1226" s="941" t="s">
        <v>2183</v>
      </c>
    </row>
    <row r="1227" spans="2:4">
      <c r="B1227" s="941" t="s">
        <v>8438</v>
      </c>
      <c r="D1227" s="941" t="s">
        <v>2184</v>
      </c>
    </row>
    <row r="1228" spans="2:4">
      <c r="B1228" s="941" t="s">
        <v>817</v>
      </c>
      <c r="D1228" s="941" t="s">
        <v>9855</v>
      </c>
    </row>
    <row r="1229" spans="2:4">
      <c r="B1229" s="941" t="s">
        <v>818</v>
      </c>
      <c r="D1229" s="941" t="s">
        <v>9346</v>
      </c>
    </row>
    <row r="1230" spans="2:4">
      <c r="B1230" s="941" t="s">
        <v>8439</v>
      </c>
      <c r="D1230" s="941" t="s">
        <v>2185</v>
      </c>
    </row>
    <row r="1231" spans="2:4">
      <c r="B1231" s="941" t="s">
        <v>819</v>
      </c>
      <c r="D1231" s="941" t="s">
        <v>2186</v>
      </c>
    </row>
    <row r="1232" spans="2:4">
      <c r="B1232" s="941" t="s">
        <v>8440</v>
      </c>
      <c r="D1232" s="941" t="s">
        <v>2187</v>
      </c>
    </row>
    <row r="1233" spans="2:4">
      <c r="B1233" s="941" t="s">
        <v>8441</v>
      </c>
      <c r="D1233" s="941" t="s">
        <v>10370</v>
      </c>
    </row>
    <row r="1234" spans="2:4">
      <c r="B1234" s="941" t="s">
        <v>8442</v>
      </c>
      <c r="D1234" s="941" t="s">
        <v>2188</v>
      </c>
    </row>
    <row r="1235" spans="2:4">
      <c r="B1235" s="941" t="s">
        <v>8443</v>
      </c>
      <c r="D1235" s="941" t="s">
        <v>2189</v>
      </c>
    </row>
    <row r="1236" spans="2:4">
      <c r="B1236" s="941" t="s">
        <v>8444</v>
      </c>
      <c r="D1236" s="941" t="s">
        <v>2190</v>
      </c>
    </row>
    <row r="1237" spans="2:4">
      <c r="B1237" s="941" t="s">
        <v>8445</v>
      </c>
      <c r="D1237" s="941" t="s">
        <v>2191</v>
      </c>
    </row>
    <row r="1238" spans="2:4">
      <c r="B1238" s="941" t="s">
        <v>8446</v>
      </c>
      <c r="D1238" s="941" t="s">
        <v>2192</v>
      </c>
    </row>
    <row r="1239" spans="2:4">
      <c r="B1239" s="941" t="s">
        <v>820</v>
      </c>
      <c r="D1239" s="941" t="s">
        <v>2193</v>
      </c>
    </row>
    <row r="1240" spans="2:4">
      <c r="B1240" s="941" t="s">
        <v>8447</v>
      </c>
      <c r="D1240" s="941" t="s">
        <v>2194</v>
      </c>
    </row>
    <row r="1241" spans="2:4">
      <c r="B1241" s="941" t="s">
        <v>8448</v>
      </c>
      <c r="D1241" s="941" t="s">
        <v>2195</v>
      </c>
    </row>
    <row r="1242" spans="2:4">
      <c r="B1242" s="941" t="s">
        <v>8449</v>
      </c>
      <c r="D1242" s="941" t="s">
        <v>2196</v>
      </c>
    </row>
    <row r="1243" spans="2:4">
      <c r="B1243" s="941" t="s">
        <v>8450</v>
      </c>
      <c r="D1243" s="941" t="s">
        <v>2197</v>
      </c>
    </row>
    <row r="1244" spans="2:4">
      <c r="B1244" s="941" t="s">
        <v>821</v>
      </c>
      <c r="D1244" s="941" t="s">
        <v>11009</v>
      </c>
    </row>
    <row r="1245" spans="2:4">
      <c r="B1245" s="941" t="s">
        <v>822</v>
      </c>
      <c r="D1245" s="941" t="s">
        <v>11010</v>
      </c>
    </row>
    <row r="1246" spans="2:4">
      <c r="B1246" s="941" t="s">
        <v>8451</v>
      </c>
      <c r="D1246" s="941" t="s">
        <v>2198</v>
      </c>
    </row>
    <row r="1247" spans="2:4">
      <c r="B1247" s="941" t="s">
        <v>8452</v>
      </c>
      <c r="D1247" s="941" t="s">
        <v>2199</v>
      </c>
    </row>
    <row r="1248" spans="2:4">
      <c r="B1248" s="941" t="s">
        <v>823</v>
      </c>
      <c r="D1248" s="941" t="s">
        <v>2200</v>
      </c>
    </row>
    <row r="1249" spans="2:4">
      <c r="B1249" s="941" t="s">
        <v>8453</v>
      </c>
      <c r="D1249" s="941" t="s">
        <v>9347</v>
      </c>
    </row>
    <row r="1250" spans="2:4">
      <c r="B1250" s="941" t="s">
        <v>8454</v>
      </c>
      <c r="D1250" s="941" t="s">
        <v>2201</v>
      </c>
    </row>
    <row r="1251" spans="2:4">
      <c r="B1251" s="941" t="s">
        <v>8455</v>
      </c>
      <c r="D1251" s="941" t="s">
        <v>2202</v>
      </c>
    </row>
    <row r="1252" spans="2:4">
      <c r="B1252" s="941" t="s">
        <v>8456</v>
      </c>
      <c r="D1252" s="941" t="s">
        <v>9758</v>
      </c>
    </row>
    <row r="1253" spans="2:4">
      <c r="B1253" s="941" t="s">
        <v>8457</v>
      </c>
      <c r="D1253" s="941" t="s">
        <v>2203</v>
      </c>
    </row>
    <row r="1254" spans="2:4">
      <c r="B1254" s="941" t="s">
        <v>8458</v>
      </c>
      <c r="D1254" s="941" t="s">
        <v>2204</v>
      </c>
    </row>
    <row r="1255" spans="2:4">
      <c r="B1255" s="941" t="s">
        <v>8459</v>
      </c>
      <c r="D1255" s="941" t="s">
        <v>9348</v>
      </c>
    </row>
    <row r="1256" spans="2:4">
      <c r="B1256" s="941" t="s">
        <v>8460</v>
      </c>
      <c r="D1256" s="941" t="s">
        <v>2205</v>
      </c>
    </row>
    <row r="1257" spans="2:4">
      <c r="B1257" s="941" t="s">
        <v>8461</v>
      </c>
      <c r="D1257" s="941" t="s">
        <v>2206</v>
      </c>
    </row>
    <row r="1258" spans="2:4">
      <c r="B1258" s="941" t="s">
        <v>824</v>
      </c>
      <c r="D1258" s="941" t="s">
        <v>2207</v>
      </c>
    </row>
    <row r="1259" spans="2:4">
      <c r="B1259" s="941" t="s">
        <v>825</v>
      </c>
      <c r="D1259" s="941" t="s">
        <v>9349</v>
      </c>
    </row>
    <row r="1260" spans="2:4">
      <c r="B1260" s="941" t="s">
        <v>8462</v>
      </c>
      <c r="D1260" s="941" t="s">
        <v>2208</v>
      </c>
    </row>
    <row r="1261" spans="2:4">
      <c r="B1261" s="941" t="s">
        <v>8463</v>
      </c>
      <c r="D1261" s="941" t="s">
        <v>2209</v>
      </c>
    </row>
    <row r="1262" spans="2:4">
      <c r="B1262" s="941" t="s">
        <v>8464</v>
      </c>
      <c r="D1262" s="941" t="s">
        <v>2210</v>
      </c>
    </row>
    <row r="1263" spans="2:4">
      <c r="B1263" s="941" t="s">
        <v>826</v>
      </c>
      <c r="D1263" s="941" t="s">
        <v>9639</v>
      </c>
    </row>
    <row r="1264" spans="2:4">
      <c r="B1264" s="941" t="s">
        <v>827</v>
      </c>
      <c r="D1264" s="941" t="s">
        <v>2211</v>
      </c>
    </row>
    <row r="1265" spans="2:4">
      <c r="B1265" s="941" t="s">
        <v>828</v>
      </c>
      <c r="D1265" s="941" t="s">
        <v>2212</v>
      </c>
    </row>
    <row r="1266" spans="2:4">
      <c r="B1266" s="941" t="s">
        <v>7600</v>
      </c>
      <c r="D1266" s="941" t="s">
        <v>9350</v>
      </c>
    </row>
    <row r="1267" spans="2:4">
      <c r="B1267" s="941" t="s">
        <v>8465</v>
      </c>
      <c r="D1267" s="941" t="s">
        <v>2213</v>
      </c>
    </row>
    <row r="1268" spans="2:4">
      <c r="B1268" s="941" t="s">
        <v>829</v>
      </c>
      <c r="D1268" s="941" t="s">
        <v>2214</v>
      </c>
    </row>
    <row r="1269" spans="2:4">
      <c r="B1269" s="941" t="s">
        <v>8466</v>
      </c>
      <c r="D1269" s="941" t="s">
        <v>2215</v>
      </c>
    </row>
    <row r="1270" spans="2:4">
      <c r="B1270" s="941" t="s">
        <v>830</v>
      </c>
      <c r="D1270" s="941" t="s">
        <v>2216</v>
      </c>
    </row>
    <row r="1271" spans="2:4">
      <c r="B1271" s="941" t="s">
        <v>8467</v>
      </c>
      <c r="D1271" s="941" t="s">
        <v>2217</v>
      </c>
    </row>
    <row r="1272" spans="2:4">
      <c r="B1272" s="941" t="s">
        <v>8468</v>
      </c>
      <c r="D1272" s="941" t="s">
        <v>2218</v>
      </c>
    </row>
    <row r="1273" spans="2:4">
      <c r="B1273" s="941" t="s">
        <v>8469</v>
      </c>
      <c r="D1273" s="941" t="s">
        <v>2219</v>
      </c>
    </row>
    <row r="1274" spans="2:4">
      <c r="B1274" s="941" t="s">
        <v>8470</v>
      </c>
      <c r="D1274" s="941" t="s">
        <v>2220</v>
      </c>
    </row>
    <row r="1275" spans="2:4">
      <c r="B1275" s="941" t="s">
        <v>8471</v>
      </c>
      <c r="D1275" s="941" t="s">
        <v>2221</v>
      </c>
    </row>
    <row r="1276" spans="2:4">
      <c r="B1276" s="941" t="s">
        <v>8472</v>
      </c>
      <c r="D1276" s="941" t="s">
        <v>10494</v>
      </c>
    </row>
    <row r="1277" spans="2:4">
      <c r="B1277" s="941" t="s">
        <v>8473</v>
      </c>
      <c r="D1277" s="941" t="s">
        <v>2222</v>
      </c>
    </row>
    <row r="1278" spans="2:4">
      <c r="B1278" s="941" t="s">
        <v>8474</v>
      </c>
      <c r="D1278" s="941" t="s">
        <v>2223</v>
      </c>
    </row>
    <row r="1279" spans="2:4">
      <c r="B1279" s="941" t="s">
        <v>8475</v>
      </c>
      <c r="D1279" s="941" t="s">
        <v>2224</v>
      </c>
    </row>
    <row r="1280" spans="2:4">
      <c r="B1280" s="941" t="s">
        <v>8476</v>
      </c>
      <c r="D1280" s="941" t="s">
        <v>2225</v>
      </c>
    </row>
    <row r="1281" spans="2:4">
      <c r="B1281" s="941" t="s">
        <v>8477</v>
      </c>
      <c r="D1281" s="941" t="s">
        <v>2226</v>
      </c>
    </row>
    <row r="1282" spans="2:4">
      <c r="B1282" s="941" t="s">
        <v>8478</v>
      </c>
      <c r="D1282" s="941" t="s">
        <v>2227</v>
      </c>
    </row>
    <row r="1283" spans="2:4">
      <c r="B1283" s="941" t="s">
        <v>831</v>
      </c>
      <c r="D1283" s="941" t="s">
        <v>2228</v>
      </c>
    </row>
    <row r="1284" spans="2:4">
      <c r="B1284" s="941" t="s">
        <v>4791</v>
      </c>
      <c r="D1284" s="941" t="s">
        <v>9351</v>
      </c>
    </row>
    <row r="1285" spans="2:4">
      <c r="B1285" s="941" t="s">
        <v>8479</v>
      </c>
      <c r="D1285" s="941" t="s">
        <v>2229</v>
      </c>
    </row>
    <row r="1286" spans="2:4">
      <c r="B1286" s="941" t="s">
        <v>8480</v>
      </c>
      <c r="D1286" s="941" t="s">
        <v>2230</v>
      </c>
    </row>
    <row r="1287" spans="2:4">
      <c r="B1287" s="941" t="s">
        <v>8481</v>
      </c>
      <c r="D1287" s="941" t="s">
        <v>2231</v>
      </c>
    </row>
    <row r="1288" spans="2:4">
      <c r="B1288" s="941" t="s">
        <v>8482</v>
      </c>
      <c r="D1288" s="941" t="s">
        <v>2232</v>
      </c>
    </row>
    <row r="1289" spans="2:4">
      <c r="B1289" s="941" t="s">
        <v>8483</v>
      </c>
      <c r="D1289" s="941" t="s">
        <v>2233</v>
      </c>
    </row>
    <row r="1290" spans="2:4">
      <c r="B1290" s="941" t="s">
        <v>8484</v>
      </c>
      <c r="D1290" s="941" t="s">
        <v>2234</v>
      </c>
    </row>
    <row r="1291" spans="2:4">
      <c r="B1291" s="941" t="s">
        <v>8485</v>
      </c>
      <c r="D1291" s="941" t="s">
        <v>26</v>
      </c>
    </row>
    <row r="1292" spans="2:4">
      <c r="B1292" s="941" t="s">
        <v>8486</v>
      </c>
      <c r="D1292" s="941" t="s">
        <v>2235</v>
      </c>
    </row>
    <row r="1293" spans="2:4">
      <c r="B1293" s="941" t="s">
        <v>8487</v>
      </c>
      <c r="D1293" s="941" t="s">
        <v>2236</v>
      </c>
    </row>
    <row r="1294" spans="2:4">
      <c r="B1294" s="941" t="s">
        <v>8488</v>
      </c>
      <c r="D1294" s="941" t="s">
        <v>9352</v>
      </c>
    </row>
    <row r="1295" spans="2:4">
      <c r="B1295" s="941" t="s">
        <v>8489</v>
      </c>
      <c r="D1295" s="941" t="s">
        <v>2237</v>
      </c>
    </row>
    <row r="1296" spans="2:4">
      <c r="B1296" s="941" t="s">
        <v>8490</v>
      </c>
      <c r="D1296" s="941" t="s">
        <v>2238</v>
      </c>
    </row>
    <row r="1297" spans="2:4">
      <c r="B1297" s="941" t="s">
        <v>8491</v>
      </c>
      <c r="D1297" s="941" t="s">
        <v>2239</v>
      </c>
    </row>
    <row r="1298" spans="2:4">
      <c r="B1298" s="941" t="s">
        <v>8492</v>
      </c>
      <c r="D1298" s="941" t="s">
        <v>2240</v>
      </c>
    </row>
    <row r="1299" spans="2:4">
      <c r="B1299" s="941" t="s">
        <v>8493</v>
      </c>
      <c r="D1299" s="941" t="s">
        <v>2241</v>
      </c>
    </row>
    <row r="1300" spans="2:4">
      <c r="B1300" s="941" t="s">
        <v>4882</v>
      </c>
      <c r="D1300" s="941" t="s">
        <v>2242</v>
      </c>
    </row>
    <row r="1301" spans="2:4">
      <c r="B1301" s="941" t="s">
        <v>8494</v>
      </c>
      <c r="D1301" s="941" t="s">
        <v>2243</v>
      </c>
    </row>
    <row r="1302" spans="2:4">
      <c r="B1302" s="941" t="s">
        <v>8495</v>
      </c>
      <c r="D1302" s="941" t="s">
        <v>2244</v>
      </c>
    </row>
    <row r="1303" spans="2:4">
      <c r="B1303" s="941" t="s">
        <v>832</v>
      </c>
      <c r="D1303" s="941" t="s">
        <v>2245</v>
      </c>
    </row>
    <row r="1304" spans="2:4">
      <c r="B1304" s="941" t="s">
        <v>8496</v>
      </c>
      <c r="D1304" s="941" t="s">
        <v>9353</v>
      </c>
    </row>
    <row r="1305" spans="2:4">
      <c r="B1305" s="941" t="s">
        <v>8497</v>
      </c>
      <c r="D1305" s="941" t="s">
        <v>2246</v>
      </c>
    </row>
    <row r="1306" spans="2:4">
      <c r="B1306" s="941" t="s">
        <v>8498</v>
      </c>
      <c r="D1306" s="941" t="s">
        <v>2247</v>
      </c>
    </row>
    <row r="1307" spans="2:4">
      <c r="B1307" s="941" t="s">
        <v>8499</v>
      </c>
      <c r="D1307" s="941" t="s">
        <v>9354</v>
      </c>
    </row>
    <row r="1308" spans="2:4">
      <c r="B1308" s="941" t="s">
        <v>8500</v>
      </c>
      <c r="D1308" s="941" t="s">
        <v>2248</v>
      </c>
    </row>
    <row r="1309" spans="2:4">
      <c r="B1309" s="941" t="s">
        <v>8501</v>
      </c>
      <c r="D1309" s="941" t="s">
        <v>2249</v>
      </c>
    </row>
    <row r="1310" spans="2:4">
      <c r="B1310" s="941" t="s">
        <v>8502</v>
      </c>
      <c r="D1310" s="941" t="s">
        <v>2250</v>
      </c>
    </row>
    <row r="1311" spans="2:4">
      <c r="B1311" s="941" t="s">
        <v>8503</v>
      </c>
      <c r="D1311" s="941" t="s">
        <v>2251</v>
      </c>
    </row>
    <row r="1312" spans="2:4">
      <c r="B1312" s="941" t="s">
        <v>833</v>
      </c>
      <c r="D1312" s="941" t="s">
        <v>2252</v>
      </c>
    </row>
    <row r="1313" spans="2:4">
      <c r="B1313" s="941" t="s">
        <v>8504</v>
      </c>
      <c r="D1313" s="941" t="s">
        <v>2253</v>
      </c>
    </row>
    <row r="1314" spans="2:4">
      <c r="B1314" s="941" t="s">
        <v>8505</v>
      </c>
      <c r="D1314" s="941" t="s">
        <v>2254</v>
      </c>
    </row>
    <row r="1315" spans="2:4">
      <c r="B1315" s="941" t="s">
        <v>7887</v>
      </c>
      <c r="D1315" s="941" t="s">
        <v>9355</v>
      </c>
    </row>
    <row r="1316" spans="2:4">
      <c r="B1316" s="941" t="s">
        <v>8506</v>
      </c>
      <c r="D1316" s="941" t="s">
        <v>2255</v>
      </c>
    </row>
    <row r="1317" spans="2:4">
      <c r="B1317" s="941" t="s">
        <v>8507</v>
      </c>
      <c r="D1317" s="941" t="s">
        <v>2256</v>
      </c>
    </row>
    <row r="1318" spans="2:4">
      <c r="B1318" s="941" t="s">
        <v>8508</v>
      </c>
      <c r="D1318" s="941" t="s">
        <v>2257</v>
      </c>
    </row>
    <row r="1319" spans="2:4">
      <c r="B1319" s="941" t="s">
        <v>8509</v>
      </c>
      <c r="D1319" s="941" t="s">
        <v>2258</v>
      </c>
    </row>
    <row r="1320" spans="2:4">
      <c r="B1320" s="941" t="s">
        <v>8510</v>
      </c>
      <c r="D1320" s="941" t="s">
        <v>2259</v>
      </c>
    </row>
    <row r="1321" spans="2:4">
      <c r="B1321" s="941" t="s">
        <v>8511</v>
      </c>
      <c r="D1321" s="941" t="s">
        <v>2260</v>
      </c>
    </row>
    <row r="1322" spans="2:4">
      <c r="B1322" s="941" t="s">
        <v>8512</v>
      </c>
      <c r="D1322" s="941" t="s">
        <v>9759</v>
      </c>
    </row>
    <row r="1323" spans="2:4">
      <c r="B1323" s="941" t="s">
        <v>8513</v>
      </c>
      <c r="D1323" s="941" t="s">
        <v>2261</v>
      </c>
    </row>
    <row r="1324" spans="2:4">
      <c r="B1324" s="941" t="s">
        <v>8514</v>
      </c>
      <c r="D1324" s="941" t="s">
        <v>2262</v>
      </c>
    </row>
    <row r="1325" spans="2:4">
      <c r="B1325" s="941" t="s">
        <v>8515</v>
      </c>
      <c r="D1325" s="941" t="s">
        <v>2263</v>
      </c>
    </row>
    <row r="1326" spans="2:4">
      <c r="B1326" s="941" t="s">
        <v>8516</v>
      </c>
      <c r="D1326" s="941" t="s">
        <v>2264</v>
      </c>
    </row>
    <row r="1327" spans="2:4">
      <c r="B1327" s="941" t="s">
        <v>834</v>
      </c>
      <c r="D1327" s="941" t="s">
        <v>2265</v>
      </c>
    </row>
    <row r="1328" spans="2:4">
      <c r="B1328" s="941" t="s">
        <v>835</v>
      </c>
      <c r="D1328" s="941" t="s">
        <v>2266</v>
      </c>
    </row>
    <row r="1329" spans="2:4">
      <c r="B1329" s="941" t="s">
        <v>8517</v>
      </c>
      <c r="D1329" s="941" t="s">
        <v>2267</v>
      </c>
    </row>
    <row r="1330" spans="2:4">
      <c r="B1330" s="941" t="s">
        <v>836</v>
      </c>
      <c r="D1330" s="941" t="s">
        <v>10515</v>
      </c>
    </row>
    <row r="1331" spans="2:4">
      <c r="B1331" s="941" t="s">
        <v>8518</v>
      </c>
      <c r="D1331" s="941" t="s">
        <v>2268</v>
      </c>
    </row>
    <row r="1332" spans="2:4">
      <c r="B1332" s="941" t="s">
        <v>8519</v>
      </c>
      <c r="D1332" s="941" t="s">
        <v>9356</v>
      </c>
    </row>
    <row r="1333" spans="2:4">
      <c r="B1333" s="941" t="s">
        <v>837</v>
      </c>
      <c r="D1333" s="941" t="s">
        <v>9357</v>
      </c>
    </row>
    <row r="1334" spans="2:4">
      <c r="B1334" s="941" t="s">
        <v>8520</v>
      </c>
      <c r="D1334" s="941" t="s">
        <v>2269</v>
      </c>
    </row>
    <row r="1335" spans="2:4">
      <c r="B1335" s="941" t="s">
        <v>8521</v>
      </c>
      <c r="D1335" s="941" t="s">
        <v>2270</v>
      </c>
    </row>
    <row r="1336" spans="2:4">
      <c r="B1336" s="941" t="s">
        <v>8522</v>
      </c>
      <c r="D1336" s="941" t="s">
        <v>2271</v>
      </c>
    </row>
    <row r="1337" spans="2:4">
      <c r="B1337" s="941" t="s">
        <v>8523</v>
      </c>
      <c r="D1337" s="941" t="s">
        <v>2272</v>
      </c>
    </row>
    <row r="1338" spans="2:4">
      <c r="B1338" s="941" t="s">
        <v>8524</v>
      </c>
      <c r="D1338" s="941" t="s">
        <v>2273</v>
      </c>
    </row>
    <row r="1339" spans="2:4">
      <c r="B1339" s="941" t="s">
        <v>8525</v>
      </c>
      <c r="D1339" s="941" t="s">
        <v>2274</v>
      </c>
    </row>
    <row r="1340" spans="2:4">
      <c r="B1340" s="941" t="s">
        <v>8526</v>
      </c>
      <c r="D1340" s="941" t="s">
        <v>2275</v>
      </c>
    </row>
    <row r="1341" spans="2:4">
      <c r="B1341" s="941" t="s">
        <v>8527</v>
      </c>
      <c r="D1341" s="941" t="s">
        <v>2276</v>
      </c>
    </row>
    <row r="1342" spans="2:4">
      <c r="B1342" s="941" t="s">
        <v>8528</v>
      </c>
      <c r="D1342" s="941" t="s">
        <v>2277</v>
      </c>
    </row>
    <row r="1343" spans="2:4">
      <c r="B1343" s="941" t="s">
        <v>8529</v>
      </c>
      <c r="D1343" s="941" t="s">
        <v>2278</v>
      </c>
    </row>
    <row r="1344" spans="2:4">
      <c r="B1344" s="941" t="s">
        <v>8530</v>
      </c>
      <c r="D1344" s="941" t="s">
        <v>2279</v>
      </c>
    </row>
    <row r="1345" spans="2:4">
      <c r="B1345" s="941" t="s">
        <v>8531</v>
      </c>
      <c r="D1345" s="941" t="s">
        <v>2280</v>
      </c>
    </row>
    <row r="1346" spans="2:4">
      <c r="B1346" s="941" t="s">
        <v>8532</v>
      </c>
      <c r="D1346" s="941" t="s">
        <v>2281</v>
      </c>
    </row>
    <row r="1347" spans="2:4">
      <c r="B1347" s="941" t="s">
        <v>8533</v>
      </c>
      <c r="D1347" s="941" t="s">
        <v>2282</v>
      </c>
    </row>
    <row r="1348" spans="2:4">
      <c r="B1348" s="941" t="s">
        <v>8534</v>
      </c>
      <c r="D1348" s="941" t="s">
        <v>2283</v>
      </c>
    </row>
    <row r="1349" spans="2:4">
      <c r="B1349" s="941" t="s">
        <v>8535</v>
      </c>
      <c r="D1349" s="941" t="s">
        <v>2284</v>
      </c>
    </row>
    <row r="1350" spans="2:4">
      <c r="B1350" s="941" t="s">
        <v>8536</v>
      </c>
      <c r="D1350" s="941" t="s">
        <v>2285</v>
      </c>
    </row>
    <row r="1351" spans="2:4">
      <c r="B1351" s="941" t="s">
        <v>8537</v>
      </c>
      <c r="D1351" s="941" t="s">
        <v>2286</v>
      </c>
    </row>
    <row r="1352" spans="2:4">
      <c r="B1352" s="941" t="s">
        <v>8538</v>
      </c>
      <c r="D1352" s="941" t="s">
        <v>2287</v>
      </c>
    </row>
    <row r="1353" spans="2:4">
      <c r="B1353" s="941" t="s">
        <v>838</v>
      </c>
      <c r="D1353" s="941" t="s">
        <v>2288</v>
      </c>
    </row>
    <row r="1354" spans="2:4">
      <c r="B1354" s="941" t="s">
        <v>8539</v>
      </c>
      <c r="D1354" s="941" t="s">
        <v>2289</v>
      </c>
    </row>
    <row r="1355" spans="2:4">
      <c r="B1355" s="941" t="s">
        <v>8540</v>
      </c>
      <c r="D1355" s="941" t="s">
        <v>2290</v>
      </c>
    </row>
    <row r="1356" spans="2:4">
      <c r="B1356" s="941" t="s">
        <v>8541</v>
      </c>
      <c r="D1356" s="941" t="s">
        <v>2291</v>
      </c>
    </row>
    <row r="1357" spans="2:4">
      <c r="B1357" s="941" t="s">
        <v>8542</v>
      </c>
      <c r="D1357" s="941" t="s">
        <v>2292</v>
      </c>
    </row>
    <row r="1358" spans="2:4">
      <c r="B1358" s="941" t="s">
        <v>8543</v>
      </c>
      <c r="D1358" s="941" t="s">
        <v>2293</v>
      </c>
    </row>
    <row r="1359" spans="2:4">
      <c r="B1359" s="941" t="s">
        <v>8544</v>
      </c>
      <c r="D1359" s="941" t="s">
        <v>2294</v>
      </c>
    </row>
    <row r="1360" spans="2:4">
      <c r="B1360" s="941" t="s">
        <v>8545</v>
      </c>
      <c r="D1360" s="941" t="s">
        <v>2295</v>
      </c>
    </row>
    <row r="1361" spans="2:4">
      <c r="B1361" s="941" t="s">
        <v>8546</v>
      </c>
      <c r="D1361" s="941" t="s">
        <v>2296</v>
      </c>
    </row>
    <row r="1362" spans="2:4">
      <c r="B1362" s="941" t="s">
        <v>8547</v>
      </c>
      <c r="D1362" s="941" t="s">
        <v>2297</v>
      </c>
    </row>
    <row r="1363" spans="2:4">
      <c r="B1363" s="941" t="s">
        <v>8548</v>
      </c>
      <c r="D1363" s="941" t="s">
        <v>2298</v>
      </c>
    </row>
    <row r="1364" spans="2:4">
      <c r="B1364" s="941" t="s">
        <v>8549</v>
      </c>
      <c r="D1364" s="941" t="s">
        <v>2299</v>
      </c>
    </row>
    <row r="1365" spans="2:4">
      <c r="B1365" s="941" t="s">
        <v>8550</v>
      </c>
      <c r="D1365" s="941" t="s">
        <v>2300</v>
      </c>
    </row>
    <row r="1366" spans="2:4">
      <c r="B1366" s="941" t="s">
        <v>8551</v>
      </c>
      <c r="D1366" s="941" t="s">
        <v>2301</v>
      </c>
    </row>
    <row r="1367" spans="2:4">
      <c r="B1367" s="941" t="s">
        <v>839</v>
      </c>
      <c r="D1367" s="941" t="s">
        <v>2302</v>
      </c>
    </row>
    <row r="1368" spans="2:4">
      <c r="B1368" s="941" t="s">
        <v>8552</v>
      </c>
      <c r="D1368" s="941" t="s">
        <v>2303</v>
      </c>
    </row>
    <row r="1369" spans="2:4">
      <c r="B1369" s="941" t="s">
        <v>8553</v>
      </c>
      <c r="D1369" s="941" t="s">
        <v>2304</v>
      </c>
    </row>
    <row r="1370" spans="2:4">
      <c r="B1370" s="941" t="s">
        <v>8554</v>
      </c>
      <c r="D1370" s="941" t="s">
        <v>2305</v>
      </c>
    </row>
    <row r="1371" spans="2:4">
      <c r="B1371" s="941" t="s">
        <v>8555</v>
      </c>
      <c r="D1371" s="941" t="s">
        <v>2306</v>
      </c>
    </row>
    <row r="1372" spans="2:4">
      <c r="B1372" s="941" t="s">
        <v>8556</v>
      </c>
      <c r="D1372" s="941" t="s">
        <v>2307</v>
      </c>
    </row>
    <row r="1373" spans="2:4">
      <c r="B1373" s="941" t="s">
        <v>8557</v>
      </c>
      <c r="D1373" s="941" t="s">
        <v>2308</v>
      </c>
    </row>
    <row r="1374" spans="2:4">
      <c r="B1374" s="941" t="s">
        <v>840</v>
      </c>
      <c r="D1374" s="941" t="s">
        <v>2309</v>
      </c>
    </row>
    <row r="1375" spans="2:4">
      <c r="B1375" s="941" t="s">
        <v>8558</v>
      </c>
      <c r="D1375" s="941" t="s">
        <v>2310</v>
      </c>
    </row>
    <row r="1376" spans="2:4">
      <c r="B1376" s="941" t="s">
        <v>8004</v>
      </c>
      <c r="D1376" s="941" t="s">
        <v>2311</v>
      </c>
    </row>
    <row r="1377" spans="2:4">
      <c r="B1377" s="941" t="s">
        <v>841</v>
      </c>
      <c r="D1377" s="941" t="s">
        <v>2312</v>
      </c>
    </row>
    <row r="1378" spans="2:4">
      <c r="B1378" s="941" t="s">
        <v>8559</v>
      </c>
      <c r="D1378" s="941" t="s">
        <v>2313</v>
      </c>
    </row>
    <row r="1379" spans="2:4">
      <c r="B1379" s="941" t="s">
        <v>8560</v>
      </c>
      <c r="D1379" s="941" t="s">
        <v>10371</v>
      </c>
    </row>
    <row r="1380" spans="2:4">
      <c r="B1380" s="941" t="s">
        <v>8561</v>
      </c>
      <c r="D1380" s="941" t="s">
        <v>2314</v>
      </c>
    </row>
    <row r="1381" spans="2:4">
      <c r="B1381" s="941" t="s">
        <v>842</v>
      </c>
      <c r="D1381" s="941" t="s">
        <v>2315</v>
      </c>
    </row>
    <row r="1382" spans="2:4">
      <c r="B1382" s="941" t="s">
        <v>8562</v>
      </c>
      <c r="D1382" s="941" t="s">
        <v>2316</v>
      </c>
    </row>
    <row r="1383" spans="2:4">
      <c r="B1383" s="941" t="s">
        <v>8563</v>
      </c>
      <c r="D1383" s="941" t="s">
        <v>2317</v>
      </c>
    </row>
    <row r="1384" spans="2:4">
      <c r="B1384" s="941" t="s">
        <v>8564</v>
      </c>
      <c r="D1384" s="941" t="s">
        <v>505</v>
      </c>
    </row>
    <row r="1385" spans="2:4">
      <c r="B1385" s="941" t="s">
        <v>5139</v>
      </c>
      <c r="D1385" s="941" t="s">
        <v>2318</v>
      </c>
    </row>
    <row r="1386" spans="2:4">
      <c r="B1386" s="941" t="s">
        <v>8565</v>
      </c>
      <c r="D1386" s="941" t="s">
        <v>9358</v>
      </c>
    </row>
    <row r="1387" spans="2:4">
      <c r="B1387" s="941" t="s">
        <v>5143</v>
      </c>
      <c r="D1387" s="941" t="s">
        <v>2319</v>
      </c>
    </row>
    <row r="1388" spans="2:4">
      <c r="B1388" s="941" t="s">
        <v>8566</v>
      </c>
      <c r="D1388" s="941" t="s">
        <v>2320</v>
      </c>
    </row>
    <row r="1389" spans="2:4">
      <c r="B1389" s="941" t="s">
        <v>8567</v>
      </c>
      <c r="D1389" s="941" t="s">
        <v>2321</v>
      </c>
    </row>
    <row r="1390" spans="2:4">
      <c r="B1390" s="941" t="s">
        <v>843</v>
      </c>
      <c r="D1390" s="941" t="s">
        <v>2322</v>
      </c>
    </row>
    <row r="1391" spans="2:4">
      <c r="B1391" s="941" t="s">
        <v>8568</v>
      </c>
      <c r="D1391" s="941" t="s">
        <v>2323</v>
      </c>
    </row>
    <row r="1392" spans="2:4">
      <c r="B1392" s="941" t="s">
        <v>8569</v>
      </c>
      <c r="D1392" s="941" t="s">
        <v>2324</v>
      </c>
    </row>
    <row r="1393" spans="2:4">
      <c r="B1393" s="941" t="s">
        <v>844</v>
      </c>
      <c r="D1393" s="941" t="s">
        <v>2325</v>
      </c>
    </row>
    <row r="1394" spans="2:4">
      <c r="B1394" s="941" t="s">
        <v>8570</v>
      </c>
      <c r="D1394" s="941" t="s">
        <v>2326</v>
      </c>
    </row>
    <row r="1395" spans="2:4">
      <c r="B1395" s="941" t="s">
        <v>8571</v>
      </c>
      <c r="D1395" s="941" t="s">
        <v>2327</v>
      </c>
    </row>
    <row r="1396" spans="2:4">
      <c r="B1396" s="941" t="s">
        <v>8572</v>
      </c>
      <c r="D1396" s="941" t="s">
        <v>2328</v>
      </c>
    </row>
    <row r="1397" spans="2:4">
      <c r="B1397" s="941" t="s">
        <v>845</v>
      </c>
      <c r="D1397" s="941" t="s">
        <v>2329</v>
      </c>
    </row>
    <row r="1398" spans="2:4">
      <c r="B1398" s="941" t="s">
        <v>846</v>
      </c>
      <c r="D1398" s="941" t="s">
        <v>10372</v>
      </c>
    </row>
    <row r="1399" spans="2:4">
      <c r="B1399" s="941" t="s">
        <v>8573</v>
      </c>
      <c r="D1399" s="941" t="s">
        <v>2330</v>
      </c>
    </row>
    <row r="1400" spans="2:4">
      <c r="B1400" s="941" t="s">
        <v>8574</v>
      </c>
      <c r="D1400" s="941" t="s">
        <v>2331</v>
      </c>
    </row>
    <row r="1401" spans="2:4">
      <c r="B1401" s="941" t="s">
        <v>8575</v>
      </c>
      <c r="D1401" s="941" t="s">
        <v>2332</v>
      </c>
    </row>
    <row r="1402" spans="2:4">
      <c r="B1402" s="941" t="s">
        <v>8576</v>
      </c>
      <c r="D1402" s="941" t="s">
        <v>2333</v>
      </c>
    </row>
    <row r="1403" spans="2:4">
      <c r="B1403" s="941" t="s">
        <v>8577</v>
      </c>
      <c r="D1403" s="941" t="s">
        <v>2334</v>
      </c>
    </row>
    <row r="1404" spans="2:4">
      <c r="B1404" s="941" t="s">
        <v>8578</v>
      </c>
      <c r="D1404" s="941" t="s">
        <v>2335</v>
      </c>
    </row>
    <row r="1405" spans="2:4">
      <c r="B1405" s="941" t="s">
        <v>8579</v>
      </c>
      <c r="D1405" s="941" t="s">
        <v>2336</v>
      </c>
    </row>
    <row r="1406" spans="2:4">
      <c r="B1406" s="941" t="s">
        <v>8580</v>
      </c>
      <c r="D1406" s="941" t="s">
        <v>2337</v>
      </c>
    </row>
    <row r="1407" spans="2:4">
      <c r="B1407" s="941" t="s">
        <v>8581</v>
      </c>
      <c r="D1407" s="941" t="s">
        <v>2338</v>
      </c>
    </row>
    <row r="1408" spans="2:4">
      <c r="B1408" s="941" t="s">
        <v>8582</v>
      </c>
      <c r="D1408" s="941" t="s">
        <v>2339</v>
      </c>
    </row>
    <row r="1409" spans="2:4">
      <c r="B1409" s="941" t="s">
        <v>8583</v>
      </c>
      <c r="D1409" s="941" t="s">
        <v>2340</v>
      </c>
    </row>
    <row r="1410" spans="2:4">
      <c r="B1410" s="941" t="s">
        <v>8584</v>
      </c>
      <c r="D1410" s="941" t="s">
        <v>2341</v>
      </c>
    </row>
    <row r="1411" spans="2:4">
      <c r="B1411" s="941" t="s">
        <v>8585</v>
      </c>
      <c r="D1411" s="941" t="s">
        <v>2342</v>
      </c>
    </row>
    <row r="1412" spans="2:4">
      <c r="B1412" s="941" t="s">
        <v>8586</v>
      </c>
      <c r="D1412" s="941" t="s">
        <v>2343</v>
      </c>
    </row>
    <row r="1413" spans="2:4">
      <c r="B1413" s="941" t="s">
        <v>8587</v>
      </c>
      <c r="D1413" s="941" t="s">
        <v>376</v>
      </c>
    </row>
    <row r="1414" spans="2:4">
      <c r="B1414" s="941" t="s">
        <v>8588</v>
      </c>
      <c r="D1414" s="941" t="s">
        <v>10373</v>
      </c>
    </row>
    <row r="1415" spans="2:4">
      <c r="B1415" s="941" t="s">
        <v>8589</v>
      </c>
      <c r="D1415" s="941" t="s">
        <v>2344</v>
      </c>
    </row>
    <row r="1416" spans="2:4">
      <c r="B1416" s="941" t="s">
        <v>8590</v>
      </c>
      <c r="D1416" s="941" t="s">
        <v>2345</v>
      </c>
    </row>
    <row r="1417" spans="2:4">
      <c r="B1417" s="941" t="s">
        <v>8591</v>
      </c>
      <c r="D1417" s="941" t="s">
        <v>2346</v>
      </c>
    </row>
    <row r="1418" spans="2:4">
      <c r="B1418" s="941" t="s">
        <v>8592</v>
      </c>
      <c r="D1418" s="941" t="s">
        <v>2347</v>
      </c>
    </row>
    <row r="1419" spans="2:4">
      <c r="B1419" s="941" t="s">
        <v>8593</v>
      </c>
      <c r="D1419" s="941" t="s">
        <v>2348</v>
      </c>
    </row>
    <row r="1420" spans="2:4">
      <c r="B1420" s="941" t="s">
        <v>8594</v>
      </c>
      <c r="D1420" s="941" t="s">
        <v>2349</v>
      </c>
    </row>
    <row r="1421" spans="2:4">
      <c r="B1421" s="941" t="s">
        <v>8595</v>
      </c>
      <c r="D1421" s="941" t="s">
        <v>2350</v>
      </c>
    </row>
    <row r="1422" spans="2:4">
      <c r="B1422" s="941" t="s">
        <v>8596</v>
      </c>
      <c r="D1422" s="941" t="s">
        <v>2351</v>
      </c>
    </row>
    <row r="1423" spans="2:4">
      <c r="B1423" s="941" t="s">
        <v>8597</v>
      </c>
      <c r="D1423" s="941" t="s">
        <v>2352</v>
      </c>
    </row>
    <row r="1424" spans="2:4">
      <c r="B1424" s="941" t="s">
        <v>8598</v>
      </c>
      <c r="D1424" s="941" t="s">
        <v>2353</v>
      </c>
    </row>
    <row r="1425" spans="2:4">
      <c r="B1425" s="941" t="s">
        <v>8599</v>
      </c>
      <c r="D1425" s="941" t="s">
        <v>2354</v>
      </c>
    </row>
    <row r="1426" spans="2:4">
      <c r="B1426" s="941" t="s">
        <v>8600</v>
      </c>
      <c r="D1426" s="941" t="s">
        <v>2355</v>
      </c>
    </row>
    <row r="1427" spans="2:4">
      <c r="B1427" s="941" t="s">
        <v>8601</v>
      </c>
      <c r="D1427" s="941" t="s">
        <v>2356</v>
      </c>
    </row>
    <row r="1428" spans="2:4">
      <c r="B1428" s="941" t="s">
        <v>8602</v>
      </c>
      <c r="D1428" s="941" t="s">
        <v>2357</v>
      </c>
    </row>
    <row r="1429" spans="2:4">
      <c r="B1429" s="941" t="s">
        <v>8603</v>
      </c>
      <c r="D1429" s="941" t="s">
        <v>2358</v>
      </c>
    </row>
    <row r="1430" spans="2:4">
      <c r="B1430" s="941" t="s">
        <v>847</v>
      </c>
      <c r="D1430" s="941" t="s">
        <v>2359</v>
      </c>
    </row>
    <row r="1431" spans="2:4">
      <c r="B1431" s="941" t="s">
        <v>8604</v>
      </c>
      <c r="D1431" s="941" t="s">
        <v>2360</v>
      </c>
    </row>
    <row r="1432" spans="2:4">
      <c r="B1432" s="941" t="s">
        <v>8605</v>
      </c>
      <c r="D1432" s="941" t="s">
        <v>2361</v>
      </c>
    </row>
    <row r="1433" spans="2:4">
      <c r="B1433" s="941" t="s">
        <v>8606</v>
      </c>
      <c r="D1433" s="941" t="s">
        <v>10190</v>
      </c>
    </row>
    <row r="1434" spans="2:4">
      <c r="B1434" s="941" t="s">
        <v>7962</v>
      </c>
      <c r="D1434" s="941" t="s">
        <v>2362</v>
      </c>
    </row>
    <row r="1435" spans="2:4">
      <c r="B1435" s="941" t="s">
        <v>8607</v>
      </c>
      <c r="D1435" s="941" t="s">
        <v>2363</v>
      </c>
    </row>
    <row r="1436" spans="2:4">
      <c r="B1436" s="941" t="s">
        <v>8608</v>
      </c>
      <c r="D1436" s="941" t="s">
        <v>2364</v>
      </c>
    </row>
    <row r="1437" spans="2:4">
      <c r="B1437" s="941" t="s">
        <v>8609</v>
      </c>
      <c r="D1437" s="941" t="s">
        <v>2365</v>
      </c>
    </row>
    <row r="1438" spans="2:4">
      <c r="B1438" s="941" t="s">
        <v>8610</v>
      </c>
      <c r="D1438" s="941" t="s">
        <v>2366</v>
      </c>
    </row>
    <row r="1439" spans="2:4">
      <c r="B1439" s="941" t="s">
        <v>848</v>
      </c>
      <c r="D1439" s="941" t="s">
        <v>9359</v>
      </c>
    </row>
    <row r="1440" spans="2:4">
      <c r="B1440" s="941" t="s">
        <v>849</v>
      </c>
      <c r="D1440" s="941" t="s">
        <v>2367</v>
      </c>
    </row>
    <row r="1441" spans="2:4">
      <c r="B1441" s="941" t="s">
        <v>8611</v>
      </c>
      <c r="D1441" s="941" t="s">
        <v>2368</v>
      </c>
    </row>
    <row r="1442" spans="2:4">
      <c r="B1442" s="941" t="s">
        <v>850</v>
      </c>
      <c r="D1442" s="941" t="s">
        <v>2369</v>
      </c>
    </row>
    <row r="1443" spans="2:4">
      <c r="B1443" s="941" t="s">
        <v>851</v>
      </c>
      <c r="D1443" s="941" t="s">
        <v>2370</v>
      </c>
    </row>
    <row r="1444" spans="2:4">
      <c r="B1444" s="941" t="s">
        <v>8612</v>
      </c>
      <c r="D1444" s="941" t="s">
        <v>2371</v>
      </c>
    </row>
    <row r="1445" spans="2:4">
      <c r="B1445" s="941" t="s">
        <v>852</v>
      </c>
      <c r="D1445" s="941" t="s">
        <v>2372</v>
      </c>
    </row>
    <row r="1446" spans="2:4">
      <c r="B1446" s="941" t="s">
        <v>7963</v>
      </c>
      <c r="D1446" s="941" t="s">
        <v>2373</v>
      </c>
    </row>
    <row r="1447" spans="2:4">
      <c r="B1447" s="941" t="s">
        <v>8613</v>
      </c>
      <c r="D1447" s="941" t="s">
        <v>2374</v>
      </c>
    </row>
    <row r="1448" spans="2:4">
      <c r="B1448" s="941" t="s">
        <v>8614</v>
      </c>
      <c r="D1448" s="941" t="s">
        <v>2375</v>
      </c>
    </row>
    <row r="1449" spans="2:4">
      <c r="B1449" s="941" t="s">
        <v>8615</v>
      </c>
      <c r="D1449" s="941" t="s">
        <v>2376</v>
      </c>
    </row>
    <row r="1450" spans="2:4">
      <c r="B1450" s="941" t="s">
        <v>8616</v>
      </c>
      <c r="D1450" s="941" t="s">
        <v>2377</v>
      </c>
    </row>
    <row r="1451" spans="2:4">
      <c r="B1451" s="941" t="s">
        <v>8617</v>
      </c>
      <c r="D1451" s="941" t="s">
        <v>2378</v>
      </c>
    </row>
    <row r="1452" spans="2:4">
      <c r="B1452" s="941" t="s">
        <v>9895</v>
      </c>
      <c r="D1452" s="941" t="s">
        <v>2379</v>
      </c>
    </row>
    <row r="1453" spans="2:4">
      <c r="B1453" s="941" t="s">
        <v>5319</v>
      </c>
      <c r="D1453" s="941" t="s">
        <v>2380</v>
      </c>
    </row>
    <row r="1454" spans="2:4">
      <c r="B1454" s="941" t="s">
        <v>8618</v>
      </c>
      <c r="D1454" s="941" t="s">
        <v>9360</v>
      </c>
    </row>
    <row r="1455" spans="2:4">
      <c r="B1455" s="941" t="s">
        <v>8619</v>
      </c>
      <c r="D1455" s="941" t="s">
        <v>2381</v>
      </c>
    </row>
    <row r="1456" spans="2:4">
      <c r="B1456" s="941" t="s">
        <v>8620</v>
      </c>
      <c r="D1456" s="941" t="s">
        <v>2382</v>
      </c>
    </row>
    <row r="1457" spans="2:4">
      <c r="B1457" s="941" t="s">
        <v>853</v>
      </c>
      <c r="D1457" s="941" t="s">
        <v>9361</v>
      </c>
    </row>
    <row r="1458" spans="2:4">
      <c r="B1458" s="941" t="s">
        <v>8621</v>
      </c>
      <c r="D1458" s="941" t="s">
        <v>2383</v>
      </c>
    </row>
    <row r="1459" spans="2:4">
      <c r="B1459" s="941" t="s">
        <v>8622</v>
      </c>
      <c r="D1459" s="941" t="s">
        <v>9362</v>
      </c>
    </row>
    <row r="1460" spans="2:4">
      <c r="B1460" s="941" t="s">
        <v>9663</v>
      </c>
      <c r="D1460" s="941" t="s">
        <v>2384</v>
      </c>
    </row>
    <row r="1461" spans="2:4">
      <c r="B1461" s="941" t="s">
        <v>8623</v>
      </c>
      <c r="D1461" s="941" t="s">
        <v>9363</v>
      </c>
    </row>
    <row r="1462" spans="2:4">
      <c r="B1462" s="941" t="s">
        <v>8624</v>
      </c>
      <c r="D1462" s="941" t="s">
        <v>9364</v>
      </c>
    </row>
    <row r="1463" spans="2:4">
      <c r="B1463" s="941" t="s">
        <v>854</v>
      </c>
      <c r="D1463" s="941" t="s">
        <v>2385</v>
      </c>
    </row>
    <row r="1464" spans="2:4">
      <c r="B1464" s="941" t="s">
        <v>8625</v>
      </c>
      <c r="D1464" s="941" t="s">
        <v>2386</v>
      </c>
    </row>
    <row r="1465" spans="2:4">
      <c r="B1465" s="941" t="s">
        <v>8626</v>
      </c>
      <c r="D1465" s="941" t="s">
        <v>2387</v>
      </c>
    </row>
    <row r="1466" spans="2:4">
      <c r="B1466" s="941" t="s">
        <v>8627</v>
      </c>
      <c r="D1466" s="941" t="s">
        <v>2388</v>
      </c>
    </row>
    <row r="1467" spans="2:4">
      <c r="B1467" s="941" t="s">
        <v>855</v>
      </c>
      <c r="D1467" s="941" t="s">
        <v>2389</v>
      </c>
    </row>
    <row r="1468" spans="2:4">
      <c r="B1468" s="941" t="s">
        <v>8628</v>
      </c>
      <c r="D1468" s="941" t="s">
        <v>2390</v>
      </c>
    </row>
    <row r="1469" spans="2:4">
      <c r="B1469" s="941" t="s">
        <v>8629</v>
      </c>
      <c r="D1469" s="941" t="s">
        <v>2391</v>
      </c>
    </row>
    <row r="1470" spans="2:4">
      <c r="B1470" s="941" t="s">
        <v>856</v>
      </c>
      <c r="D1470" s="941" t="s">
        <v>2392</v>
      </c>
    </row>
    <row r="1471" spans="2:4">
      <c r="B1471" s="941" t="s">
        <v>8630</v>
      </c>
      <c r="D1471" s="941" t="s">
        <v>2393</v>
      </c>
    </row>
    <row r="1472" spans="2:4">
      <c r="B1472" s="941" t="s">
        <v>8631</v>
      </c>
      <c r="D1472" s="941" t="s">
        <v>2394</v>
      </c>
    </row>
    <row r="1473" spans="2:4">
      <c r="B1473" s="941" t="s">
        <v>857</v>
      </c>
      <c r="D1473" s="941" t="s">
        <v>2395</v>
      </c>
    </row>
    <row r="1474" spans="2:4">
      <c r="B1474" s="941" t="s">
        <v>858</v>
      </c>
      <c r="D1474" s="941" t="s">
        <v>2396</v>
      </c>
    </row>
    <row r="1475" spans="2:4">
      <c r="B1475" s="941" t="s">
        <v>8632</v>
      </c>
      <c r="D1475" s="941" t="s">
        <v>2397</v>
      </c>
    </row>
    <row r="1476" spans="2:4">
      <c r="B1476" s="941" t="s">
        <v>8633</v>
      </c>
      <c r="D1476" s="941" t="s">
        <v>2398</v>
      </c>
    </row>
    <row r="1477" spans="2:4">
      <c r="B1477" s="941" t="s">
        <v>859</v>
      </c>
      <c r="D1477" s="941" t="s">
        <v>2399</v>
      </c>
    </row>
    <row r="1478" spans="2:4">
      <c r="B1478" s="941" t="s">
        <v>8634</v>
      </c>
      <c r="D1478" s="941" t="s">
        <v>2400</v>
      </c>
    </row>
    <row r="1479" spans="2:4">
      <c r="B1479" s="941" t="s">
        <v>860</v>
      </c>
      <c r="D1479" s="941" t="s">
        <v>2401</v>
      </c>
    </row>
    <row r="1480" spans="2:4">
      <c r="B1480" s="941" t="s">
        <v>8635</v>
      </c>
      <c r="D1480" s="941" t="s">
        <v>2402</v>
      </c>
    </row>
    <row r="1481" spans="2:4">
      <c r="B1481" s="941" t="s">
        <v>8636</v>
      </c>
      <c r="D1481" s="941" t="s">
        <v>2403</v>
      </c>
    </row>
    <row r="1482" spans="2:4">
      <c r="B1482" s="941" t="s">
        <v>8637</v>
      </c>
      <c r="D1482" s="941" t="s">
        <v>2404</v>
      </c>
    </row>
    <row r="1483" spans="2:4">
      <c r="B1483" s="941" t="s">
        <v>8638</v>
      </c>
      <c r="D1483" s="941" t="s">
        <v>2405</v>
      </c>
    </row>
    <row r="1484" spans="2:4">
      <c r="B1484" s="941" t="s">
        <v>8639</v>
      </c>
      <c r="D1484" s="941" t="s">
        <v>7568</v>
      </c>
    </row>
    <row r="1485" spans="2:4">
      <c r="B1485" s="941" t="s">
        <v>861</v>
      </c>
      <c r="D1485" s="941" t="s">
        <v>2406</v>
      </c>
    </row>
    <row r="1486" spans="2:4">
      <c r="B1486" s="941" t="s">
        <v>8640</v>
      </c>
      <c r="D1486" s="941" t="s">
        <v>2407</v>
      </c>
    </row>
    <row r="1487" spans="2:4">
      <c r="B1487" s="941" t="s">
        <v>8641</v>
      </c>
      <c r="D1487" s="941" t="s">
        <v>2408</v>
      </c>
    </row>
    <row r="1488" spans="2:4">
      <c r="B1488" s="941" t="s">
        <v>8642</v>
      </c>
      <c r="D1488" s="941" t="s">
        <v>2409</v>
      </c>
    </row>
    <row r="1489" spans="2:4">
      <c r="B1489" s="941" t="s">
        <v>862</v>
      </c>
      <c r="D1489" s="941" t="s">
        <v>7569</v>
      </c>
    </row>
    <row r="1490" spans="2:4">
      <c r="B1490" s="941" t="s">
        <v>8643</v>
      </c>
      <c r="D1490" s="941" t="s">
        <v>2410</v>
      </c>
    </row>
    <row r="1491" spans="2:4">
      <c r="B1491" s="941" t="s">
        <v>8644</v>
      </c>
      <c r="D1491" s="941" t="s">
        <v>2411</v>
      </c>
    </row>
    <row r="1492" spans="2:4">
      <c r="B1492" s="941" t="s">
        <v>863</v>
      </c>
      <c r="D1492" s="941" t="s">
        <v>2412</v>
      </c>
    </row>
    <row r="1493" spans="2:4">
      <c r="B1493" s="941" t="s">
        <v>8645</v>
      </c>
      <c r="D1493" s="941" t="s">
        <v>2413</v>
      </c>
    </row>
    <row r="1494" spans="2:4">
      <c r="B1494" s="941" t="s">
        <v>8646</v>
      </c>
      <c r="D1494" s="941" t="s">
        <v>2414</v>
      </c>
    </row>
    <row r="1495" spans="2:4">
      <c r="B1495" s="941" t="s">
        <v>8647</v>
      </c>
      <c r="D1495" s="941" t="s">
        <v>2415</v>
      </c>
    </row>
    <row r="1496" spans="2:4">
      <c r="B1496" s="941" t="s">
        <v>8648</v>
      </c>
      <c r="D1496" s="941" t="s">
        <v>2416</v>
      </c>
    </row>
    <row r="1497" spans="2:4">
      <c r="B1497" s="941" t="s">
        <v>8649</v>
      </c>
      <c r="D1497" s="941" t="s">
        <v>2417</v>
      </c>
    </row>
    <row r="1498" spans="2:4">
      <c r="B1498" s="941" t="s">
        <v>8650</v>
      </c>
      <c r="D1498" s="941" t="s">
        <v>2418</v>
      </c>
    </row>
    <row r="1499" spans="2:4">
      <c r="B1499" s="941" t="s">
        <v>864</v>
      </c>
      <c r="D1499" s="941" t="s">
        <v>2419</v>
      </c>
    </row>
    <row r="1500" spans="2:4">
      <c r="B1500" s="941" t="s">
        <v>8651</v>
      </c>
      <c r="D1500" s="941" t="s">
        <v>10409</v>
      </c>
    </row>
    <row r="1501" spans="2:4">
      <c r="B1501" s="941" t="s">
        <v>8652</v>
      </c>
      <c r="D1501" s="941" t="s">
        <v>10516</v>
      </c>
    </row>
    <row r="1502" spans="2:4">
      <c r="B1502" s="941" t="s">
        <v>8653</v>
      </c>
      <c r="D1502" s="941" t="s">
        <v>2420</v>
      </c>
    </row>
    <row r="1503" spans="2:4">
      <c r="B1503" s="941" t="s">
        <v>8654</v>
      </c>
      <c r="D1503" s="941" t="s">
        <v>2421</v>
      </c>
    </row>
    <row r="1504" spans="2:4">
      <c r="B1504" s="941" t="s">
        <v>8655</v>
      </c>
      <c r="D1504" s="941" t="s">
        <v>2422</v>
      </c>
    </row>
    <row r="1505" spans="2:4">
      <c r="B1505" s="941" t="s">
        <v>8656</v>
      </c>
      <c r="D1505" s="941" t="s">
        <v>2423</v>
      </c>
    </row>
    <row r="1506" spans="2:4">
      <c r="B1506" s="941" t="s">
        <v>8657</v>
      </c>
      <c r="D1506" s="941" t="s">
        <v>10191</v>
      </c>
    </row>
    <row r="1507" spans="2:4">
      <c r="B1507" s="941" t="s">
        <v>865</v>
      </c>
      <c r="D1507" s="941" t="s">
        <v>2424</v>
      </c>
    </row>
    <row r="1508" spans="2:4">
      <c r="B1508" s="941" t="s">
        <v>866</v>
      </c>
      <c r="D1508" s="941" t="s">
        <v>2425</v>
      </c>
    </row>
    <row r="1509" spans="2:4">
      <c r="B1509" s="941" t="s">
        <v>8658</v>
      </c>
      <c r="D1509" s="941" t="s">
        <v>9365</v>
      </c>
    </row>
    <row r="1510" spans="2:4">
      <c r="B1510" s="941" t="s">
        <v>8659</v>
      </c>
      <c r="D1510" s="941" t="s">
        <v>2426</v>
      </c>
    </row>
    <row r="1511" spans="2:4">
      <c r="B1511" s="941" t="s">
        <v>8660</v>
      </c>
      <c r="D1511" s="941" t="s">
        <v>2427</v>
      </c>
    </row>
    <row r="1512" spans="2:4">
      <c r="B1512" s="941" t="s">
        <v>8661</v>
      </c>
      <c r="D1512" s="941" t="s">
        <v>2428</v>
      </c>
    </row>
    <row r="1513" spans="2:4">
      <c r="B1513" s="941" t="s">
        <v>8662</v>
      </c>
      <c r="D1513" s="941" t="s">
        <v>9856</v>
      </c>
    </row>
    <row r="1514" spans="2:4">
      <c r="B1514" s="941" t="s">
        <v>8663</v>
      </c>
      <c r="D1514" s="941" t="s">
        <v>2429</v>
      </c>
    </row>
    <row r="1515" spans="2:4">
      <c r="B1515" s="941" t="s">
        <v>8664</v>
      </c>
      <c r="D1515" s="941" t="s">
        <v>2430</v>
      </c>
    </row>
    <row r="1516" spans="2:4">
      <c r="B1516" s="941" t="s">
        <v>8665</v>
      </c>
      <c r="D1516" s="941" t="s">
        <v>2431</v>
      </c>
    </row>
    <row r="1517" spans="2:4">
      <c r="B1517" s="941" t="s">
        <v>8666</v>
      </c>
      <c r="D1517" s="941" t="s">
        <v>2432</v>
      </c>
    </row>
    <row r="1518" spans="2:4">
      <c r="B1518" s="941" t="s">
        <v>8667</v>
      </c>
      <c r="D1518" s="941" t="s">
        <v>2433</v>
      </c>
    </row>
    <row r="1519" spans="2:4">
      <c r="B1519" s="941" t="s">
        <v>8668</v>
      </c>
      <c r="D1519" s="941" t="s">
        <v>2434</v>
      </c>
    </row>
    <row r="1520" spans="2:4">
      <c r="B1520" s="941" t="s">
        <v>8669</v>
      </c>
      <c r="D1520" s="941" t="s">
        <v>2435</v>
      </c>
    </row>
    <row r="1521" spans="2:4">
      <c r="B1521" s="941" t="s">
        <v>8670</v>
      </c>
      <c r="D1521" s="941" t="s">
        <v>2436</v>
      </c>
    </row>
    <row r="1522" spans="2:4">
      <c r="B1522" s="941" t="s">
        <v>10012</v>
      </c>
      <c r="D1522" s="941" t="s">
        <v>2437</v>
      </c>
    </row>
    <row r="1523" spans="2:4">
      <c r="B1523" s="941" t="s">
        <v>867</v>
      </c>
      <c r="D1523" s="941" t="s">
        <v>2438</v>
      </c>
    </row>
    <row r="1524" spans="2:4">
      <c r="B1524" s="941" t="s">
        <v>8671</v>
      </c>
      <c r="D1524" s="941" t="s">
        <v>2439</v>
      </c>
    </row>
    <row r="1525" spans="2:4">
      <c r="B1525" s="941" t="s">
        <v>8672</v>
      </c>
      <c r="D1525" s="941" t="s">
        <v>2440</v>
      </c>
    </row>
    <row r="1526" spans="2:4">
      <c r="B1526" s="941" t="s">
        <v>7964</v>
      </c>
      <c r="D1526" s="941" t="s">
        <v>2441</v>
      </c>
    </row>
    <row r="1527" spans="2:4">
      <c r="B1527" s="941" t="s">
        <v>8673</v>
      </c>
      <c r="D1527" s="941" t="s">
        <v>2442</v>
      </c>
    </row>
    <row r="1528" spans="2:4">
      <c r="B1528" s="941" t="s">
        <v>8674</v>
      </c>
      <c r="D1528" s="941" t="s">
        <v>2443</v>
      </c>
    </row>
    <row r="1529" spans="2:4">
      <c r="B1529" s="941" t="s">
        <v>7965</v>
      </c>
      <c r="D1529" s="941" t="s">
        <v>2444</v>
      </c>
    </row>
    <row r="1530" spans="2:4">
      <c r="B1530" s="941" t="s">
        <v>8675</v>
      </c>
      <c r="D1530" s="941" t="s">
        <v>2445</v>
      </c>
    </row>
    <row r="1531" spans="2:4">
      <c r="B1531" s="941" t="s">
        <v>8676</v>
      </c>
      <c r="D1531" s="941" t="s">
        <v>2446</v>
      </c>
    </row>
    <row r="1532" spans="2:4">
      <c r="B1532" s="941" t="s">
        <v>8677</v>
      </c>
      <c r="D1532" s="941" t="s">
        <v>2447</v>
      </c>
    </row>
    <row r="1533" spans="2:4">
      <c r="B1533" s="941" t="s">
        <v>868</v>
      </c>
      <c r="D1533" s="941" t="s">
        <v>2448</v>
      </c>
    </row>
    <row r="1534" spans="2:4">
      <c r="B1534" s="941" t="s">
        <v>8678</v>
      </c>
      <c r="D1534" s="941" t="s">
        <v>2449</v>
      </c>
    </row>
    <row r="1535" spans="2:4">
      <c r="B1535" s="941" t="s">
        <v>8679</v>
      </c>
      <c r="D1535" s="941" t="s">
        <v>2450</v>
      </c>
    </row>
    <row r="1536" spans="2:4">
      <c r="B1536" s="941" t="s">
        <v>8680</v>
      </c>
      <c r="D1536" s="941" t="s">
        <v>2451</v>
      </c>
    </row>
    <row r="1537" spans="2:4">
      <c r="B1537" s="941" t="s">
        <v>8681</v>
      </c>
      <c r="D1537" s="941" t="s">
        <v>2452</v>
      </c>
    </row>
    <row r="1538" spans="2:4">
      <c r="B1538" s="941" t="s">
        <v>869</v>
      </c>
      <c r="D1538" s="941" t="s">
        <v>2453</v>
      </c>
    </row>
    <row r="1539" spans="2:4">
      <c r="B1539" s="941" t="s">
        <v>8682</v>
      </c>
      <c r="D1539" s="941" t="s">
        <v>2454</v>
      </c>
    </row>
    <row r="1540" spans="2:4">
      <c r="B1540" s="941" t="s">
        <v>8683</v>
      </c>
      <c r="D1540" s="941" t="s">
        <v>2455</v>
      </c>
    </row>
    <row r="1541" spans="2:4">
      <c r="B1541" s="941" t="s">
        <v>8684</v>
      </c>
      <c r="D1541" s="941" t="s">
        <v>2456</v>
      </c>
    </row>
    <row r="1542" spans="2:4">
      <c r="B1542" s="941" t="s">
        <v>8685</v>
      </c>
      <c r="D1542" s="941" t="s">
        <v>2457</v>
      </c>
    </row>
    <row r="1543" spans="2:4">
      <c r="B1543" s="941" t="s">
        <v>8686</v>
      </c>
      <c r="D1543" s="941" t="s">
        <v>2458</v>
      </c>
    </row>
    <row r="1544" spans="2:4">
      <c r="B1544" s="941" t="s">
        <v>8687</v>
      </c>
      <c r="D1544" s="941" t="s">
        <v>2459</v>
      </c>
    </row>
    <row r="1545" spans="2:4">
      <c r="B1545" s="941" t="s">
        <v>8688</v>
      </c>
      <c r="D1545" s="941" t="s">
        <v>2460</v>
      </c>
    </row>
    <row r="1546" spans="2:4">
      <c r="B1546" s="941" t="s">
        <v>8689</v>
      </c>
      <c r="D1546" s="941" t="s">
        <v>2461</v>
      </c>
    </row>
    <row r="1547" spans="2:4">
      <c r="B1547" s="941" t="s">
        <v>8690</v>
      </c>
      <c r="D1547" s="941" t="s">
        <v>2462</v>
      </c>
    </row>
    <row r="1548" spans="2:4">
      <c r="B1548" s="941" t="s">
        <v>8691</v>
      </c>
      <c r="D1548" s="941" t="s">
        <v>2463</v>
      </c>
    </row>
    <row r="1549" spans="2:4">
      <c r="B1549" s="941" t="s">
        <v>7966</v>
      </c>
      <c r="D1549" s="941" t="s">
        <v>2464</v>
      </c>
    </row>
    <row r="1550" spans="2:4">
      <c r="B1550" s="941" t="s">
        <v>8692</v>
      </c>
      <c r="D1550" s="941" t="s">
        <v>2465</v>
      </c>
    </row>
    <row r="1551" spans="2:4">
      <c r="B1551" s="941" t="s">
        <v>7606</v>
      </c>
      <c r="D1551" s="941" t="s">
        <v>2466</v>
      </c>
    </row>
    <row r="1552" spans="2:4">
      <c r="B1552" s="941" t="s">
        <v>8693</v>
      </c>
      <c r="D1552" s="941" t="s">
        <v>2467</v>
      </c>
    </row>
    <row r="1553" spans="2:4">
      <c r="B1553" s="941" t="s">
        <v>8694</v>
      </c>
      <c r="D1553" s="941" t="s">
        <v>2468</v>
      </c>
    </row>
    <row r="1554" spans="2:4">
      <c r="B1554" s="941" t="s">
        <v>8695</v>
      </c>
      <c r="D1554" s="941" t="s">
        <v>2469</v>
      </c>
    </row>
    <row r="1555" spans="2:4">
      <c r="B1555" s="941" t="s">
        <v>8696</v>
      </c>
      <c r="D1555" s="941" t="s">
        <v>2470</v>
      </c>
    </row>
    <row r="1556" spans="2:4">
      <c r="B1556" s="941" t="s">
        <v>870</v>
      </c>
      <c r="D1556" s="941" t="s">
        <v>2471</v>
      </c>
    </row>
    <row r="1557" spans="2:4">
      <c r="B1557" s="941" t="s">
        <v>8697</v>
      </c>
      <c r="D1557" s="941" t="s">
        <v>2472</v>
      </c>
    </row>
    <row r="1558" spans="2:4">
      <c r="B1558" s="941" t="s">
        <v>871</v>
      </c>
      <c r="D1558" s="941" t="s">
        <v>2473</v>
      </c>
    </row>
    <row r="1559" spans="2:4">
      <c r="B1559" s="941" t="s">
        <v>872</v>
      </c>
      <c r="D1559" s="941" t="s">
        <v>2474</v>
      </c>
    </row>
    <row r="1560" spans="2:4">
      <c r="B1560" s="941" t="s">
        <v>8698</v>
      </c>
      <c r="D1560" s="941" t="s">
        <v>2475</v>
      </c>
    </row>
    <row r="1561" spans="2:4">
      <c r="B1561" s="941" t="s">
        <v>873</v>
      </c>
      <c r="D1561" s="941" t="s">
        <v>2476</v>
      </c>
    </row>
    <row r="1562" spans="2:4">
      <c r="B1562" s="941" t="s">
        <v>8699</v>
      </c>
      <c r="D1562" s="941" t="s">
        <v>2477</v>
      </c>
    </row>
    <row r="1563" spans="2:4">
      <c r="B1563" s="941" t="s">
        <v>8700</v>
      </c>
      <c r="D1563" s="941" t="s">
        <v>2478</v>
      </c>
    </row>
    <row r="1564" spans="2:4">
      <c r="B1564" s="941" t="s">
        <v>874</v>
      </c>
      <c r="D1564" s="941" t="s">
        <v>2479</v>
      </c>
    </row>
    <row r="1565" spans="2:4">
      <c r="B1565" s="941" t="s">
        <v>8701</v>
      </c>
      <c r="D1565" s="941" t="s">
        <v>2480</v>
      </c>
    </row>
    <row r="1566" spans="2:4">
      <c r="B1566" s="941" t="s">
        <v>8702</v>
      </c>
      <c r="D1566" s="941" t="s">
        <v>2481</v>
      </c>
    </row>
    <row r="1567" spans="2:4">
      <c r="B1567" s="941" t="s">
        <v>8703</v>
      </c>
      <c r="D1567" s="941" t="s">
        <v>2482</v>
      </c>
    </row>
    <row r="1568" spans="2:4">
      <c r="B1568" s="941" t="s">
        <v>8704</v>
      </c>
      <c r="D1568" s="941" t="s">
        <v>2483</v>
      </c>
    </row>
    <row r="1569" spans="2:4">
      <c r="B1569" s="941" t="s">
        <v>875</v>
      </c>
      <c r="D1569" s="941" t="s">
        <v>2484</v>
      </c>
    </row>
    <row r="1570" spans="2:4">
      <c r="B1570" s="941" t="s">
        <v>8705</v>
      </c>
      <c r="D1570" s="941" t="s">
        <v>2485</v>
      </c>
    </row>
    <row r="1571" spans="2:4">
      <c r="B1571" s="941" t="s">
        <v>876</v>
      </c>
      <c r="D1571" s="941" t="s">
        <v>2486</v>
      </c>
    </row>
    <row r="1572" spans="2:4">
      <c r="B1572" s="941" t="s">
        <v>8706</v>
      </c>
      <c r="D1572" s="941" t="s">
        <v>2487</v>
      </c>
    </row>
    <row r="1573" spans="2:4">
      <c r="B1573" s="941" t="s">
        <v>8707</v>
      </c>
      <c r="D1573" s="941" t="s">
        <v>2488</v>
      </c>
    </row>
    <row r="1574" spans="2:4">
      <c r="B1574" s="941" t="s">
        <v>8708</v>
      </c>
      <c r="D1574" s="941" t="s">
        <v>2489</v>
      </c>
    </row>
    <row r="1575" spans="2:4">
      <c r="B1575" s="941" t="s">
        <v>8709</v>
      </c>
      <c r="D1575" s="941" t="s">
        <v>2490</v>
      </c>
    </row>
    <row r="1576" spans="2:4">
      <c r="B1576" s="941" t="s">
        <v>8710</v>
      </c>
      <c r="D1576" s="941" t="s">
        <v>2491</v>
      </c>
    </row>
    <row r="1577" spans="2:4">
      <c r="B1577" s="941" t="s">
        <v>8711</v>
      </c>
      <c r="D1577" s="941" t="s">
        <v>2492</v>
      </c>
    </row>
    <row r="1578" spans="2:4">
      <c r="B1578" s="941" t="s">
        <v>8712</v>
      </c>
      <c r="D1578" s="941" t="s">
        <v>2493</v>
      </c>
    </row>
    <row r="1579" spans="2:4">
      <c r="B1579" s="941" t="s">
        <v>8713</v>
      </c>
      <c r="D1579" s="941" t="s">
        <v>2494</v>
      </c>
    </row>
    <row r="1580" spans="2:4">
      <c r="B1580" s="941" t="s">
        <v>877</v>
      </c>
      <c r="D1580" s="941" t="s">
        <v>2495</v>
      </c>
    </row>
    <row r="1581" spans="2:4">
      <c r="B1581" s="941" t="s">
        <v>878</v>
      </c>
      <c r="D1581" s="941" t="s">
        <v>2496</v>
      </c>
    </row>
    <row r="1582" spans="2:4">
      <c r="B1582" s="941" t="s">
        <v>8714</v>
      </c>
      <c r="D1582" s="941" t="s">
        <v>2497</v>
      </c>
    </row>
    <row r="1583" spans="2:4">
      <c r="B1583" s="941" t="s">
        <v>8715</v>
      </c>
      <c r="D1583" s="941" t="s">
        <v>2498</v>
      </c>
    </row>
    <row r="1584" spans="2:4">
      <c r="B1584" s="941" t="s">
        <v>8716</v>
      </c>
      <c r="D1584" s="941" t="s">
        <v>2499</v>
      </c>
    </row>
    <row r="1585" spans="2:4">
      <c r="B1585" s="941" t="s">
        <v>879</v>
      </c>
      <c r="D1585" s="941" t="s">
        <v>2500</v>
      </c>
    </row>
    <row r="1586" spans="2:4">
      <c r="B1586" s="941" t="s">
        <v>7754</v>
      </c>
      <c r="D1586" s="941" t="s">
        <v>2501</v>
      </c>
    </row>
    <row r="1587" spans="2:4">
      <c r="B1587" s="941" t="s">
        <v>8717</v>
      </c>
      <c r="D1587" s="941" t="s">
        <v>2502</v>
      </c>
    </row>
    <row r="1588" spans="2:4">
      <c r="B1588" s="941" t="s">
        <v>880</v>
      </c>
      <c r="D1588" s="941" t="s">
        <v>2503</v>
      </c>
    </row>
    <row r="1589" spans="2:4">
      <c r="B1589" s="941" t="s">
        <v>8718</v>
      </c>
      <c r="D1589" s="941" t="s">
        <v>2504</v>
      </c>
    </row>
    <row r="1590" spans="2:4">
      <c r="B1590" s="941" t="s">
        <v>8719</v>
      </c>
      <c r="D1590" s="941" t="s">
        <v>2505</v>
      </c>
    </row>
    <row r="1591" spans="2:4">
      <c r="B1591" s="941" t="s">
        <v>8720</v>
      </c>
      <c r="D1591" s="941" t="s">
        <v>2506</v>
      </c>
    </row>
    <row r="1592" spans="2:4">
      <c r="B1592" s="941" t="s">
        <v>8721</v>
      </c>
      <c r="D1592" s="941" t="s">
        <v>2507</v>
      </c>
    </row>
    <row r="1593" spans="2:4">
      <c r="B1593" s="941" t="s">
        <v>8722</v>
      </c>
      <c r="D1593" s="941" t="s">
        <v>2508</v>
      </c>
    </row>
    <row r="1594" spans="2:4">
      <c r="B1594" s="941" t="s">
        <v>8723</v>
      </c>
      <c r="D1594" s="941" t="s">
        <v>2509</v>
      </c>
    </row>
    <row r="1595" spans="2:4">
      <c r="B1595" s="941" t="s">
        <v>8724</v>
      </c>
      <c r="D1595" s="941" t="s">
        <v>2510</v>
      </c>
    </row>
    <row r="1596" spans="2:4">
      <c r="B1596" s="941" t="s">
        <v>8725</v>
      </c>
      <c r="D1596" s="941" t="s">
        <v>2511</v>
      </c>
    </row>
    <row r="1597" spans="2:4">
      <c r="B1597" s="941" t="s">
        <v>8726</v>
      </c>
      <c r="D1597" s="941" t="s">
        <v>2512</v>
      </c>
    </row>
    <row r="1598" spans="2:4">
      <c r="B1598" s="941" t="s">
        <v>5676</v>
      </c>
      <c r="D1598" s="941" t="s">
        <v>2513</v>
      </c>
    </row>
    <row r="1599" spans="2:4">
      <c r="B1599" s="941" t="s">
        <v>8727</v>
      </c>
      <c r="D1599" s="941" t="s">
        <v>2514</v>
      </c>
    </row>
    <row r="1600" spans="2:4">
      <c r="B1600" s="941" t="s">
        <v>881</v>
      </c>
      <c r="D1600" s="941" t="s">
        <v>2515</v>
      </c>
    </row>
    <row r="1601" spans="2:4">
      <c r="B1601" s="941" t="s">
        <v>8728</v>
      </c>
      <c r="D1601" s="941" t="s">
        <v>2516</v>
      </c>
    </row>
    <row r="1602" spans="2:4">
      <c r="B1602" s="941" t="s">
        <v>8729</v>
      </c>
      <c r="D1602" s="941" t="s">
        <v>2517</v>
      </c>
    </row>
    <row r="1603" spans="2:4">
      <c r="B1603" s="941" t="s">
        <v>8730</v>
      </c>
      <c r="D1603" s="941" t="s">
        <v>2518</v>
      </c>
    </row>
    <row r="1604" spans="2:4">
      <c r="B1604" s="941" t="s">
        <v>8731</v>
      </c>
      <c r="D1604" s="941" t="s">
        <v>2519</v>
      </c>
    </row>
    <row r="1605" spans="2:4">
      <c r="B1605" s="941" t="s">
        <v>882</v>
      </c>
      <c r="D1605" s="941" t="s">
        <v>2520</v>
      </c>
    </row>
    <row r="1606" spans="2:4">
      <c r="B1606" s="941" t="s">
        <v>9932</v>
      </c>
      <c r="D1606" s="941" t="s">
        <v>2521</v>
      </c>
    </row>
    <row r="1607" spans="2:4">
      <c r="B1607" s="941" t="s">
        <v>8732</v>
      </c>
      <c r="D1607" s="941" t="s">
        <v>2522</v>
      </c>
    </row>
    <row r="1608" spans="2:4">
      <c r="B1608" s="941" t="s">
        <v>8733</v>
      </c>
      <c r="D1608" s="941" t="s">
        <v>2523</v>
      </c>
    </row>
    <row r="1609" spans="2:4">
      <c r="B1609" s="941" t="s">
        <v>8734</v>
      </c>
      <c r="D1609" s="941" t="s">
        <v>2524</v>
      </c>
    </row>
    <row r="1610" spans="2:4">
      <c r="B1610" s="941" t="s">
        <v>8735</v>
      </c>
      <c r="D1610" s="941" t="s">
        <v>2525</v>
      </c>
    </row>
    <row r="1611" spans="2:4">
      <c r="B1611" s="941" t="s">
        <v>8736</v>
      </c>
      <c r="D1611" s="941" t="s">
        <v>2526</v>
      </c>
    </row>
    <row r="1612" spans="2:4">
      <c r="B1612" s="941" t="s">
        <v>8737</v>
      </c>
      <c r="D1612" s="941" t="s">
        <v>2527</v>
      </c>
    </row>
    <row r="1613" spans="2:4">
      <c r="B1613" s="941" t="s">
        <v>8738</v>
      </c>
      <c r="D1613" s="941" t="s">
        <v>2528</v>
      </c>
    </row>
    <row r="1614" spans="2:4">
      <c r="B1614" s="941" t="s">
        <v>883</v>
      </c>
      <c r="D1614" s="941" t="s">
        <v>2529</v>
      </c>
    </row>
    <row r="1615" spans="2:4">
      <c r="B1615" s="941" t="s">
        <v>8739</v>
      </c>
      <c r="D1615" s="941" t="s">
        <v>2530</v>
      </c>
    </row>
    <row r="1616" spans="2:4">
      <c r="B1616" s="941" t="s">
        <v>8740</v>
      </c>
      <c r="D1616" s="941" t="s">
        <v>2531</v>
      </c>
    </row>
    <row r="1617" spans="2:4">
      <c r="B1617" s="941" t="s">
        <v>5749</v>
      </c>
      <c r="D1617" s="941" t="s">
        <v>2532</v>
      </c>
    </row>
    <row r="1618" spans="2:4">
      <c r="B1618" s="941" t="s">
        <v>8741</v>
      </c>
      <c r="D1618" s="941" t="s">
        <v>2533</v>
      </c>
    </row>
    <row r="1619" spans="2:4">
      <c r="B1619" s="941" t="s">
        <v>8742</v>
      </c>
      <c r="D1619" s="941" t="s">
        <v>2534</v>
      </c>
    </row>
    <row r="1620" spans="2:4">
      <c r="B1620" s="941" t="s">
        <v>884</v>
      </c>
      <c r="D1620" s="941" t="s">
        <v>12336</v>
      </c>
    </row>
    <row r="1621" spans="2:4">
      <c r="B1621" s="941" t="s">
        <v>8743</v>
      </c>
      <c r="D1621" s="941" t="s">
        <v>2535</v>
      </c>
    </row>
    <row r="1622" spans="2:4">
      <c r="B1622" s="941" t="s">
        <v>8744</v>
      </c>
      <c r="D1622" s="941" t="s">
        <v>2536</v>
      </c>
    </row>
    <row r="1623" spans="2:4">
      <c r="B1623" s="941" t="s">
        <v>8745</v>
      </c>
      <c r="D1623" s="941" t="s">
        <v>2537</v>
      </c>
    </row>
    <row r="1624" spans="2:4">
      <c r="B1624" s="941" t="s">
        <v>8746</v>
      </c>
      <c r="D1624" s="941" t="s">
        <v>2538</v>
      </c>
    </row>
    <row r="1625" spans="2:4">
      <c r="B1625" s="941" t="s">
        <v>885</v>
      </c>
      <c r="D1625" s="941" t="s">
        <v>2539</v>
      </c>
    </row>
    <row r="1626" spans="2:4">
      <c r="B1626" s="941" t="s">
        <v>8747</v>
      </c>
      <c r="D1626" s="941" t="s">
        <v>2540</v>
      </c>
    </row>
    <row r="1627" spans="2:4">
      <c r="B1627" s="941" t="s">
        <v>8748</v>
      </c>
      <c r="D1627" s="941" t="s">
        <v>2541</v>
      </c>
    </row>
    <row r="1628" spans="2:4">
      <c r="B1628" s="941" t="s">
        <v>8749</v>
      </c>
      <c r="D1628" s="941" t="s">
        <v>2542</v>
      </c>
    </row>
    <row r="1629" spans="2:4">
      <c r="B1629" s="941" t="s">
        <v>8750</v>
      </c>
      <c r="D1629" s="941" t="s">
        <v>2543</v>
      </c>
    </row>
    <row r="1630" spans="2:4">
      <c r="B1630" s="941" t="s">
        <v>8751</v>
      </c>
      <c r="D1630" s="941" t="s">
        <v>2544</v>
      </c>
    </row>
    <row r="1631" spans="2:4">
      <c r="B1631" s="941" t="s">
        <v>5780</v>
      </c>
      <c r="D1631" s="941" t="s">
        <v>2545</v>
      </c>
    </row>
    <row r="1632" spans="2:4">
      <c r="B1632" s="941" t="s">
        <v>7967</v>
      </c>
      <c r="D1632" s="941" t="s">
        <v>2546</v>
      </c>
    </row>
    <row r="1633" spans="2:4">
      <c r="B1633" s="941" t="s">
        <v>8752</v>
      </c>
      <c r="D1633" s="941" t="s">
        <v>2547</v>
      </c>
    </row>
    <row r="1634" spans="2:4">
      <c r="B1634" s="941" t="s">
        <v>8753</v>
      </c>
      <c r="D1634" s="941" t="s">
        <v>2548</v>
      </c>
    </row>
    <row r="1635" spans="2:4">
      <c r="B1635" s="941" t="s">
        <v>8754</v>
      </c>
      <c r="D1635" s="941" t="s">
        <v>10192</v>
      </c>
    </row>
    <row r="1636" spans="2:4">
      <c r="B1636" s="941" t="s">
        <v>8755</v>
      </c>
      <c r="D1636" s="941" t="s">
        <v>2549</v>
      </c>
    </row>
    <row r="1637" spans="2:4">
      <c r="B1637" s="941" t="s">
        <v>8756</v>
      </c>
      <c r="D1637" s="941" t="s">
        <v>2550</v>
      </c>
    </row>
    <row r="1638" spans="2:4">
      <c r="B1638" s="941" t="s">
        <v>8757</v>
      </c>
      <c r="D1638" s="941" t="s">
        <v>2551</v>
      </c>
    </row>
    <row r="1639" spans="2:4">
      <c r="B1639" s="941" t="s">
        <v>886</v>
      </c>
      <c r="D1639" s="941" t="s">
        <v>2552</v>
      </c>
    </row>
    <row r="1640" spans="2:4">
      <c r="B1640" s="941" t="s">
        <v>8758</v>
      </c>
      <c r="D1640" s="941" t="s">
        <v>2553</v>
      </c>
    </row>
    <row r="1641" spans="2:4">
      <c r="B1641" s="941" t="s">
        <v>8759</v>
      </c>
      <c r="D1641" s="941" t="s">
        <v>2554</v>
      </c>
    </row>
    <row r="1642" spans="2:4">
      <c r="B1642" s="941" t="s">
        <v>8760</v>
      </c>
      <c r="D1642" s="941" t="s">
        <v>2555</v>
      </c>
    </row>
    <row r="1643" spans="2:4">
      <c r="B1643" s="941" t="s">
        <v>8761</v>
      </c>
      <c r="D1643" s="941" t="s">
        <v>2556</v>
      </c>
    </row>
    <row r="1644" spans="2:4">
      <c r="B1644" s="941" t="s">
        <v>7968</v>
      </c>
      <c r="D1644" s="941" t="s">
        <v>2557</v>
      </c>
    </row>
    <row r="1645" spans="2:4">
      <c r="B1645" s="941" t="s">
        <v>8762</v>
      </c>
      <c r="D1645" s="941" t="s">
        <v>2558</v>
      </c>
    </row>
    <row r="1646" spans="2:4">
      <c r="B1646" s="941" t="s">
        <v>8763</v>
      </c>
      <c r="D1646" s="941" t="s">
        <v>2559</v>
      </c>
    </row>
    <row r="1647" spans="2:4">
      <c r="B1647" s="941" t="s">
        <v>8764</v>
      </c>
      <c r="D1647" s="941" t="s">
        <v>2560</v>
      </c>
    </row>
    <row r="1648" spans="2:4">
      <c r="B1648" s="941" t="s">
        <v>8765</v>
      </c>
      <c r="D1648" s="941" t="s">
        <v>2561</v>
      </c>
    </row>
    <row r="1649" spans="2:4">
      <c r="B1649" s="941" t="s">
        <v>8766</v>
      </c>
      <c r="D1649" s="941" t="s">
        <v>2562</v>
      </c>
    </row>
    <row r="1650" spans="2:4">
      <c r="B1650" s="941" t="s">
        <v>8767</v>
      </c>
      <c r="D1650" s="941" t="s">
        <v>2563</v>
      </c>
    </row>
    <row r="1651" spans="2:4">
      <c r="B1651" s="941" t="s">
        <v>8768</v>
      </c>
      <c r="D1651" s="941" t="s">
        <v>2564</v>
      </c>
    </row>
    <row r="1652" spans="2:4">
      <c r="B1652" s="941" t="s">
        <v>8769</v>
      </c>
      <c r="D1652" s="941" t="s">
        <v>2565</v>
      </c>
    </row>
    <row r="1653" spans="2:4">
      <c r="B1653" s="941" t="s">
        <v>8770</v>
      </c>
      <c r="D1653" s="941" t="s">
        <v>2566</v>
      </c>
    </row>
    <row r="1654" spans="2:4">
      <c r="B1654" s="941" t="s">
        <v>8771</v>
      </c>
      <c r="D1654" s="941" t="s">
        <v>2567</v>
      </c>
    </row>
    <row r="1655" spans="2:4">
      <c r="B1655" s="941" t="s">
        <v>887</v>
      </c>
      <c r="D1655" s="941" t="s">
        <v>2568</v>
      </c>
    </row>
    <row r="1656" spans="2:4">
      <c r="B1656" s="941" t="s">
        <v>8772</v>
      </c>
      <c r="D1656" s="941" t="s">
        <v>2569</v>
      </c>
    </row>
    <row r="1657" spans="2:4">
      <c r="B1657" s="941" t="s">
        <v>888</v>
      </c>
      <c r="D1657" s="941" t="s">
        <v>2570</v>
      </c>
    </row>
    <row r="1658" spans="2:4">
      <c r="B1658" s="941" t="s">
        <v>8773</v>
      </c>
      <c r="D1658" s="941" t="s">
        <v>2571</v>
      </c>
    </row>
    <row r="1659" spans="2:4">
      <c r="B1659" s="941" t="s">
        <v>7607</v>
      </c>
      <c r="D1659" s="941" t="s">
        <v>2572</v>
      </c>
    </row>
    <row r="1660" spans="2:4">
      <c r="B1660" s="941" t="s">
        <v>8774</v>
      </c>
      <c r="D1660" s="941" t="s">
        <v>2573</v>
      </c>
    </row>
    <row r="1661" spans="2:4">
      <c r="B1661" s="941" t="s">
        <v>889</v>
      </c>
      <c r="D1661" s="941" t="s">
        <v>2574</v>
      </c>
    </row>
    <row r="1662" spans="2:4">
      <c r="B1662" s="941" t="s">
        <v>8775</v>
      </c>
      <c r="D1662" s="941" t="s">
        <v>2575</v>
      </c>
    </row>
    <row r="1663" spans="2:4">
      <c r="B1663" s="941" t="s">
        <v>8776</v>
      </c>
      <c r="D1663" s="941" t="s">
        <v>2576</v>
      </c>
    </row>
    <row r="1664" spans="2:4">
      <c r="B1664" s="941" t="s">
        <v>890</v>
      </c>
      <c r="D1664" s="941" t="s">
        <v>2577</v>
      </c>
    </row>
    <row r="1665" spans="2:4">
      <c r="B1665" s="941" t="s">
        <v>891</v>
      </c>
      <c r="D1665" s="941" t="s">
        <v>2578</v>
      </c>
    </row>
    <row r="1666" spans="2:4">
      <c r="B1666" s="941" t="s">
        <v>892</v>
      </c>
      <c r="D1666" s="941" t="s">
        <v>2579</v>
      </c>
    </row>
    <row r="1667" spans="2:4">
      <c r="B1667" s="941" t="s">
        <v>8777</v>
      </c>
      <c r="D1667" s="941" t="s">
        <v>2580</v>
      </c>
    </row>
    <row r="1668" spans="2:4">
      <c r="B1668" s="941" t="s">
        <v>8778</v>
      </c>
      <c r="D1668" s="941" t="s">
        <v>2581</v>
      </c>
    </row>
    <row r="1669" spans="2:4">
      <c r="B1669" s="941" t="s">
        <v>8779</v>
      </c>
      <c r="D1669" s="941" t="s">
        <v>9366</v>
      </c>
    </row>
    <row r="1670" spans="2:4">
      <c r="B1670" s="941" t="s">
        <v>8780</v>
      </c>
      <c r="D1670" s="941" t="s">
        <v>2582</v>
      </c>
    </row>
    <row r="1671" spans="2:4">
      <c r="B1671" s="941" t="s">
        <v>893</v>
      </c>
      <c r="D1671" s="941" t="s">
        <v>2583</v>
      </c>
    </row>
    <row r="1672" spans="2:4">
      <c r="B1672" s="941" t="s">
        <v>8781</v>
      </c>
      <c r="D1672" s="941" t="s">
        <v>2584</v>
      </c>
    </row>
    <row r="1673" spans="2:4">
      <c r="B1673" s="941" t="s">
        <v>8782</v>
      </c>
      <c r="D1673" s="941" t="s">
        <v>2585</v>
      </c>
    </row>
    <row r="1674" spans="2:4">
      <c r="B1674" s="941" t="s">
        <v>5872</v>
      </c>
      <c r="D1674" s="941" t="s">
        <v>10517</v>
      </c>
    </row>
    <row r="1675" spans="2:4">
      <c r="B1675" s="941" t="s">
        <v>8783</v>
      </c>
      <c r="D1675" s="941" t="s">
        <v>2586</v>
      </c>
    </row>
    <row r="1676" spans="2:4">
      <c r="B1676" s="941" t="s">
        <v>8784</v>
      </c>
      <c r="D1676" s="941" t="s">
        <v>2587</v>
      </c>
    </row>
    <row r="1677" spans="2:4">
      <c r="B1677" s="941" t="s">
        <v>9884</v>
      </c>
      <c r="D1677" s="941" t="s">
        <v>2588</v>
      </c>
    </row>
    <row r="1678" spans="2:4">
      <c r="B1678" s="941" t="s">
        <v>8785</v>
      </c>
      <c r="D1678" s="941" t="s">
        <v>2589</v>
      </c>
    </row>
    <row r="1679" spans="2:4">
      <c r="B1679" s="941" t="s">
        <v>8786</v>
      </c>
      <c r="D1679" s="941" t="s">
        <v>2590</v>
      </c>
    </row>
    <row r="1680" spans="2:4">
      <c r="B1680" s="941" t="s">
        <v>894</v>
      </c>
      <c r="D1680" s="941" t="s">
        <v>2591</v>
      </c>
    </row>
    <row r="1681" spans="2:4">
      <c r="B1681" s="941" t="s">
        <v>895</v>
      </c>
      <c r="D1681" s="941" t="s">
        <v>2592</v>
      </c>
    </row>
    <row r="1682" spans="2:4">
      <c r="B1682" s="941" t="s">
        <v>8787</v>
      </c>
      <c r="D1682" s="941" t="s">
        <v>2593</v>
      </c>
    </row>
    <row r="1683" spans="2:4">
      <c r="B1683" s="941" t="s">
        <v>10016</v>
      </c>
      <c r="D1683" s="941" t="s">
        <v>10114</v>
      </c>
    </row>
    <row r="1684" spans="2:4">
      <c r="B1684" s="941" t="s">
        <v>8788</v>
      </c>
      <c r="D1684" s="941" t="s">
        <v>2594</v>
      </c>
    </row>
    <row r="1685" spans="2:4">
      <c r="B1685" s="941" t="s">
        <v>8789</v>
      </c>
      <c r="D1685" s="941" t="s">
        <v>9367</v>
      </c>
    </row>
    <row r="1686" spans="2:4">
      <c r="B1686" s="941" t="s">
        <v>896</v>
      </c>
      <c r="D1686" s="941" t="s">
        <v>2595</v>
      </c>
    </row>
    <row r="1687" spans="2:4">
      <c r="B1687" s="941" t="s">
        <v>8790</v>
      </c>
      <c r="D1687" s="941" t="s">
        <v>2596</v>
      </c>
    </row>
    <row r="1688" spans="2:4">
      <c r="B1688" s="941" t="s">
        <v>897</v>
      </c>
      <c r="D1688" s="941" t="s">
        <v>9368</v>
      </c>
    </row>
    <row r="1689" spans="2:4">
      <c r="B1689" s="941" t="s">
        <v>898</v>
      </c>
      <c r="D1689" s="941" t="s">
        <v>2597</v>
      </c>
    </row>
    <row r="1690" spans="2:4">
      <c r="B1690" s="941" t="s">
        <v>8791</v>
      </c>
      <c r="D1690" s="941" t="s">
        <v>2598</v>
      </c>
    </row>
    <row r="1691" spans="2:4">
      <c r="B1691" s="941" t="s">
        <v>8792</v>
      </c>
      <c r="D1691" s="941" t="s">
        <v>2599</v>
      </c>
    </row>
    <row r="1692" spans="2:4">
      <c r="B1692" s="941" t="s">
        <v>9650</v>
      </c>
      <c r="D1692" s="941" t="s">
        <v>2600</v>
      </c>
    </row>
    <row r="1693" spans="2:4">
      <c r="B1693" s="941" t="s">
        <v>8793</v>
      </c>
      <c r="D1693" s="941" t="s">
        <v>2601</v>
      </c>
    </row>
    <row r="1694" spans="2:4">
      <c r="B1694" s="941" t="s">
        <v>8794</v>
      </c>
      <c r="D1694" s="941" t="s">
        <v>2602</v>
      </c>
    </row>
    <row r="1695" spans="2:4">
      <c r="B1695" s="941" t="s">
        <v>899</v>
      </c>
      <c r="D1695" s="941" t="s">
        <v>9369</v>
      </c>
    </row>
    <row r="1696" spans="2:4">
      <c r="B1696" s="941" t="s">
        <v>900</v>
      </c>
      <c r="D1696" s="941" t="s">
        <v>2603</v>
      </c>
    </row>
    <row r="1697" spans="2:4">
      <c r="B1697" s="941" t="s">
        <v>8795</v>
      </c>
      <c r="D1697" s="941" t="s">
        <v>2604</v>
      </c>
    </row>
    <row r="1698" spans="2:4">
      <c r="B1698" s="941" t="s">
        <v>8796</v>
      </c>
      <c r="D1698" s="941" t="s">
        <v>9370</v>
      </c>
    </row>
    <row r="1699" spans="2:4">
      <c r="B1699" s="941" t="s">
        <v>8797</v>
      </c>
      <c r="D1699" s="941" t="s">
        <v>2605</v>
      </c>
    </row>
    <row r="1700" spans="2:4">
      <c r="B1700" s="941" t="s">
        <v>901</v>
      </c>
      <c r="D1700" s="941" t="s">
        <v>2606</v>
      </c>
    </row>
    <row r="1701" spans="2:4">
      <c r="B1701" s="941" t="s">
        <v>8798</v>
      </c>
      <c r="D1701" s="941" t="s">
        <v>2607</v>
      </c>
    </row>
    <row r="1702" spans="2:4">
      <c r="B1702" s="941" t="s">
        <v>902</v>
      </c>
      <c r="D1702" s="941" t="s">
        <v>2608</v>
      </c>
    </row>
    <row r="1703" spans="2:4">
      <c r="B1703" s="941" t="s">
        <v>8799</v>
      </c>
      <c r="D1703" s="941" t="s">
        <v>2609</v>
      </c>
    </row>
    <row r="1704" spans="2:4">
      <c r="B1704" s="941" t="s">
        <v>8800</v>
      </c>
      <c r="D1704" s="941" t="s">
        <v>2610</v>
      </c>
    </row>
    <row r="1705" spans="2:4">
      <c r="B1705" s="941" t="s">
        <v>903</v>
      </c>
      <c r="D1705" s="941" t="s">
        <v>10602</v>
      </c>
    </row>
    <row r="1706" spans="2:4">
      <c r="B1706" s="941" t="s">
        <v>7969</v>
      </c>
      <c r="D1706" s="941" t="s">
        <v>2611</v>
      </c>
    </row>
    <row r="1707" spans="2:4">
      <c r="B1707" s="941" t="s">
        <v>6054</v>
      </c>
      <c r="D1707" s="941" t="s">
        <v>2612</v>
      </c>
    </row>
    <row r="1708" spans="2:4">
      <c r="B1708" s="941" t="s">
        <v>904</v>
      </c>
      <c r="D1708" s="941" t="s">
        <v>2613</v>
      </c>
    </row>
    <row r="1709" spans="2:4">
      <c r="B1709" s="941" t="s">
        <v>8801</v>
      </c>
      <c r="D1709" s="941" t="s">
        <v>2614</v>
      </c>
    </row>
    <row r="1710" spans="2:4">
      <c r="B1710" s="941" t="s">
        <v>8802</v>
      </c>
      <c r="D1710" s="941" t="s">
        <v>2615</v>
      </c>
    </row>
    <row r="1711" spans="2:4">
      <c r="B1711" s="941" t="s">
        <v>8803</v>
      </c>
      <c r="D1711" s="941" t="s">
        <v>2616</v>
      </c>
    </row>
    <row r="1712" spans="2:4">
      <c r="B1712" s="941" t="s">
        <v>9972</v>
      </c>
      <c r="D1712" s="941" t="s">
        <v>2617</v>
      </c>
    </row>
    <row r="1713" spans="2:4">
      <c r="B1713" s="941" t="s">
        <v>905</v>
      </c>
      <c r="D1713" s="941" t="s">
        <v>2618</v>
      </c>
    </row>
    <row r="1714" spans="2:4">
      <c r="B1714" s="941" t="s">
        <v>8804</v>
      </c>
      <c r="D1714" s="941" t="s">
        <v>2619</v>
      </c>
    </row>
    <row r="1715" spans="2:4">
      <c r="B1715" s="941" t="s">
        <v>8805</v>
      </c>
      <c r="D1715" s="941" t="s">
        <v>2620</v>
      </c>
    </row>
    <row r="1716" spans="2:4">
      <c r="B1716" s="941" t="s">
        <v>8806</v>
      </c>
      <c r="D1716" s="941" t="s">
        <v>2621</v>
      </c>
    </row>
    <row r="1717" spans="2:4">
      <c r="B1717" s="941" t="s">
        <v>8807</v>
      </c>
      <c r="D1717" s="941" t="s">
        <v>9371</v>
      </c>
    </row>
    <row r="1718" spans="2:4">
      <c r="B1718" s="941" t="s">
        <v>906</v>
      </c>
      <c r="D1718" s="941" t="s">
        <v>2622</v>
      </c>
    </row>
    <row r="1719" spans="2:4">
      <c r="B1719" s="941" t="s">
        <v>8808</v>
      </c>
      <c r="D1719" s="941" t="s">
        <v>2623</v>
      </c>
    </row>
    <row r="1720" spans="2:4">
      <c r="B1720" s="941" t="s">
        <v>8809</v>
      </c>
      <c r="D1720" s="941" t="s">
        <v>2624</v>
      </c>
    </row>
    <row r="1721" spans="2:4">
      <c r="B1721" s="941" t="s">
        <v>907</v>
      </c>
      <c r="D1721" s="941" t="s">
        <v>2625</v>
      </c>
    </row>
    <row r="1722" spans="2:4">
      <c r="B1722" s="941" t="s">
        <v>8810</v>
      </c>
      <c r="D1722" s="941" t="s">
        <v>2626</v>
      </c>
    </row>
    <row r="1723" spans="2:4">
      <c r="B1723" s="941" t="s">
        <v>8811</v>
      </c>
      <c r="D1723" s="941" t="s">
        <v>2627</v>
      </c>
    </row>
    <row r="1724" spans="2:4">
      <c r="B1724" s="941" t="s">
        <v>8812</v>
      </c>
      <c r="D1724" s="941" t="s">
        <v>2628</v>
      </c>
    </row>
    <row r="1725" spans="2:4">
      <c r="B1725" s="941" t="s">
        <v>908</v>
      </c>
      <c r="D1725" s="941" t="s">
        <v>2629</v>
      </c>
    </row>
    <row r="1726" spans="2:4">
      <c r="B1726" s="941" t="s">
        <v>8813</v>
      </c>
      <c r="D1726" s="941" t="s">
        <v>9372</v>
      </c>
    </row>
    <row r="1727" spans="2:4">
      <c r="B1727" s="941" t="s">
        <v>8814</v>
      </c>
      <c r="D1727" s="941" t="s">
        <v>2630</v>
      </c>
    </row>
    <row r="1728" spans="2:4">
      <c r="B1728" s="941" t="s">
        <v>8815</v>
      </c>
      <c r="D1728" s="941" t="s">
        <v>2631</v>
      </c>
    </row>
    <row r="1729" spans="2:4">
      <c r="B1729" s="941" t="s">
        <v>8816</v>
      </c>
      <c r="D1729" s="941" t="s">
        <v>10410</v>
      </c>
    </row>
    <row r="1730" spans="2:4">
      <c r="B1730" s="941" t="s">
        <v>8817</v>
      </c>
      <c r="D1730" s="941" t="s">
        <v>2632</v>
      </c>
    </row>
    <row r="1731" spans="2:4">
      <c r="B1731" s="941" t="s">
        <v>8818</v>
      </c>
      <c r="D1731" s="941" t="s">
        <v>2633</v>
      </c>
    </row>
    <row r="1732" spans="2:4">
      <c r="B1732" s="941" t="s">
        <v>8819</v>
      </c>
      <c r="D1732" s="941" t="s">
        <v>2634</v>
      </c>
    </row>
    <row r="1733" spans="2:4">
      <c r="B1733" s="941" t="s">
        <v>8820</v>
      </c>
      <c r="D1733" s="941" t="s">
        <v>2635</v>
      </c>
    </row>
    <row r="1734" spans="2:4">
      <c r="B1734" s="941" t="s">
        <v>8821</v>
      </c>
      <c r="D1734" s="941" t="s">
        <v>2636</v>
      </c>
    </row>
    <row r="1735" spans="2:4">
      <c r="B1735" s="941" t="s">
        <v>909</v>
      </c>
      <c r="D1735" s="941" t="s">
        <v>2637</v>
      </c>
    </row>
    <row r="1736" spans="2:4">
      <c r="B1736" s="941" t="s">
        <v>8822</v>
      </c>
      <c r="D1736" s="941" t="s">
        <v>2638</v>
      </c>
    </row>
    <row r="1737" spans="2:4">
      <c r="B1737" s="941" t="s">
        <v>910</v>
      </c>
      <c r="D1737" s="941" t="s">
        <v>2639</v>
      </c>
    </row>
    <row r="1738" spans="2:4">
      <c r="B1738" s="941" t="s">
        <v>911</v>
      </c>
      <c r="D1738" s="941" t="s">
        <v>2640</v>
      </c>
    </row>
    <row r="1739" spans="2:4">
      <c r="B1739" s="941" t="s">
        <v>8823</v>
      </c>
      <c r="D1739" s="941" t="s">
        <v>2641</v>
      </c>
    </row>
    <row r="1740" spans="2:4">
      <c r="B1740" s="941" t="s">
        <v>8824</v>
      </c>
      <c r="D1740" s="941" t="s">
        <v>2642</v>
      </c>
    </row>
    <row r="1741" spans="2:4">
      <c r="B1741" s="941" t="s">
        <v>912</v>
      </c>
      <c r="D1741" s="941" t="s">
        <v>2643</v>
      </c>
    </row>
    <row r="1742" spans="2:4">
      <c r="B1742" s="941" t="s">
        <v>8825</v>
      </c>
      <c r="D1742" s="941" t="s">
        <v>7570</v>
      </c>
    </row>
    <row r="1743" spans="2:4">
      <c r="B1743" s="941" t="s">
        <v>8826</v>
      </c>
      <c r="D1743" s="941" t="s">
        <v>9373</v>
      </c>
    </row>
    <row r="1744" spans="2:4">
      <c r="B1744" s="941" t="s">
        <v>8827</v>
      </c>
      <c r="D1744" s="941" t="s">
        <v>2644</v>
      </c>
    </row>
    <row r="1745" spans="2:4">
      <c r="B1745" s="941" t="s">
        <v>8828</v>
      </c>
      <c r="D1745" s="941" t="s">
        <v>2645</v>
      </c>
    </row>
    <row r="1746" spans="2:4">
      <c r="B1746" s="941" t="s">
        <v>8829</v>
      </c>
      <c r="D1746" s="941" t="s">
        <v>2646</v>
      </c>
    </row>
    <row r="1747" spans="2:4">
      <c r="B1747" s="941" t="s">
        <v>8830</v>
      </c>
      <c r="D1747" s="941" t="s">
        <v>2647</v>
      </c>
    </row>
    <row r="1748" spans="2:4">
      <c r="B1748" s="941" t="s">
        <v>8831</v>
      </c>
      <c r="D1748" s="941" t="s">
        <v>2648</v>
      </c>
    </row>
    <row r="1749" spans="2:4">
      <c r="B1749" s="941" t="s">
        <v>8832</v>
      </c>
      <c r="D1749" s="941" t="s">
        <v>2649</v>
      </c>
    </row>
    <row r="1750" spans="2:4">
      <c r="B1750" s="941" t="s">
        <v>8833</v>
      </c>
      <c r="D1750" s="941" t="s">
        <v>2650</v>
      </c>
    </row>
    <row r="1751" spans="2:4">
      <c r="B1751" s="941" t="s">
        <v>8834</v>
      </c>
      <c r="D1751" s="941" t="s">
        <v>2651</v>
      </c>
    </row>
    <row r="1752" spans="2:4">
      <c r="B1752" s="941" t="s">
        <v>8835</v>
      </c>
      <c r="D1752" s="941" t="s">
        <v>2652</v>
      </c>
    </row>
    <row r="1753" spans="2:4">
      <c r="B1753" s="941" t="s">
        <v>8836</v>
      </c>
      <c r="D1753" s="941" t="s">
        <v>2653</v>
      </c>
    </row>
    <row r="1754" spans="2:4">
      <c r="B1754" s="941" t="s">
        <v>8837</v>
      </c>
      <c r="D1754" s="941" t="s">
        <v>2654</v>
      </c>
    </row>
    <row r="1755" spans="2:4">
      <c r="B1755" s="941" t="s">
        <v>913</v>
      </c>
      <c r="D1755" s="941" t="s">
        <v>2655</v>
      </c>
    </row>
    <row r="1756" spans="2:4">
      <c r="B1756" s="941" t="s">
        <v>8838</v>
      </c>
      <c r="D1756" s="941" t="s">
        <v>2656</v>
      </c>
    </row>
    <row r="1757" spans="2:4">
      <c r="B1757" s="941" t="s">
        <v>6178</v>
      </c>
      <c r="D1757" s="941" t="s">
        <v>2657</v>
      </c>
    </row>
    <row r="1758" spans="2:4">
      <c r="B1758" s="941" t="s">
        <v>8839</v>
      </c>
      <c r="D1758" s="941" t="s">
        <v>11011</v>
      </c>
    </row>
    <row r="1759" spans="2:4">
      <c r="B1759" s="941" t="s">
        <v>8840</v>
      </c>
      <c r="D1759" s="941" t="s">
        <v>2658</v>
      </c>
    </row>
    <row r="1760" spans="2:4">
      <c r="B1760" s="941" t="s">
        <v>8841</v>
      </c>
      <c r="D1760" s="941" t="s">
        <v>2659</v>
      </c>
    </row>
    <row r="1761" spans="2:4">
      <c r="B1761" s="941" t="s">
        <v>914</v>
      </c>
      <c r="D1761" s="941" t="s">
        <v>9374</v>
      </c>
    </row>
    <row r="1762" spans="2:4">
      <c r="B1762" s="941" t="s">
        <v>8842</v>
      </c>
      <c r="D1762" s="941" t="s">
        <v>10374</v>
      </c>
    </row>
    <row r="1763" spans="2:4">
      <c r="B1763" s="941" t="s">
        <v>8843</v>
      </c>
      <c r="D1763" s="941" t="s">
        <v>2660</v>
      </c>
    </row>
    <row r="1764" spans="2:4">
      <c r="B1764" s="941" t="s">
        <v>8844</v>
      </c>
      <c r="D1764" s="941" t="s">
        <v>9375</v>
      </c>
    </row>
    <row r="1765" spans="2:4">
      <c r="B1765" s="941" t="s">
        <v>8845</v>
      </c>
      <c r="D1765" s="941" t="s">
        <v>2661</v>
      </c>
    </row>
    <row r="1766" spans="2:4">
      <c r="B1766" s="941" t="s">
        <v>8846</v>
      </c>
      <c r="D1766" s="941" t="s">
        <v>2662</v>
      </c>
    </row>
    <row r="1767" spans="2:4">
      <c r="B1767" s="941" t="s">
        <v>6212</v>
      </c>
      <c r="D1767" s="941" t="s">
        <v>2663</v>
      </c>
    </row>
    <row r="1768" spans="2:4">
      <c r="B1768" s="941" t="s">
        <v>8847</v>
      </c>
      <c r="D1768" s="941" t="s">
        <v>2664</v>
      </c>
    </row>
    <row r="1769" spans="2:4">
      <c r="B1769" s="941" t="s">
        <v>8848</v>
      </c>
      <c r="D1769" s="941" t="s">
        <v>2665</v>
      </c>
    </row>
    <row r="1770" spans="2:4">
      <c r="B1770" s="941" t="s">
        <v>8849</v>
      </c>
      <c r="D1770" s="941" t="s">
        <v>2666</v>
      </c>
    </row>
    <row r="1771" spans="2:4">
      <c r="B1771" s="941" t="s">
        <v>915</v>
      </c>
      <c r="D1771" s="941" t="s">
        <v>2667</v>
      </c>
    </row>
    <row r="1772" spans="2:4">
      <c r="B1772" s="941" t="s">
        <v>8850</v>
      </c>
      <c r="D1772" s="941" t="s">
        <v>2668</v>
      </c>
    </row>
    <row r="1773" spans="2:4">
      <c r="B1773" s="941" t="s">
        <v>8851</v>
      </c>
      <c r="D1773" s="941" t="s">
        <v>2669</v>
      </c>
    </row>
    <row r="1774" spans="2:4">
      <c r="B1774" s="941" t="s">
        <v>8852</v>
      </c>
      <c r="D1774" s="941" t="s">
        <v>2670</v>
      </c>
    </row>
    <row r="1775" spans="2:4">
      <c r="B1775" s="941" t="s">
        <v>916</v>
      </c>
      <c r="D1775" s="941" t="s">
        <v>2671</v>
      </c>
    </row>
    <row r="1776" spans="2:4">
      <c r="B1776" s="941" t="s">
        <v>8853</v>
      </c>
      <c r="D1776" s="941" t="s">
        <v>2672</v>
      </c>
    </row>
    <row r="1777" spans="2:4">
      <c r="B1777" s="941" t="s">
        <v>8854</v>
      </c>
      <c r="D1777" s="941" t="s">
        <v>2673</v>
      </c>
    </row>
    <row r="1778" spans="2:4">
      <c r="B1778" s="941" t="s">
        <v>7755</v>
      </c>
      <c r="D1778" s="941" t="s">
        <v>2674</v>
      </c>
    </row>
    <row r="1779" spans="2:4">
      <c r="B1779" s="941" t="s">
        <v>917</v>
      </c>
      <c r="D1779" s="941" t="s">
        <v>2675</v>
      </c>
    </row>
    <row r="1780" spans="2:4">
      <c r="B1780" s="941" t="s">
        <v>8855</v>
      </c>
      <c r="D1780" s="941" t="s">
        <v>2676</v>
      </c>
    </row>
    <row r="1781" spans="2:4">
      <c r="B1781" s="941" t="s">
        <v>8856</v>
      </c>
      <c r="D1781" s="941" t="s">
        <v>2677</v>
      </c>
    </row>
    <row r="1782" spans="2:4">
      <c r="B1782" s="941" t="s">
        <v>8857</v>
      </c>
      <c r="D1782" s="941" t="s">
        <v>2678</v>
      </c>
    </row>
    <row r="1783" spans="2:4">
      <c r="B1783" s="941" t="s">
        <v>8858</v>
      </c>
      <c r="D1783" s="941" t="s">
        <v>2679</v>
      </c>
    </row>
    <row r="1784" spans="2:4">
      <c r="B1784" s="941" t="s">
        <v>918</v>
      </c>
      <c r="D1784" s="941" t="s">
        <v>2680</v>
      </c>
    </row>
    <row r="1785" spans="2:4">
      <c r="B1785" s="941" t="s">
        <v>8859</v>
      </c>
      <c r="D1785" s="941" t="s">
        <v>2681</v>
      </c>
    </row>
    <row r="1786" spans="2:4">
      <c r="B1786" s="941" t="s">
        <v>8860</v>
      </c>
      <c r="D1786" s="941" t="s">
        <v>2682</v>
      </c>
    </row>
    <row r="1787" spans="2:4">
      <c r="B1787" s="941" t="s">
        <v>8861</v>
      </c>
      <c r="D1787" s="941" t="s">
        <v>2683</v>
      </c>
    </row>
    <row r="1788" spans="2:4">
      <c r="B1788" s="941" t="s">
        <v>919</v>
      </c>
      <c r="D1788" s="941" t="s">
        <v>10193</v>
      </c>
    </row>
    <row r="1789" spans="2:4">
      <c r="B1789" s="941" t="s">
        <v>8862</v>
      </c>
      <c r="D1789" s="941" t="s">
        <v>10375</v>
      </c>
    </row>
    <row r="1790" spans="2:4">
      <c r="B1790" s="941" t="s">
        <v>8863</v>
      </c>
      <c r="D1790" s="941" t="s">
        <v>2684</v>
      </c>
    </row>
    <row r="1791" spans="2:4">
      <c r="B1791" s="941" t="s">
        <v>8864</v>
      </c>
      <c r="D1791" s="941" t="s">
        <v>2685</v>
      </c>
    </row>
    <row r="1792" spans="2:4">
      <c r="B1792" s="941" t="s">
        <v>8865</v>
      </c>
      <c r="D1792" s="941" t="s">
        <v>2686</v>
      </c>
    </row>
    <row r="1793" spans="2:4">
      <c r="B1793" s="941" t="s">
        <v>8866</v>
      </c>
      <c r="D1793" s="941" t="s">
        <v>2687</v>
      </c>
    </row>
    <row r="1794" spans="2:4">
      <c r="B1794" s="941" t="s">
        <v>8867</v>
      </c>
      <c r="D1794" s="941" t="s">
        <v>2688</v>
      </c>
    </row>
    <row r="1795" spans="2:4">
      <c r="B1795" s="941" t="s">
        <v>8868</v>
      </c>
      <c r="D1795" s="941" t="s">
        <v>2689</v>
      </c>
    </row>
    <row r="1796" spans="2:4">
      <c r="B1796" s="941" t="s">
        <v>8869</v>
      </c>
      <c r="D1796" s="941" t="s">
        <v>2690</v>
      </c>
    </row>
    <row r="1797" spans="2:4">
      <c r="B1797" s="941" t="s">
        <v>6296</v>
      </c>
      <c r="D1797" s="941" t="s">
        <v>2691</v>
      </c>
    </row>
    <row r="1798" spans="2:4">
      <c r="B1798" s="941" t="s">
        <v>8870</v>
      </c>
      <c r="D1798" s="941" t="s">
        <v>2692</v>
      </c>
    </row>
    <row r="1799" spans="2:4">
      <c r="B1799" s="941" t="s">
        <v>8871</v>
      </c>
      <c r="D1799" s="941" t="s">
        <v>2693</v>
      </c>
    </row>
    <row r="1800" spans="2:4">
      <c r="B1800" s="941" t="s">
        <v>8872</v>
      </c>
      <c r="D1800" s="941" t="s">
        <v>2694</v>
      </c>
    </row>
    <row r="1801" spans="2:4">
      <c r="B1801" s="941" t="s">
        <v>8873</v>
      </c>
      <c r="D1801" s="941" t="s">
        <v>10376</v>
      </c>
    </row>
    <row r="1802" spans="2:4">
      <c r="B1802" s="941" t="s">
        <v>8874</v>
      </c>
      <c r="D1802" s="941" t="s">
        <v>2695</v>
      </c>
    </row>
    <row r="1803" spans="2:4">
      <c r="B1803" s="941" t="s">
        <v>8875</v>
      </c>
      <c r="D1803" s="941" t="s">
        <v>2696</v>
      </c>
    </row>
    <row r="1804" spans="2:4">
      <c r="B1804" s="941" t="s">
        <v>920</v>
      </c>
      <c r="D1804" s="941" t="s">
        <v>2697</v>
      </c>
    </row>
    <row r="1805" spans="2:4">
      <c r="B1805" s="941" t="s">
        <v>8876</v>
      </c>
      <c r="D1805" s="941" t="s">
        <v>2698</v>
      </c>
    </row>
    <row r="1806" spans="2:4">
      <c r="B1806" s="941" t="s">
        <v>8877</v>
      </c>
      <c r="D1806" s="941" t="s">
        <v>2699</v>
      </c>
    </row>
    <row r="1807" spans="2:4">
      <c r="B1807" s="941" t="s">
        <v>8878</v>
      </c>
      <c r="D1807" s="941" t="s">
        <v>1009</v>
      </c>
    </row>
    <row r="1808" spans="2:4">
      <c r="B1808" s="941" t="s">
        <v>8879</v>
      </c>
      <c r="D1808" s="941" t="s">
        <v>40</v>
      </c>
    </row>
    <row r="1809" spans="2:4">
      <c r="B1809" s="941" t="s">
        <v>8880</v>
      </c>
      <c r="D1809" s="941" t="s">
        <v>2700</v>
      </c>
    </row>
    <row r="1810" spans="2:4">
      <c r="B1810" s="941" t="s">
        <v>8881</v>
      </c>
      <c r="D1810" s="941" t="s">
        <v>2701</v>
      </c>
    </row>
    <row r="1811" spans="2:4">
      <c r="B1811" s="941" t="s">
        <v>8882</v>
      </c>
      <c r="D1811" s="941" t="s">
        <v>2702</v>
      </c>
    </row>
    <row r="1812" spans="2:4">
      <c r="B1812" s="941" t="s">
        <v>8883</v>
      </c>
      <c r="D1812" s="941" t="s">
        <v>2703</v>
      </c>
    </row>
    <row r="1813" spans="2:4">
      <c r="B1813" s="941" t="s">
        <v>6322</v>
      </c>
      <c r="D1813" s="941" t="s">
        <v>2704</v>
      </c>
    </row>
    <row r="1814" spans="2:4">
      <c r="B1814" s="941" t="s">
        <v>6323</v>
      </c>
      <c r="D1814" s="941" t="s">
        <v>2705</v>
      </c>
    </row>
    <row r="1815" spans="2:4">
      <c r="B1815" s="941" t="s">
        <v>8884</v>
      </c>
      <c r="D1815" s="941" t="s">
        <v>2706</v>
      </c>
    </row>
    <row r="1816" spans="2:4">
      <c r="B1816" s="941" t="s">
        <v>921</v>
      </c>
      <c r="D1816" s="941" t="s">
        <v>2707</v>
      </c>
    </row>
    <row r="1817" spans="2:4">
      <c r="B1817" s="941" t="s">
        <v>8885</v>
      </c>
      <c r="D1817" s="941" t="s">
        <v>2708</v>
      </c>
    </row>
    <row r="1818" spans="2:4">
      <c r="B1818" s="941" t="s">
        <v>8886</v>
      </c>
      <c r="D1818" s="941" t="s">
        <v>2709</v>
      </c>
    </row>
    <row r="1819" spans="2:4">
      <c r="B1819" s="941" t="s">
        <v>8887</v>
      </c>
      <c r="D1819" s="941" t="s">
        <v>2710</v>
      </c>
    </row>
    <row r="1820" spans="2:4">
      <c r="B1820" s="941" t="s">
        <v>8888</v>
      </c>
      <c r="D1820" s="941" t="s">
        <v>2711</v>
      </c>
    </row>
    <row r="1821" spans="2:4">
      <c r="B1821" s="941" t="s">
        <v>8889</v>
      </c>
      <c r="D1821" s="941" t="s">
        <v>2712</v>
      </c>
    </row>
    <row r="1822" spans="2:4">
      <c r="B1822" s="941" t="s">
        <v>8890</v>
      </c>
      <c r="D1822" s="941" t="s">
        <v>10518</v>
      </c>
    </row>
    <row r="1823" spans="2:4">
      <c r="B1823" s="941" t="s">
        <v>922</v>
      </c>
      <c r="D1823" s="941" t="s">
        <v>2713</v>
      </c>
    </row>
    <row r="1824" spans="2:4">
      <c r="B1824" s="941" t="s">
        <v>8891</v>
      </c>
      <c r="D1824" s="941" t="s">
        <v>2714</v>
      </c>
    </row>
    <row r="1825" spans="2:4">
      <c r="B1825" s="941" t="s">
        <v>8892</v>
      </c>
      <c r="D1825" s="941" t="s">
        <v>2715</v>
      </c>
    </row>
    <row r="1826" spans="2:4">
      <c r="B1826" s="941" t="s">
        <v>8893</v>
      </c>
      <c r="D1826" s="941" t="s">
        <v>2716</v>
      </c>
    </row>
    <row r="1827" spans="2:4">
      <c r="B1827" s="941" t="s">
        <v>8894</v>
      </c>
      <c r="D1827" s="941" t="s">
        <v>2717</v>
      </c>
    </row>
    <row r="1828" spans="2:4">
      <c r="B1828" s="941" t="s">
        <v>8895</v>
      </c>
      <c r="D1828" s="941" t="s">
        <v>9376</v>
      </c>
    </row>
    <row r="1829" spans="2:4">
      <c r="B1829" s="941" t="s">
        <v>8896</v>
      </c>
      <c r="D1829" s="941" t="s">
        <v>2718</v>
      </c>
    </row>
    <row r="1830" spans="2:4">
      <c r="B1830" s="941" t="s">
        <v>8897</v>
      </c>
      <c r="D1830" s="941" t="s">
        <v>9377</v>
      </c>
    </row>
    <row r="1831" spans="2:4">
      <c r="B1831" s="941" t="s">
        <v>8898</v>
      </c>
      <c r="D1831" s="941" t="s">
        <v>2719</v>
      </c>
    </row>
    <row r="1832" spans="2:4">
      <c r="B1832" s="941" t="s">
        <v>8899</v>
      </c>
      <c r="D1832" s="941" t="s">
        <v>2720</v>
      </c>
    </row>
    <row r="1833" spans="2:4">
      <c r="B1833" s="941" t="s">
        <v>8900</v>
      </c>
      <c r="D1833" s="941" t="s">
        <v>2721</v>
      </c>
    </row>
    <row r="1834" spans="2:4">
      <c r="B1834" s="941" t="s">
        <v>8901</v>
      </c>
      <c r="D1834" s="941" t="s">
        <v>2722</v>
      </c>
    </row>
    <row r="1835" spans="2:4">
      <c r="B1835" s="941" t="s">
        <v>923</v>
      </c>
      <c r="D1835" s="941" t="s">
        <v>2723</v>
      </c>
    </row>
    <row r="1836" spans="2:4">
      <c r="B1836" s="941" t="s">
        <v>8902</v>
      </c>
      <c r="D1836" s="941" t="s">
        <v>2724</v>
      </c>
    </row>
    <row r="1837" spans="2:4">
      <c r="B1837" s="941" t="s">
        <v>8903</v>
      </c>
      <c r="D1837" s="941" t="s">
        <v>2725</v>
      </c>
    </row>
    <row r="1838" spans="2:4">
      <c r="B1838" s="941" t="s">
        <v>8904</v>
      </c>
      <c r="D1838" s="941" t="s">
        <v>2726</v>
      </c>
    </row>
    <row r="1839" spans="2:4">
      <c r="B1839" s="941" t="s">
        <v>8905</v>
      </c>
      <c r="D1839" s="941" t="s">
        <v>2727</v>
      </c>
    </row>
    <row r="1840" spans="2:4">
      <c r="B1840" s="941" t="s">
        <v>7591</v>
      </c>
      <c r="D1840" s="941" t="s">
        <v>1010</v>
      </c>
    </row>
    <row r="1841" spans="2:4">
      <c r="B1841" s="941" t="s">
        <v>8906</v>
      </c>
      <c r="D1841" s="941" t="s">
        <v>9378</v>
      </c>
    </row>
    <row r="1842" spans="2:4">
      <c r="B1842" s="941" t="s">
        <v>924</v>
      </c>
      <c r="D1842" s="941" t="s">
        <v>2728</v>
      </c>
    </row>
    <row r="1843" spans="2:4">
      <c r="B1843" s="941" t="s">
        <v>925</v>
      </c>
      <c r="D1843" s="941" t="s">
        <v>2729</v>
      </c>
    </row>
    <row r="1844" spans="2:4">
      <c r="B1844" s="941" t="s">
        <v>8907</v>
      </c>
      <c r="D1844" s="941" t="s">
        <v>2730</v>
      </c>
    </row>
    <row r="1845" spans="2:4">
      <c r="B1845" s="941" t="s">
        <v>7970</v>
      </c>
      <c r="D1845" s="941" t="s">
        <v>2731</v>
      </c>
    </row>
    <row r="1846" spans="2:4">
      <c r="B1846" s="941" t="s">
        <v>926</v>
      </c>
      <c r="D1846" s="941" t="s">
        <v>2732</v>
      </c>
    </row>
    <row r="1847" spans="2:4">
      <c r="B1847" s="941" t="s">
        <v>927</v>
      </c>
      <c r="D1847" s="941" t="s">
        <v>9379</v>
      </c>
    </row>
    <row r="1848" spans="2:4">
      <c r="B1848" s="941" t="s">
        <v>8908</v>
      </c>
      <c r="D1848" s="941" t="s">
        <v>2733</v>
      </c>
    </row>
    <row r="1849" spans="2:4">
      <c r="B1849" s="941" t="s">
        <v>8909</v>
      </c>
      <c r="D1849" s="941" t="s">
        <v>2734</v>
      </c>
    </row>
    <row r="1850" spans="2:4">
      <c r="B1850" s="941" t="s">
        <v>8910</v>
      </c>
      <c r="D1850" s="941" t="s">
        <v>2735</v>
      </c>
    </row>
    <row r="1851" spans="2:4">
      <c r="B1851" s="941" t="s">
        <v>9933</v>
      </c>
      <c r="D1851" s="941" t="s">
        <v>2736</v>
      </c>
    </row>
    <row r="1852" spans="2:4">
      <c r="B1852" s="941" t="s">
        <v>8911</v>
      </c>
      <c r="D1852" s="941" t="s">
        <v>9380</v>
      </c>
    </row>
    <row r="1853" spans="2:4">
      <c r="B1853" s="941" t="s">
        <v>8912</v>
      </c>
      <c r="D1853" s="941" t="s">
        <v>2737</v>
      </c>
    </row>
    <row r="1854" spans="2:4">
      <c r="B1854" s="941" t="s">
        <v>8913</v>
      </c>
      <c r="D1854" s="941" t="s">
        <v>2738</v>
      </c>
    </row>
    <row r="1855" spans="2:4">
      <c r="B1855" s="941" t="s">
        <v>928</v>
      </c>
      <c r="D1855" s="941" t="s">
        <v>10221</v>
      </c>
    </row>
    <row r="1856" spans="2:4">
      <c r="B1856" s="941" t="s">
        <v>7932</v>
      </c>
      <c r="D1856" s="941" t="s">
        <v>10519</v>
      </c>
    </row>
    <row r="1857" spans="2:4">
      <c r="B1857" s="941" t="s">
        <v>8914</v>
      </c>
      <c r="D1857" s="941" t="s">
        <v>2739</v>
      </c>
    </row>
    <row r="1858" spans="2:4">
      <c r="B1858" s="941" t="s">
        <v>8915</v>
      </c>
      <c r="D1858" s="941" t="s">
        <v>2740</v>
      </c>
    </row>
    <row r="1859" spans="2:4">
      <c r="B1859" s="941" t="s">
        <v>8916</v>
      </c>
      <c r="D1859" s="941" t="s">
        <v>2741</v>
      </c>
    </row>
    <row r="1860" spans="2:4">
      <c r="B1860" s="941" t="s">
        <v>8917</v>
      </c>
      <c r="D1860" s="941" t="s">
        <v>2742</v>
      </c>
    </row>
    <row r="1861" spans="2:4">
      <c r="B1861" s="941" t="s">
        <v>8918</v>
      </c>
      <c r="D1861" s="941" t="s">
        <v>2743</v>
      </c>
    </row>
    <row r="1862" spans="2:4">
      <c r="B1862" s="941" t="s">
        <v>8919</v>
      </c>
      <c r="D1862" s="941" t="s">
        <v>2744</v>
      </c>
    </row>
    <row r="1863" spans="2:4">
      <c r="B1863" s="941" t="s">
        <v>8920</v>
      </c>
      <c r="D1863" s="941" t="s">
        <v>2745</v>
      </c>
    </row>
    <row r="1864" spans="2:4">
      <c r="B1864" s="941" t="s">
        <v>8921</v>
      </c>
      <c r="D1864" s="941" t="s">
        <v>2746</v>
      </c>
    </row>
    <row r="1865" spans="2:4">
      <c r="B1865" s="941" t="s">
        <v>8922</v>
      </c>
      <c r="D1865" s="941" t="s">
        <v>2747</v>
      </c>
    </row>
    <row r="1866" spans="2:4">
      <c r="B1866" s="941" t="s">
        <v>9885</v>
      </c>
      <c r="D1866" s="941" t="s">
        <v>2748</v>
      </c>
    </row>
    <row r="1867" spans="2:4">
      <c r="B1867" s="941" t="s">
        <v>8923</v>
      </c>
      <c r="D1867" s="941" t="s">
        <v>9381</v>
      </c>
    </row>
    <row r="1868" spans="2:4">
      <c r="B1868" s="941" t="s">
        <v>8924</v>
      </c>
      <c r="D1868" s="941" t="s">
        <v>2749</v>
      </c>
    </row>
    <row r="1869" spans="2:4">
      <c r="B1869" s="941" t="s">
        <v>929</v>
      </c>
      <c r="D1869" s="941" t="s">
        <v>2750</v>
      </c>
    </row>
    <row r="1870" spans="2:4">
      <c r="B1870" s="941" t="s">
        <v>8925</v>
      </c>
      <c r="D1870" s="941" t="s">
        <v>2751</v>
      </c>
    </row>
    <row r="1871" spans="2:4">
      <c r="B1871" s="941" t="s">
        <v>930</v>
      </c>
      <c r="D1871" s="941" t="s">
        <v>2752</v>
      </c>
    </row>
    <row r="1872" spans="2:4">
      <c r="B1872" s="941" t="s">
        <v>8926</v>
      </c>
      <c r="D1872" s="941" t="s">
        <v>2753</v>
      </c>
    </row>
    <row r="1873" spans="2:4">
      <c r="B1873" s="941" t="s">
        <v>931</v>
      </c>
      <c r="D1873" s="941" t="s">
        <v>2754</v>
      </c>
    </row>
    <row r="1874" spans="2:4">
      <c r="B1874" s="941" t="s">
        <v>8927</v>
      </c>
      <c r="D1874" s="941" t="s">
        <v>2755</v>
      </c>
    </row>
    <row r="1875" spans="2:4">
      <c r="B1875" s="941" t="s">
        <v>932</v>
      </c>
      <c r="D1875" s="941" t="s">
        <v>2756</v>
      </c>
    </row>
    <row r="1876" spans="2:4">
      <c r="B1876" s="941" t="s">
        <v>6466</v>
      </c>
      <c r="D1876" s="941" t="s">
        <v>2757</v>
      </c>
    </row>
    <row r="1877" spans="2:4">
      <c r="B1877" s="941" t="s">
        <v>9746</v>
      </c>
      <c r="D1877" s="941" t="s">
        <v>2758</v>
      </c>
    </row>
    <row r="1878" spans="2:4">
      <c r="B1878" s="941" t="s">
        <v>6486</v>
      </c>
      <c r="D1878" s="941" t="s">
        <v>11538</v>
      </c>
    </row>
    <row r="1879" spans="2:4">
      <c r="B1879" s="941" t="s">
        <v>6488</v>
      </c>
      <c r="D1879" s="941" t="s">
        <v>2759</v>
      </c>
    </row>
    <row r="1880" spans="2:4">
      <c r="B1880" s="941" t="s">
        <v>933</v>
      </c>
      <c r="D1880" s="941" t="s">
        <v>2760</v>
      </c>
    </row>
    <row r="1881" spans="2:4">
      <c r="B1881" s="941" t="s">
        <v>8928</v>
      </c>
      <c r="D1881" s="941" t="s">
        <v>9382</v>
      </c>
    </row>
    <row r="1882" spans="2:4">
      <c r="B1882" s="941" t="s">
        <v>8929</v>
      </c>
      <c r="D1882" s="941" t="s">
        <v>2761</v>
      </c>
    </row>
    <row r="1883" spans="2:4">
      <c r="B1883" s="941" t="s">
        <v>8930</v>
      </c>
      <c r="D1883" s="941" t="s">
        <v>9857</v>
      </c>
    </row>
    <row r="1884" spans="2:4">
      <c r="B1884" s="941" t="s">
        <v>8931</v>
      </c>
      <c r="D1884" s="941" t="s">
        <v>10520</v>
      </c>
    </row>
    <row r="1885" spans="2:4">
      <c r="B1885" s="941" t="s">
        <v>8932</v>
      </c>
      <c r="D1885" s="941" t="s">
        <v>2762</v>
      </c>
    </row>
    <row r="1886" spans="2:4">
      <c r="B1886" s="941" t="s">
        <v>8933</v>
      </c>
      <c r="D1886" s="941" t="s">
        <v>2763</v>
      </c>
    </row>
    <row r="1887" spans="2:4">
      <c r="B1887" s="941" t="s">
        <v>8934</v>
      </c>
      <c r="D1887" s="941" t="s">
        <v>2764</v>
      </c>
    </row>
    <row r="1888" spans="2:4">
      <c r="B1888" s="941" t="s">
        <v>8935</v>
      </c>
      <c r="D1888" s="941" t="s">
        <v>2765</v>
      </c>
    </row>
    <row r="1889" spans="2:4">
      <c r="B1889" s="941" t="s">
        <v>8936</v>
      </c>
      <c r="D1889" s="941" t="s">
        <v>2766</v>
      </c>
    </row>
    <row r="1890" spans="2:4">
      <c r="B1890" s="941" t="s">
        <v>8937</v>
      </c>
      <c r="D1890" s="941" t="s">
        <v>2767</v>
      </c>
    </row>
    <row r="1891" spans="2:4">
      <c r="B1891" s="941" t="s">
        <v>9886</v>
      </c>
      <c r="D1891" s="941" t="s">
        <v>2768</v>
      </c>
    </row>
    <row r="1892" spans="2:4">
      <c r="B1892" s="941" t="s">
        <v>8938</v>
      </c>
      <c r="D1892" s="941" t="s">
        <v>2769</v>
      </c>
    </row>
    <row r="1893" spans="2:4">
      <c r="B1893" s="941" t="s">
        <v>8939</v>
      </c>
      <c r="D1893" s="941" t="s">
        <v>9383</v>
      </c>
    </row>
    <row r="1894" spans="2:4">
      <c r="B1894" s="941" t="s">
        <v>8940</v>
      </c>
      <c r="D1894" s="941" t="s">
        <v>2770</v>
      </c>
    </row>
    <row r="1895" spans="2:4">
      <c r="B1895" s="941" t="s">
        <v>6525</v>
      </c>
      <c r="D1895" s="941" t="s">
        <v>2771</v>
      </c>
    </row>
    <row r="1896" spans="2:4">
      <c r="B1896" s="941" t="s">
        <v>934</v>
      </c>
      <c r="D1896" s="941" t="s">
        <v>2772</v>
      </c>
    </row>
    <row r="1897" spans="2:4">
      <c r="B1897" s="941" t="s">
        <v>7971</v>
      </c>
      <c r="D1897" s="941" t="s">
        <v>2773</v>
      </c>
    </row>
    <row r="1898" spans="2:4">
      <c r="B1898" s="941" t="s">
        <v>8941</v>
      </c>
      <c r="D1898" s="941" t="s">
        <v>2774</v>
      </c>
    </row>
    <row r="1899" spans="2:4">
      <c r="B1899" s="941" t="s">
        <v>8942</v>
      </c>
      <c r="D1899" s="941" t="s">
        <v>2775</v>
      </c>
    </row>
    <row r="1900" spans="2:4">
      <c r="B1900" s="941" t="s">
        <v>8943</v>
      </c>
      <c r="D1900" s="941" t="s">
        <v>2776</v>
      </c>
    </row>
    <row r="1901" spans="2:4">
      <c r="B1901" s="941" t="s">
        <v>8944</v>
      </c>
      <c r="D1901" s="941" t="s">
        <v>2777</v>
      </c>
    </row>
    <row r="1902" spans="2:4">
      <c r="B1902" s="941" t="s">
        <v>8945</v>
      </c>
      <c r="D1902" s="941" t="s">
        <v>2778</v>
      </c>
    </row>
    <row r="1903" spans="2:4">
      <c r="B1903" s="941" t="s">
        <v>9205</v>
      </c>
      <c r="D1903" s="941" t="s">
        <v>2779</v>
      </c>
    </row>
    <row r="1904" spans="2:4">
      <c r="B1904" s="941" t="s">
        <v>8946</v>
      </c>
      <c r="D1904" s="941" t="s">
        <v>10217</v>
      </c>
    </row>
    <row r="1905" spans="2:4">
      <c r="B1905" s="941" t="s">
        <v>8947</v>
      </c>
      <c r="D1905" s="941" t="s">
        <v>2780</v>
      </c>
    </row>
    <row r="1906" spans="2:4">
      <c r="B1906" s="941" t="s">
        <v>8948</v>
      </c>
      <c r="D1906" s="941" t="s">
        <v>2781</v>
      </c>
    </row>
    <row r="1907" spans="2:4">
      <c r="B1907" s="941" t="s">
        <v>8949</v>
      </c>
      <c r="D1907" s="941" t="s">
        <v>2782</v>
      </c>
    </row>
    <row r="1908" spans="2:4">
      <c r="B1908" s="941" t="s">
        <v>935</v>
      </c>
      <c r="D1908" s="941" t="s">
        <v>2783</v>
      </c>
    </row>
    <row r="1909" spans="2:4">
      <c r="B1909" s="941" t="s">
        <v>8950</v>
      </c>
      <c r="D1909" s="941" t="s">
        <v>2784</v>
      </c>
    </row>
    <row r="1910" spans="2:4">
      <c r="B1910" s="941" t="s">
        <v>8951</v>
      </c>
      <c r="D1910" s="941" t="s">
        <v>2785</v>
      </c>
    </row>
    <row r="1911" spans="2:4">
      <c r="B1911" s="941" t="s">
        <v>8952</v>
      </c>
      <c r="D1911" s="941" t="s">
        <v>2786</v>
      </c>
    </row>
    <row r="1912" spans="2:4">
      <c r="B1912" s="941" t="s">
        <v>8953</v>
      </c>
      <c r="D1912" s="941" t="s">
        <v>2787</v>
      </c>
    </row>
    <row r="1913" spans="2:4">
      <c r="B1913" s="941" t="s">
        <v>8954</v>
      </c>
      <c r="D1913" s="941" t="s">
        <v>2788</v>
      </c>
    </row>
    <row r="1914" spans="2:4">
      <c r="B1914" s="941" t="s">
        <v>8955</v>
      </c>
      <c r="D1914" s="941" t="s">
        <v>2789</v>
      </c>
    </row>
    <row r="1915" spans="2:4">
      <c r="B1915" s="941" t="s">
        <v>8956</v>
      </c>
      <c r="D1915" s="941" t="s">
        <v>2790</v>
      </c>
    </row>
    <row r="1916" spans="2:4">
      <c r="B1916" s="941" t="s">
        <v>8957</v>
      </c>
      <c r="D1916" s="941" t="s">
        <v>2791</v>
      </c>
    </row>
    <row r="1917" spans="2:4">
      <c r="B1917" s="941" t="s">
        <v>8958</v>
      </c>
      <c r="D1917" s="941" t="s">
        <v>2792</v>
      </c>
    </row>
    <row r="1918" spans="2:4">
      <c r="B1918" s="941" t="s">
        <v>8959</v>
      </c>
      <c r="D1918" s="941" t="s">
        <v>2793</v>
      </c>
    </row>
    <row r="1919" spans="2:4">
      <c r="B1919" s="941" t="s">
        <v>936</v>
      </c>
      <c r="D1919" s="941" t="s">
        <v>2794</v>
      </c>
    </row>
    <row r="1920" spans="2:4">
      <c r="B1920" s="941" t="s">
        <v>8960</v>
      </c>
      <c r="D1920" s="941" t="s">
        <v>2795</v>
      </c>
    </row>
    <row r="1921" spans="2:4">
      <c r="B1921" s="941" t="s">
        <v>8961</v>
      </c>
      <c r="D1921" s="941" t="s">
        <v>2796</v>
      </c>
    </row>
    <row r="1922" spans="2:4">
      <c r="B1922" s="941" t="s">
        <v>937</v>
      </c>
      <c r="D1922" s="941" t="s">
        <v>2797</v>
      </c>
    </row>
    <row r="1923" spans="2:4">
      <c r="B1923" s="941" t="s">
        <v>938</v>
      </c>
      <c r="D1923" s="941" t="s">
        <v>2798</v>
      </c>
    </row>
    <row r="1924" spans="2:4">
      <c r="B1924" s="941" t="s">
        <v>8962</v>
      </c>
      <c r="D1924" s="941" t="s">
        <v>2799</v>
      </c>
    </row>
    <row r="1925" spans="2:4">
      <c r="B1925" s="941" t="s">
        <v>8963</v>
      </c>
      <c r="D1925" s="941" t="s">
        <v>2800</v>
      </c>
    </row>
    <row r="1926" spans="2:4">
      <c r="B1926" s="941" t="s">
        <v>8964</v>
      </c>
      <c r="D1926" s="941" t="s">
        <v>2801</v>
      </c>
    </row>
    <row r="1927" spans="2:4">
      <c r="B1927" s="941" t="s">
        <v>939</v>
      </c>
      <c r="D1927" s="941" t="s">
        <v>2802</v>
      </c>
    </row>
    <row r="1928" spans="2:4">
      <c r="B1928" s="941" t="s">
        <v>8965</v>
      </c>
      <c r="D1928" s="941" t="s">
        <v>2803</v>
      </c>
    </row>
    <row r="1929" spans="2:4">
      <c r="B1929" s="941" t="s">
        <v>8966</v>
      </c>
      <c r="D1929" s="941" t="s">
        <v>2804</v>
      </c>
    </row>
    <row r="1930" spans="2:4">
      <c r="B1930" s="941" t="s">
        <v>6637</v>
      </c>
      <c r="D1930" s="941" t="s">
        <v>2805</v>
      </c>
    </row>
    <row r="1931" spans="2:4">
      <c r="B1931" s="941" t="s">
        <v>8967</v>
      </c>
      <c r="D1931" s="941" t="s">
        <v>2806</v>
      </c>
    </row>
    <row r="1932" spans="2:4">
      <c r="B1932" s="941" t="s">
        <v>8968</v>
      </c>
      <c r="D1932" s="941" t="s">
        <v>2807</v>
      </c>
    </row>
    <row r="1933" spans="2:4">
      <c r="B1933" s="941" t="s">
        <v>8969</v>
      </c>
      <c r="D1933" s="941" t="s">
        <v>2808</v>
      </c>
    </row>
    <row r="1934" spans="2:4">
      <c r="B1934" s="941" t="s">
        <v>8970</v>
      </c>
      <c r="D1934" s="941" t="s">
        <v>9384</v>
      </c>
    </row>
    <row r="1935" spans="2:4">
      <c r="B1935" s="941" t="s">
        <v>940</v>
      </c>
      <c r="D1935" s="941" t="s">
        <v>2809</v>
      </c>
    </row>
    <row r="1936" spans="2:4">
      <c r="B1936" s="941" t="s">
        <v>7852</v>
      </c>
      <c r="D1936" s="941" t="s">
        <v>2810</v>
      </c>
    </row>
    <row r="1937" spans="2:4">
      <c r="B1937" s="941" t="s">
        <v>8971</v>
      </c>
      <c r="D1937" s="941" t="s">
        <v>2811</v>
      </c>
    </row>
    <row r="1938" spans="2:4">
      <c r="B1938" s="941" t="s">
        <v>6662</v>
      </c>
      <c r="D1938" s="941" t="s">
        <v>2812</v>
      </c>
    </row>
    <row r="1939" spans="2:4">
      <c r="B1939" s="941" t="s">
        <v>8972</v>
      </c>
      <c r="D1939" s="941" t="s">
        <v>2813</v>
      </c>
    </row>
    <row r="1940" spans="2:4">
      <c r="B1940" s="941" t="s">
        <v>10087</v>
      </c>
      <c r="D1940" s="941" t="s">
        <v>9858</v>
      </c>
    </row>
    <row r="1941" spans="2:4">
      <c r="B1941" s="941" t="s">
        <v>8973</v>
      </c>
      <c r="D1941" s="941" t="s">
        <v>2814</v>
      </c>
    </row>
    <row r="1942" spans="2:4">
      <c r="B1942" s="941" t="s">
        <v>8974</v>
      </c>
      <c r="D1942" s="941" t="s">
        <v>2815</v>
      </c>
    </row>
    <row r="1943" spans="2:4">
      <c r="B1943" s="941" t="s">
        <v>941</v>
      </c>
      <c r="D1943" s="941" t="s">
        <v>2816</v>
      </c>
    </row>
    <row r="1944" spans="2:4">
      <c r="B1944" s="941" t="s">
        <v>8975</v>
      </c>
      <c r="D1944" s="941" t="s">
        <v>2817</v>
      </c>
    </row>
    <row r="1945" spans="2:4">
      <c r="B1945" s="941" t="s">
        <v>8976</v>
      </c>
      <c r="D1945" s="941" t="s">
        <v>2818</v>
      </c>
    </row>
    <row r="1946" spans="2:4">
      <c r="B1946" s="941" t="s">
        <v>8977</v>
      </c>
      <c r="D1946" s="941" t="s">
        <v>2819</v>
      </c>
    </row>
    <row r="1947" spans="2:4">
      <c r="B1947" s="941" t="s">
        <v>942</v>
      </c>
      <c r="D1947" s="941" t="s">
        <v>2820</v>
      </c>
    </row>
    <row r="1948" spans="2:4">
      <c r="B1948" s="941" t="s">
        <v>8978</v>
      </c>
      <c r="D1948" s="941" t="s">
        <v>9385</v>
      </c>
    </row>
    <row r="1949" spans="2:4">
      <c r="B1949" s="941" t="s">
        <v>8979</v>
      </c>
      <c r="D1949" s="941" t="s">
        <v>2821</v>
      </c>
    </row>
    <row r="1950" spans="2:4">
      <c r="B1950" s="941" t="s">
        <v>8980</v>
      </c>
      <c r="D1950" s="941" t="s">
        <v>10740</v>
      </c>
    </row>
    <row r="1951" spans="2:4">
      <c r="B1951" s="941" t="s">
        <v>8981</v>
      </c>
      <c r="D1951" s="941" t="s">
        <v>2822</v>
      </c>
    </row>
    <row r="1952" spans="2:4">
      <c r="B1952" s="941" t="s">
        <v>8982</v>
      </c>
      <c r="D1952" s="941" t="s">
        <v>2823</v>
      </c>
    </row>
    <row r="1953" spans="2:4">
      <c r="B1953" s="941" t="s">
        <v>8983</v>
      </c>
      <c r="D1953" s="941" t="s">
        <v>2824</v>
      </c>
    </row>
    <row r="1954" spans="2:4">
      <c r="B1954" s="941" t="s">
        <v>8984</v>
      </c>
      <c r="D1954" s="941" t="s">
        <v>10320</v>
      </c>
    </row>
    <row r="1955" spans="2:4">
      <c r="B1955" s="941" t="s">
        <v>8985</v>
      </c>
      <c r="D1955" s="941" t="s">
        <v>2825</v>
      </c>
    </row>
    <row r="1956" spans="2:4">
      <c r="B1956" s="941" t="s">
        <v>8986</v>
      </c>
      <c r="D1956" s="941" t="s">
        <v>2826</v>
      </c>
    </row>
    <row r="1957" spans="2:4">
      <c r="B1957" s="941" t="s">
        <v>8987</v>
      </c>
      <c r="D1957" s="941" t="s">
        <v>9386</v>
      </c>
    </row>
    <row r="1958" spans="2:4">
      <c r="B1958" s="941" t="s">
        <v>6712</v>
      </c>
      <c r="D1958" s="941" t="s">
        <v>2827</v>
      </c>
    </row>
    <row r="1959" spans="2:4">
      <c r="B1959" s="941" t="s">
        <v>8988</v>
      </c>
      <c r="D1959" s="941" t="s">
        <v>10728</v>
      </c>
    </row>
    <row r="1960" spans="2:4">
      <c r="B1960" s="941" t="s">
        <v>8989</v>
      </c>
      <c r="D1960" s="941" t="s">
        <v>2828</v>
      </c>
    </row>
    <row r="1961" spans="2:4">
      <c r="B1961" s="941" t="s">
        <v>8990</v>
      </c>
      <c r="D1961" s="941" t="s">
        <v>397</v>
      </c>
    </row>
    <row r="1962" spans="2:4">
      <c r="B1962" s="941" t="s">
        <v>943</v>
      </c>
      <c r="D1962" s="941" t="s">
        <v>10440</v>
      </c>
    </row>
    <row r="1963" spans="2:4">
      <c r="B1963" s="941" t="s">
        <v>944</v>
      </c>
      <c r="D1963" s="941" t="s">
        <v>2829</v>
      </c>
    </row>
    <row r="1964" spans="2:4">
      <c r="B1964" s="941" t="s">
        <v>8991</v>
      </c>
      <c r="D1964" s="941" t="s">
        <v>2830</v>
      </c>
    </row>
    <row r="1965" spans="2:4">
      <c r="B1965" s="941" t="s">
        <v>8992</v>
      </c>
      <c r="D1965" s="941" t="s">
        <v>2831</v>
      </c>
    </row>
    <row r="1966" spans="2:4">
      <c r="B1966" s="941" t="s">
        <v>1038</v>
      </c>
      <c r="D1966" s="941" t="s">
        <v>2832</v>
      </c>
    </row>
    <row r="1967" spans="2:4">
      <c r="B1967" s="941" t="s">
        <v>8993</v>
      </c>
      <c r="D1967" s="941" t="s">
        <v>2833</v>
      </c>
    </row>
    <row r="1968" spans="2:4">
      <c r="B1968" s="941" t="s">
        <v>8994</v>
      </c>
      <c r="D1968" s="941" t="s">
        <v>2834</v>
      </c>
    </row>
    <row r="1969" spans="2:4">
      <c r="B1969" s="941" t="s">
        <v>8995</v>
      </c>
      <c r="D1969" s="941" t="s">
        <v>2835</v>
      </c>
    </row>
    <row r="1970" spans="2:4">
      <c r="B1970" s="941" t="s">
        <v>8996</v>
      </c>
      <c r="D1970" s="941" t="s">
        <v>2836</v>
      </c>
    </row>
    <row r="1971" spans="2:4">
      <c r="B1971" s="941" t="s">
        <v>8997</v>
      </c>
      <c r="D1971" s="941" t="s">
        <v>2837</v>
      </c>
    </row>
    <row r="1972" spans="2:4">
      <c r="B1972" s="941" t="s">
        <v>945</v>
      </c>
      <c r="D1972" s="941" t="s">
        <v>9387</v>
      </c>
    </row>
    <row r="1973" spans="2:4">
      <c r="B1973" s="941" t="s">
        <v>8998</v>
      </c>
      <c r="D1973" s="941" t="s">
        <v>2838</v>
      </c>
    </row>
    <row r="1974" spans="2:4">
      <c r="B1974" s="941" t="s">
        <v>8999</v>
      </c>
      <c r="D1974" s="941" t="s">
        <v>9388</v>
      </c>
    </row>
    <row r="1975" spans="2:4">
      <c r="B1975" s="941" t="s">
        <v>9000</v>
      </c>
      <c r="D1975" s="941" t="s">
        <v>2839</v>
      </c>
    </row>
    <row r="1976" spans="2:4">
      <c r="B1976" s="941" t="s">
        <v>9001</v>
      </c>
      <c r="D1976" s="941" t="s">
        <v>2840</v>
      </c>
    </row>
    <row r="1977" spans="2:4">
      <c r="B1977" s="941" t="s">
        <v>9002</v>
      </c>
      <c r="D1977" s="941" t="s">
        <v>9389</v>
      </c>
    </row>
    <row r="1978" spans="2:4">
      <c r="B1978" s="941" t="s">
        <v>9003</v>
      </c>
      <c r="D1978" s="941" t="s">
        <v>2841</v>
      </c>
    </row>
    <row r="1979" spans="2:4">
      <c r="B1979" s="941" t="s">
        <v>946</v>
      </c>
      <c r="D1979" s="941" t="s">
        <v>2842</v>
      </c>
    </row>
    <row r="1980" spans="2:4">
      <c r="B1980" s="941" t="s">
        <v>9004</v>
      </c>
      <c r="D1980" s="941" t="s">
        <v>2843</v>
      </c>
    </row>
    <row r="1981" spans="2:4">
      <c r="B1981" s="941" t="s">
        <v>9005</v>
      </c>
      <c r="D1981" s="941" t="s">
        <v>2844</v>
      </c>
    </row>
    <row r="1982" spans="2:4">
      <c r="B1982" s="941" t="s">
        <v>9006</v>
      </c>
      <c r="D1982" s="941" t="s">
        <v>2845</v>
      </c>
    </row>
    <row r="1983" spans="2:4">
      <c r="B1983" s="941" t="s">
        <v>9007</v>
      </c>
      <c r="D1983" s="941" t="s">
        <v>10603</v>
      </c>
    </row>
    <row r="1984" spans="2:4">
      <c r="B1984" s="941" t="s">
        <v>9008</v>
      </c>
      <c r="D1984" s="941" t="s">
        <v>2846</v>
      </c>
    </row>
    <row r="1985" spans="2:4">
      <c r="B1985" s="941" t="s">
        <v>9009</v>
      </c>
      <c r="D1985" s="941" t="s">
        <v>9390</v>
      </c>
    </row>
    <row r="1986" spans="2:4">
      <c r="B1986" s="941" t="s">
        <v>9010</v>
      </c>
      <c r="D1986" s="941" t="s">
        <v>2847</v>
      </c>
    </row>
    <row r="1987" spans="2:4">
      <c r="B1987" s="941" t="s">
        <v>9011</v>
      </c>
      <c r="D1987" s="941" t="s">
        <v>2848</v>
      </c>
    </row>
    <row r="1988" spans="2:4">
      <c r="B1988" s="941" t="s">
        <v>9012</v>
      </c>
      <c r="D1988" s="941" t="s">
        <v>2849</v>
      </c>
    </row>
    <row r="1989" spans="2:4">
      <c r="B1989" s="941" t="s">
        <v>9013</v>
      </c>
      <c r="D1989" s="941" t="s">
        <v>2850</v>
      </c>
    </row>
    <row r="1990" spans="2:4">
      <c r="B1990" s="941" t="s">
        <v>9014</v>
      </c>
      <c r="D1990" s="941" t="s">
        <v>2851</v>
      </c>
    </row>
    <row r="1991" spans="2:4">
      <c r="B1991" s="941" t="s">
        <v>947</v>
      </c>
      <c r="D1991" s="941" t="s">
        <v>10882</v>
      </c>
    </row>
    <row r="1992" spans="2:4">
      <c r="B1992" s="941" t="s">
        <v>9015</v>
      </c>
      <c r="D1992" s="941" t="s">
        <v>2852</v>
      </c>
    </row>
    <row r="1993" spans="2:4">
      <c r="B1993" s="941" t="s">
        <v>9016</v>
      </c>
      <c r="D1993" s="941" t="s">
        <v>2853</v>
      </c>
    </row>
    <row r="1994" spans="2:4">
      <c r="B1994" s="941" t="s">
        <v>9017</v>
      </c>
      <c r="D1994" s="941" t="s">
        <v>2854</v>
      </c>
    </row>
    <row r="1995" spans="2:4">
      <c r="B1995" s="941" t="s">
        <v>9018</v>
      </c>
      <c r="D1995" s="941" t="s">
        <v>2855</v>
      </c>
    </row>
    <row r="1996" spans="2:4">
      <c r="B1996" s="941" t="s">
        <v>9019</v>
      </c>
      <c r="D1996" s="941" t="s">
        <v>2856</v>
      </c>
    </row>
    <row r="1997" spans="2:4">
      <c r="B1997" s="941" t="s">
        <v>948</v>
      </c>
      <c r="D1997" s="941" t="s">
        <v>2857</v>
      </c>
    </row>
    <row r="1998" spans="2:4">
      <c r="B1998" s="941" t="s">
        <v>9020</v>
      </c>
      <c r="D1998" s="941" t="s">
        <v>2858</v>
      </c>
    </row>
    <row r="1999" spans="2:4">
      <c r="B1999" s="941" t="s">
        <v>9021</v>
      </c>
      <c r="D1999" s="941" t="s">
        <v>2859</v>
      </c>
    </row>
    <row r="2000" spans="2:4">
      <c r="B2000" s="941" t="s">
        <v>9022</v>
      </c>
      <c r="D2000" s="941" t="s">
        <v>2860</v>
      </c>
    </row>
    <row r="2001" spans="2:4">
      <c r="B2001" s="941" t="s">
        <v>949</v>
      </c>
      <c r="D2001" s="941" t="s">
        <v>2861</v>
      </c>
    </row>
    <row r="2002" spans="2:4">
      <c r="B2002" s="941" t="s">
        <v>9023</v>
      </c>
      <c r="D2002" s="941" t="s">
        <v>9391</v>
      </c>
    </row>
    <row r="2003" spans="2:4">
      <c r="B2003" s="941" t="s">
        <v>177</v>
      </c>
      <c r="D2003" s="941" t="s">
        <v>2862</v>
      </c>
    </row>
    <row r="2004" spans="2:4">
      <c r="B2004" s="941" t="s">
        <v>9024</v>
      </c>
      <c r="D2004" s="941" t="s">
        <v>2863</v>
      </c>
    </row>
    <row r="2005" spans="2:4">
      <c r="B2005" s="941" t="s">
        <v>9025</v>
      </c>
      <c r="D2005" s="941" t="s">
        <v>9392</v>
      </c>
    </row>
    <row r="2006" spans="2:4">
      <c r="B2006" s="941" t="s">
        <v>9026</v>
      </c>
      <c r="D2006" s="941" t="s">
        <v>2864</v>
      </c>
    </row>
    <row r="2007" spans="2:4">
      <c r="B2007" s="941" t="s">
        <v>9027</v>
      </c>
      <c r="D2007" s="941" t="s">
        <v>2865</v>
      </c>
    </row>
    <row r="2008" spans="2:4">
      <c r="B2008" s="941" t="s">
        <v>9028</v>
      </c>
      <c r="D2008" s="941" t="s">
        <v>2866</v>
      </c>
    </row>
    <row r="2009" spans="2:4">
      <c r="B2009" s="941" t="s">
        <v>7592</v>
      </c>
      <c r="D2009" s="941" t="s">
        <v>2867</v>
      </c>
    </row>
    <row r="2010" spans="2:4">
      <c r="B2010" s="941" t="s">
        <v>950</v>
      </c>
      <c r="D2010" s="941" t="s">
        <v>2868</v>
      </c>
    </row>
    <row r="2011" spans="2:4">
      <c r="B2011" s="941" t="s">
        <v>951</v>
      </c>
      <c r="D2011" s="941" t="s">
        <v>2869</v>
      </c>
    </row>
    <row r="2012" spans="2:4">
      <c r="B2012" s="941" t="s">
        <v>952</v>
      </c>
      <c r="D2012" s="941" t="s">
        <v>2870</v>
      </c>
    </row>
    <row r="2013" spans="2:4">
      <c r="B2013" s="941" t="s">
        <v>953</v>
      </c>
      <c r="D2013" s="941" t="s">
        <v>9393</v>
      </c>
    </row>
    <row r="2014" spans="2:4">
      <c r="B2014" s="941" t="s">
        <v>954</v>
      </c>
      <c r="D2014" s="941" t="s">
        <v>2871</v>
      </c>
    </row>
    <row r="2015" spans="2:4">
      <c r="B2015" s="941" t="s">
        <v>955</v>
      </c>
      <c r="D2015" s="941" t="s">
        <v>2872</v>
      </c>
    </row>
    <row r="2016" spans="2:4">
      <c r="B2016" s="941" t="s">
        <v>956</v>
      </c>
      <c r="D2016" s="941" t="s">
        <v>2873</v>
      </c>
    </row>
    <row r="2017" spans="2:4">
      <c r="B2017" s="941" t="s">
        <v>9029</v>
      </c>
      <c r="D2017" s="941" t="s">
        <v>2874</v>
      </c>
    </row>
    <row r="2018" spans="2:4">
      <c r="B2018" s="941" t="s">
        <v>9030</v>
      </c>
      <c r="D2018" s="941" t="s">
        <v>2875</v>
      </c>
    </row>
    <row r="2019" spans="2:4">
      <c r="B2019" s="941" t="s">
        <v>9031</v>
      </c>
      <c r="D2019" s="941" t="s">
        <v>2876</v>
      </c>
    </row>
    <row r="2020" spans="2:4">
      <c r="B2020" s="941" t="s">
        <v>9032</v>
      </c>
      <c r="D2020" s="941" t="s">
        <v>2877</v>
      </c>
    </row>
    <row r="2021" spans="2:4">
      <c r="B2021" s="941" t="s">
        <v>9033</v>
      </c>
      <c r="D2021" s="941" t="s">
        <v>9394</v>
      </c>
    </row>
    <row r="2022" spans="2:4">
      <c r="B2022" s="941" t="s">
        <v>9034</v>
      </c>
      <c r="D2022" s="941" t="s">
        <v>2878</v>
      </c>
    </row>
    <row r="2023" spans="2:4">
      <c r="B2023" s="941" t="s">
        <v>9035</v>
      </c>
      <c r="D2023" s="941" t="s">
        <v>2879</v>
      </c>
    </row>
    <row r="2024" spans="2:4">
      <c r="B2024" s="941" t="s">
        <v>9036</v>
      </c>
      <c r="D2024" s="941" t="s">
        <v>2880</v>
      </c>
    </row>
    <row r="2025" spans="2:4">
      <c r="B2025" s="941" t="s">
        <v>9037</v>
      </c>
      <c r="D2025" s="941" t="s">
        <v>2881</v>
      </c>
    </row>
    <row r="2026" spans="2:4">
      <c r="B2026" s="941" t="s">
        <v>6836</v>
      </c>
      <c r="D2026" s="941" t="s">
        <v>2882</v>
      </c>
    </row>
    <row r="2027" spans="2:4">
      <c r="B2027" s="941" t="s">
        <v>9038</v>
      </c>
      <c r="D2027" s="941" t="s">
        <v>2883</v>
      </c>
    </row>
    <row r="2028" spans="2:4">
      <c r="B2028" s="941" t="s">
        <v>9039</v>
      </c>
      <c r="D2028" s="941" t="s">
        <v>2884</v>
      </c>
    </row>
    <row r="2029" spans="2:4">
      <c r="B2029" s="941" t="s">
        <v>9040</v>
      </c>
      <c r="D2029" s="941" t="s">
        <v>2885</v>
      </c>
    </row>
    <row r="2030" spans="2:4">
      <c r="B2030" s="941" t="s">
        <v>957</v>
      </c>
      <c r="D2030" s="941" t="s">
        <v>2886</v>
      </c>
    </row>
    <row r="2031" spans="2:4">
      <c r="B2031" s="941" t="s">
        <v>958</v>
      </c>
      <c r="D2031" s="941" t="s">
        <v>2887</v>
      </c>
    </row>
    <row r="2032" spans="2:4">
      <c r="B2032" s="941" t="s">
        <v>9041</v>
      </c>
      <c r="D2032" s="941" t="s">
        <v>2888</v>
      </c>
    </row>
    <row r="2033" spans="2:4">
      <c r="B2033" s="941" t="s">
        <v>9042</v>
      </c>
      <c r="D2033" s="941" t="s">
        <v>535</v>
      </c>
    </row>
    <row r="2034" spans="2:4">
      <c r="B2034" s="941" t="s">
        <v>9043</v>
      </c>
      <c r="D2034" s="941" t="s">
        <v>2889</v>
      </c>
    </row>
    <row r="2035" spans="2:4">
      <c r="B2035" s="941" t="s">
        <v>9044</v>
      </c>
      <c r="D2035" s="941" t="s">
        <v>9395</v>
      </c>
    </row>
    <row r="2036" spans="2:4">
      <c r="B2036" s="941" t="s">
        <v>9045</v>
      </c>
      <c r="D2036" s="941" t="s">
        <v>2890</v>
      </c>
    </row>
    <row r="2037" spans="2:4">
      <c r="B2037" s="941" t="s">
        <v>9046</v>
      </c>
      <c r="D2037" s="941" t="s">
        <v>2891</v>
      </c>
    </row>
    <row r="2038" spans="2:4">
      <c r="B2038" s="941" t="s">
        <v>9047</v>
      </c>
      <c r="D2038" s="941" t="s">
        <v>10321</v>
      </c>
    </row>
    <row r="2039" spans="2:4">
      <c r="B2039" s="941" t="s">
        <v>9048</v>
      </c>
      <c r="D2039" s="941" t="s">
        <v>2892</v>
      </c>
    </row>
    <row r="2040" spans="2:4">
      <c r="B2040" s="941" t="s">
        <v>9049</v>
      </c>
      <c r="D2040" s="941" t="s">
        <v>2893</v>
      </c>
    </row>
    <row r="2041" spans="2:4">
      <c r="B2041" s="941" t="s">
        <v>7756</v>
      </c>
      <c r="D2041" s="941" t="s">
        <v>2894</v>
      </c>
    </row>
    <row r="2042" spans="2:4">
      <c r="B2042" s="941" t="s">
        <v>9050</v>
      </c>
      <c r="D2042" s="941" t="s">
        <v>2895</v>
      </c>
    </row>
    <row r="2043" spans="2:4">
      <c r="B2043" s="941" t="s">
        <v>9051</v>
      </c>
      <c r="D2043" s="941" t="s">
        <v>2896</v>
      </c>
    </row>
    <row r="2044" spans="2:4">
      <c r="B2044" s="941" t="s">
        <v>9052</v>
      </c>
      <c r="D2044" s="941" t="s">
        <v>2897</v>
      </c>
    </row>
    <row r="2045" spans="2:4">
      <c r="B2045" s="941" t="s">
        <v>9053</v>
      </c>
      <c r="D2045" s="941" t="s">
        <v>10911</v>
      </c>
    </row>
    <row r="2046" spans="2:4">
      <c r="B2046" s="941" t="s">
        <v>9054</v>
      </c>
      <c r="D2046" s="941" t="s">
        <v>2898</v>
      </c>
    </row>
    <row r="2047" spans="2:4">
      <c r="B2047" s="941" t="s">
        <v>9055</v>
      </c>
      <c r="D2047" s="941" t="s">
        <v>2899</v>
      </c>
    </row>
    <row r="2048" spans="2:4">
      <c r="B2048" s="941" t="s">
        <v>9056</v>
      </c>
      <c r="D2048" s="941" t="s">
        <v>2900</v>
      </c>
    </row>
    <row r="2049" spans="2:4">
      <c r="B2049" s="941" t="s">
        <v>9057</v>
      </c>
      <c r="D2049" s="941" t="s">
        <v>2901</v>
      </c>
    </row>
    <row r="2050" spans="2:4">
      <c r="B2050" s="941" t="s">
        <v>9058</v>
      </c>
      <c r="D2050" s="941" t="s">
        <v>2902</v>
      </c>
    </row>
    <row r="2051" spans="2:4">
      <c r="B2051" s="941" t="s">
        <v>9059</v>
      </c>
      <c r="D2051" s="941" t="s">
        <v>9396</v>
      </c>
    </row>
    <row r="2052" spans="2:4">
      <c r="B2052" s="941" t="s">
        <v>9060</v>
      </c>
      <c r="D2052" s="941" t="s">
        <v>2903</v>
      </c>
    </row>
    <row r="2053" spans="2:4">
      <c r="B2053" s="941" t="s">
        <v>9061</v>
      </c>
      <c r="D2053" s="941" t="s">
        <v>2904</v>
      </c>
    </row>
    <row r="2054" spans="2:4">
      <c r="B2054" s="941" t="s">
        <v>9062</v>
      </c>
      <c r="D2054" s="941" t="s">
        <v>2905</v>
      </c>
    </row>
    <row r="2055" spans="2:4">
      <c r="B2055" s="941" t="s">
        <v>9063</v>
      </c>
      <c r="D2055" s="941" t="s">
        <v>2906</v>
      </c>
    </row>
    <row r="2056" spans="2:4">
      <c r="B2056" s="941" t="s">
        <v>9064</v>
      </c>
      <c r="D2056" s="941" t="s">
        <v>2907</v>
      </c>
    </row>
    <row r="2057" spans="2:4">
      <c r="B2057" s="941" t="s">
        <v>9065</v>
      </c>
      <c r="D2057" s="941" t="s">
        <v>2908</v>
      </c>
    </row>
    <row r="2058" spans="2:4">
      <c r="B2058" s="941" t="s">
        <v>959</v>
      </c>
      <c r="D2058" s="941" t="s">
        <v>2909</v>
      </c>
    </row>
    <row r="2059" spans="2:4">
      <c r="B2059" s="941" t="s">
        <v>960</v>
      </c>
      <c r="D2059" s="941" t="s">
        <v>2910</v>
      </c>
    </row>
    <row r="2060" spans="2:4">
      <c r="B2060" s="941" t="s">
        <v>9066</v>
      </c>
      <c r="D2060" s="941" t="s">
        <v>2911</v>
      </c>
    </row>
    <row r="2061" spans="2:4">
      <c r="B2061" s="941" t="s">
        <v>9067</v>
      </c>
      <c r="D2061" s="941" t="s">
        <v>2912</v>
      </c>
    </row>
    <row r="2062" spans="2:4">
      <c r="B2062" s="941" t="s">
        <v>9068</v>
      </c>
      <c r="D2062" s="941" t="s">
        <v>2913</v>
      </c>
    </row>
    <row r="2063" spans="2:4">
      <c r="B2063" s="941" t="s">
        <v>9887</v>
      </c>
      <c r="D2063" s="941" t="s">
        <v>9397</v>
      </c>
    </row>
    <row r="2064" spans="2:4">
      <c r="B2064" s="941" t="s">
        <v>9069</v>
      </c>
      <c r="D2064" s="941" t="s">
        <v>10411</v>
      </c>
    </row>
    <row r="2065" spans="2:4">
      <c r="B2065" s="941" t="s">
        <v>961</v>
      </c>
      <c r="D2065" s="941" t="s">
        <v>2914</v>
      </c>
    </row>
    <row r="2066" spans="2:4">
      <c r="B2066" s="941" t="s">
        <v>9070</v>
      </c>
      <c r="D2066" s="941" t="s">
        <v>2915</v>
      </c>
    </row>
    <row r="2067" spans="2:4">
      <c r="B2067" s="941" t="s">
        <v>9071</v>
      </c>
      <c r="D2067" s="941" t="s">
        <v>2916</v>
      </c>
    </row>
    <row r="2068" spans="2:4">
      <c r="B2068" s="941" t="s">
        <v>9072</v>
      </c>
      <c r="D2068" s="941" t="s">
        <v>2917</v>
      </c>
    </row>
    <row r="2069" spans="2:4">
      <c r="B2069" s="941" t="s">
        <v>9073</v>
      </c>
      <c r="D2069" s="941" t="s">
        <v>9398</v>
      </c>
    </row>
    <row r="2070" spans="2:4">
      <c r="B2070" s="941" t="s">
        <v>9074</v>
      </c>
      <c r="D2070" s="941" t="s">
        <v>2918</v>
      </c>
    </row>
    <row r="2071" spans="2:4">
      <c r="B2071" s="941" t="s">
        <v>962</v>
      </c>
      <c r="D2071" s="941" t="s">
        <v>2919</v>
      </c>
    </row>
    <row r="2072" spans="2:4">
      <c r="B2072" s="941" t="s">
        <v>9075</v>
      </c>
      <c r="D2072" s="941" t="s">
        <v>9399</v>
      </c>
    </row>
    <row r="2073" spans="2:4">
      <c r="B2073" s="941" t="s">
        <v>963</v>
      </c>
      <c r="D2073" s="941" t="s">
        <v>2920</v>
      </c>
    </row>
    <row r="2074" spans="2:4">
      <c r="B2074" s="941" t="s">
        <v>9735</v>
      </c>
      <c r="D2074" s="941" t="s">
        <v>2921</v>
      </c>
    </row>
    <row r="2075" spans="2:4">
      <c r="B2075" s="941" t="s">
        <v>9076</v>
      </c>
      <c r="D2075" s="941" t="s">
        <v>2922</v>
      </c>
    </row>
    <row r="2076" spans="2:4">
      <c r="B2076" s="941" t="s">
        <v>9077</v>
      </c>
      <c r="D2076" s="941" t="s">
        <v>11012</v>
      </c>
    </row>
    <row r="2077" spans="2:4">
      <c r="B2077" s="941" t="s">
        <v>9078</v>
      </c>
      <c r="D2077" s="941" t="s">
        <v>10521</v>
      </c>
    </row>
    <row r="2078" spans="2:4">
      <c r="B2078" s="941" t="s">
        <v>9079</v>
      </c>
      <c r="D2078" s="941" t="s">
        <v>2923</v>
      </c>
    </row>
    <row r="2079" spans="2:4">
      <c r="B2079" s="941" t="s">
        <v>9080</v>
      </c>
      <c r="D2079" s="941" t="s">
        <v>2924</v>
      </c>
    </row>
    <row r="2080" spans="2:4">
      <c r="B2080" s="941" t="s">
        <v>9081</v>
      </c>
      <c r="D2080" s="941" t="s">
        <v>2925</v>
      </c>
    </row>
    <row r="2081" spans="2:4">
      <c r="B2081" s="941" t="s">
        <v>9082</v>
      </c>
      <c r="D2081" s="941" t="s">
        <v>2926</v>
      </c>
    </row>
    <row r="2082" spans="2:4">
      <c r="B2082" s="941" t="s">
        <v>9083</v>
      </c>
      <c r="D2082" s="941" t="s">
        <v>2927</v>
      </c>
    </row>
    <row r="2083" spans="2:4">
      <c r="B2083" s="941" t="s">
        <v>9084</v>
      </c>
      <c r="D2083" s="941" t="s">
        <v>2928</v>
      </c>
    </row>
    <row r="2084" spans="2:4">
      <c r="B2084" s="941" t="s">
        <v>9085</v>
      </c>
      <c r="D2084" s="941" t="s">
        <v>2929</v>
      </c>
    </row>
    <row r="2085" spans="2:4">
      <c r="B2085" s="941" t="s">
        <v>9086</v>
      </c>
      <c r="D2085" s="941" t="s">
        <v>2930</v>
      </c>
    </row>
    <row r="2086" spans="2:4">
      <c r="B2086" s="941" t="s">
        <v>9087</v>
      </c>
      <c r="D2086" s="941" t="s">
        <v>2931</v>
      </c>
    </row>
    <row r="2087" spans="2:4">
      <c r="B2087" s="941" t="s">
        <v>9088</v>
      </c>
      <c r="D2087" s="941" t="s">
        <v>2932</v>
      </c>
    </row>
    <row r="2088" spans="2:4">
      <c r="B2088" s="941" t="s">
        <v>964</v>
      </c>
      <c r="D2088" s="941" t="s">
        <v>2933</v>
      </c>
    </row>
    <row r="2089" spans="2:4">
      <c r="B2089" s="941" t="s">
        <v>9089</v>
      </c>
      <c r="D2089" s="941" t="s">
        <v>2934</v>
      </c>
    </row>
    <row r="2090" spans="2:4">
      <c r="B2090" s="941" t="s">
        <v>9090</v>
      </c>
      <c r="D2090" s="941" t="s">
        <v>2935</v>
      </c>
    </row>
    <row r="2091" spans="2:4">
      <c r="B2091" s="941" t="s">
        <v>9091</v>
      </c>
      <c r="D2091" s="941" t="s">
        <v>2936</v>
      </c>
    </row>
    <row r="2092" spans="2:4">
      <c r="B2092" s="941" t="s">
        <v>9092</v>
      </c>
      <c r="D2092" s="941" t="s">
        <v>2937</v>
      </c>
    </row>
    <row r="2093" spans="2:4">
      <c r="B2093" s="941" t="s">
        <v>9093</v>
      </c>
      <c r="D2093" s="941" t="s">
        <v>2938</v>
      </c>
    </row>
    <row r="2094" spans="2:4">
      <c r="B2094" s="941" t="s">
        <v>965</v>
      </c>
      <c r="D2094" s="941" t="s">
        <v>2939</v>
      </c>
    </row>
    <row r="2095" spans="2:4">
      <c r="B2095" s="941" t="s">
        <v>9094</v>
      </c>
      <c r="D2095" s="941" t="s">
        <v>2940</v>
      </c>
    </row>
    <row r="2096" spans="2:4">
      <c r="B2096" s="941" t="s">
        <v>966</v>
      </c>
      <c r="D2096" s="941" t="s">
        <v>2941</v>
      </c>
    </row>
    <row r="2097" spans="2:4">
      <c r="B2097" s="941" t="s">
        <v>9095</v>
      </c>
      <c r="D2097" s="941" t="s">
        <v>2942</v>
      </c>
    </row>
    <row r="2098" spans="2:4">
      <c r="B2098" s="941" t="s">
        <v>9096</v>
      </c>
      <c r="D2098" s="941" t="s">
        <v>2943</v>
      </c>
    </row>
    <row r="2099" spans="2:4">
      <c r="B2099" s="941" t="s">
        <v>7045</v>
      </c>
      <c r="D2099" s="941" t="s">
        <v>2944</v>
      </c>
    </row>
    <row r="2100" spans="2:4">
      <c r="B2100" s="941" t="s">
        <v>9097</v>
      </c>
      <c r="D2100" s="941" t="s">
        <v>2945</v>
      </c>
    </row>
    <row r="2101" spans="2:4">
      <c r="B2101" s="941" t="s">
        <v>9098</v>
      </c>
      <c r="D2101" s="941" t="s">
        <v>2946</v>
      </c>
    </row>
    <row r="2102" spans="2:4">
      <c r="B2102" s="941" t="s">
        <v>9099</v>
      </c>
      <c r="D2102" s="941" t="s">
        <v>2947</v>
      </c>
    </row>
    <row r="2103" spans="2:4">
      <c r="B2103" s="941" t="s">
        <v>9100</v>
      </c>
      <c r="D2103" s="941" t="s">
        <v>2948</v>
      </c>
    </row>
    <row r="2104" spans="2:4">
      <c r="B2104" s="941" t="s">
        <v>9101</v>
      </c>
      <c r="D2104" s="941" t="s">
        <v>2949</v>
      </c>
    </row>
    <row r="2105" spans="2:4">
      <c r="B2105" s="941" t="s">
        <v>9102</v>
      </c>
      <c r="D2105" s="941" t="s">
        <v>2950</v>
      </c>
    </row>
    <row r="2106" spans="2:4">
      <c r="B2106" s="941" t="s">
        <v>9103</v>
      </c>
      <c r="D2106" s="941" t="s">
        <v>2951</v>
      </c>
    </row>
    <row r="2107" spans="2:4">
      <c r="B2107" s="941" t="s">
        <v>9104</v>
      </c>
      <c r="D2107" s="941" t="s">
        <v>2952</v>
      </c>
    </row>
    <row r="2108" spans="2:4">
      <c r="B2108" s="941" t="s">
        <v>9105</v>
      </c>
      <c r="D2108" s="941" t="s">
        <v>2953</v>
      </c>
    </row>
    <row r="2109" spans="2:4">
      <c r="B2109" s="941" t="s">
        <v>967</v>
      </c>
      <c r="D2109" s="941" t="s">
        <v>2954</v>
      </c>
    </row>
    <row r="2110" spans="2:4">
      <c r="B2110" s="941" t="s">
        <v>9106</v>
      </c>
      <c r="D2110" s="941" t="s">
        <v>2955</v>
      </c>
    </row>
    <row r="2111" spans="2:4">
      <c r="B2111" s="941" t="s">
        <v>9107</v>
      </c>
      <c r="D2111" s="941" t="s">
        <v>2956</v>
      </c>
    </row>
    <row r="2112" spans="2:4">
      <c r="B2112" s="941" t="s">
        <v>7077</v>
      </c>
      <c r="D2112" s="941" t="s">
        <v>2957</v>
      </c>
    </row>
    <row r="2113" spans="2:4">
      <c r="B2113" s="941" t="s">
        <v>9108</v>
      </c>
      <c r="D2113" s="941" t="s">
        <v>2958</v>
      </c>
    </row>
    <row r="2114" spans="2:4">
      <c r="B2114" s="941" t="s">
        <v>9651</v>
      </c>
      <c r="D2114" s="941" t="s">
        <v>2959</v>
      </c>
    </row>
    <row r="2115" spans="2:4">
      <c r="B2115" s="941" t="s">
        <v>9109</v>
      </c>
      <c r="D2115" s="941" t="s">
        <v>2960</v>
      </c>
    </row>
    <row r="2116" spans="2:4">
      <c r="B2116" s="941" t="s">
        <v>968</v>
      </c>
      <c r="D2116" s="941" t="s">
        <v>2961</v>
      </c>
    </row>
    <row r="2117" spans="2:4">
      <c r="B2117" s="941" t="s">
        <v>9110</v>
      </c>
      <c r="D2117" s="941" t="s">
        <v>10522</v>
      </c>
    </row>
    <row r="2118" spans="2:4">
      <c r="B2118" s="941" t="s">
        <v>9111</v>
      </c>
      <c r="D2118" s="941" t="s">
        <v>2962</v>
      </c>
    </row>
    <row r="2119" spans="2:4">
      <c r="B2119" s="941" t="s">
        <v>9677</v>
      </c>
      <c r="D2119" s="941" t="s">
        <v>2963</v>
      </c>
    </row>
    <row r="2120" spans="2:4">
      <c r="B2120" s="941" t="s">
        <v>9112</v>
      </c>
      <c r="D2120" s="941" t="s">
        <v>2964</v>
      </c>
    </row>
    <row r="2121" spans="2:4">
      <c r="B2121" s="941" t="s">
        <v>969</v>
      </c>
      <c r="D2121" s="941" t="s">
        <v>2965</v>
      </c>
    </row>
    <row r="2122" spans="2:4">
      <c r="B2122" s="941" t="s">
        <v>9113</v>
      </c>
      <c r="D2122" s="941" t="s">
        <v>2966</v>
      </c>
    </row>
    <row r="2123" spans="2:4">
      <c r="B2123" s="941" t="s">
        <v>9114</v>
      </c>
      <c r="D2123" s="941" t="s">
        <v>2967</v>
      </c>
    </row>
    <row r="2124" spans="2:4">
      <c r="B2124" s="941" t="s">
        <v>9115</v>
      </c>
      <c r="D2124" s="941" t="s">
        <v>2968</v>
      </c>
    </row>
    <row r="2125" spans="2:4">
      <c r="B2125" s="941" t="s">
        <v>9896</v>
      </c>
      <c r="D2125" s="941" t="s">
        <v>2969</v>
      </c>
    </row>
    <row r="2126" spans="2:4">
      <c r="B2126" s="941" t="s">
        <v>9116</v>
      </c>
      <c r="D2126" s="941" t="s">
        <v>2970</v>
      </c>
    </row>
    <row r="2127" spans="2:4">
      <c r="B2127" s="941" t="s">
        <v>9117</v>
      </c>
      <c r="D2127" s="941" t="s">
        <v>10377</v>
      </c>
    </row>
    <row r="2128" spans="2:4">
      <c r="B2128" s="941" t="s">
        <v>970</v>
      </c>
      <c r="D2128" s="941" t="s">
        <v>2971</v>
      </c>
    </row>
    <row r="2129" spans="2:4">
      <c r="B2129" s="941" t="s">
        <v>971</v>
      </c>
      <c r="D2129" s="941" t="s">
        <v>2972</v>
      </c>
    </row>
    <row r="2130" spans="2:4">
      <c r="B2130" s="941" t="s">
        <v>9118</v>
      </c>
      <c r="D2130" s="941" t="s">
        <v>2973</v>
      </c>
    </row>
    <row r="2131" spans="2:4">
      <c r="B2131" s="941" t="s">
        <v>972</v>
      </c>
      <c r="D2131" s="941" t="s">
        <v>2974</v>
      </c>
    </row>
    <row r="2132" spans="2:4">
      <c r="B2132" s="941" t="s">
        <v>973</v>
      </c>
      <c r="D2132" s="941" t="s">
        <v>2975</v>
      </c>
    </row>
    <row r="2133" spans="2:4">
      <c r="B2133" s="941" t="s">
        <v>9119</v>
      </c>
      <c r="D2133" s="941" t="s">
        <v>2976</v>
      </c>
    </row>
    <row r="2134" spans="2:4">
      <c r="B2134" s="941" t="s">
        <v>9120</v>
      </c>
      <c r="D2134" s="941" t="s">
        <v>2977</v>
      </c>
    </row>
    <row r="2135" spans="2:4">
      <c r="B2135" s="941" t="s">
        <v>9121</v>
      </c>
      <c r="D2135" s="941" t="s">
        <v>2978</v>
      </c>
    </row>
    <row r="2136" spans="2:4">
      <c r="B2136" s="941" t="s">
        <v>9122</v>
      </c>
      <c r="D2136" s="941" t="s">
        <v>2979</v>
      </c>
    </row>
    <row r="2137" spans="2:4">
      <c r="B2137" s="941" t="s">
        <v>9123</v>
      </c>
      <c r="D2137" s="941" t="s">
        <v>2980</v>
      </c>
    </row>
    <row r="2138" spans="2:4">
      <c r="B2138" s="941" t="s">
        <v>9124</v>
      </c>
      <c r="D2138" s="941" t="s">
        <v>2981</v>
      </c>
    </row>
    <row r="2139" spans="2:4">
      <c r="B2139" s="941" t="s">
        <v>9125</v>
      </c>
      <c r="D2139" s="941" t="s">
        <v>2982</v>
      </c>
    </row>
    <row r="2140" spans="2:4">
      <c r="B2140" s="941" t="s">
        <v>974</v>
      </c>
      <c r="D2140" s="941" t="s">
        <v>2983</v>
      </c>
    </row>
    <row r="2141" spans="2:4">
      <c r="B2141" s="941" t="s">
        <v>975</v>
      </c>
      <c r="D2141" s="941" t="s">
        <v>2984</v>
      </c>
    </row>
    <row r="2142" spans="2:4">
      <c r="B2142" s="941" t="s">
        <v>9126</v>
      </c>
      <c r="D2142" s="941" t="s">
        <v>2985</v>
      </c>
    </row>
    <row r="2143" spans="2:4">
      <c r="B2143" s="941" t="s">
        <v>9127</v>
      </c>
      <c r="D2143" s="941" t="s">
        <v>2986</v>
      </c>
    </row>
    <row r="2144" spans="2:4">
      <c r="B2144" s="941" t="s">
        <v>9128</v>
      </c>
      <c r="D2144" s="941" t="s">
        <v>2987</v>
      </c>
    </row>
    <row r="2145" spans="2:4">
      <c r="B2145" s="941" t="s">
        <v>9129</v>
      </c>
      <c r="D2145" s="941" t="s">
        <v>2988</v>
      </c>
    </row>
    <row r="2146" spans="2:4">
      <c r="B2146" s="941" t="s">
        <v>9130</v>
      </c>
      <c r="D2146" s="941" t="s">
        <v>2989</v>
      </c>
    </row>
    <row r="2147" spans="2:4">
      <c r="B2147" s="941" t="s">
        <v>976</v>
      </c>
      <c r="D2147" s="941" t="s">
        <v>2990</v>
      </c>
    </row>
    <row r="2148" spans="2:4">
      <c r="B2148" s="941" t="s">
        <v>9131</v>
      </c>
      <c r="D2148" s="941" t="s">
        <v>2991</v>
      </c>
    </row>
    <row r="2149" spans="2:4">
      <c r="B2149" s="941" t="s">
        <v>977</v>
      </c>
      <c r="D2149" s="941" t="s">
        <v>9400</v>
      </c>
    </row>
    <row r="2150" spans="2:4">
      <c r="B2150" s="941" t="s">
        <v>9132</v>
      </c>
      <c r="D2150" s="941" t="s">
        <v>2992</v>
      </c>
    </row>
    <row r="2151" spans="2:4">
      <c r="B2151" s="941" t="s">
        <v>978</v>
      </c>
      <c r="D2151" s="941" t="s">
        <v>2993</v>
      </c>
    </row>
    <row r="2152" spans="2:4">
      <c r="B2152" s="941" t="s">
        <v>979</v>
      </c>
      <c r="D2152" s="941" t="s">
        <v>2994</v>
      </c>
    </row>
    <row r="2153" spans="2:4">
      <c r="B2153" s="941" t="s">
        <v>9133</v>
      </c>
      <c r="D2153" s="941" t="s">
        <v>2995</v>
      </c>
    </row>
    <row r="2154" spans="2:4">
      <c r="B2154" s="941" t="s">
        <v>9134</v>
      </c>
      <c r="D2154" s="941" t="s">
        <v>2996</v>
      </c>
    </row>
    <row r="2155" spans="2:4">
      <c r="B2155" s="941" t="s">
        <v>9135</v>
      </c>
      <c r="D2155" s="941" t="s">
        <v>2997</v>
      </c>
    </row>
    <row r="2156" spans="2:4">
      <c r="B2156" s="941" t="s">
        <v>9136</v>
      </c>
      <c r="D2156" s="941" t="s">
        <v>2998</v>
      </c>
    </row>
    <row r="2157" spans="2:4">
      <c r="B2157" s="941" t="s">
        <v>980</v>
      </c>
      <c r="D2157" s="941" t="s">
        <v>2999</v>
      </c>
    </row>
    <row r="2158" spans="2:4">
      <c r="B2158" s="941" t="s">
        <v>9137</v>
      </c>
      <c r="D2158" s="941" t="s">
        <v>3000</v>
      </c>
    </row>
    <row r="2159" spans="2:4">
      <c r="B2159" s="941" t="s">
        <v>10017</v>
      </c>
      <c r="D2159" s="941" t="s">
        <v>3001</v>
      </c>
    </row>
    <row r="2160" spans="2:4">
      <c r="B2160" s="941" t="s">
        <v>9138</v>
      </c>
      <c r="D2160" s="941" t="s">
        <v>3002</v>
      </c>
    </row>
    <row r="2161" spans="2:4">
      <c r="B2161" s="941" t="s">
        <v>981</v>
      </c>
      <c r="D2161" s="941" t="s">
        <v>3003</v>
      </c>
    </row>
    <row r="2162" spans="2:4">
      <c r="B2162" s="941" t="s">
        <v>9139</v>
      </c>
      <c r="D2162" s="941" t="s">
        <v>10378</v>
      </c>
    </row>
    <row r="2163" spans="2:4">
      <c r="B2163" s="941" t="s">
        <v>9140</v>
      </c>
      <c r="D2163" s="941" t="s">
        <v>3004</v>
      </c>
    </row>
    <row r="2164" spans="2:4">
      <c r="B2164" s="941" t="s">
        <v>7972</v>
      </c>
      <c r="D2164" s="941" t="s">
        <v>3005</v>
      </c>
    </row>
    <row r="2165" spans="2:4">
      <c r="B2165" s="941" t="s">
        <v>9141</v>
      </c>
      <c r="D2165" s="941" t="s">
        <v>3006</v>
      </c>
    </row>
    <row r="2166" spans="2:4">
      <c r="B2166" s="941" t="s">
        <v>9142</v>
      </c>
      <c r="D2166" s="941" t="s">
        <v>3007</v>
      </c>
    </row>
    <row r="2167" spans="2:4">
      <c r="B2167" s="941" t="s">
        <v>9143</v>
      </c>
      <c r="D2167" s="941" t="s">
        <v>3008</v>
      </c>
    </row>
    <row r="2168" spans="2:4">
      <c r="B2168" s="941" t="s">
        <v>9144</v>
      </c>
      <c r="D2168" s="941" t="s">
        <v>3009</v>
      </c>
    </row>
    <row r="2169" spans="2:4">
      <c r="B2169" s="941" t="s">
        <v>9145</v>
      </c>
      <c r="D2169" s="941" t="s">
        <v>3010</v>
      </c>
    </row>
    <row r="2170" spans="2:4">
      <c r="B2170" s="941" t="s">
        <v>982</v>
      </c>
      <c r="D2170" s="941" t="s">
        <v>3011</v>
      </c>
    </row>
    <row r="2171" spans="2:4">
      <c r="B2171" s="941" t="s">
        <v>9146</v>
      </c>
      <c r="D2171" s="941" t="s">
        <v>3012</v>
      </c>
    </row>
    <row r="2172" spans="2:4">
      <c r="B2172" s="941" t="s">
        <v>983</v>
      </c>
      <c r="D2172" s="941" t="s">
        <v>3013</v>
      </c>
    </row>
    <row r="2173" spans="2:4">
      <c r="B2173" s="941" t="s">
        <v>9147</v>
      </c>
      <c r="D2173" s="941" t="s">
        <v>3014</v>
      </c>
    </row>
    <row r="2174" spans="2:4">
      <c r="B2174" s="941" t="s">
        <v>9148</v>
      </c>
      <c r="D2174" s="941" t="s">
        <v>3015</v>
      </c>
    </row>
    <row r="2175" spans="2:4">
      <c r="B2175" s="941" t="s">
        <v>984</v>
      </c>
      <c r="D2175" s="941" t="s">
        <v>3016</v>
      </c>
    </row>
    <row r="2176" spans="2:4">
      <c r="B2176" s="941" t="s">
        <v>7327</v>
      </c>
      <c r="D2176" s="941" t="s">
        <v>3017</v>
      </c>
    </row>
    <row r="2177" spans="2:4">
      <c r="B2177" s="941" t="s">
        <v>9149</v>
      </c>
      <c r="D2177" s="941" t="s">
        <v>3018</v>
      </c>
    </row>
    <row r="2178" spans="2:4">
      <c r="B2178" s="941" t="s">
        <v>985</v>
      </c>
      <c r="D2178" s="941" t="s">
        <v>3019</v>
      </c>
    </row>
    <row r="2179" spans="2:4">
      <c r="B2179" s="941" t="s">
        <v>9150</v>
      </c>
      <c r="D2179" s="941" t="s">
        <v>3020</v>
      </c>
    </row>
    <row r="2180" spans="2:4">
      <c r="B2180" s="941" t="s">
        <v>9151</v>
      </c>
      <c r="D2180" s="941" t="s">
        <v>3021</v>
      </c>
    </row>
    <row r="2181" spans="2:4">
      <c r="B2181" s="941" t="s">
        <v>9152</v>
      </c>
      <c r="D2181" s="941" t="s">
        <v>58</v>
      </c>
    </row>
    <row r="2182" spans="2:4">
      <c r="B2182" s="941" t="s">
        <v>9153</v>
      </c>
      <c r="D2182" s="941" t="s">
        <v>3022</v>
      </c>
    </row>
    <row r="2183" spans="2:4">
      <c r="B2183" s="941" t="s">
        <v>9154</v>
      </c>
      <c r="D2183" s="941" t="s">
        <v>3023</v>
      </c>
    </row>
    <row r="2184" spans="2:4">
      <c r="B2184" s="941" t="s">
        <v>7395</v>
      </c>
      <c r="D2184" s="941" t="s">
        <v>3024</v>
      </c>
    </row>
    <row r="2185" spans="2:4">
      <c r="B2185" s="941" t="s">
        <v>9155</v>
      </c>
      <c r="D2185" s="941" t="s">
        <v>3025</v>
      </c>
    </row>
    <row r="2186" spans="2:4">
      <c r="B2186" s="941" t="s">
        <v>9156</v>
      </c>
      <c r="D2186" s="941" t="s">
        <v>3026</v>
      </c>
    </row>
    <row r="2187" spans="2:4">
      <c r="B2187" s="941" t="s">
        <v>986</v>
      </c>
      <c r="D2187" s="941" t="s">
        <v>3027</v>
      </c>
    </row>
    <row r="2188" spans="2:4">
      <c r="B2188" s="941" t="s">
        <v>9157</v>
      </c>
      <c r="D2188" s="941" t="s">
        <v>3028</v>
      </c>
    </row>
    <row r="2189" spans="2:4">
      <c r="B2189" s="941" t="s">
        <v>987</v>
      </c>
      <c r="D2189" s="941" t="s">
        <v>3029</v>
      </c>
    </row>
    <row r="2190" spans="2:4">
      <c r="B2190" s="941" t="s">
        <v>9158</v>
      </c>
      <c r="D2190" s="941" t="s">
        <v>9401</v>
      </c>
    </row>
    <row r="2191" spans="2:4">
      <c r="B2191" s="941" t="s">
        <v>9159</v>
      </c>
      <c r="D2191" s="941" t="s">
        <v>3030</v>
      </c>
    </row>
    <row r="2192" spans="2:4">
      <c r="B2192" s="941" t="s">
        <v>988</v>
      </c>
      <c r="D2192" s="941" t="s">
        <v>3031</v>
      </c>
    </row>
    <row r="2193" spans="2:4">
      <c r="B2193" s="941" t="s">
        <v>989</v>
      </c>
      <c r="D2193" s="941" t="s">
        <v>3032</v>
      </c>
    </row>
    <row r="2194" spans="2:4">
      <c r="B2194" s="941" t="s">
        <v>9934</v>
      </c>
      <c r="D2194" s="941" t="s">
        <v>3033</v>
      </c>
    </row>
    <row r="2195" spans="2:4">
      <c r="B2195" s="941" t="s">
        <v>9160</v>
      </c>
      <c r="D2195" s="941" t="s">
        <v>3034</v>
      </c>
    </row>
    <row r="2196" spans="2:4">
      <c r="B2196" s="941" t="s">
        <v>9161</v>
      </c>
      <c r="D2196" s="941" t="s">
        <v>3035</v>
      </c>
    </row>
    <row r="2197" spans="2:4">
      <c r="B2197" s="941" t="s">
        <v>990</v>
      </c>
      <c r="D2197" s="941" t="s">
        <v>3036</v>
      </c>
    </row>
    <row r="2198" spans="2:4">
      <c r="B2198" s="941" t="s">
        <v>9162</v>
      </c>
      <c r="D2198" s="941" t="s">
        <v>3037</v>
      </c>
    </row>
    <row r="2199" spans="2:4">
      <c r="B2199" s="941" t="s">
        <v>9163</v>
      </c>
      <c r="D2199" s="941" t="s">
        <v>3038</v>
      </c>
    </row>
    <row r="2200" spans="2:4">
      <c r="B2200" s="941" t="s">
        <v>9164</v>
      </c>
      <c r="D2200" s="941" t="s">
        <v>3039</v>
      </c>
    </row>
    <row r="2201" spans="2:4">
      <c r="B2201" s="941" t="s">
        <v>9165</v>
      </c>
      <c r="D2201" s="941" t="s">
        <v>3040</v>
      </c>
    </row>
    <row r="2202" spans="2:4">
      <c r="B2202" s="941" t="s">
        <v>7973</v>
      </c>
      <c r="D2202" s="941" t="s">
        <v>3041</v>
      </c>
    </row>
    <row r="2203" spans="2:4">
      <c r="B2203" s="941" t="s">
        <v>10021</v>
      </c>
      <c r="D2203" s="941" t="s">
        <v>3042</v>
      </c>
    </row>
    <row r="2204" spans="2:4">
      <c r="B2204" s="941" t="s">
        <v>991</v>
      </c>
      <c r="D2204" s="941" t="s">
        <v>3043</v>
      </c>
    </row>
    <row r="2205" spans="2:4">
      <c r="B2205" s="941" t="s">
        <v>992</v>
      </c>
      <c r="D2205" s="941" t="s">
        <v>3044</v>
      </c>
    </row>
    <row r="2206" spans="2:4">
      <c r="B2206" s="941" t="s">
        <v>993</v>
      </c>
      <c r="D2206" s="941" t="s">
        <v>3045</v>
      </c>
    </row>
    <row r="2207" spans="2:4">
      <c r="B2207" s="941" t="s">
        <v>9166</v>
      </c>
      <c r="D2207" s="941" t="s">
        <v>3046</v>
      </c>
    </row>
    <row r="2208" spans="2:4">
      <c r="B2208" s="941" t="s">
        <v>9167</v>
      </c>
      <c r="D2208" s="941" t="s">
        <v>3047</v>
      </c>
    </row>
    <row r="2209" spans="2:4">
      <c r="B2209" s="941" t="s">
        <v>9168</v>
      </c>
      <c r="D2209" s="941" t="s">
        <v>3048</v>
      </c>
    </row>
    <row r="2210" spans="2:4">
      <c r="B2210" s="941" t="s">
        <v>9169</v>
      </c>
      <c r="D2210" s="941" t="s">
        <v>3049</v>
      </c>
    </row>
    <row r="2211" spans="2:4">
      <c r="B2211" s="941" t="s">
        <v>9170</v>
      </c>
      <c r="D2211" s="941" t="s">
        <v>3050</v>
      </c>
    </row>
    <row r="2212" spans="2:4">
      <c r="B2212" s="941" t="s">
        <v>994</v>
      </c>
      <c r="D2212" s="941" t="s">
        <v>3051</v>
      </c>
    </row>
    <row r="2213" spans="2:4">
      <c r="B2213" s="941" t="s">
        <v>9171</v>
      </c>
      <c r="D2213" s="941" t="s">
        <v>3052</v>
      </c>
    </row>
    <row r="2214" spans="2:4">
      <c r="B2214" s="941" t="s">
        <v>9172</v>
      </c>
      <c r="D2214" s="941" t="s">
        <v>3053</v>
      </c>
    </row>
    <row r="2215" spans="2:4">
      <c r="B2215" s="941" t="s">
        <v>7695</v>
      </c>
      <c r="D2215" s="941" t="s">
        <v>1011</v>
      </c>
    </row>
    <row r="2216" spans="2:4">
      <c r="B2216" s="941" t="s">
        <v>9173</v>
      </c>
      <c r="D2216" s="941" t="s">
        <v>3054</v>
      </c>
    </row>
    <row r="2217" spans="2:4">
      <c r="B2217" s="941" t="s">
        <v>9174</v>
      </c>
      <c r="D2217" s="941" t="s">
        <v>3055</v>
      </c>
    </row>
    <row r="2218" spans="2:4">
      <c r="B2218" s="941" t="s">
        <v>8076</v>
      </c>
      <c r="D2218" s="941" t="s">
        <v>3056</v>
      </c>
    </row>
    <row r="2219" spans="2:4">
      <c r="B2219" s="941" t="s">
        <v>9175</v>
      </c>
      <c r="D2219" s="941" t="s">
        <v>3057</v>
      </c>
    </row>
    <row r="2220" spans="2:4">
      <c r="B2220" s="941" t="s">
        <v>995</v>
      </c>
      <c r="D2220" s="941" t="s">
        <v>3058</v>
      </c>
    </row>
    <row r="2221" spans="2:4">
      <c r="B2221" s="941" t="s">
        <v>996</v>
      </c>
      <c r="D2221" s="941" t="s">
        <v>3059</v>
      </c>
    </row>
    <row r="2222" spans="2:4">
      <c r="B2222" s="941" t="s">
        <v>9176</v>
      </c>
      <c r="D2222" s="941" t="s">
        <v>3060</v>
      </c>
    </row>
    <row r="2223" spans="2:4">
      <c r="B2223" s="941" t="s">
        <v>997</v>
      </c>
      <c r="D2223" s="941" t="s">
        <v>3061</v>
      </c>
    </row>
    <row r="2224" spans="2:4">
      <c r="B2224" s="941" t="s">
        <v>9177</v>
      </c>
      <c r="D2224" s="941" t="s">
        <v>3062</v>
      </c>
    </row>
    <row r="2225" spans="2:4">
      <c r="B2225" s="941" t="s">
        <v>9178</v>
      </c>
      <c r="D2225" s="941" t="s">
        <v>3063</v>
      </c>
    </row>
    <row r="2226" spans="2:4">
      <c r="B2226" s="941" t="s">
        <v>998</v>
      </c>
      <c r="D2226" s="941" t="s">
        <v>3064</v>
      </c>
    </row>
    <row r="2227" spans="2:4">
      <c r="B2227" s="941" t="s">
        <v>9179</v>
      </c>
      <c r="D2227" s="941" t="s">
        <v>3065</v>
      </c>
    </row>
    <row r="2228" spans="2:4">
      <c r="B2228" s="941" t="s">
        <v>999</v>
      </c>
      <c r="D2228" s="941" t="s">
        <v>9402</v>
      </c>
    </row>
    <row r="2229" spans="2:4">
      <c r="B2229" s="941" t="s">
        <v>9180</v>
      </c>
      <c r="D2229" s="941" t="s">
        <v>3066</v>
      </c>
    </row>
    <row r="2230" spans="2:4">
      <c r="B2230" s="941" t="s">
        <v>9181</v>
      </c>
      <c r="D2230" s="941" t="s">
        <v>9403</v>
      </c>
    </row>
    <row r="2231" spans="2:4">
      <c r="B2231" s="941" t="s">
        <v>7546</v>
      </c>
      <c r="D2231" s="941" t="s">
        <v>3067</v>
      </c>
    </row>
    <row r="2232" spans="2:4">
      <c r="B2232" s="941" t="s">
        <v>9182</v>
      </c>
      <c r="D2232" s="941" t="s">
        <v>3068</v>
      </c>
    </row>
    <row r="2233" spans="2:4">
      <c r="B2233" s="941" t="s">
        <v>9183</v>
      </c>
      <c r="D2233" s="941" t="s">
        <v>3069</v>
      </c>
    </row>
    <row r="2234" spans="2:4">
      <c r="B2234" s="941" t="s">
        <v>9184</v>
      </c>
      <c r="D2234" s="941" t="s">
        <v>3070</v>
      </c>
    </row>
    <row r="2235" spans="2:4">
      <c r="B2235" s="941" t="s">
        <v>1000</v>
      </c>
      <c r="D2235" s="941" t="s">
        <v>3071</v>
      </c>
    </row>
    <row r="2236" spans="2:4">
      <c r="B2236" s="941" t="s">
        <v>1001</v>
      </c>
      <c r="D2236" s="941" t="s">
        <v>3072</v>
      </c>
    </row>
    <row r="2237" spans="2:4">
      <c r="B2237" s="941" t="s">
        <v>9185</v>
      </c>
      <c r="D2237" s="941" t="s">
        <v>3073</v>
      </c>
    </row>
    <row r="2238" spans="2:4">
      <c r="B2238" s="941" t="s">
        <v>1002</v>
      </c>
      <c r="D2238" s="941" t="s">
        <v>3074</v>
      </c>
    </row>
    <row r="2239" spans="2:4">
      <c r="B2239" s="941" t="s">
        <v>9186</v>
      </c>
      <c r="D2239" s="941" t="s">
        <v>3075</v>
      </c>
    </row>
    <row r="2240" spans="2:4">
      <c r="B2240" s="941" t="s">
        <v>9187</v>
      </c>
      <c r="D2240" s="941" t="s">
        <v>3076</v>
      </c>
    </row>
    <row r="2241" spans="2:4">
      <c r="B2241" s="941" t="s">
        <v>9188</v>
      </c>
      <c r="D2241" s="941" t="s">
        <v>3077</v>
      </c>
    </row>
    <row r="2242" spans="2:4">
      <c r="B2242" s="941" t="s">
        <v>9189</v>
      </c>
      <c r="D2242" s="941" t="s">
        <v>3078</v>
      </c>
    </row>
    <row r="2243" spans="2:4">
      <c r="B2243" s="941" t="s">
        <v>1003</v>
      </c>
      <c r="D2243" s="941" t="s">
        <v>3079</v>
      </c>
    </row>
    <row r="2244" spans="2:4">
      <c r="D2244" s="941" t="s">
        <v>3080</v>
      </c>
    </row>
    <row r="2245" spans="2:4">
      <c r="D2245" s="941" t="s">
        <v>10523</v>
      </c>
    </row>
    <row r="2246" spans="2:4">
      <c r="D2246" s="941" t="s">
        <v>3081</v>
      </c>
    </row>
    <row r="2247" spans="2:4">
      <c r="D2247" s="941" t="s">
        <v>3082</v>
      </c>
    </row>
    <row r="2248" spans="2:4">
      <c r="D2248" s="941" t="s">
        <v>3083</v>
      </c>
    </row>
    <row r="2249" spans="2:4">
      <c r="D2249" s="941" t="s">
        <v>3084</v>
      </c>
    </row>
    <row r="2250" spans="2:4">
      <c r="D2250" s="941" t="s">
        <v>3085</v>
      </c>
    </row>
    <row r="2251" spans="2:4">
      <c r="D2251" s="941" t="s">
        <v>3086</v>
      </c>
    </row>
    <row r="2252" spans="2:4">
      <c r="D2252" s="941" t="s">
        <v>3087</v>
      </c>
    </row>
    <row r="2253" spans="2:4">
      <c r="D2253" s="941" t="s">
        <v>3088</v>
      </c>
    </row>
    <row r="2254" spans="2:4">
      <c r="D2254" s="941" t="s">
        <v>3089</v>
      </c>
    </row>
    <row r="2255" spans="2:4">
      <c r="D2255" s="941" t="s">
        <v>3090</v>
      </c>
    </row>
    <row r="2256" spans="2:4">
      <c r="D2256" s="941" t="s">
        <v>10379</v>
      </c>
    </row>
    <row r="2257" spans="4:4">
      <c r="D2257" s="941" t="s">
        <v>3091</v>
      </c>
    </row>
    <row r="2258" spans="4:4">
      <c r="D2258" s="941" t="s">
        <v>3092</v>
      </c>
    </row>
    <row r="2259" spans="4:4">
      <c r="D2259" s="941" t="s">
        <v>3093</v>
      </c>
    </row>
    <row r="2260" spans="4:4">
      <c r="D2260" s="941" t="s">
        <v>3094</v>
      </c>
    </row>
    <row r="2261" spans="4:4">
      <c r="D2261" s="941" t="s">
        <v>3095</v>
      </c>
    </row>
    <row r="2262" spans="4:4">
      <c r="D2262" s="941" t="s">
        <v>3096</v>
      </c>
    </row>
    <row r="2263" spans="4:4">
      <c r="D2263" s="941" t="s">
        <v>3097</v>
      </c>
    </row>
    <row r="2264" spans="4:4">
      <c r="D2264" s="941" t="s">
        <v>3098</v>
      </c>
    </row>
    <row r="2265" spans="4:4">
      <c r="D2265" s="941" t="s">
        <v>3099</v>
      </c>
    </row>
    <row r="2266" spans="4:4">
      <c r="D2266" s="941" t="s">
        <v>11013</v>
      </c>
    </row>
    <row r="2267" spans="4:4">
      <c r="D2267" s="941" t="s">
        <v>3100</v>
      </c>
    </row>
    <row r="2268" spans="4:4">
      <c r="D2268" s="941" t="s">
        <v>3101</v>
      </c>
    </row>
    <row r="2269" spans="4:4">
      <c r="D2269" s="941" t="s">
        <v>3102</v>
      </c>
    </row>
    <row r="2270" spans="4:4">
      <c r="D2270" s="941" t="s">
        <v>3103</v>
      </c>
    </row>
    <row r="2271" spans="4:4">
      <c r="D2271" s="941" t="s">
        <v>3104</v>
      </c>
    </row>
    <row r="2272" spans="4:4">
      <c r="D2272" s="941" t="s">
        <v>3105</v>
      </c>
    </row>
    <row r="2273" spans="4:4">
      <c r="D2273" s="941" t="s">
        <v>3106</v>
      </c>
    </row>
    <row r="2274" spans="4:4">
      <c r="D2274" s="941" t="s">
        <v>3107</v>
      </c>
    </row>
    <row r="2275" spans="4:4">
      <c r="D2275" s="941" t="s">
        <v>3108</v>
      </c>
    </row>
    <row r="2276" spans="4:4">
      <c r="D2276" s="941" t="s">
        <v>3109</v>
      </c>
    </row>
    <row r="2277" spans="4:4">
      <c r="D2277" s="941" t="s">
        <v>3110</v>
      </c>
    </row>
    <row r="2278" spans="4:4">
      <c r="D2278" s="941" t="s">
        <v>3111</v>
      </c>
    </row>
    <row r="2279" spans="4:4">
      <c r="D2279" s="941" t="s">
        <v>10322</v>
      </c>
    </row>
    <row r="2280" spans="4:4">
      <c r="D2280" s="941" t="s">
        <v>3112</v>
      </c>
    </row>
    <row r="2281" spans="4:4">
      <c r="D2281" s="941" t="s">
        <v>10412</v>
      </c>
    </row>
    <row r="2282" spans="4:4">
      <c r="D2282" s="941" t="s">
        <v>3113</v>
      </c>
    </row>
    <row r="2283" spans="4:4">
      <c r="D2283" s="941" t="s">
        <v>3114</v>
      </c>
    </row>
    <row r="2284" spans="4:4">
      <c r="D2284" s="941" t="s">
        <v>3115</v>
      </c>
    </row>
    <row r="2285" spans="4:4">
      <c r="D2285" s="941" t="s">
        <v>3116</v>
      </c>
    </row>
    <row r="2286" spans="4:4">
      <c r="D2286" s="941" t="s">
        <v>3117</v>
      </c>
    </row>
    <row r="2287" spans="4:4">
      <c r="D2287" s="941" t="s">
        <v>3118</v>
      </c>
    </row>
    <row r="2288" spans="4:4">
      <c r="D2288" s="941" t="s">
        <v>3119</v>
      </c>
    </row>
    <row r="2289" spans="4:4">
      <c r="D2289" s="941" t="s">
        <v>3120</v>
      </c>
    </row>
    <row r="2290" spans="4:4">
      <c r="D2290" s="941" t="s">
        <v>3121</v>
      </c>
    </row>
    <row r="2291" spans="4:4">
      <c r="D2291" s="941" t="s">
        <v>3122</v>
      </c>
    </row>
    <row r="2292" spans="4:4">
      <c r="D2292" s="941" t="s">
        <v>3123</v>
      </c>
    </row>
    <row r="2293" spans="4:4">
      <c r="D2293" s="941" t="s">
        <v>3124</v>
      </c>
    </row>
    <row r="2294" spans="4:4">
      <c r="D2294" s="941" t="s">
        <v>9404</v>
      </c>
    </row>
    <row r="2295" spans="4:4">
      <c r="D2295" s="941" t="s">
        <v>3125</v>
      </c>
    </row>
    <row r="2296" spans="4:4">
      <c r="D2296" s="941" t="s">
        <v>3126</v>
      </c>
    </row>
    <row r="2297" spans="4:4">
      <c r="D2297" s="941" t="s">
        <v>9405</v>
      </c>
    </row>
    <row r="2298" spans="4:4">
      <c r="D2298" s="941" t="s">
        <v>3127</v>
      </c>
    </row>
    <row r="2299" spans="4:4">
      <c r="D2299" s="941" t="s">
        <v>3128</v>
      </c>
    </row>
    <row r="2300" spans="4:4">
      <c r="D2300" s="941" t="s">
        <v>3129</v>
      </c>
    </row>
    <row r="2301" spans="4:4">
      <c r="D2301" s="941" t="s">
        <v>3130</v>
      </c>
    </row>
    <row r="2302" spans="4:4">
      <c r="D2302" s="941" t="s">
        <v>3131</v>
      </c>
    </row>
    <row r="2303" spans="4:4">
      <c r="D2303" s="941" t="s">
        <v>3132</v>
      </c>
    </row>
    <row r="2304" spans="4:4">
      <c r="D2304" s="941" t="s">
        <v>3133</v>
      </c>
    </row>
    <row r="2305" spans="4:4">
      <c r="D2305" s="941" t="s">
        <v>3134</v>
      </c>
    </row>
    <row r="2306" spans="4:4">
      <c r="D2306" s="941" t="s">
        <v>10524</v>
      </c>
    </row>
    <row r="2307" spans="4:4">
      <c r="D2307" s="941" t="s">
        <v>3135</v>
      </c>
    </row>
    <row r="2308" spans="4:4">
      <c r="D2308" s="941" t="s">
        <v>3136</v>
      </c>
    </row>
    <row r="2309" spans="4:4">
      <c r="D2309" s="941" t="s">
        <v>3137</v>
      </c>
    </row>
    <row r="2310" spans="4:4">
      <c r="D2310" s="941" t="s">
        <v>3138</v>
      </c>
    </row>
    <row r="2311" spans="4:4">
      <c r="D2311" s="941" t="s">
        <v>3139</v>
      </c>
    </row>
    <row r="2312" spans="4:4">
      <c r="D2312" s="941" t="s">
        <v>3140</v>
      </c>
    </row>
    <row r="2313" spans="4:4">
      <c r="D2313" s="941" t="s">
        <v>3141</v>
      </c>
    </row>
    <row r="2314" spans="4:4">
      <c r="D2314" s="941" t="s">
        <v>3142</v>
      </c>
    </row>
    <row r="2315" spans="4:4">
      <c r="D2315" s="941" t="s">
        <v>3143</v>
      </c>
    </row>
    <row r="2316" spans="4:4">
      <c r="D2316" s="941" t="s">
        <v>3144</v>
      </c>
    </row>
    <row r="2317" spans="4:4">
      <c r="D2317" s="941" t="s">
        <v>3145</v>
      </c>
    </row>
    <row r="2318" spans="4:4">
      <c r="D2318" s="941" t="s">
        <v>3146</v>
      </c>
    </row>
    <row r="2319" spans="4:4">
      <c r="D2319" s="941" t="s">
        <v>3147</v>
      </c>
    </row>
    <row r="2320" spans="4:4">
      <c r="D2320" s="941" t="s">
        <v>3148</v>
      </c>
    </row>
    <row r="2321" spans="4:4">
      <c r="D2321" s="941" t="s">
        <v>3149</v>
      </c>
    </row>
    <row r="2322" spans="4:4">
      <c r="D2322" s="941" t="s">
        <v>3150</v>
      </c>
    </row>
    <row r="2323" spans="4:4">
      <c r="D2323" s="941" t="s">
        <v>3151</v>
      </c>
    </row>
    <row r="2324" spans="4:4">
      <c r="D2324" s="941" t="s">
        <v>3152</v>
      </c>
    </row>
    <row r="2325" spans="4:4">
      <c r="D2325" s="941" t="s">
        <v>3153</v>
      </c>
    </row>
    <row r="2326" spans="4:4">
      <c r="D2326" s="941" t="s">
        <v>3154</v>
      </c>
    </row>
    <row r="2327" spans="4:4">
      <c r="D2327" s="941" t="s">
        <v>3155</v>
      </c>
    </row>
    <row r="2328" spans="4:4">
      <c r="D2328" s="941" t="s">
        <v>10525</v>
      </c>
    </row>
    <row r="2329" spans="4:4">
      <c r="D2329" s="941" t="s">
        <v>3156</v>
      </c>
    </row>
    <row r="2330" spans="4:4">
      <c r="D2330" s="941" t="s">
        <v>3157</v>
      </c>
    </row>
    <row r="2331" spans="4:4">
      <c r="D2331" s="941" t="s">
        <v>3158</v>
      </c>
    </row>
    <row r="2332" spans="4:4">
      <c r="D2332" s="941" t="s">
        <v>3159</v>
      </c>
    </row>
    <row r="2333" spans="4:4">
      <c r="D2333" s="941" t="s">
        <v>3160</v>
      </c>
    </row>
    <row r="2334" spans="4:4">
      <c r="D2334" s="941" t="s">
        <v>3161</v>
      </c>
    </row>
    <row r="2335" spans="4:4">
      <c r="D2335" s="941" t="s">
        <v>3162</v>
      </c>
    </row>
    <row r="2336" spans="4:4">
      <c r="D2336" s="941" t="s">
        <v>3163</v>
      </c>
    </row>
    <row r="2337" spans="4:4">
      <c r="D2337" s="941" t="s">
        <v>3164</v>
      </c>
    </row>
    <row r="2338" spans="4:4">
      <c r="D2338" s="941" t="s">
        <v>3165</v>
      </c>
    </row>
    <row r="2339" spans="4:4">
      <c r="D2339" s="941" t="s">
        <v>3166</v>
      </c>
    </row>
    <row r="2340" spans="4:4">
      <c r="D2340" s="941" t="s">
        <v>3167</v>
      </c>
    </row>
    <row r="2341" spans="4:4">
      <c r="D2341" s="941" t="s">
        <v>3168</v>
      </c>
    </row>
    <row r="2342" spans="4:4">
      <c r="D2342" s="941" t="s">
        <v>3169</v>
      </c>
    </row>
    <row r="2343" spans="4:4">
      <c r="D2343" s="941" t="s">
        <v>3170</v>
      </c>
    </row>
    <row r="2344" spans="4:4">
      <c r="D2344" s="941" t="s">
        <v>3171</v>
      </c>
    </row>
    <row r="2345" spans="4:4">
      <c r="D2345" s="941" t="s">
        <v>9406</v>
      </c>
    </row>
    <row r="2346" spans="4:4">
      <c r="D2346" s="941" t="s">
        <v>3172</v>
      </c>
    </row>
    <row r="2347" spans="4:4">
      <c r="D2347" s="941" t="s">
        <v>3173</v>
      </c>
    </row>
    <row r="2348" spans="4:4">
      <c r="D2348" s="941" t="s">
        <v>3174</v>
      </c>
    </row>
    <row r="2349" spans="4:4">
      <c r="D2349" s="941" t="s">
        <v>3175</v>
      </c>
    </row>
    <row r="2350" spans="4:4">
      <c r="D2350" s="941" t="s">
        <v>3176</v>
      </c>
    </row>
    <row r="2351" spans="4:4">
      <c r="D2351" s="941" t="s">
        <v>3177</v>
      </c>
    </row>
    <row r="2352" spans="4:4">
      <c r="D2352" s="941" t="s">
        <v>3178</v>
      </c>
    </row>
    <row r="2353" spans="4:4">
      <c r="D2353" s="941" t="s">
        <v>3179</v>
      </c>
    </row>
    <row r="2354" spans="4:4">
      <c r="D2354" s="941" t="s">
        <v>3180</v>
      </c>
    </row>
    <row r="2355" spans="4:4">
      <c r="D2355" s="941" t="s">
        <v>3181</v>
      </c>
    </row>
    <row r="2356" spans="4:4">
      <c r="D2356" s="941" t="s">
        <v>3182</v>
      </c>
    </row>
    <row r="2357" spans="4:4">
      <c r="D2357" s="941" t="s">
        <v>3183</v>
      </c>
    </row>
    <row r="2358" spans="4:4">
      <c r="D2358" s="941" t="s">
        <v>3184</v>
      </c>
    </row>
    <row r="2359" spans="4:4">
      <c r="D2359" s="941" t="s">
        <v>3185</v>
      </c>
    </row>
    <row r="2360" spans="4:4">
      <c r="D2360" s="941" t="s">
        <v>10526</v>
      </c>
    </row>
    <row r="2361" spans="4:4">
      <c r="D2361" s="941" t="s">
        <v>3186</v>
      </c>
    </row>
    <row r="2362" spans="4:4">
      <c r="D2362" s="941" t="s">
        <v>3187</v>
      </c>
    </row>
    <row r="2363" spans="4:4">
      <c r="D2363" s="941" t="s">
        <v>3188</v>
      </c>
    </row>
    <row r="2364" spans="4:4">
      <c r="D2364" s="941" t="s">
        <v>3189</v>
      </c>
    </row>
    <row r="2365" spans="4:4">
      <c r="D2365" s="941" t="s">
        <v>3190</v>
      </c>
    </row>
    <row r="2366" spans="4:4">
      <c r="D2366" s="941" t="s">
        <v>3191</v>
      </c>
    </row>
    <row r="2367" spans="4:4">
      <c r="D2367" s="941" t="s">
        <v>3192</v>
      </c>
    </row>
    <row r="2368" spans="4:4">
      <c r="D2368" s="941" t="s">
        <v>3193</v>
      </c>
    </row>
    <row r="2369" spans="4:4">
      <c r="D2369" s="941" t="s">
        <v>3194</v>
      </c>
    </row>
    <row r="2370" spans="4:4">
      <c r="D2370" s="941" t="s">
        <v>3195</v>
      </c>
    </row>
    <row r="2371" spans="4:4">
      <c r="D2371" s="941" t="s">
        <v>3196</v>
      </c>
    </row>
    <row r="2372" spans="4:4">
      <c r="D2372" s="941" t="s">
        <v>3197</v>
      </c>
    </row>
    <row r="2373" spans="4:4">
      <c r="D2373" s="941" t="s">
        <v>3198</v>
      </c>
    </row>
    <row r="2374" spans="4:4">
      <c r="D2374" s="941" t="s">
        <v>10413</v>
      </c>
    </row>
    <row r="2375" spans="4:4">
      <c r="D2375" s="941" t="s">
        <v>3199</v>
      </c>
    </row>
    <row r="2376" spans="4:4">
      <c r="D2376" s="941" t="s">
        <v>3200</v>
      </c>
    </row>
    <row r="2377" spans="4:4">
      <c r="D2377" s="941" t="s">
        <v>3201</v>
      </c>
    </row>
    <row r="2378" spans="4:4">
      <c r="D2378" s="941" t="s">
        <v>3202</v>
      </c>
    </row>
    <row r="2379" spans="4:4">
      <c r="D2379" s="941" t="s">
        <v>3203</v>
      </c>
    </row>
    <row r="2380" spans="4:4">
      <c r="D2380" s="941" t="s">
        <v>9407</v>
      </c>
    </row>
    <row r="2381" spans="4:4">
      <c r="D2381" s="941" t="s">
        <v>3204</v>
      </c>
    </row>
    <row r="2382" spans="4:4">
      <c r="D2382" s="941" t="s">
        <v>3205</v>
      </c>
    </row>
    <row r="2383" spans="4:4">
      <c r="D2383" s="941" t="s">
        <v>3206</v>
      </c>
    </row>
    <row r="2384" spans="4:4">
      <c r="D2384" s="941" t="s">
        <v>10323</v>
      </c>
    </row>
    <row r="2385" spans="4:4">
      <c r="D2385" s="941" t="s">
        <v>3207</v>
      </c>
    </row>
    <row r="2386" spans="4:4">
      <c r="D2386" s="941" t="s">
        <v>9408</v>
      </c>
    </row>
    <row r="2387" spans="4:4">
      <c r="D2387" s="941" t="s">
        <v>3208</v>
      </c>
    </row>
    <row r="2388" spans="4:4">
      <c r="D2388" s="941" t="s">
        <v>3209</v>
      </c>
    </row>
    <row r="2389" spans="4:4">
      <c r="D2389" s="941" t="s">
        <v>3210</v>
      </c>
    </row>
    <row r="2390" spans="4:4">
      <c r="D2390" s="941" t="s">
        <v>3211</v>
      </c>
    </row>
    <row r="2391" spans="4:4">
      <c r="D2391" s="941" t="s">
        <v>9409</v>
      </c>
    </row>
    <row r="2392" spans="4:4">
      <c r="D2392" s="941" t="s">
        <v>3212</v>
      </c>
    </row>
    <row r="2393" spans="4:4">
      <c r="D2393" s="941" t="s">
        <v>3213</v>
      </c>
    </row>
    <row r="2394" spans="4:4">
      <c r="D2394" s="941" t="s">
        <v>3214</v>
      </c>
    </row>
    <row r="2395" spans="4:4">
      <c r="D2395" s="941" t="s">
        <v>3215</v>
      </c>
    </row>
    <row r="2396" spans="4:4">
      <c r="D2396" s="941" t="s">
        <v>3216</v>
      </c>
    </row>
    <row r="2397" spans="4:4">
      <c r="D2397" s="941" t="s">
        <v>3217</v>
      </c>
    </row>
    <row r="2398" spans="4:4">
      <c r="D2398" s="941" t="s">
        <v>3218</v>
      </c>
    </row>
    <row r="2399" spans="4:4">
      <c r="D2399" s="941" t="s">
        <v>3219</v>
      </c>
    </row>
    <row r="2400" spans="4:4">
      <c r="D2400" s="941" t="s">
        <v>3220</v>
      </c>
    </row>
    <row r="2401" spans="4:4">
      <c r="D2401" s="941" t="s">
        <v>3221</v>
      </c>
    </row>
    <row r="2402" spans="4:4">
      <c r="D2402" s="941" t="s">
        <v>3222</v>
      </c>
    </row>
    <row r="2403" spans="4:4">
      <c r="D2403" s="941" t="s">
        <v>3223</v>
      </c>
    </row>
    <row r="2404" spans="4:4">
      <c r="D2404" s="941" t="s">
        <v>11472</v>
      </c>
    </row>
    <row r="2405" spans="4:4">
      <c r="D2405" s="941" t="s">
        <v>3224</v>
      </c>
    </row>
    <row r="2406" spans="4:4">
      <c r="D2406" s="941" t="s">
        <v>3225</v>
      </c>
    </row>
    <row r="2407" spans="4:4">
      <c r="D2407" s="941" t="s">
        <v>3226</v>
      </c>
    </row>
    <row r="2408" spans="4:4">
      <c r="D2408" s="941" t="s">
        <v>3227</v>
      </c>
    </row>
    <row r="2409" spans="4:4">
      <c r="D2409" s="941" t="s">
        <v>3228</v>
      </c>
    </row>
    <row r="2410" spans="4:4">
      <c r="D2410" s="941" t="s">
        <v>3229</v>
      </c>
    </row>
    <row r="2411" spans="4:4">
      <c r="D2411" s="941" t="s">
        <v>3230</v>
      </c>
    </row>
    <row r="2412" spans="4:4">
      <c r="D2412" s="941" t="s">
        <v>3231</v>
      </c>
    </row>
    <row r="2413" spans="4:4">
      <c r="D2413" s="941" t="s">
        <v>3232</v>
      </c>
    </row>
    <row r="2414" spans="4:4">
      <c r="D2414" s="941" t="s">
        <v>3233</v>
      </c>
    </row>
    <row r="2415" spans="4:4">
      <c r="D2415" s="941" t="s">
        <v>3234</v>
      </c>
    </row>
    <row r="2416" spans="4:4">
      <c r="D2416" s="941" t="s">
        <v>3235</v>
      </c>
    </row>
    <row r="2417" spans="4:4">
      <c r="D2417" s="941" t="s">
        <v>3236</v>
      </c>
    </row>
    <row r="2418" spans="4:4">
      <c r="D2418" s="941" t="s">
        <v>3237</v>
      </c>
    </row>
    <row r="2419" spans="4:4">
      <c r="D2419" s="941" t="s">
        <v>3238</v>
      </c>
    </row>
    <row r="2420" spans="4:4">
      <c r="D2420" s="941" t="s">
        <v>3239</v>
      </c>
    </row>
    <row r="2421" spans="4:4">
      <c r="D2421" s="941" t="s">
        <v>3240</v>
      </c>
    </row>
    <row r="2422" spans="4:4">
      <c r="D2422" s="941" t="s">
        <v>3241</v>
      </c>
    </row>
    <row r="2423" spans="4:4">
      <c r="D2423" s="941" t="s">
        <v>3242</v>
      </c>
    </row>
    <row r="2424" spans="4:4">
      <c r="D2424" s="941" t="s">
        <v>3243</v>
      </c>
    </row>
    <row r="2425" spans="4:4">
      <c r="D2425" s="941" t="s">
        <v>3244</v>
      </c>
    </row>
    <row r="2426" spans="4:4">
      <c r="D2426" s="941" t="s">
        <v>557</v>
      </c>
    </row>
    <row r="2427" spans="4:4">
      <c r="D2427" s="941" t="s">
        <v>3245</v>
      </c>
    </row>
    <row r="2428" spans="4:4">
      <c r="D2428" s="941" t="s">
        <v>3246</v>
      </c>
    </row>
    <row r="2429" spans="4:4">
      <c r="D2429" s="941" t="s">
        <v>3247</v>
      </c>
    </row>
    <row r="2430" spans="4:4">
      <c r="D2430" s="941" t="s">
        <v>3248</v>
      </c>
    </row>
    <row r="2431" spans="4:4">
      <c r="D2431" s="941" t="s">
        <v>3249</v>
      </c>
    </row>
    <row r="2432" spans="4:4">
      <c r="D2432" s="941" t="s">
        <v>3250</v>
      </c>
    </row>
    <row r="2433" spans="4:4">
      <c r="D2433" s="941" t="s">
        <v>3251</v>
      </c>
    </row>
    <row r="2434" spans="4:4">
      <c r="D2434" s="941" t="s">
        <v>3252</v>
      </c>
    </row>
    <row r="2435" spans="4:4">
      <c r="D2435" s="941" t="s">
        <v>3253</v>
      </c>
    </row>
    <row r="2436" spans="4:4">
      <c r="D2436" s="941" t="s">
        <v>3254</v>
      </c>
    </row>
    <row r="2437" spans="4:4">
      <c r="D2437" s="941" t="s">
        <v>3255</v>
      </c>
    </row>
    <row r="2438" spans="4:4">
      <c r="D2438" s="941" t="s">
        <v>10324</v>
      </c>
    </row>
    <row r="2439" spans="4:4">
      <c r="D2439" s="941" t="s">
        <v>10586</v>
      </c>
    </row>
    <row r="2440" spans="4:4">
      <c r="D2440" s="941" t="s">
        <v>10222</v>
      </c>
    </row>
    <row r="2441" spans="4:4">
      <c r="D2441" s="941" t="s">
        <v>3256</v>
      </c>
    </row>
    <row r="2442" spans="4:4">
      <c r="D2442" s="941" t="s">
        <v>3257</v>
      </c>
    </row>
    <row r="2443" spans="4:4">
      <c r="D2443" s="941" t="s">
        <v>3258</v>
      </c>
    </row>
    <row r="2444" spans="4:4">
      <c r="D2444" s="941" t="s">
        <v>3259</v>
      </c>
    </row>
    <row r="2445" spans="4:4">
      <c r="D2445" s="941" t="s">
        <v>3260</v>
      </c>
    </row>
    <row r="2446" spans="4:4">
      <c r="D2446" s="941" t="s">
        <v>3261</v>
      </c>
    </row>
    <row r="2447" spans="4:4">
      <c r="D2447" s="941" t="s">
        <v>3262</v>
      </c>
    </row>
    <row r="2448" spans="4:4">
      <c r="D2448" s="941" t="s">
        <v>3263</v>
      </c>
    </row>
    <row r="2449" spans="4:4">
      <c r="D2449" s="941" t="s">
        <v>3264</v>
      </c>
    </row>
    <row r="2450" spans="4:4">
      <c r="D2450" s="941" t="s">
        <v>3265</v>
      </c>
    </row>
    <row r="2451" spans="4:4">
      <c r="D2451" s="941" t="s">
        <v>3266</v>
      </c>
    </row>
    <row r="2452" spans="4:4">
      <c r="D2452" s="941" t="s">
        <v>3267</v>
      </c>
    </row>
    <row r="2453" spans="4:4">
      <c r="D2453" s="941" t="s">
        <v>3268</v>
      </c>
    </row>
    <row r="2454" spans="4:4">
      <c r="D2454" s="941" t="s">
        <v>3269</v>
      </c>
    </row>
    <row r="2455" spans="4:4">
      <c r="D2455" s="941" t="s">
        <v>3270</v>
      </c>
    </row>
    <row r="2456" spans="4:4">
      <c r="D2456" s="941" t="s">
        <v>721</v>
      </c>
    </row>
    <row r="2457" spans="4:4">
      <c r="D2457" s="941" t="s">
        <v>3271</v>
      </c>
    </row>
    <row r="2458" spans="4:4">
      <c r="D2458" s="941" t="s">
        <v>3272</v>
      </c>
    </row>
    <row r="2459" spans="4:4">
      <c r="D2459" s="941" t="s">
        <v>3273</v>
      </c>
    </row>
    <row r="2460" spans="4:4">
      <c r="D2460" s="941" t="s">
        <v>3274</v>
      </c>
    </row>
    <row r="2461" spans="4:4">
      <c r="D2461" s="941" t="s">
        <v>3275</v>
      </c>
    </row>
    <row r="2462" spans="4:4">
      <c r="D2462" s="941" t="s">
        <v>3276</v>
      </c>
    </row>
    <row r="2463" spans="4:4">
      <c r="D2463" s="941" t="s">
        <v>9410</v>
      </c>
    </row>
    <row r="2464" spans="4:4">
      <c r="D2464" s="941" t="s">
        <v>3277</v>
      </c>
    </row>
    <row r="2465" spans="4:4">
      <c r="D2465" s="941" t="s">
        <v>3278</v>
      </c>
    </row>
    <row r="2466" spans="4:4">
      <c r="D2466" s="941" t="s">
        <v>3279</v>
      </c>
    </row>
    <row r="2467" spans="4:4">
      <c r="D2467" s="941" t="s">
        <v>3280</v>
      </c>
    </row>
    <row r="2468" spans="4:4">
      <c r="D2468" s="941" t="s">
        <v>3281</v>
      </c>
    </row>
    <row r="2469" spans="4:4">
      <c r="D2469" s="941" t="s">
        <v>3282</v>
      </c>
    </row>
    <row r="2470" spans="4:4">
      <c r="D2470" s="941" t="s">
        <v>3283</v>
      </c>
    </row>
    <row r="2471" spans="4:4">
      <c r="D2471" s="941" t="s">
        <v>3284</v>
      </c>
    </row>
    <row r="2472" spans="4:4">
      <c r="D2472" s="941" t="s">
        <v>3286</v>
      </c>
    </row>
    <row r="2473" spans="4:4">
      <c r="D2473" s="941" t="s">
        <v>3287</v>
      </c>
    </row>
    <row r="2474" spans="4:4">
      <c r="D2474" s="941" t="s">
        <v>3288</v>
      </c>
    </row>
    <row r="2475" spans="4:4">
      <c r="D2475" s="941" t="s">
        <v>3289</v>
      </c>
    </row>
    <row r="2476" spans="4:4">
      <c r="D2476" s="941" t="s">
        <v>3290</v>
      </c>
    </row>
    <row r="2477" spans="4:4">
      <c r="D2477" s="941" t="s">
        <v>3291</v>
      </c>
    </row>
    <row r="2478" spans="4:4">
      <c r="D2478" s="941" t="s">
        <v>3292</v>
      </c>
    </row>
    <row r="2479" spans="4:4">
      <c r="D2479" s="941" t="s">
        <v>3293</v>
      </c>
    </row>
    <row r="2480" spans="4:4">
      <c r="D2480" s="941" t="s">
        <v>3285</v>
      </c>
    </row>
    <row r="2481" spans="4:4">
      <c r="D2481" s="941" t="s">
        <v>3294</v>
      </c>
    </row>
    <row r="2482" spans="4:4">
      <c r="D2482" s="941" t="s">
        <v>3295</v>
      </c>
    </row>
    <row r="2483" spans="4:4">
      <c r="D2483" s="941" t="s">
        <v>3296</v>
      </c>
    </row>
    <row r="2484" spans="4:4">
      <c r="D2484" s="941" t="s">
        <v>3297</v>
      </c>
    </row>
    <row r="2485" spans="4:4">
      <c r="D2485" s="941" t="s">
        <v>3298</v>
      </c>
    </row>
    <row r="2486" spans="4:4">
      <c r="D2486" s="941" t="s">
        <v>9411</v>
      </c>
    </row>
    <row r="2487" spans="4:4">
      <c r="D2487" s="941" t="s">
        <v>3299</v>
      </c>
    </row>
    <row r="2488" spans="4:4">
      <c r="D2488" s="941" t="s">
        <v>3300</v>
      </c>
    </row>
    <row r="2489" spans="4:4">
      <c r="D2489" s="941" t="s">
        <v>3301</v>
      </c>
    </row>
    <row r="2490" spans="4:4">
      <c r="D2490" s="941" t="s">
        <v>3302</v>
      </c>
    </row>
    <row r="2491" spans="4:4">
      <c r="D2491" s="941" t="s">
        <v>3303</v>
      </c>
    </row>
    <row r="2492" spans="4:4">
      <c r="D2492" s="941" t="s">
        <v>3304</v>
      </c>
    </row>
    <row r="2493" spans="4:4">
      <c r="D2493" s="941" t="s">
        <v>10883</v>
      </c>
    </row>
    <row r="2494" spans="4:4">
      <c r="D2494" s="941" t="s">
        <v>3305</v>
      </c>
    </row>
    <row r="2495" spans="4:4">
      <c r="D2495" s="941" t="s">
        <v>3306</v>
      </c>
    </row>
    <row r="2496" spans="4:4">
      <c r="D2496" s="941" t="s">
        <v>3307</v>
      </c>
    </row>
    <row r="2497" spans="4:4">
      <c r="D2497" s="941" t="s">
        <v>3308</v>
      </c>
    </row>
    <row r="2498" spans="4:4">
      <c r="D2498" s="941" t="s">
        <v>3309</v>
      </c>
    </row>
    <row r="2499" spans="4:4">
      <c r="D2499" s="941" t="s">
        <v>3310</v>
      </c>
    </row>
    <row r="2500" spans="4:4">
      <c r="D2500" s="941" t="s">
        <v>3311</v>
      </c>
    </row>
    <row r="2501" spans="4:4">
      <c r="D2501" s="941" t="s">
        <v>3312</v>
      </c>
    </row>
    <row r="2502" spans="4:4">
      <c r="D2502" s="941" t="s">
        <v>3313</v>
      </c>
    </row>
    <row r="2503" spans="4:4">
      <c r="D2503" s="941" t="s">
        <v>3314</v>
      </c>
    </row>
    <row r="2504" spans="4:4">
      <c r="D2504" s="941" t="s">
        <v>3315</v>
      </c>
    </row>
    <row r="2505" spans="4:4">
      <c r="D2505" s="941" t="s">
        <v>3316</v>
      </c>
    </row>
    <row r="2506" spans="4:4">
      <c r="D2506" s="941" t="s">
        <v>3317</v>
      </c>
    </row>
    <row r="2507" spans="4:4">
      <c r="D2507" s="941" t="s">
        <v>3318</v>
      </c>
    </row>
    <row r="2508" spans="4:4">
      <c r="D2508" s="941" t="s">
        <v>3319</v>
      </c>
    </row>
    <row r="2509" spans="4:4">
      <c r="D2509" s="941" t="s">
        <v>3320</v>
      </c>
    </row>
    <row r="2510" spans="4:4">
      <c r="D2510" s="941" t="s">
        <v>3321</v>
      </c>
    </row>
    <row r="2511" spans="4:4">
      <c r="D2511" s="941" t="s">
        <v>3322</v>
      </c>
    </row>
    <row r="2512" spans="4:4">
      <c r="D2512" s="941" t="s">
        <v>3323</v>
      </c>
    </row>
    <row r="2513" spans="4:4">
      <c r="D2513" s="941" t="s">
        <v>3324</v>
      </c>
    </row>
    <row r="2514" spans="4:4">
      <c r="D2514" s="941" t="s">
        <v>9282</v>
      </c>
    </row>
    <row r="2515" spans="4:4">
      <c r="D2515" s="941" t="s">
        <v>3325</v>
      </c>
    </row>
    <row r="2516" spans="4:4">
      <c r="D2516" s="941" t="s">
        <v>3326</v>
      </c>
    </row>
    <row r="2517" spans="4:4">
      <c r="D2517" s="941" t="s">
        <v>3327</v>
      </c>
    </row>
    <row r="2518" spans="4:4">
      <c r="D2518" s="941" t="s">
        <v>3328</v>
      </c>
    </row>
    <row r="2519" spans="4:4">
      <c r="D2519" s="941" t="s">
        <v>3329</v>
      </c>
    </row>
    <row r="2520" spans="4:4">
      <c r="D2520" s="941" t="s">
        <v>3330</v>
      </c>
    </row>
    <row r="2521" spans="4:4">
      <c r="D2521" s="941" t="s">
        <v>3331</v>
      </c>
    </row>
    <row r="2522" spans="4:4">
      <c r="D2522" s="941" t="s">
        <v>3332</v>
      </c>
    </row>
    <row r="2523" spans="4:4">
      <c r="D2523" s="941" t="s">
        <v>3333</v>
      </c>
    </row>
    <row r="2524" spans="4:4">
      <c r="D2524" s="941" t="s">
        <v>3334</v>
      </c>
    </row>
    <row r="2525" spans="4:4">
      <c r="D2525" s="941" t="s">
        <v>3335</v>
      </c>
    </row>
    <row r="2526" spans="4:4">
      <c r="D2526" s="941" t="s">
        <v>9412</v>
      </c>
    </row>
    <row r="2527" spans="4:4">
      <c r="D2527" s="941" t="s">
        <v>3336</v>
      </c>
    </row>
    <row r="2528" spans="4:4">
      <c r="D2528" s="941" t="s">
        <v>3337</v>
      </c>
    </row>
    <row r="2529" spans="4:4">
      <c r="D2529" s="941" t="s">
        <v>3338</v>
      </c>
    </row>
    <row r="2530" spans="4:4">
      <c r="D2530" s="941" t="s">
        <v>3339</v>
      </c>
    </row>
    <row r="2531" spans="4:4">
      <c r="D2531" s="941" t="s">
        <v>3340</v>
      </c>
    </row>
    <row r="2532" spans="4:4">
      <c r="D2532" s="941" t="s">
        <v>3341</v>
      </c>
    </row>
    <row r="2533" spans="4:4">
      <c r="D2533" s="941" t="s">
        <v>3342</v>
      </c>
    </row>
    <row r="2534" spans="4:4">
      <c r="D2534" s="941" t="s">
        <v>3343</v>
      </c>
    </row>
    <row r="2535" spans="4:4">
      <c r="D2535" s="941" t="s">
        <v>3344</v>
      </c>
    </row>
    <row r="2536" spans="4:4">
      <c r="D2536" s="941" t="s">
        <v>3345</v>
      </c>
    </row>
    <row r="2537" spans="4:4">
      <c r="D2537" s="941" t="s">
        <v>3346</v>
      </c>
    </row>
    <row r="2538" spans="4:4">
      <c r="D2538" s="941" t="s">
        <v>1012</v>
      </c>
    </row>
    <row r="2539" spans="4:4">
      <c r="D2539" s="941" t="s">
        <v>3347</v>
      </c>
    </row>
    <row r="2540" spans="4:4">
      <c r="D2540" s="941" t="s">
        <v>3348</v>
      </c>
    </row>
    <row r="2541" spans="4:4">
      <c r="D2541" s="941" t="s">
        <v>3349</v>
      </c>
    </row>
    <row r="2542" spans="4:4">
      <c r="D2542" s="941" t="s">
        <v>3350</v>
      </c>
    </row>
    <row r="2543" spans="4:4">
      <c r="D2543" s="941" t="s">
        <v>3351</v>
      </c>
    </row>
    <row r="2544" spans="4:4">
      <c r="D2544" s="941" t="s">
        <v>3352</v>
      </c>
    </row>
    <row r="2545" spans="4:4">
      <c r="D2545" s="941" t="s">
        <v>3353</v>
      </c>
    </row>
    <row r="2546" spans="4:4">
      <c r="D2546" s="941" t="s">
        <v>3354</v>
      </c>
    </row>
    <row r="2547" spans="4:4">
      <c r="D2547" s="941" t="s">
        <v>9413</v>
      </c>
    </row>
    <row r="2548" spans="4:4">
      <c r="D2548" s="941" t="s">
        <v>3355</v>
      </c>
    </row>
    <row r="2549" spans="4:4">
      <c r="D2549" s="941" t="s">
        <v>3356</v>
      </c>
    </row>
    <row r="2550" spans="4:4">
      <c r="D2550" s="941" t="s">
        <v>3357</v>
      </c>
    </row>
    <row r="2551" spans="4:4">
      <c r="D2551" s="941" t="s">
        <v>3358</v>
      </c>
    </row>
    <row r="2552" spans="4:4">
      <c r="D2552" s="941" t="s">
        <v>3359</v>
      </c>
    </row>
    <row r="2553" spans="4:4">
      <c r="D2553" s="941" t="s">
        <v>3360</v>
      </c>
    </row>
    <row r="2554" spans="4:4">
      <c r="D2554" s="941" t="s">
        <v>3361</v>
      </c>
    </row>
    <row r="2555" spans="4:4">
      <c r="D2555" s="941" t="s">
        <v>3362</v>
      </c>
    </row>
    <row r="2556" spans="4:4">
      <c r="D2556" s="941" t="s">
        <v>3363</v>
      </c>
    </row>
    <row r="2557" spans="4:4">
      <c r="D2557" s="941" t="s">
        <v>3364</v>
      </c>
    </row>
    <row r="2558" spans="4:4">
      <c r="D2558" s="941" t="s">
        <v>3365</v>
      </c>
    </row>
    <row r="2559" spans="4:4">
      <c r="D2559" s="941" t="s">
        <v>3366</v>
      </c>
    </row>
    <row r="2560" spans="4:4">
      <c r="D2560" s="941" t="s">
        <v>3367</v>
      </c>
    </row>
    <row r="2561" spans="4:4">
      <c r="D2561" s="941" t="s">
        <v>3368</v>
      </c>
    </row>
    <row r="2562" spans="4:4">
      <c r="D2562" s="941" t="s">
        <v>3369</v>
      </c>
    </row>
    <row r="2563" spans="4:4">
      <c r="D2563" s="941" t="s">
        <v>3370</v>
      </c>
    </row>
    <row r="2564" spans="4:4">
      <c r="D2564" s="941" t="s">
        <v>3371</v>
      </c>
    </row>
    <row r="2565" spans="4:4">
      <c r="D2565" s="941" t="s">
        <v>3372</v>
      </c>
    </row>
    <row r="2566" spans="4:4">
      <c r="D2566" s="941" t="s">
        <v>3373</v>
      </c>
    </row>
    <row r="2567" spans="4:4">
      <c r="D2567" s="941" t="s">
        <v>3374</v>
      </c>
    </row>
    <row r="2568" spans="4:4">
      <c r="D2568" s="941" t="s">
        <v>3375</v>
      </c>
    </row>
    <row r="2569" spans="4:4">
      <c r="D2569" s="941" t="s">
        <v>3376</v>
      </c>
    </row>
    <row r="2570" spans="4:4">
      <c r="D2570" s="941" t="s">
        <v>3377</v>
      </c>
    </row>
    <row r="2571" spans="4:4">
      <c r="D2571" s="941" t="s">
        <v>10380</v>
      </c>
    </row>
    <row r="2572" spans="4:4">
      <c r="D2572" s="941" t="s">
        <v>3378</v>
      </c>
    </row>
    <row r="2573" spans="4:4">
      <c r="D2573" s="941" t="s">
        <v>3379</v>
      </c>
    </row>
    <row r="2574" spans="4:4">
      <c r="D2574" s="941" t="s">
        <v>3380</v>
      </c>
    </row>
    <row r="2575" spans="4:4">
      <c r="D2575" s="941" t="s">
        <v>10381</v>
      </c>
    </row>
    <row r="2576" spans="4:4">
      <c r="D2576" s="941" t="s">
        <v>3381</v>
      </c>
    </row>
    <row r="2577" spans="4:4">
      <c r="D2577" s="941" t="s">
        <v>3382</v>
      </c>
    </row>
    <row r="2578" spans="4:4">
      <c r="D2578" s="941" t="s">
        <v>3383</v>
      </c>
    </row>
    <row r="2579" spans="4:4">
      <c r="D2579" s="941" t="s">
        <v>3384</v>
      </c>
    </row>
    <row r="2580" spans="4:4">
      <c r="D2580" s="941" t="s">
        <v>3385</v>
      </c>
    </row>
    <row r="2581" spans="4:4">
      <c r="D2581" s="941" t="s">
        <v>3386</v>
      </c>
    </row>
    <row r="2582" spans="4:4">
      <c r="D2582" s="941" t="s">
        <v>3387</v>
      </c>
    </row>
    <row r="2583" spans="4:4">
      <c r="D2583" s="941" t="s">
        <v>3388</v>
      </c>
    </row>
    <row r="2584" spans="4:4">
      <c r="D2584" s="941" t="s">
        <v>3389</v>
      </c>
    </row>
    <row r="2585" spans="4:4">
      <c r="D2585" s="941" t="s">
        <v>3390</v>
      </c>
    </row>
    <row r="2586" spans="4:4">
      <c r="D2586" s="941" t="s">
        <v>3391</v>
      </c>
    </row>
    <row r="2587" spans="4:4">
      <c r="D2587" s="941" t="s">
        <v>3392</v>
      </c>
    </row>
    <row r="2588" spans="4:4">
      <c r="D2588" s="941" t="s">
        <v>3393</v>
      </c>
    </row>
    <row r="2589" spans="4:4">
      <c r="D2589" s="941" t="s">
        <v>3394</v>
      </c>
    </row>
    <row r="2590" spans="4:4">
      <c r="D2590" s="941" t="s">
        <v>3395</v>
      </c>
    </row>
    <row r="2591" spans="4:4">
      <c r="D2591" s="941" t="s">
        <v>3396</v>
      </c>
    </row>
    <row r="2592" spans="4:4">
      <c r="D2592" s="941" t="s">
        <v>11014</v>
      </c>
    </row>
    <row r="2593" spans="4:4">
      <c r="D2593" s="941" t="s">
        <v>3397</v>
      </c>
    </row>
    <row r="2594" spans="4:4">
      <c r="D2594" s="941" t="s">
        <v>3398</v>
      </c>
    </row>
    <row r="2595" spans="4:4">
      <c r="D2595" s="941" t="s">
        <v>3399</v>
      </c>
    </row>
    <row r="2596" spans="4:4">
      <c r="D2596" s="941" t="s">
        <v>3400</v>
      </c>
    </row>
    <row r="2597" spans="4:4">
      <c r="D2597" s="941" t="s">
        <v>3401</v>
      </c>
    </row>
    <row r="2598" spans="4:4">
      <c r="D2598" s="941" t="s">
        <v>3402</v>
      </c>
    </row>
    <row r="2599" spans="4:4">
      <c r="D2599" s="941" t="s">
        <v>9414</v>
      </c>
    </row>
    <row r="2600" spans="4:4">
      <c r="D2600" s="941" t="s">
        <v>3403</v>
      </c>
    </row>
    <row r="2601" spans="4:4">
      <c r="D2601" s="941" t="s">
        <v>3404</v>
      </c>
    </row>
    <row r="2602" spans="4:4">
      <c r="D2602" s="941" t="s">
        <v>3405</v>
      </c>
    </row>
    <row r="2603" spans="4:4">
      <c r="D2603" s="941" t="s">
        <v>3406</v>
      </c>
    </row>
    <row r="2604" spans="4:4">
      <c r="D2604" s="941" t="s">
        <v>3407</v>
      </c>
    </row>
    <row r="2605" spans="4:4">
      <c r="D2605" s="941" t="s">
        <v>3408</v>
      </c>
    </row>
    <row r="2606" spans="4:4">
      <c r="D2606" s="941" t="s">
        <v>3409</v>
      </c>
    </row>
    <row r="2607" spans="4:4">
      <c r="D2607" s="941" t="s">
        <v>3410</v>
      </c>
    </row>
    <row r="2608" spans="4:4">
      <c r="D2608" s="941" t="s">
        <v>3411</v>
      </c>
    </row>
    <row r="2609" spans="4:4">
      <c r="D2609" s="941" t="s">
        <v>3412</v>
      </c>
    </row>
    <row r="2610" spans="4:4">
      <c r="D2610" s="941" t="s">
        <v>3413</v>
      </c>
    </row>
    <row r="2611" spans="4:4">
      <c r="D2611" s="941" t="s">
        <v>3414</v>
      </c>
    </row>
    <row r="2612" spans="4:4">
      <c r="D2612" s="941" t="s">
        <v>3415</v>
      </c>
    </row>
    <row r="2613" spans="4:4">
      <c r="D2613" s="941" t="s">
        <v>3416</v>
      </c>
    </row>
    <row r="2614" spans="4:4">
      <c r="D2614" s="941" t="s">
        <v>3417</v>
      </c>
    </row>
    <row r="2615" spans="4:4">
      <c r="D2615" s="941" t="s">
        <v>3418</v>
      </c>
    </row>
    <row r="2616" spans="4:4">
      <c r="D2616" s="941" t="s">
        <v>3419</v>
      </c>
    </row>
    <row r="2617" spans="4:4">
      <c r="D2617" s="941" t="s">
        <v>3420</v>
      </c>
    </row>
    <row r="2618" spans="4:4">
      <c r="D2618" s="941" t="s">
        <v>3421</v>
      </c>
    </row>
    <row r="2619" spans="4:4">
      <c r="D2619" s="941" t="s">
        <v>3422</v>
      </c>
    </row>
    <row r="2620" spans="4:4">
      <c r="D2620" s="941" t="s">
        <v>3423</v>
      </c>
    </row>
    <row r="2621" spans="4:4">
      <c r="D2621" s="941" t="s">
        <v>3424</v>
      </c>
    </row>
    <row r="2622" spans="4:4">
      <c r="D2622" s="941" t="s">
        <v>3425</v>
      </c>
    </row>
    <row r="2623" spans="4:4">
      <c r="D2623" s="941" t="s">
        <v>3426</v>
      </c>
    </row>
    <row r="2624" spans="4:4">
      <c r="D2624" s="941" t="s">
        <v>10884</v>
      </c>
    </row>
    <row r="2625" spans="4:4">
      <c r="D2625" s="941" t="s">
        <v>3427</v>
      </c>
    </row>
    <row r="2626" spans="4:4">
      <c r="D2626" s="941" t="s">
        <v>3428</v>
      </c>
    </row>
    <row r="2627" spans="4:4">
      <c r="D2627" s="941" t="s">
        <v>3429</v>
      </c>
    </row>
    <row r="2628" spans="4:4">
      <c r="D2628" s="941" t="s">
        <v>10382</v>
      </c>
    </row>
    <row r="2629" spans="4:4">
      <c r="D2629" s="941" t="s">
        <v>3430</v>
      </c>
    </row>
    <row r="2630" spans="4:4">
      <c r="D2630" s="941" t="s">
        <v>3431</v>
      </c>
    </row>
    <row r="2631" spans="4:4">
      <c r="D2631" s="941" t="s">
        <v>3432</v>
      </c>
    </row>
    <row r="2632" spans="4:4">
      <c r="D2632" s="941" t="s">
        <v>3433</v>
      </c>
    </row>
    <row r="2633" spans="4:4">
      <c r="D2633" s="941" t="s">
        <v>3434</v>
      </c>
    </row>
    <row r="2634" spans="4:4">
      <c r="D2634" s="941" t="s">
        <v>3435</v>
      </c>
    </row>
    <row r="2635" spans="4:4">
      <c r="D2635" s="941" t="s">
        <v>10885</v>
      </c>
    </row>
    <row r="2636" spans="4:4">
      <c r="D2636" s="941" t="s">
        <v>9837</v>
      </c>
    </row>
    <row r="2637" spans="4:4">
      <c r="D2637" s="941" t="s">
        <v>3436</v>
      </c>
    </row>
    <row r="2638" spans="4:4">
      <c r="D2638" s="941" t="s">
        <v>3437</v>
      </c>
    </row>
    <row r="2639" spans="4:4">
      <c r="D2639" s="941" t="s">
        <v>9415</v>
      </c>
    </row>
    <row r="2640" spans="4:4">
      <c r="D2640" s="941" t="s">
        <v>3438</v>
      </c>
    </row>
    <row r="2641" spans="4:4">
      <c r="D2641" s="941" t="s">
        <v>3439</v>
      </c>
    </row>
    <row r="2642" spans="4:4">
      <c r="D2642" s="941" t="s">
        <v>3440</v>
      </c>
    </row>
    <row r="2643" spans="4:4">
      <c r="D2643" s="941" t="s">
        <v>3441</v>
      </c>
    </row>
    <row r="2644" spans="4:4">
      <c r="D2644" s="941" t="s">
        <v>3442</v>
      </c>
    </row>
    <row r="2645" spans="4:4">
      <c r="D2645" s="941" t="s">
        <v>3443</v>
      </c>
    </row>
    <row r="2646" spans="4:4">
      <c r="D2646" s="941" t="s">
        <v>3444</v>
      </c>
    </row>
    <row r="2647" spans="4:4">
      <c r="D2647" s="941" t="s">
        <v>3445</v>
      </c>
    </row>
    <row r="2648" spans="4:4">
      <c r="D2648" s="941" t="s">
        <v>3446</v>
      </c>
    </row>
    <row r="2649" spans="4:4">
      <c r="D2649" s="941" t="s">
        <v>3447</v>
      </c>
    </row>
    <row r="2650" spans="4:4">
      <c r="D2650" s="941" t="s">
        <v>3448</v>
      </c>
    </row>
    <row r="2651" spans="4:4">
      <c r="D2651" s="941" t="s">
        <v>3449</v>
      </c>
    </row>
    <row r="2652" spans="4:4">
      <c r="D2652" s="941" t="s">
        <v>3450</v>
      </c>
    </row>
    <row r="2653" spans="4:4">
      <c r="D2653" s="941" t="s">
        <v>3451</v>
      </c>
    </row>
    <row r="2654" spans="4:4">
      <c r="D2654" s="941" t="s">
        <v>3452</v>
      </c>
    </row>
    <row r="2655" spans="4:4">
      <c r="D2655" s="941" t="s">
        <v>3453</v>
      </c>
    </row>
    <row r="2656" spans="4:4">
      <c r="D2656" s="941" t="s">
        <v>3454</v>
      </c>
    </row>
    <row r="2657" spans="4:4">
      <c r="D2657" s="941" t="s">
        <v>3455</v>
      </c>
    </row>
    <row r="2658" spans="4:4">
      <c r="D2658" s="941" t="s">
        <v>3456</v>
      </c>
    </row>
    <row r="2659" spans="4:4">
      <c r="D2659" s="941" t="s">
        <v>3457</v>
      </c>
    </row>
    <row r="2660" spans="4:4">
      <c r="D2660" s="941" t="s">
        <v>3458</v>
      </c>
    </row>
    <row r="2661" spans="4:4">
      <c r="D2661" s="941" t="s">
        <v>3459</v>
      </c>
    </row>
    <row r="2662" spans="4:4">
      <c r="D2662" s="941" t="s">
        <v>3460</v>
      </c>
    </row>
    <row r="2663" spans="4:4">
      <c r="D2663" s="941" t="s">
        <v>3461</v>
      </c>
    </row>
    <row r="2664" spans="4:4">
      <c r="D2664" s="941" t="s">
        <v>3462</v>
      </c>
    </row>
    <row r="2665" spans="4:4">
      <c r="D2665" s="941" t="s">
        <v>3463</v>
      </c>
    </row>
    <row r="2666" spans="4:4">
      <c r="D2666" s="941" t="s">
        <v>3464</v>
      </c>
    </row>
    <row r="2667" spans="4:4">
      <c r="D2667" s="941" t="s">
        <v>3465</v>
      </c>
    </row>
    <row r="2668" spans="4:4">
      <c r="D2668" s="941" t="s">
        <v>3466</v>
      </c>
    </row>
    <row r="2669" spans="4:4">
      <c r="D2669" s="941" t="s">
        <v>3467</v>
      </c>
    </row>
    <row r="2670" spans="4:4">
      <c r="D2670" s="941" t="s">
        <v>3468</v>
      </c>
    </row>
    <row r="2671" spans="4:4">
      <c r="D2671" s="941" t="s">
        <v>3469</v>
      </c>
    </row>
    <row r="2672" spans="4:4">
      <c r="D2672" s="941" t="s">
        <v>3470</v>
      </c>
    </row>
    <row r="2673" spans="4:4">
      <c r="D2673" s="941" t="s">
        <v>3471</v>
      </c>
    </row>
    <row r="2674" spans="4:4">
      <c r="D2674" s="941" t="s">
        <v>3472</v>
      </c>
    </row>
    <row r="2675" spans="4:4">
      <c r="D2675" s="941" t="s">
        <v>10115</v>
      </c>
    </row>
    <row r="2676" spans="4:4">
      <c r="D2676" s="941" t="s">
        <v>3473</v>
      </c>
    </row>
    <row r="2677" spans="4:4">
      <c r="D2677" s="941" t="s">
        <v>3474</v>
      </c>
    </row>
    <row r="2678" spans="4:4">
      <c r="D2678" s="941" t="s">
        <v>3475</v>
      </c>
    </row>
    <row r="2679" spans="4:4">
      <c r="D2679" s="941" t="s">
        <v>3476</v>
      </c>
    </row>
    <row r="2680" spans="4:4">
      <c r="D2680" s="941" t="s">
        <v>3477</v>
      </c>
    </row>
    <row r="2681" spans="4:4">
      <c r="D2681" s="941" t="s">
        <v>3478</v>
      </c>
    </row>
    <row r="2682" spans="4:4">
      <c r="D2682" s="941" t="s">
        <v>3479</v>
      </c>
    </row>
    <row r="2683" spans="4:4">
      <c r="D2683" s="941" t="s">
        <v>10693</v>
      </c>
    </row>
    <row r="2684" spans="4:4">
      <c r="D2684" s="941" t="s">
        <v>3480</v>
      </c>
    </row>
    <row r="2685" spans="4:4">
      <c r="D2685" s="941" t="s">
        <v>3481</v>
      </c>
    </row>
    <row r="2686" spans="4:4">
      <c r="D2686" s="941" t="s">
        <v>3482</v>
      </c>
    </row>
    <row r="2687" spans="4:4">
      <c r="D2687" s="941" t="s">
        <v>3483</v>
      </c>
    </row>
    <row r="2688" spans="4:4">
      <c r="D2688" s="941" t="s">
        <v>3484</v>
      </c>
    </row>
    <row r="2689" spans="4:4">
      <c r="D2689" s="941" t="s">
        <v>3485</v>
      </c>
    </row>
    <row r="2690" spans="4:4">
      <c r="D2690" s="941" t="s">
        <v>3486</v>
      </c>
    </row>
    <row r="2691" spans="4:4">
      <c r="D2691" s="941" t="s">
        <v>3487</v>
      </c>
    </row>
    <row r="2692" spans="4:4">
      <c r="D2692" s="941" t="s">
        <v>3488</v>
      </c>
    </row>
    <row r="2693" spans="4:4">
      <c r="D2693" s="941" t="s">
        <v>3489</v>
      </c>
    </row>
    <row r="2694" spans="4:4">
      <c r="D2694" s="941" t="s">
        <v>3490</v>
      </c>
    </row>
    <row r="2695" spans="4:4">
      <c r="D2695" s="941" t="s">
        <v>3491</v>
      </c>
    </row>
    <row r="2696" spans="4:4">
      <c r="D2696" s="941" t="s">
        <v>3492</v>
      </c>
    </row>
    <row r="2697" spans="4:4">
      <c r="D2697" s="941" t="s">
        <v>3493</v>
      </c>
    </row>
    <row r="2698" spans="4:4">
      <c r="D2698" s="941" t="s">
        <v>3494</v>
      </c>
    </row>
    <row r="2699" spans="4:4">
      <c r="D2699" s="941" t="s">
        <v>10194</v>
      </c>
    </row>
    <row r="2700" spans="4:4">
      <c r="D2700" s="941" t="s">
        <v>3495</v>
      </c>
    </row>
    <row r="2701" spans="4:4">
      <c r="D2701" s="941" t="s">
        <v>3496</v>
      </c>
    </row>
    <row r="2702" spans="4:4">
      <c r="D2702" s="941" t="s">
        <v>3497</v>
      </c>
    </row>
    <row r="2703" spans="4:4">
      <c r="D2703" s="941" t="s">
        <v>10414</v>
      </c>
    </row>
    <row r="2704" spans="4:4">
      <c r="D2704" s="941" t="s">
        <v>3498</v>
      </c>
    </row>
    <row r="2705" spans="4:4">
      <c r="D2705" s="941" t="s">
        <v>3499</v>
      </c>
    </row>
    <row r="2706" spans="4:4">
      <c r="D2706" s="941" t="s">
        <v>3500</v>
      </c>
    </row>
    <row r="2707" spans="4:4">
      <c r="D2707" s="941" t="s">
        <v>9859</v>
      </c>
    </row>
    <row r="2708" spans="4:4">
      <c r="D2708" s="941" t="s">
        <v>3501</v>
      </c>
    </row>
    <row r="2709" spans="4:4">
      <c r="D2709" s="941" t="s">
        <v>3502</v>
      </c>
    </row>
    <row r="2710" spans="4:4">
      <c r="D2710" s="941" t="s">
        <v>3503</v>
      </c>
    </row>
    <row r="2711" spans="4:4">
      <c r="D2711" s="941" t="s">
        <v>3504</v>
      </c>
    </row>
    <row r="2712" spans="4:4">
      <c r="D2712" s="941" t="s">
        <v>3505</v>
      </c>
    </row>
    <row r="2713" spans="4:4">
      <c r="D2713" s="941" t="s">
        <v>3506</v>
      </c>
    </row>
    <row r="2714" spans="4:4">
      <c r="D2714" s="941" t="s">
        <v>3507</v>
      </c>
    </row>
    <row r="2715" spans="4:4">
      <c r="D2715" s="941" t="s">
        <v>3508</v>
      </c>
    </row>
    <row r="2716" spans="4:4">
      <c r="D2716" s="941" t="s">
        <v>11015</v>
      </c>
    </row>
    <row r="2717" spans="4:4">
      <c r="D2717" s="941" t="s">
        <v>3509</v>
      </c>
    </row>
    <row r="2718" spans="4:4">
      <c r="D2718" s="941" t="s">
        <v>3510</v>
      </c>
    </row>
    <row r="2719" spans="4:4">
      <c r="D2719" s="941" t="s">
        <v>3511</v>
      </c>
    </row>
    <row r="2720" spans="4:4">
      <c r="D2720" s="941" t="s">
        <v>3512</v>
      </c>
    </row>
    <row r="2721" spans="4:4">
      <c r="D2721" s="941" t="s">
        <v>3513</v>
      </c>
    </row>
    <row r="2722" spans="4:4">
      <c r="D2722" s="941" t="s">
        <v>3514</v>
      </c>
    </row>
    <row r="2723" spans="4:4">
      <c r="D2723" s="941" t="s">
        <v>3515</v>
      </c>
    </row>
    <row r="2724" spans="4:4">
      <c r="D2724" s="941" t="s">
        <v>3516</v>
      </c>
    </row>
    <row r="2725" spans="4:4">
      <c r="D2725" s="941" t="s">
        <v>10116</v>
      </c>
    </row>
    <row r="2726" spans="4:4">
      <c r="D2726" s="941" t="s">
        <v>3517</v>
      </c>
    </row>
    <row r="2727" spans="4:4">
      <c r="D2727" s="941" t="s">
        <v>3518</v>
      </c>
    </row>
    <row r="2728" spans="4:4">
      <c r="D2728" s="941" t="s">
        <v>3519</v>
      </c>
    </row>
    <row r="2729" spans="4:4">
      <c r="D2729" s="941" t="s">
        <v>3520</v>
      </c>
    </row>
    <row r="2730" spans="4:4">
      <c r="D2730" s="941" t="s">
        <v>3521</v>
      </c>
    </row>
    <row r="2731" spans="4:4">
      <c r="D2731" s="941" t="s">
        <v>3522</v>
      </c>
    </row>
    <row r="2732" spans="4:4">
      <c r="D2732" s="941" t="s">
        <v>3523</v>
      </c>
    </row>
    <row r="2733" spans="4:4">
      <c r="D2733" s="941" t="s">
        <v>9416</v>
      </c>
    </row>
    <row r="2734" spans="4:4">
      <c r="D2734" s="941" t="s">
        <v>3524</v>
      </c>
    </row>
    <row r="2735" spans="4:4">
      <c r="D2735" s="941" t="s">
        <v>3525</v>
      </c>
    </row>
    <row r="2736" spans="4:4">
      <c r="D2736" s="941" t="s">
        <v>3526</v>
      </c>
    </row>
    <row r="2737" spans="4:4">
      <c r="D2737" s="941" t="s">
        <v>3527</v>
      </c>
    </row>
    <row r="2738" spans="4:4">
      <c r="D2738" s="941" t="s">
        <v>3528</v>
      </c>
    </row>
    <row r="2739" spans="4:4">
      <c r="D2739" s="941" t="s">
        <v>3529</v>
      </c>
    </row>
    <row r="2740" spans="4:4">
      <c r="D2740" s="941" t="s">
        <v>3530</v>
      </c>
    </row>
    <row r="2741" spans="4:4">
      <c r="D2741" s="941" t="s">
        <v>3531</v>
      </c>
    </row>
    <row r="2742" spans="4:4">
      <c r="D2742" s="941" t="s">
        <v>3532</v>
      </c>
    </row>
    <row r="2743" spans="4:4">
      <c r="D2743" s="941" t="s">
        <v>3533</v>
      </c>
    </row>
    <row r="2744" spans="4:4">
      <c r="D2744" s="941" t="s">
        <v>3534</v>
      </c>
    </row>
    <row r="2745" spans="4:4">
      <c r="D2745" s="941" t="s">
        <v>10527</v>
      </c>
    </row>
    <row r="2746" spans="4:4">
      <c r="D2746" s="941" t="s">
        <v>3535</v>
      </c>
    </row>
    <row r="2747" spans="4:4">
      <c r="D2747" s="941" t="s">
        <v>3536</v>
      </c>
    </row>
    <row r="2748" spans="4:4">
      <c r="D2748" s="941" t="s">
        <v>3537</v>
      </c>
    </row>
    <row r="2749" spans="4:4">
      <c r="D2749" s="941" t="s">
        <v>3538</v>
      </c>
    </row>
    <row r="2750" spans="4:4">
      <c r="D2750" s="941" t="s">
        <v>3539</v>
      </c>
    </row>
    <row r="2751" spans="4:4">
      <c r="D2751" s="941" t="s">
        <v>3540</v>
      </c>
    </row>
    <row r="2752" spans="4:4">
      <c r="D2752" s="941" t="s">
        <v>3541</v>
      </c>
    </row>
    <row r="2753" spans="4:4">
      <c r="D2753" s="941" t="s">
        <v>3542</v>
      </c>
    </row>
    <row r="2754" spans="4:4">
      <c r="D2754" s="941" t="s">
        <v>3543</v>
      </c>
    </row>
    <row r="2755" spans="4:4">
      <c r="D2755" s="941" t="s">
        <v>3544</v>
      </c>
    </row>
    <row r="2756" spans="4:4">
      <c r="D2756" s="941" t="s">
        <v>3545</v>
      </c>
    </row>
    <row r="2757" spans="4:4">
      <c r="D2757" s="941" t="s">
        <v>3546</v>
      </c>
    </row>
    <row r="2758" spans="4:4">
      <c r="D2758" s="941" t="s">
        <v>3547</v>
      </c>
    </row>
    <row r="2759" spans="4:4">
      <c r="D2759" s="941" t="s">
        <v>3548</v>
      </c>
    </row>
    <row r="2760" spans="4:4">
      <c r="D2760" s="941" t="s">
        <v>3549</v>
      </c>
    </row>
    <row r="2761" spans="4:4">
      <c r="D2761" s="941" t="s">
        <v>3550</v>
      </c>
    </row>
    <row r="2762" spans="4:4">
      <c r="D2762" s="941" t="s">
        <v>3551</v>
      </c>
    </row>
    <row r="2763" spans="4:4">
      <c r="D2763" s="941" t="s">
        <v>3552</v>
      </c>
    </row>
    <row r="2764" spans="4:4">
      <c r="D2764" s="941" t="s">
        <v>3553</v>
      </c>
    </row>
    <row r="2765" spans="4:4">
      <c r="D2765" s="941" t="s">
        <v>3554</v>
      </c>
    </row>
    <row r="2766" spans="4:4">
      <c r="D2766" s="941" t="s">
        <v>3555</v>
      </c>
    </row>
    <row r="2767" spans="4:4">
      <c r="D2767" s="941" t="s">
        <v>9417</v>
      </c>
    </row>
    <row r="2768" spans="4:4">
      <c r="D2768" s="941" t="s">
        <v>3556</v>
      </c>
    </row>
    <row r="2769" spans="4:4">
      <c r="D2769" s="941" t="s">
        <v>3557</v>
      </c>
    </row>
    <row r="2770" spans="4:4">
      <c r="D2770" s="941" t="s">
        <v>3558</v>
      </c>
    </row>
    <row r="2771" spans="4:4">
      <c r="D2771" s="941" t="s">
        <v>3559</v>
      </c>
    </row>
    <row r="2772" spans="4:4">
      <c r="D2772" s="941" t="s">
        <v>3560</v>
      </c>
    </row>
    <row r="2773" spans="4:4">
      <c r="D2773" s="941" t="s">
        <v>3561</v>
      </c>
    </row>
    <row r="2774" spans="4:4">
      <c r="D2774" s="941" t="s">
        <v>3562</v>
      </c>
    </row>
    <row r="2775" spans="4:4">
      <c r="D2775" s="941" t="s">
        <v>3563</v>
      </c>
    </row>
    <row r="2776" spans="4:4">
      <c r="D2776" s="941" t="s">
        <v>3564</v>
      </c>
    </row>
    <row r="2777" spans="4:4">
      <c r="D2777" s="941" t="s">
        <v>468</v>
      </c>
    </row>
    <row r="2778" spans="4:4">
      <c r="D2778" s="941" t="s">
        <v>3565</v>
      </c>
    </row>
    <row r="2779" spans="4:4">
      <c r="D2779" s="941" t="s">
        <v>3566</v>
      </c>
    </row>
    <row r="2780" spans="4:4">
      <c r="D2780" s="941" t="s">
        <v>3567</v>
      </c>
    </row>
    <row r="2781" spans="4:4">
      <c r="D2781" s="941" t="s">
        <v>3568</v>
      </c>
    </row>
    <row r="2782" spans="4:4">
      <c r="D2782" s="941" t="s">
        <v>3569</v>
      </c>
    </row>
    <row r="2783" spans="4:4">
      <c r="D2783" s="941" t="s">
        <v>3570</v>
      </c>
    </row>
    <row r="2784" spans="4:4">
      <c r="D2784" s="941" t="s">
        <v>3571</v>
      </c>
    </row>
    <row r="2785" spans="4:4">
      <c r="D2785" s="941" t="s">
        <v>3572</v>
      </c>
    </row>
    <row r="2786" spans="4:4">
      <c r="D2786" s="941" t="s">
        <v>10528</v>
      </c>
    </row>
    <row r="2787" spans="4:4">
      <c r="D2787" s="941" t="s">
        <v>3573</v>
      </c>
    </row>
    <row r="2788" spans="4:4">
      <c r="D2788" s="941" t="s">
        <v>3574</v>
      </c>
    </row>
    <row r="2789" spans="4:4">
      <c r="D2789" s="941" t="s">
        <v>3575</v>
      </c>
    </row>
    <row r="2790" spans="4:4">
      <c r="D2790" s="941" t="s">
        <v>3576</v>
      </c>
    </row>
    <row r="2791" spans="4:4">
      <c r="D2791" s="941" t="s">
        <v>3577</v>
      </c>
    </row>
    <row r="2792" spans="4:4">
      <c r="D2792" s="941" t="s">
        <v>3578</v>
      </c>
    </row>
    <row r="2793" spans="4:4">
      <c r="D2793" s="941" t="s">
        <v>3579</v>
      </c>
    </row>
    <row r="2794" spans="4:4">
      <c r="D2794" s="941" t="s">
        <v>3580</v>
      </c>
    </row>
    <row r="2795" spans="4:4">
      <c r="D2795" s="941" t="s">
        <v>3581</v>
      </c>
    </row>
    <row r="2796" spans="4:4">
      <c r="D2796" s="941" t="s">
        <v>3582</v>
      </c>
    </row>
    <row r="2797" spans="4:4">
      <c r="D2797" s="941" t="s">
        <v>3583</v>
      </c>
    </row>
    <row r="2798" spans="4:4">
      <c r="D2798" s="941" t="s">
        <v>3584</v>
      </c>
    </row>
    <row r="2799" spans="4:4">
      <c r="D2799" s="941" t="s">
        <v>3585</v>
      </c>
    </row>
    <row r="2800" spans="4:4">
      <c r="D2800" s="941" t="s">
        <v>9418</v>
      </c>
    </row>
    <row r="2801" spans="4:4">
      <c r="D2801" s="941" t="s">
        <v>3586</v>
      </c>
    </row>
    <row r="2802" spans="4:4">
      <c r="D2802" s="941" t="s">
        <v>9419</v>
      </c>
    </row>
    <row r="2803" spans="4:4">
      <c r="D2803" s="941" t="s">
        <v>3587</v>
      </c>
    </row>
    <row r="2804" spans="4:4">
      <c r="D2804" s="941" t="s">
        <v>3588</v>
      </c>
    </row>
    <row r="2805" spans="4:4">
      <c r="D2805" s="941" t="s">
        <v>3589</v>
      </c>
    </row>
    <row r="2806" spans="4:4">
      <c r="D2806" s="941" t="s">
        <v>3590</v>
      </c>
    </row>
    <row r="2807" spans="4:4">
      <c r="D2807" s="941" t="s">
        <v>3591</v>
      </c>
    </row>
    <row r="2808" spans="4:4">
      <c r="D2808" s="941" t="s">
        <v>3592</v>
      </c>
    </row>
    <row r="2809" spans="4:4">
      <c r="D2809" s="941" t="s">
        <v>3593</v>
      </c>
    </row>
    <row r="2810" spans="4:4">
      <c r="D2810" s="941" t="s">
        <v>3594</v>
      </c>
    </row>
    <row r="2811" spans="4:4">
      <c r="D2811" s="941" t="s">
        <v>3595</v>
      </c>
    </row>
    <row r="2812" spans="4:4">
      <c r="D2812" s="941" t="s">
        <v>3596</v>
      </c>
    </row>
    <row r="2813" spans="4:4">
      <c r="D2813" s="941" t="s">
        <v>3597</v>
      </c>
    </row>
    <row r="2814" spans="4:4">
      <c r="D2814" s="941" t="s">
        <v>10447</v>
      </c>
    </row>
    <row r="2815" spans="4:4">
      <c r="D2815" s="941" t="s">
        <v>3598</v>
      </c>
    </row>
    <row r="2816" spans="4:4">
      <c r="D2816" s="941" t="s">
        <v>3599</v>
      </c>
    </row>
    <row r="2817" spans="4:4">
      <c r="D2817" s="941" t="s">
        <v>3600</v>
      </c>
    </row>
    <row r="2818" spans="4:4">
      <c r="D2818" s="941" t="s">
        <v>3601</v>
      </c>
    </row>
    <row r="2819" spans="4:4">
      <c r="D2819" s="941" t="s">
        <v>9760</v>
      </c>
    </row>
    <row r="2820" spans="4:4">
      <c r="D2820" s="941" t="s">
        <v>3602</v>
      </c>
    </row>
    <row r="2821" spans="4:4">
      <c r="D2821" s="941" t="s">
        <v>3603</v>
      </c>
    </row>
    <row r="2822" spans="4:4">
      <c r="D2822" s="941" t="s">
        <v>3604</v>
      </c>
    </row>
    <row r="2823" spans="4:4">
      <c r="D2823" s="941" t="s">
        <v>3605</v>
      </c>
    </row>
    <row r="2824" spans="4:4">
      <c r="D2824" s="941" t="s">
        <v>3606</v>
      </c>
    </row>
    <row r="2825" spans="4:4">
      <c r="D2825" s="941" t="s">
        <v>3607</v>
      </c>
    </row>
    <row r="2826" spans="4:4">
      <c r="D2826" s="941" t="s">
        <v>3608</v>
      </c>
    </row>
    <row r="2827" spans="4:4">
      <c r="D2827" s="941" t="s">
        <v>3609</v>
      </c>
    </row>
    <row r="2828" spans="4:4">
      <c r="D2828" s="941" t="s">
        <v>3610</v>
      </c>
    </row>
    <row r="2829" spans="4:4">
      <c r="D2829" s="941" t="s">
        <v>3611</v>
      </c>
    </row>
    <row r="2830" spans="4:4">
      <c r="D2830" s="941" t="s">
        <v>3612</v>
      </c>
    </row>
    <row r="2831" spans="4:4">
      <c r="D2831" s="941" t="s">
        <v>3613</v>
      </c>
    </row>
    <row r="2832" spans="4:4">
      <c r="D2832" s="941" t="s">
        <v>3614</v>
      </c>
    </row>
    <row r="2833" spans="4:4">
      <c r="D2833" s="941" t="s">
        <v>3615</v>
      </c>
    </row>
    <row r="2834" spans="4:4">
      <c r="D2834" s="941" t="s">
        <v>3616</v>
      </c>
    </row>
    <row r="2835" spans="4:4">
      <c r="D2835" s="941" t="s">
        <v>3617</v>
      </c>
    </row>
    <row r="2836" spans="4:4">
      <c r="D2836" s="941" t="s">
        <v>3618</v>
      </c>
    </row>
    <row r="2837" spans="4:4">
      <c r="D2837" s="941" t="s">
        <v>3619</v>
      </c>
    </row>
    <row r="2838" spans="4:4">
      <c r="D2838" s="941" t="s">
        <v>3620</v>
      </c>
    </row>
    <row r="2839" spans="4:4">
      <c r="D2839" s="941" t="s">
        <v>3621</v>
      </c>
    </row>
    <row r="2840" spans="4:4">
      <c r="D2840" s="941" t="s">
        <v>3622</v>
      </c>
    </row>
    <row r="2841" spans="4:4">
      <c r="D2841" s="941" t="s">
        <v>3623</v>
      </c>
    </row>
    <row r="2842" spans="4:4">
      <c r="D2842" s="941" t="s">
        <v>3624</v>
      </c>
    </row>
    <row r="2843" spans="4:4">
      <c r="D2843" s="941" t="s">
        <v>9420</v>
      </c>
    </row>
    <row r="2844" spans="4:4">
      <c r="D2844" s="941" t="s">
        <v>3625</v>
      </c>
    </row>
    <row r="2845" spans="4:4">
      <c r="D2845" s="941" t="s">
        <v>3626</v>
      </c>
    </row>
    <row r="2846" spans="4:4">
      <c r="D2846" s="941" t="s">
        <v>3627</v>
      </c>
    </row>
    <row r="2847" spans="4:4">
      <c r="D2847" s="941" t="s">
        <v>10415</v>
      </c>
    </row>
    <row r="2848" spans="4:4">
      <c r="D2848" s="941" t="s">
        <v>3628</v>
      </c>
    </row>
    <row r="2849" spans="4:4">
      <c r="D2849" s="941" t="s">
        <v>3629</v>
      </c>
    </row>
    <row r="2850" spans="4:4">
      <c r="D2850" s="941" t="s">
        <v>3630</v>
      </c>
    </row>
    <row r="2851" spans="4:4">
      <c r="D2851" s="941" t="s">
        <v>3631</v>
      </c>
    </row>
    <row r="2852" spans="4:4">
      <c r="D2852" s="941" t="s">
        <v>3632</v>
      </c>
    </row>
    <row r="2853" spans="4:4">
      <c r="D2853" s="941" t="s">
        <v>10416</v>
      </c>
    </row>
    <row r="2854" spans="4:4">
      <c r="D2854" s="941" t="s">
        <v>3633</v>
      </c>
    </row>
    <row r="2855" spans="4:4">
      <c r="D2855" s="941" t="s">
        <v>3634</v>
      </c>
    </row>
    <row r="2856" spans="4:4">
      <c r="D2856" s="941" t="s">
        <v>3635</v>
      </c>
    </row>
    <row r="2857" spans="4:4">
      <c r="D2857" s="941" t="s">
        <v>3636</v>
      </c>
    </row>
    <row r="2858" spans="4:4">
      <c r="D2858" s="941" t="s">
        <v>3637</v>
      </c>
    </row>
    <row r="2859" spans="4:4">
      <c r="D2859" s="941" t="s">
        <v>3638</v>
      </c>
    </row>
    <row r="2860" spans="4:4">
      <c r="D2860" s="941" t="s">
        <v>3639</v>
      </c>
    </row>
    <row r="2861" spans="4:4">
      <c r="D2861" s="941" t="s">
        <v>3640</v>
      </c>
    </row>
    <row r="2862" spans="4:4">
      <c r="D2862" s="941" t="s">
        <v>3641</v>
      </c>
    </row>
    <row r="2863" spans="4:4">
      <c r="D2863" s="941" t="s">
        <v>3642</v>
      </c>
    </row>
    <row r="2864" spans="4:4">
      <c r="D2864" s="941" t="s">
        <v>3643</v>
      </c>
    </row>
    <row r="2865" spans="4:4">
      <c r="D2865" s="941" t="s">
        <v>3644</v>
      </c>
    </row>
    <row r="2866" spans="4:4">
      <c r="D2866" s="941" t="s">
        <v>3645</v>
      </c>
    </row>
    <row r="2867" spans="4:4">
      <c r="D2867" s="941" t="s">
        <v>3646</v>
      </c>
    </row>
    <row r="2868" spans="4:4">
      <c r="D2868" s="941" t="s">
        <v>3647</v>
      </c>
    </row>
    <row r="2869" spans="4:4">
      <c r="D2869" s="941" t="s">
        <v>3648</v>
      </c>
    </row>
    <row r="2870" spans="4:4">
      <c r="D2870" s="941" t="s">
        <v>3649</v>
      </c>
    </row>
    <row r="2871" spans="4:4">
      <c r="D2871" s="941" t="s">
        <v>3650</v>
      </c>
    </row>
    <row r="2872" spans="4:4">
      <c r="D2872" s="941" t="s">
        <v>3651</v>
      </c>
    </row>
    <row r="2873" spans="4:4">
      <c r="D2873" s="941" t="s">
        <v>9421</v>
      </c>
    </row>
    <row r="2874" spans="4:4">
      <c r="D2874" s="941" t="s">
        <v>3652</v>
      </c>
    </row>
    <row r="2875" spans="4:4">
      <c r="D2875" s="941" t="s">
        <v>9860</v>
      </c>
    </row>
    <row r="2876" spans="4:4">
      <c r="D2876" s="941" t="s">
        <v>3653</v>
      </c>
    </row>
    <row r="2877" spans="4:4">
      <c r="D2877" s="941" t="s">
        <v>3654</v>
      </c>
    </row>
    <row r="2878" spans="4:4">
      <c r="D2878" s="941" t="s">
        <v>3655</v>
      </c>
    </row>
    <row r="2879" spans="4:4">
      <c r="D2879" s="941" t="s">
        <v>9422</v>
      </c>
    </row>
    <row r="2880" spans="4:4">
      <c r="D2880" s="941" t="s">
        <v>3656</v>
      </c>
    </row>
    <row r="2881" spans="4:4">
      <c r="D2881" s="941" t="s">
        <v>3657</v>
      </c>
    </row>
    <row r="2882" spans="4:4">
      <c r="D2882" s="941" t="s">
        <v>3658</v>
      </c>
    </row>
    <row r="2883" spans="4:4">
      <c r="D2883" s="941" t="s">
        <v>3659</v>
      </c>
    </row>
    <row r="2884" spans="4:4">
      <c r="D2884" s="941" t="s">
        <v>3660</v>
      </c>
    </row>
    <row r="2885" spans="4:4">
      <c r="D2885" s="941" t="s">
        <v>3661</v>
      </c>
    </row>
    <row r="2886" spans="4:4">
      <c r="D2886" s="941" t="s">
        <v>3662</v>
      </c>
    </row>
    <row r="2887" spans="4:4">
      <c r="D2887" s="941" t="s">
        <v>3663</v>
      </c>
    </row>
    <row r="2888" spans="4:4">
      <c r="D2888" s="941" t="s">
        <v>3664</v>
      </c>
    </row>
    <row r="2889" spans="4:4">
      <c r="D2889" s="941" t="s">
        <v>3665</v>
      </c>
    </row>
    <row r="2890" spans="4:4">
      <c r="D2890" s="941" t="s">
        <v>3666</v>
      </c>
    </row>
    <row r="2891" spans="4:4">
      <c r="D2891" s="941" t="s">
        <v>3667</v>
      </c>
    </row>
    <row r="2892" spans="4:4">
      <c r="D2892" s="941" t="s">
        <v>3668</v>
      </c>
    </row>
    <row r="2893" spans="4:4">
      <c r="D2893" s="941" t="s">
        <v>3669</v>
      </c>
    </row>
    <row r="2894" spans="4:4">
      <c r="D2894" s="941" t="s">
        <v>495</v>
      </c>
    </row>
    <row r="2895" spans="4:4">
      <c r="D2895" s="941" t="s">
        <v>3670</v>
      </c>
    </row>
    <row r="2896" spans="4:4">
      <c r="D2896" s="941" t="s">
        <v>3671</v>
      </c>
    </row>
    <row r="2897" spans="4:4">
      <c r="D2897" s="941" t="s">
        <v>3672</v>
      </c>
    </row>
    <row r="2898" spans="4:4">
      <c r="D2898" s="941" t="s">
        <v>3673</v>
      </c>
    </row>
    <row r="2899" spans="4:4">
      <c r="D2899" s="941" t="s">
        <v>10325</v>
      </c>
    </row>
    <row r="2900" spans="4:4">
      <c r="D2900" s="941" t="s">
        <v>3674</v>
      </c>
    </row>
    <row r="2901" spans="4:4">
      <c r="D2901" s="941" t="s">
        <v>9761</v>
      </c>
    </row>
    <row r="2902" spans="4:4">
      <c r="D2902" s="941" t="s">
        <v>3675</v>
      </c>
    </row>
    <row r="2903" spans="4:4">
      <c r="D2903" s="941" t="s">
        <v>3676</v>
      </c>
    </row>
    <row r="2904" spans="4:4">
      <c r="D2904" s="941" t="s">
        <v>3677</v>
      </c>
    </row>
    <row r="2905" spans="4:4">
      <c r="D2905" s="941" t="s">
        <v>3678</v>
      </c>
    </row>
    <row r="2906" spans="4:4">
      <c r="D2906" s="941" t="s">
        <v>3679</v>
      </c>
    </row>
    <row r="2907" spans="4:4">
      <c r="D2907" s="941" t="s">
        <v>3680</v>
      </c>
    </row>
    <row r="2908" spans="4:4">
      <c r="D2908" s="941" t="s">
        <v>3681</v>
      </c>
    </row>
    <row r="2909" spans="4:4">
      <c r="D2909" s="941" t="s">
        <v>3682</v>
      </c>
    </row>
    <row r="2910" spans="4:4">
      <c r="D2910" s="941" t="s">
        <v>3683</v>
      </c>
    </row>
    <row r="2911" spans="4:4">
      <c r="D2911" s="941" t="s">
        <v>3684</v>
      </c>
    </row>
    <row r="2912" spans="4:4">
      <c r="D2912" s="941" t="s">
        <v>3685</v>
      </c>
    </row>
    <row r="2913" spans="4:4">
      <c r="D2913" s="941" t="s">
        <v>3686</v>
      </c>
    </row>
    <row r="2914" spans="4:4">
      <c r="D2914" s="941" t="s">
        <v>3687</v>
      </c>
    </row>
    <row r="2915" spans="4:4">
      <c r="D2915" s="941" t="s">
        <v>9423</v>
      </c>
    </row>
    <row r="2916" spans="4:4">
      <c r="D2916" s="941" t="s">
        <v>3688</v>
      </c>
    </row>
    <row r="2917" spans="4:4">
      <c r="D2917" s="941" t="s">
        <v>3689</v>
      </c>
    </row>
    <row r="2918" spans="4:4">
      <c r="D2918" s="941" t="s">
        <v>3690</v>
      </c>
    </row>
    <row r="2919" spans="4:4">
      <c r="D2919" s="941" t="s">
        <v>3691</v>
      </c>
    </row>
    <row r="2920" spans="4:4">
      <c r="D2920" s="941" t="s">
        <v>3692</v>
      </c>
    </row>
    <row r="2921" spans="4:4">
      <c r="D2921" s="941" t="s">
        <v>3693</v>
      </c>
    </row>
    <row r="2922" spans="4:4">
      <c r="D2922" s="941" t="s">
        <v>3694</v>
      </c>
    </row>
    <row r="2923" spans="4:4">
      <c r="D2923" s="941" t="s">
        <v>3695</v>
      </c>
    </row>
    <row r="2924" spans="4:4">
      <c r="D2924" s="941" t="s">
        <v>3696</v>
      </c>
    </row>
    <row r="2925" spans="4:4">
      <c r="D2925" s="941" t="s">
        <v>3697</v>
      </c>
    </row>
    <row r="2926" spans="4:4">
      <c r="D2926" s="941" t="s">
        <v>622</v>
      </c>
    </row>
    <row r="2927" spans="4:4">
      <c r="D2927" s="941" t="s">
        <v>3698</v>
      </c>
    </row>
    <row r="2928" spans="4:4">
      <c r="D2928" s="941" t="s">
        <v>10587</v>
      </c>
    </row>
    <row r="2929" spans="4:4">
      <c r="D2929" s="941" t="s">
        <v>3699</v>
      </c>
    </row>
    <row r="2930" spans="4:4">
      <c r="D2930" s="941" t="s">
        <v>3700</v>
      </c>
    </row>
    <row r="2931" spans="4:4">
      <c r="D2931" s="941" t="s">
        <v>3701</v>
      </c>
    </row>
    <row r="2932" spans="4:4">
      <c r="D2932" s="941" t="s">
        <v>3702</v>
      </c>
    </row>
    <row r="2933" spans="4:4">
      <c r="D2933" s="941" t="s">
        <v>3703</v>
      </c>
    </row>
    <row r="2934" spans="4:4">
      <c r="D2934" s="941" t="s">
        <v>3704</v>
      </c>
    </row>
    <row r="2935" spans="4:4">
      <c r="D2935" s="941" t="s">
        <v>11108</v>
      </c>
    </row>
    <row r="2936" spans="4:4">
      <c r="D2936" s="941" t="s">
        <v>3705</v>
      </c>
    </row>
    <row r="2937" spans="4:4">
      <c r="D2937" s="941" t="s">
        <v>3706</v>
      </c>
    </row>
    <row r="2938" spans="4:4">
      <c r="D2938" s="941" t="s">
        <v>3707</v>
      </c>
    </row>
    <row r="2939" spans="4:4">
      <c r="D2939" s="941" t="s">
        <v>9424</v>
      </c>
    </row>
    <row r="2940" spans="4:4">
      <c r="D2940" s="941" t="s">
        <v>3708</v>
      </c>
    </row>
    <row r="2941" spans="4:4">
      <c r="D2941" s="941" t="s">
        <v>3709</v>
      </c>
    </row>
    <row r="2942" spans="4:4">
      <c r="D2942" s="941" t="s">
        <v>3710</v>
      </c>
    </row>
    <row r="2943" spans="4:4">
      <c r="D2943" s="941" t="s">
        <v>9425</v>
      </c>
    </row>
    <row r="2944" spans="4:4">
      <c r="D2944" s="941" t="s">
        <v>3711</v>
      </c>
    </row>
    <row r="2945" spans="4:4">
      <c r="D2945" s="941" t="s">
        <v>3712</v>
      </c>
    </row>
    <row r="2946" spans="4:4">
      <c r="D2946" s="941" t="s">
        <v>3713</v>
      </c>
    </row>
    <row r="2947" spans="4:4">
      <c r="D2947" s="941" t="s">
        <v>3714</v>
      </c>
    </row>
    <row r="2948" spans="4:4">
      <c r="D2948" s="941" t="s">
        <v>3715</v>
      </c>
    </row>
    <row r="2949" spans="4:4">
      <c r="D2949" s="941" t="s">
        <v>3716</v>
      </c>
    </row>
    <row r="2950" spans="4:4">
      <c r="D2950" s="941" t="s">
        <v>3717</v>
      </c>
    </row>
    <row r="2951" spans="4:4">
      <c r="D2951" s="941" t="s">
        <v>3718</v>
      </c>
    </row>
    <row r="2952" spans="4:4">
      <c r="D2952" s="941" t="s">
        <v>11100</v>
      </c>
    </row>
    <row r="2953" spans="4:4">
      <c r="D2953" s="941" t="s">
        <v>3719</v>
      </c>
    </row>
    <row r="2954" spans="4:4">
      <c r="D2954" s="941" t="s">
        <v>3720</v>
      </c>
    </row>
    <row r="2955" spans="4:4">
      <c r="D2955" s="941" t="s">
        <v>3721</v>
      </c>
    </row>
    <row r="2956" spans="4:4">
      <c r="D2956" s="941" t="s">
        <v>3722</v>
      </c>
    </row>
    <row r="2957" spans="4:4">
      <c r="D2957" s="941" t="s">
        <v>3723</v>
      </c>
    </row>
    <row r="2958" spans="4:4">
      <c r="D2958" s="941" t="s">
        <v>3724</v>
      </c>
    </row>
    <row r="2959" spans="4:4">
      <c r="D2959" s="941" t="s">
        <v>3725</v>
      </c>
    </row>
    <row r="2960" spans="4:4">
      <c r="D2960" s="941" t="s">
        <v>3726</v>
      </c>
    </row>
    <row r="2961" spans="4:4">
      <c r="D2961" s="941" t="s">
        <v>3727</v>
      </c>
    </row>
    <row r="2962" spans="4:4">
      <c r="D2962" s="941" t="s">
        <v>3728</v>
      </c>
    </row>
    <row r="2963" spans="4:4">
      <c r="D2963" s="941" t="s">
        <v>3729</v>
      </c>
    </row>
    <row r="2964" spans="4:4">
      <c r="D2964" s="941" t="s">
        <v>3730</v>
      </c>
    </row>
    <row r="2965" spans="4:4">
      <c r="D2965" s="941" t="s">
        <v>9426</v>
      </c>
    </row>
    <row r="2966" spans="4:4">
      <c r="D2966" s="941" t="s">
        <v>3731</v>
      </c>
    </row>
    <row r="2967" spans="4:4">
      <c r="D2967" s="941" t="s">
        <v>3732</v>
      </c>
    </row>
    <row r="2968" spans="4:4">
      <c r="D2968" s="941" t="s">
        <v>3733</v>
      </c>
    </row>
    <row r="2969" spans="4:4">
      <c r="D2969" s="941" t="s">
        <v>3734</v>
      </c>
    </row>
    <row r="2970" spans="4:4">
      <c r="D2970" s="941" t="s">
        <v>3735</v>
      </c>
    </row>
    <row r="2971" spans="4:4">
      <c r="D2971" s="941" t="s">
        <v>3736</v>
      </c>
    </row>
    <row r="2972" spans="4:4">
      <c r="D2972" s="941" t="s">
        <v>3737</v>
      </c>
    </row>
    <row r="2973" spans="4:4">
      <c r="D2973" s="941" t="s">
        <v>3738</v>
      </c>
    </row>
    <row r="2974" spans="4:4">
      <c r="D2974" s="941" t="s">
        <v>9427</v>
      </c>
    </row>
    <row r="2975" spans="4:4">
      <c r="D2975" s="941" t="s">
        <v>3739</v>
      </c>
    </row>
    <row r="2976" spans="4:4">
      <c r="D2976" s="941" t="s">
        <v>3740</v>
      </c>
    </row>
    <row r="2977" spans="4:4">
      <c r="D2977" s="941" t="s">
        <v>3741</v>
      </c>
    </row>
    <row r="2978" spans="4:4">
      <c r="D2978" s="941" t="s">
        <v>3742</v>
      </c>
    </row>
    <row r="2979" spans="4:4">
      <c r="D2979" s="941" t="s">
        <v>3743</v>
      </c>
    </row>
    <row r="2980" spans="4:4">
      <c r="D2980" s="941" t="s">
        <v>3744</v>
      </c>
    </row>
    <row r="2981" spans="4:4">
      <c r="D2981" s="941" t="s">
        <v>3745</v>
      </c>
    </row>
    <row r="2982" spans="4:4">
      <c r="D2982" s="941" t="s">
        <v>3746</v>
      </c>
    </row>
    <row r="2983" spans="4:4">
      <c r="D2983" s="941" t="s">
        <v>3747</v>
      </c>
    </row>
    <row r="2984" spans="4:4">
      <c r="D2984" s="941" t="s">
        <v>3748</v>
      </c>
    </row>
    <row r="2985" spans="4:4">
      <c r="D2985" s="941" t="s">
        <v>3749</v>
      </c>
    </row>
    <row r="2986" spans="4:4">
      <c r="D2986" s="941" t="s">
        <v>3750</v>
      </c>
    </row>
    <row r="2987" spans="4:4">
      <c r="D2987" s="941" t="s">
        <v>9861</v>
      </c>
    </row>
    <row r="2988" spans="4:4">
      <c r="D2988" s="941" t="s">
        <v>3751</v>
      </c>
    </row>
    <row r="2989" spans="4:4">
      <c r="D2989" s="941" t="s">
        <v>3752</v>
      </c>
    </row>
    <row r="2990" spans="4:4">
      <c r="D2990" s="941" t="s">
        <v>3753</v>
      </c>
    </row>
    <row r="2991" spans="4:4">
      <c r="D2991" s="941" t="s">
        <v>3754</v>
      </c>
    </row>
    <row r="2992" spans="4:4">
      <c r="D2992" s="941" t="s">
        <v>3755</v>
      </c>
    </row>
    <row r="2993" spans="4:4">
      <c r="D2993" s="941" t="s">
        <v>10529</v>
      </c>
    </row>
    <row r="2994" spans="4:4">
      <c r="D2994" s="941" t="s">
        <v>3756</v>
      </c>
    </row>
    <row r="2995" spans="4:4">
      <c r="D2995" s="941" t="s">
        <v>3757</v>
      </c>
    </row>
    <row r="2996" spans="4:4">
      <c r="D2996" s="941" t="s">
        <v>3758</v>
      </c>
    </row>
    <row r="2997" spans="4:4">
      <c r="D2997" s="941" t="s">
        <v>3759</v>
      </c>
    </row>
    <row r="2998" spans="4:4">
      <c r="D2998" s="941" t="s">
        <v>3760</v>
      </c>
    </row>
    <row r="2999" spans="4:4">
      <c r="D2999" s="941" t="s">
        <v>3761</v>
      </c>
    </row>
    <row r="3000" spans="4:4">
      <c r="D3000" s="941" t="s">
        <v>3762</v>
      </c>
    </row>
    <row r="3001" spans="4:4">
      <c r="D3001" s="941" t="s">
        <v>3763</v>
      </c>
    </row>
    <row r="3002" spans="4:4">
      <c r="D3002" s="941" t="s">
        <v>3764</v>
      </c>
    </row>
    <row r="3003" spans="4:4">
      <c r="D3003" s="941" t="s">
        <v>3765</v>
      </c>
    </row>
    <row r="3004" spans="4:4">
      <c r="D3004" s="941" t="s">
        <v>3766</v>
      </c>
    </row>
    <row r="3005" spans="4:4">
      <c r="D3005" s="941" t="s">
        <v>3767</v>
      </c>
    </row>
    <row r="3006" spans="4:4">
      <c r="D3006" s="941" t="s">
        <v>3768</v>
      </c>
    </row>
    <row r="3007" spans="4:4">
      <c r="D3007" s="941" t="s">
        <v>3769</v>
      </c>
    </row>
    <row r="3008" spans="4:4">
      <c r="D3008" s="941" t="s">
        <v>3770</v>
      </c>
    </row>
    <row r="3009" spans="4:4">
      <c r="D3009" s="941" t="s">
        <v>9815</v>
      </c>
    </row>
    <row r="3010" spans="4:4">
      <c r="D3010" s="941" t="s">
        <v>3771</v>
      </c>
    </row>
    <row r="3011" spans="4:4">
      <c r="D3011" s="941" t="s">
        <v>3772</v>
      </c>
    </row>
    <row r="3012" spans="4:4">
      <c r="D3012" s="941" t="s">
        <v>3773</v>
      </c>
    </row>
    <row r="3013" spans="4:4">
      <c r="D3013" s="941" t="s">
        <v>3774</v>
      </c>
    </row>
    <row r="3014" spans="4:4">
      <c r="D3014" s="941" t="s">
        <v>3775</v>
      </c>
    </row>
    <row r="3015" spans="4:4">
      <c r="D3015" s="941" t="s">
        <v>3776</v>
      </c>
    </row>
    <row r="3016" spans="4:4">
      <c r="D3016" s="941" t="s">
        <v>3777</v>
      </c>
    </row>
    <row r="3017" spans="4:4">
      <c r="D3017" s="941" t="s">
        <v>3778</v>
      </c>
    </row>
    <row r="3018" spans="4:4">
      <c r="D3018" s="941" t="s">
        <v>3779</v>
      </c>
    </row>
    <row r="3019" spans="4:4">
      <c r="D3019" s="941" t="s">
        <v>3780</v>
      </c>
    </row>
    <row r="3020" spans="4:4">
      <c r="D3020" s="941" t="s">
        <v>3781</v>
      </c>
    </row>
    <row r="3021" spans="4:4">
      <c r="D3021" s="941" t="s">
        <v>3782</v>
      </c>
    </row>
    <row r="3022" spans="4:4">
      <c r="D3022" s="941" t="s">
        <v>3783</v>
      </c>
    </row>
    <row r="3023" spans="4:4">
      <c r="D3023" s="941" t="s">
        <v>3784</v>
      </c>
    </row>
    <row r="3024" spans="4:4">
      <c r="D3024" s="941" t="s">
        <v>3785</v>
      </c>
    </row>
    <row r="3025" spans="4:4">
      <c r="D3025" s="941" t="s">
        <v>3786</v>
      </c>
    </row>
    <row r="3026" spans="4:4">
      <c r="D3026" s="941" t="s">
        <v>3787</v>
      </c>
    </row>
    <row r="3027" spans="4:4">
      <c r="D3027" s="941" t="s">
        <v>3788</v>
      </c>
    </row>
    <row r="3028" spans="4:4">
      <c r="D3028" s="941" t="s">
        <v>3789</v>
      </c>
    </row>
    <row r="3029" spans="4:4">
      <c r="D3029" s="941" t="s">
        <v>3790</v>
      </c>
    </row>
    <row r="3030" spans="4:4">
      <c r="D3030" s="941" t="s">
        <v>3791</v>
      </c>
    </row>
    <row r="3031" spans="4:4">
      <c r="D3031" s="941" t="s">
        <v>3792</v>
      </c>
    </row>
    <row r="3032" spans="4:4">
      <c r="D3032" s="941" t="s">
        <v>3793</v>
      </c>
    </row>
    <row r="3033" spans="4:4">
      <c r="D3033" s="941" t="s">
        <v>3794</v>
      </c>
    </row>
    <row r="3034" spans="4:4">
      <c r="D3034" s="941" t="s">
        <v>3795</v>
      </c>
    </row>
    <row r="3035" spans="4:4">
      <c r="D3035" s="941" t="s">
        <v>3796</v>
      </c>
    </row>
    <row r="3036" spans="4:4">
      <c r="D3036" s="941" t="s">
        <v>9428</v>
      </c>
    </row>
    <row r="3037" spans="4:4">
      <c r="D3037" s="941" t="s">
        <v>3797</v>
      </c>
    </row>
    <row r="3038" spans="4:4">
      <c r="D3038" s="941" t="s">
        <v>3798</v>
      </c>
    </row>
    <row r="3039" spans="4:4">
      <c r="D3039" s="941" t="s">
        <v>10417</v>
      </c>
    </row>
    <row r="3040" spans="4:4">
      <c r="D3040" s="941" t="s">
        <v>3799</v>
      </c>
    </row>
    <row r="3041" spans="4:4">
      <c r="D3041" s="941" t="s">
        <v>3800</v>
      </c>
    </row>
    <row r="3042" spans="4:4">
      <c r="D3042" s="941" t="s">
        <v>3801</v>
      </c>
    </row>
    <row r="3043" spans="4:4">
      <c r="D3043" s="941" t="s">
        <v>3802</v>
      </c>
    </row>
    <row r="3044" spans="4:4">
      <c r="D3044" s="941" t="s">
        <v>10663</v>
      </c>
    </row>
    <row r="3045" spans="4:4">
      <c r="D3045" s="941" t="s">
        <v>3803</v>
      </c>
    </row>
    <row r="3046" spans="4:4">
      <c r="D3046" s="941" t="s">
        <v>3804</v>
      </c>
    </row>
    <row r="3047" spans="4:4">
      <c r="D3047" s="941" t="s">
        <v>3805</v>
      </c>
    </row>
    <row r="3048" spans="4:4">
      <c r="D3048" s="941" t="s">
        <v>3806</v>
      </c>
    </row>
    <row r="3049" spans="4:4">
      <c r="D3049" s="941" t="s">
        <v>3807</v>
      </c>
    </row>
    <row r="3050" spans="4:4">
      <c r="D3050" s="941" t="s">
        <v>3808</v>
      </c>
    </row>
    <row r="3051" spans="4:4">
      <c r="D3051" s="941" t="s">
        <v>3809</v>
      </c>
    </row>
    <row r="3052" spans="4:4">
      <c r="D3052" s="941" t="s">
        <v>3810</v>
      </c>
    </row>
    <row r="3053" spans="4:4">
      <c r="D3053" s="941" t="s">
        <v>9862</v>
      </c>
    </row>
    <row r="3054" spans="4:4">
      <c r="D3054" s="941" t="s">
        <v>3811</v>
      </c>
    </row>
    <row r="3055" spans="4:4">
      <c r="D3055" s="941" t="s">
        <v>3812</v>
      </c>
    </row>
    <row r="3056" spans="4:4">
      <c r="D3056" s="941" t="s">
        <v>3813</v>
      </c>
    </row>
    <row r="3057" spans="4:4">
      <c r="D3057" s="941" t="s">
        <v>3814</v>
      </c>
    </row>
    <row r="3058" spans="4:4">
      <c r="D3058" s="941" t="s">
        <v>9429</v>
      </c>
    </row>
    <row r="3059" spans="4:4">
      <c r="D3059" s="941" t="s">
        <v>3815</v>
      </c>
    </row>
    <row r="3060" spans="4:4">
      <c r="D3060" s="941" t="s">
        <v>3816</v>
      </c>
    </row>
    <row r="3061" spans="4:4">
      <c r="D3061" s="941" t="s">
        <v>9762</v>
      </c>
    </row>
    <row r="3062" spans="4:4">
      <c r="D3062" s="941" t="s">
        <v>3817</v>
      </c>
    </row>
    <row r="3063" spans="4:4">
      <c r="D3063" s="941" t="s">
        <v>3818</v>
      </c>
    </row>
    <row r="3064" spans="4:4">
      <c r="D3064" s="941" t="s">
        <v>3819</v>
      </c>
    </row>
    <row r="3065" spans="4:4">
      <c r="D3065" s="941" t="s">
        <v>3820</v>
      </c>
    </row>
    <row r="3066" spans="4:4">
      <c r="D3066" s="941" t="s">
        <v>9430</v>
      </c>
    </row>
    <row r="3067" spans="4:4">
      <c r="D3067" s="941" t="s">
        <v>3821</v>
      </c>
    </row>
    <row r="3068" spans="4:4">
      <c r="D3068" s="941" t="s">
        <v>3822</v>
      </c>
    </row>
    <row r="3069" spans="4:4">
      <c r="D3069" s="941" t="s">
        <v>3823</v>
      </c>
    </row>
    <row r="3070" spans="4:4">
      <c r="D3070" s="941" t="s">
        <v>3824</v>
      </c>
    </row>
    <row r="3071" spans="4:4">
      <c r="D3071" s="941" t="s">
        <v>3825</v>
      </c>
    </row>
    <row r="3072" spans="4:4">
      <c r="D3072" s="941" t="s">
        <v>3826</v>
      </c>
    </row>
    <row r="3073" spans="4:4">
      <c r="D3073" s="941" t="s">
        <v>3827</v>
      </c>
    </row>
    <row r="3074" spans="4:4">
      <c r="D3074" s="941" t="s">
        <v>3828</v>
      </c>
    </row>
    <row r="3075" spans="4:4">
      <c r="D3075" s="941" t="s">
        <v>3829</v>
      </c>
    </row>
    <row r="3076" spans="4:4">
      <c r="D3076" s="941" t="s">
        <v>3830</v>
      </c>
    </row>
    <row r="3077" spans="4:4">
      <c r="D3077" s="941" t="s">
        <v>3831</v>
      </c>
    </row>
    <row r="3078" spans="4:4">
      <c r="D3078" s="941" t="s">
        <v>3832</v>
      </c>
    </row>
    <row r="3079" spans="4:4">
      <c r="D3079" s="941" t="s">
        <v>3833</v>
      </c>
    </row>
    <row r="3080" spans="4:4">
      <c r="D3080" s="941" t="s">
        <v>3834</v>
      </c>
    </row>
    <row r="3081" spans="4:4">
      <c r="D3081" s="941" t="s">
        <v>3835</v>
      </c>
    </row>
    <row r="3082" spans="4:4">
      <c r="D3082" s="941" t="s">
        <v>3836</v>
      </c>
    </row>
    <row r="3083" spans="4:4">
      <c r="D3083" s="941" t="s">
        <v>3837</v>
      </c>
    </row>
    <row r="3084" spans="4:4">
      <c r="D3084" s="941" t="s">
        <v>9431</v>
      </c>
    </row>
    <row r="3085" spans="4:4">
      <c r="D3085" s="941" t="s">
        <v>761</v>
      </c>
    </row>
    <row r="3086" spans="4:4">
      <c r="D3086" s="941" t="s">
        <v>3838</v>
      </c>
    </row>
    <row r="3087" spans="4:4">
      <c r="D3087" s="941" t="s">
        <v>3839</v>
      </c>
    </row>
    <row r="3088" spans="4:4">
      <c r="D3088" s="941" t="s">
        <v>3840</v>
      </c>
    </row>
    <row r="3089" spans="4:4">
      <c r="D3089" s="941" t="s">
        <v>3841</v>
      </c>
    </row>
    <row r="3090" spans="4:4">
      <c r="D3090" s="941" t="s">
        <v>3842</v>
      </c>
    </row>
    <row r="3091" spans="4:4">
      <c r="D3091" s="941" t="s">
        <v>3843</v>
      </c>
    </row>
    <row r="3092" spans="4:4">
      <c r="D3092" s="941" t="s">
        <v>3844</v>
      </c>
    </row>
    <row r="3093" spans="4:4">
      <c r="D3093" s="941" t="s">
        <v>9863</v>
      </c>
    </row>
    <row r="3094" spans="4:4">
      <c r="D3094" s="941" t="s">
        <v>3845</v>
      </c>
    </row>
    <row r="3095" spans="4:4">
      <c r="D3095" s="941" t="s">
        <v>3846</v>
      </c>
    </row>
    <row r="3096" spans="4:4">
      <c r="D3096" s="941" t="s">
        <v>3847</v>
      </c>
    </row>
    <row r="3097" spans="4:4">
      <c r="D3097" s="941" t="s">
        <v>3848</v>
      </c>
    </row>
    <row r="3098" spans="4:4">
      <c r="D3098" s="941" t="s">
        <v>3849</v>
      </c>
    </row>
    <row r="3099" spans="4:4">
      <c r="D3099" s="941" t="s">
        <v>3850</v>
      </c>
    </row>
    <row r="3100" spans="4:4">
      <c r="D3100" s="941" t="s">
        <v>3851</v>
      </c>
    </row>
    <row r="3101" spans="4:4">
      <c r="D3101" s="941" t="s">
        <v>3852</v>
      </c>
    </row>
    <row r="3102" spans="4:4">
      <c r="D3102" s="941" t="s">
        <v>3853</v>
      </c>
    </row>
    <row r="3103" spans="4:4">
      <c r="D3103" s="941" t="s">
        <v>3854</v>
      </c>
    </row>
    <row r="3104" spans="4:4">
      <c r="D3104" s="941" t="s">
        <v>3855</v>
      </c>
    </row>
    <row r="3105" spans="4:4">
      <c r="D3105" s="941" t="s">
        <v>3856</v>
      </c>
    </row>
    <row r="3106" spans="4:4">
      <c r="D3106" s="941" t="s">
        <v>10418</v>
      </c>
    </row>
    <row r="3107" spans="4:4">
      <c r="D3107" s="941" t="s">
        <v>3857</v>
      </c>
    </row>
    <row r="3108" spans="4:4">
      <c r="D3108" s="941" t="s">
        <v>3858</v>
      </c>
    </row>
    <row r="3109" spans="4:4">
      <c r="D3109" s="941" t="s">
        <v>3859</v>
      </c>
    </row>
    <row r="3110" spans="4:4">
      <c r="D3110" s="941" t="s">
        <v>3860</v>
      </c>
    </row>
    <row r="3111" spans="4:4">
      <c r="D3111" s="941" t="s">
        <v>3861</v>
      </c>
    </row>
    <row r="3112" spans="4:4">
      <c r="D3112" s="941" t="s">
        <v>3862</v>
      </c>
    </row>
    <row r="3113" spans="4:4">
      <c r="D3113" s="941" t="s">
        <v>3863</v>
      </c>
    </row>
    <row r="3114" spans="4:4">
      <c r="D3114" s="941" t="s">
        <v>3864</v>
      </c>
    </row>
    <row r="3115" spans="4:4">
      <c r="D3115" s="941" t="s">
        <v>3865</v>
      </c>
    </row>
    <row r="3116" spans="4:4">
      <c r="D3116" s="941" t="s">
        <v>3866</v>
      </c>
    </row>
    <row r="3117" spans="4:4">
      <c r="D3117" s="941" t="s">
        <v>3867</v>
      </c>
    </row>
    <row r="3118" spans="4:4">
      <c r="D3118" s="941" t="s">
        <v>3868</v>
      </c>
    </row>
    <row r="3119" spans="4:4">
      <c r="D3119" s="941" t="s">
        <v>10223</v>
      </c>
    </row>
    <row r="3120" spans="4:4">
      <c r="D3120" s="941" t="s">
        <v>3869</v>
      </c>
    </row>
    <row r="3121" spans="4:4">
      <c r="D3121" s="941" t="s">
        <v>3870</v>
      </c>
    </row>
    <row r="3122" spans="4:4">
      <c r="D3122" s="941" t="s">
        <v>3871</v>
      </c>
    </row>
    <row r="3123" spans="4:4">
      <c r="D3123" s="941" t="s">
        <v>3872</v>
      </c>
    </row>
    <row r="3124" spans="4:4">
      <c r="D3124" s="941" t="s">
        <v>3873</v>
      </c>
    </row>
    <row r="3125" spans="4:4">
      <c r="D3125" s="941" t="s">
        <v>3874</v>
      </c>
    </row>
    <row r="3126" spans="4:4">
      <c r="D3126" s="941" t="s">
        <v>3875</v>
      </c>
    </row>
    <row r="3127" spans="4:4">
      <c r="D3127" s="941" t="s">
        <v>3876</v>
      </c>
    </row>
    <row r="3128" spans="4:4">
      <c r="D3128" s="941" t="s">
        <v>3877</v>
      </c>
    </row>
    <row r="3129" spans="4:4">
      <c r="D3129" s="941" t="s">
        <v>3878</v>
      </c>
    </row>
    <row r="3130" spans="4:4">
      <c r="D3130" s="941" t="s">
        <v>3879</v>
      </c>
    </row>
    <row r="3131" spans="4:4">
      <c r="D3131" s="941" t="s">
        <v>3880</v>
      </c>
    </row>
    <row r="3132" spans="4:4">
      <c r="D3132" s="941" t="s">
        <v>3881</v>
      </c>
    </row>
    <row r="3133" spans="4:4">
      <c r="D3133" s="941" t="s">
        <v>3882</v>
      </c>
    </row>
    <row r="3134" spans="4:4">
      <c r="D3134" s="941" t="s">
        <v>3883</v>
      </c>
    </row>
    <row r="3135" spans="4:4">
      <c r="D3135" s="941" t="s">
        <v>3884</v>
      </c>
    </row>
    <row r="3136" spans="4:4">
      <c r="D3136" s="941" t="s">
        <v>3885</v>
      </c>
    </row>
    <row r="3137" spans="4:4">
      <c r="D3137" s="941" t="s">
        <v>3886</v>
      </c>
    </row>
    <row r="3138" spans="4:4">
      <c r="D3138" s="941" t="s">
        <v>3887</v>
      </c>
    </row>
    <row r="3139" spans="4:4">
      <c r="D3139" s="941" t="s">
        <v>3888</v>
      </c>
    </row>
    <row r="3140" spans="4:4">
      <c r="D3140" s="941" t="s">
        <v>3889</v>
      </c>
    </row>
    <row r="3141" spans="4:4">
      <c r="D3141" s="941" t="s">
        <v>10383</v>
      </c>
    </row>
    <row r="3142" spans="4:4">
      <c r="D3142" s="941" t="s">
        <v>3890</v>
      </c>
    </row>
    <row r="3143" spans="4:4">
      <c r="D3143" s="941" t="s">
        <v>3891</v>
      </c>
    </row>
    <row r="3144" spans="4:4">
      <c r="D3144" s="941" t="s">
        <v>3892</v>
      </c>
    </row>
    <row r="3145" spans="4:4">
      <c r="D3145" s="941" t="s">
        <v>3893</v>
      </c>
    </row>
    <row r="3146" spans="4:4">
      <c r="D3146" s="941" t="s">
        <v>9432</v>
      </c>
    </row>
    <row r="3147" spans="4:4">
      <c r="D3147" s="941" t="s">
        <v>9433</v>
      </c>
    </row>
    <row r="3148" spans="4:4">
      <c r="D3148" s="941" t="s">
        <v>3894</v>
      </c>
    </row>
    <row r="3149" spans="4:4">
      <c r="D3149" s="941" t="s">
        <v>3895</v>
      </c>
    </row>
    <row r="3150" spans="4:4">
      <c r="D3150" s="941" t="s">
        <v>9434</v>
      </c>
    </row>
    <row r="3151" spans="4:4">
      <c r="D3151" s="941" t="s">
        <v>3896</v>
      </c>
    </row>
    <row r="3152" spans="4:4">
      <c r="D3152" s="941" t="s">
        <v>3897</v>
      </c>
    </row>
    <row r="3153" spans="4:4">
      <c r="D3153" s="941" t="s">
        <v>3898</v>
      </c>
    </row>
    <row r="3154" spans="4:4">
      <c r="D3154" s="941" t="s">
        <v>3899</v>
      </c>
    </row>
    <row r="3155" spans="4:4">
      <c r="D3155" s="941" t="s">
        <v>3900</v>
      </c>
    </row>
    <row r="3156" spans="4:4">
      <c r="D3156" s="941" t="s">
        <v>3901</v>
      </c>
    </row>
    <row r="3157" spans="4:4">
      <c r="D3157" s="941" t="s">
        <v>3902</v>
      </c>
    </row>
    <row r="3158" spans="4:4">
      <c r="D3158" s="941" t="s">
        <v>3903</v>
      </c>
    </row>
    <row r="3159" spans="4:4">
      <c r="D3159" s="941" t="s">
        <v>3904</v>
      </c>
    </row>
    <row r="3160" spans="4:4">
      <c r="D3160" s="941" t="s">
        <v>3905</v>
      </c>
    </row>
    <row r="3161" spans="4:4">
      <c r="D3161" s="941" t="s">
        <v>3906</v>
      </c>
    </row>
    <row r="3162" spans="4:4">
      <c r="D3162" s="941" t="s">
        <v>3907</v>
      </c>
    </row>
    <row r="3163" spans="4:4">
      <c r="D3163" s="941" t="s">
        <v>3908</v>
      </c>
    </row>
    <row r="3164" spans="4:4">
      <c r="D3164" s="941" t="s">
        <v>3909</v>
      </c>
    </row>
    <row r="3165" spans="4:4">
      <c r="D3165" s="941" t="s">
        <v>3910</v>
      </c>
    </row>
    <row r="3166" spans="4:4">
      <c r="D3166" s="941" t="s">
        <v>3911</v>
      </c>
    </row>
    <row r="3167" spans="4:4">
      <c r="D3167" s="941" t="s">
        <v>3912</v>
      </c>
    </row>
    <row r="3168" spans="4:4">
      <c r="D3168" s="941" t="s">
        <v>3913</v>
      </c>
    </row>
    <row r="3169" spans="4:4">
      <c r="D3169" s="941" t="s">
        <v>3914</v>
      </c>
    </row>
    <row r="3170" spans="4:4">
      <c r="D3170" s="941" t="s">
        <v>3915</v>
      </c>
    </row>
    <row r="3171" spans="4:4">
      <c r="D3171" s="941" t="s">
        <v>3916</v>
      </c>
    </row>
    <row r="3172" spans="4:4">
      <c r="D3172" s="941" t="s">
        <v>9763</v>
      </c>
    </row>
    <row r="3173" spans="4:4">
      <c r="D3173" s="941" t="s">
        <v>3917</v>
      </c>
    </row>
    <row r="3174" spans="4:4">
      <c r="D3174" s="941" t="s">
        <v>3918</v>
      </c>
    </row>
    <row r="3175" spans="4:4">
      <c r="D3175" s="941" t="s">
        <v>3919</v>
      </c>
    </row>
    <row r="3176" spans="4:4">
      <c r="D3176" s="941" t="s">
        <v>3920</v>
      </c>
    </row>
    <row r="3177" spans="4:4">
      <c r="D3177" s="941" t="s">
        <v>3921</v>
      </c>
    </row>
    <row r="3178" spans="4:4">
      <c r="D3178" s="941" t="s">
        <v>3922</v>
      </c>
    </row>
    <row r="3179" spans="4:4">
      <c r="D3179" s="941" t="s">
        <v>3923</v>
      </c>
    </row>
    <row r="3180" spans="4:4">
      <c r="D3180" s="941" t="s">
        <v>3924</v>
      </c>
    </row>
    <row r="3181" spans="4:4">
      <c r="D3181" s="941" t="s">
        <v>3925</v>
      </c>
    </row>
    <row r="3182" spans="4:4">
      <c r="D3182" s="941" t="s">
        <v>3926</v>
      </c>
    </row>
    <row r="3183" spans="4:4">
      <c r="D3183" s="941" t="s">
        <v>3927</v>
      </c>
    </row>
    <row r="3184" spans="4:4">
      <c r="D3184" s="941" t="s">
        <v>3928</v>
      </c>
    </row>
    <row r="3185" spans="4:4">
      <c r="D3185" s="941" t="s">
        <v>3929</v>
      </c>
    </row>
    <row r="3186" spans="4:4">
      <c r="D3186" s="941" t="s">
        <v>3930</v>
      </c>
    </row>
    <row r="3187" spans="4:4">
      <c r="D3187" s="941" t="s">
        <v>3931</v>
      </c>
    </row>
    <row r="3188" spans="4:4">
      <c r="D3188" s="941" t="s">
        <v>3932</v>
      </c>
    </row>
    <row r="3189" spans="4:4">
      <c r="D3189" s="941" t="s">
        <v>9435</v>
      </c>
    </row>
    <row r="3190" spans="4:4">
      <c r="D3190" s="941" t="s">
        <v>3933</v>
      </c>
    </row>
    <row r="3191" spans="4:4">
      <c r="D3191" s="941" t="s">
        <v>3934</v>
      </c>
    </row>
    <row r="3192" spans="4:4">
      <c r="D3192" s="941" t="s">
        <v>3935</v>
      </c>
    </row>
    <row r="3193" spans="4:4">
      <c r="D3193" s="941" t="s">
        <v>3936</v>
      </c>
    </row>
    <row r="3194" spans="4:4">
      <c r="D3194" s="941" t="s">
        <v>9436</v>
      </c>
    </row>
    <row r="3195" spans="4:4">
      <c r="D3195" s="941" t="s">
        <v>3937</v>
      </c>
    </row>
    <row r="3196" spans="4:4">
      <c r="D3196" s="941" t="s">
        <v>3938</v>
      </c>
    </row>
    <row r="3197" spans="4:4">
      <c r="D3197" s="941" t="s">
        <v>3939</v>
      </c>
    </row>
    <row r="3198" spans="4:4">
      <c r="D3198" s="941" t="s">
        <v>3940</v>
      </c>
    </row>
    <row r="3199" spans="4:4">
      <c r="D3199" s="941" t="s">
        <v>3941</v>
      </c>
    </row>
    <row r="3200" spans="4:4">
      <c r="D3200" s="941" t="s">
        <v>3942</v>
      </c>
    </row>
    <row r="3201" spans="4:4">
      <c r="D3201" s="941" t="s">
        <v>3943</v>
      </c>
    </row>
    <row r="3202" spans="4:4">
      <c r="D3202" s="941" t="s">
        <v>3944</v>
      </c>
    </row>
    <row r="3203" spans="4:4">
      <c r="D3203" s="941" t="s">
        <v>3945</v>
      </c>
    </row>
    <row r="3204" spans="4:4">
      <c r="D3204" s="941" t="s">
        <v>3946</v>
      </c>
    </row>
    <row r="3205" spans="4:4">
      <c r="D3205" s="941" t="s">
        <v>3947</v>
      </c>
    </row>
    <row r="3206" spans="4:4">
      <c r="D3206" s="941" t="s">
        <v>9437</v>
      </c>
    </row>
    <row r="3207" spans="4:4">
      <c r="D3207" s="941" t="s">
        <v>3948</v>
      </c>
    </row>
    <row r="3208" spans="4:4">
      <c r="D3208" s="941" t="s">
        <v>3949</v>
      </c>
    </row>
    <row r="3209" spans="4:4">
      <c r="D3209" s="941" t="s">
        <v>3950</v>
      </c>
    </row>
    <row r="3210" spans="4:4">
      <c r="D3210" s="941" t="s">
        <v>3951</v>
      </c>
    </row>
    <row r="3211" spans="4:4">
      <c r="D3211" s="941" t="s">
        <v>3952</v>
      </c>
    </row>
    <row r="3212" spans="4:4">
      <c r="D3212" s="941" t="s">
        <v>3953</v>
      </c>
    </row>
    <row r="3213" spans="4:4">
      <c r="D3213" s="941" t="s">
        <v>3954</v>
      </c>
    </row>
    <row r="3214" spans="4:4">
      <c r="D3214" s="941" t="s">
        <v>3955</v>
      </c>
    </row>
    <row r="3215" spans="4:4">
      <c r="D3215" s="941" t="s">
        <v>3956</v>
      </c>
    </row>
    <row r="3216" spans="4:4">
      <c r="D3216" s="941" t="s">
        <v>3957</v>
      </c>
    </row>
    <row r="3217" spans="4:4">
      <c r="D3217" s="941" t="s">
        <v>3958</v>
      </c>
    </row>
    <row r="3218" spans="4:4">
      <c r="D3218" s="941" t="s">
        <v>9764</v>
      </c>
    </row>
    <row r="3219" spans="4:4">
      <c r="D3219" s="941" t="s">
        <v>3959</v>
      </c>
    </row>
    <row r="3220" spans="4:4">
      <c r="D3220" s="941" t="s">
        <v>3960</v>
      </c>
    </row>
    <row r="3221" spans="4:4">
      <c r="D3221" s="941" t="s">
        <v>10195</v>
      </c>
    </row>
    <row r="3222" spans="4:4">
      <c r="D3222" s="941" t="s">
        <v>3961</v>
      </c>
    </row>
    <row r="3223" spans="4:4">
      <c r="D3223" s="941" t="s">
        <v>3962</v>
      </c>
    </row>
    <row r="3224" spans="4:4">
      <c r="D3224" s="941" t="s">
        <v>10384</v>
      </c>
    </row>
    <row r="3225" spans="4:4">
      <c r="D3225" s="941" t="s">
        <v>10419</v>
      </c>
    </row>
    <row r="3226" spans="4:4">
      <c r="D3226" s="941" t="s">
        <v>3963</v>
      </c>
    </row>
    <row r="3227" spans="4:4">
      <c r="D3227" s="941" t="s">
        <v>3964</v>
      </c>
    </row>
    <row r="3228" spans="4:4">
      <c r="D3228" s="941" t="s">
        <v>3965</v>
      </c>
    </row>
    <row r="3229" spans="4:4">
      <c r="D3229" s="941" t="s">
        <v>3966</v>
      </c>
    </row>
    <row r="3230" spans="4:4">
      <c r="D3230" s="941" t="s">
        <v>3967</v>
      </c>
    </row>
    <row r="3231" spans="4:4">
      <c r="D3231" s="941" t="s">
        <v>3968</v>
      </c>
    </row>
    <row r="3232" spans="4:4">
      <c r="D3232" s="941" t="s">
        <v>10530</v>
      </c>
    </row>
    <row r="3233" spans="4:4">
      <c r="D3233" s="941" t="s">
        <v>3969</v>
      </c>
    </row>
    <row r="3234" spans="4:4">
      <c r="D3234" s="941" t="s">
        <v>3970</v>
      </c>
    </row>
    <row r="3235" spans="4:4">
      <c r="D3235" s="941" t="s">
        <v>3971</v>
      </c>
    </row>
    <row r="3236" spans="4:4">
      <c r="D3236" s="941" t="s">
        <v>3972</v>
      </c>
    </row>
    <row r="3237" spans="4:4">
      <c r="D3237" s="941" t="s">
        <v>3973</v>
      </c>
    </row>
    <row r="3238" spans="4:4">
      <c r="D3238" s="941" t="s">
        <v>3974</v>
      </c>
    </row>
    <row r="3239" spans="4:4">
      <c r="D3239" s="941" t="s">
        <v>10886</v>
      </c>
    </row>
    <row r="3240" spans="4:4">
      <c r="D3240" s="941" t="s">
        <v>3975</v>
      </c>
    </row>
    <row r="3241" spans="4:4">
      <c r="D3241" s="941" t="s">
        <v>3976</v>
      </c>
    </row>
    <row r="3242" spans="4:4">
      <c r="D3242" s="941" t="s">
        <v>3977</v>
      </c>
    </row>
    <row r="3243" spans="4:4">
      <c r="D3243" s="941" t="s">
        <v>3978</v>
      </c>
    </row>
    <row r="3244" spans="4:4">
      <c r="D3244" s="941" t="s">
        <v>3979</v>
      </c>
    </row>
    <row r="3245" spans="4:4">
      <c r="D3245" s="941" t="s">
        <v>3980</v>
      </c>
    </row>
    <row r="3246" spans="4:4">
      <c r="D3246" s="941" t="s">
        <v>3981</v>
      </c>
    </row>
    <row r="3247" spans="4:4">
      <c r="D3247" s="941" t="s">
        <v>3982</v>
      </c>
    </row>
    <row r="3248" spans="4:4">
      <c r="D3248" s="941" t="s">
        <v>3983</v>
      </c>
    </row>
    <row r="3249" spans="4:4">
      <c r="D3249" s="941" t="s">
        <v>3984</v>
      </c>
    </row>
    <row r="3250" spans="4:4">
      <c r="D3250" s="941" t="s">
        <v>3985</v>
      </c>
    </row>
    <row r="3251" spans="4:4">
      <c r="D3251" s="941" t="s">
        <v>3986</v>
      </c>
    </row>
    <row r="3252" spans="4:4">
      <c r="D3252" s="941" t="s">
        <v>9438</v>
      </c>
    </row>
    <row r="3253" spans="4:4">
      <c r="D3253" s="941" t="s">
        <v>3987</v>
      </c>
    </row>
    <row r="3254" spans="4:4">
      <c r="D3254" s="941" t="s">
        <v>3988</v>
      </c>
    </row>
    <row r="3255" spans="4:4">
      <c r="D3255" s="941" t="s">
        <v>3989</v>
      </c>
    </row>
    <row r="3256" spans="4:4">
      <c r="D3256" s="941" t="s">
        <v>3990</v>
      </c>
    </row>
    <row r="3257" spans="4:4">
      <c r="D3257" s="941" t="s">
        <v>3991</v>
      </c>
    </row>
    <row r="3258" spans="4:4">
      <c r="D3258" s="941" t="s">
        <v>3992</v>
      </c>
    </row>
    <row r="3259" spans="4:4">
      <c r="D3259" s="941" t="s">
        <v>3993</v>
      </c>
    </row>
    <row r="3260" spans="4:4">
      <c r="D3260" s="941" t="s">
        <v>3994</v>
      </c>
    </row>
    <row r="3261" spans="4:4">
      <c r="D3261" s="941" t="s">
        <v>3995</v>
      </c>
    </row>
    <row r="3262" spans="4:4">
      <c r="D3262" s="941" t="s">
        <v>3996</v>
      </c>
    </row>
    <row r="3263" spans="4:4">
      <c r="D3263" s="941" t="s">
        <v>3997</v>
      </c>
    </row>
    <row r="3264" spans="4:4">
      <c r="D3264" s="941" t="s">
        <v>3998</v>
      </c>
    </row>
    <row r="3265" spans="4:4">
      <c r="D3265" s="941" t="s">
        <v>9439</v>
      </c>
    </row>
    <row r="3266" spans="4:4">
      <c r="D3266" s="941" t="s">
        <v>3999</v>
      </c>
    </row>
    <row r="3267" spans="4:4">
      <c r="D3267" s="941" t="s">
        <v>4000</v>
      </c>
    </row>
    <row r="3268" spans="4:4">
      <c r="D3268" s="941" t="s">
        <v>4001</v>
      </c>
    </row>
    <row r="3269" spans="4:4">
      <c r="D3269" s="941" t="s">
        <v>4002</v>
      </c>
    </row>
    <row r="3270" spans="4:4">
      <c r="D3270" s="941" t="s">
        <v>4003</v>
      </c>
    </row>
    <row r="3271" spans="4:4">
      <c r="D3271" s="941" t="s">
        <v>4004</v>
      </c>
    </row>
    <row r="3272" spans="4:4">
      <c r="D3272" s="941" t="s">
        <v>4005</v>
      </c>
    </row>
    <row r="3273" spans="4:4">
      <c r="D3273" s="941" t="s">
        <v>4006</v>
      </c>
    </row>
    <row r="3274" spans="4:4">
      <c r="D3274" s="941" t="s">
        <v>4007</v>
      </c>
    </row>
    <row r="3275" spans="4:4">
      <c r="D3275" s="941" t="s">
        <v>9440</v>
      </c>
    </row>
    <row r="3276" spans="4:4">
      <c r="D3276" s="941" t="s">
        <v>10354</v>
      </c>
    </row>
    <row r="3277" spans="4:4">
      <c r="D3277" s="941" t="s">
        <v>4008</v>
      </c>
    </row>
    <row r="3278" spans="4:4">
      <c r="D3278" s="941" t="s">
        <v>4009</v>
      </c>
    </row>
    <row r="3279" spans="4:4">
      <c r="D3279" s="941" t="s">
        <v>4010</v>
      </c>
    </row>
    <row r="3280" spans="4:4">
      <c r="D3280" s="941" t="s">
        <v>4011</v>
      </c>
    </row>
    <row r="3281" spans="4:4">
      <c r="D3281" s="941" t="s">
        <v>4012</v>
      </c>
    </row>
    <row r="3282" spans="4:4">
      <c r="D3282" s="941" t="s">
        <v>4013</v>
      </c>
    </row>
    <row r="3283" spans="4:4">
      <c r="D3283" s="941" t="s">
        <v>4014</v>
      </c>
    </row>
    <row r="3284" spans="4:4">
      <c r="D3284" s="941" t="s">
        <v>4015</v>
      </c>
    </row>
    <row r="3285" spans="4:4">
      <c r="D3285" s="941" t="s">
        <v>4016</v>
      </c>
    </row>
    <row r="3286" spans="4:4">
      <c r="D3286" s="941" t="s">
        <v>4017</v>
      </c>
    </row>
    <row r="3287" spans="4:4">
      <c r="D3287" s="941" t="s">
        <v>4018</v>
      </c>
    </row>
    <row r="3288" spans="4:4">
      <c r="D3288" s="941" t="s">
        <v>4019</v>
      </c>
    </row>
    <row r="3289" spans="4:4">
      <c r="D3289" s="941" t="s">
        <v>4020</v>
      </c>
    </row>
    <row r="3290" spans="4:4">
      <c r="D3290" s="941" t="s">
        <v>4021</v>
      </c>
    </row>
    <row r="3291" spans="4:4">
      <c r="D3291" s="941" t="s">
        <v>4022</v>
      </c>
    </row>
    <row r="3292" spans="4:4">
      <c r="D3292" s="941" t="s">
        <v>4023</v>
      </c>
    </row>
    <row r="3293" spans="4:4">
      <c r="D3293" s="941" t="s">
        <v>4024</v>
      </c>
    </row>
    <row r="3294" spans="4:4">
      <c r="D3294" s="941" t="s">
        <v>4025</v>
      </c>
    </row>
    <row r="3295" spans="4:4">
      <c r="D3295" s="941" t="s">
        <v>4026</v>
      </c>
    </row>
    <row r="3296" spans="4:4">
      <c r="D3296" s="941" t="s">
        <v>4027</v>
      </c>
    </row>
    <row r="3297" spans="4:4">
      <c r="D3297" s="941" t="s">
        <v>4028</v>
      </c>
    </row>
    <row r="3298" spans="4:4">
      <c r="D3298" s="941" t="s">
        <v>4029</v>
      </c>
    </row>
    <row r="3299" spans="4:4">
      <c r="D3299" s="941" t="s">
        <v>9441</v>
      </c>
    </row>
    <row r="3300" spans="4:4">
      <c r="D3300" s="941" t="s">
        <v>9864</v>
      </c>
    </row>
    <row r="3301" spans="4:4">
      <c r="D3301" s="941" t="s">
        <v>9442</v>
      </c>
    </row>
    <row r="3302" spans="4:4">
      <c r="D3302" s="941" t="s">
        <v>4030</v>
      </c>
    </row>
    <row r="3303" spans="4:4">
      <c r="D3303" s="941" t="s">
        <v>4031</v>
      </c>
    </row>
    <row r="3304" spans="4:4">
      <c r="D3304" s="941" t="s">
        <v>4032</v>
      </c>
    </row>
    <row r="3305" spans="4:4">
      <c r="D3305" s="941" t="s">
        <v>4033</v>
      </c>
    </row>
    <row r="3306" spans="4:4">
      <c r="D3306" s="941" t="s">
        <v>4034</v>
      </c>
    </row>
    <row r="3307" spans="4:4">
      <c r="D3307" s="941" t="s">
        <v>4035</v>
      </c>
    </row>
    <row r="3308" spans="4:4">
      <c r="D3308" s="941" t="s">
        <v>4036</v>
      </c>
    </row>
    <row r="3309" spans="4:4">
      <c r="D3309" s="941" t="s">
        <v>4037</v>
      </c>
    </row>
    <row r="3310" spans="4:4">
      <c r="D3310" s="941" t="s">
        <v>188</v>
      </c>
    </row>
    <row r="3311" spans="4:4">
      <c r="D3311" s="941" t="s">
        <v>4038</v>
      </c>
    </row>
    <row r="3312" spans="4:4">
      <c r="D3312" s="941" t="s">
        <v>4039</v>
      </c>
    </row>
    <row r="3313" spans="4:4">
      <c r="D3313" s="941" t="s">
        <v>4040</v>
      </c>
    </row>
    <row r="3314" spans="4:4">
      <c r="D3314" s="941" t="s">
        <v>4041</v>
      </c>
    </row>
    <row r="3315" spans="4:4">
      <c r="D3315" s="941" t="s">
        <v>4042</v>
      </c>
    </row>
    <row r="3316" spans="4:4">
      <c r="D3316" s="941" t="s">
        <v>4043</v>
      </c>
    </row>
    <row r="3317" spans="4:4">
      <c r="D3317" s="941" t="s">
        <v>9443</v>
      </c>
    </row>
    <row r="3318" spans="4:4">
      <c r="D3318" s="941" t="s">
        <v>4044</v>
      </c>
    </row>
    <row r="3319" spans="4:4">
      <c r="D3319" s="941" t="s">
        <v>4045</v>
      </c>
    </row>
    <row r="3320" spans="4:4">
      <c r="D3320" s="941" t="s">
        <v>4046</v>
      </c>
    </row>
    <row r="3321" spans="4:4">
      <c r="D3321" s="941" t="s">
        <v>4047</v>
      </c>
    </row>
    <row r="3322" spans="4:4">
      <c r="D3322" s="941" t="s">
        <v>4048</v>
      </c>
    </row>
    <row r="3323" spans="4:4">
      <c r="D3323" s="941" t="s">
        <v>4049</v>
      </c>
    </row>
    <row r="3324" spans="4:4">
      <c r="D3324" s="941" t="s">
        <v>4050</v>
      </c>
    </row>
    <row r="3325" spans="4:4">
      <c r="D3325" s="941" t="s">
        <v>4051</v>
      </c>
    </row>
    <row r="3326" spans="4:4">
      <c r="D3326" s="941" t="s">
        <v>4052</v>
      </c>
    </row>
    <row r="3327" spans="4:4">
      <c r="D3327" s="941" t="s">
        <v>4053</v>
      </c>
    </row>
    <row r="3328" spans="4:4">
      <c r="D3328" s="941" t="s">
        <v>4054</v>
      </c>
    </row>
    <row r="3329" spans="4:4">
      <c r="D3329" s="941" t="s">
        <v>4055</v>
      </c>
    </row>
    <row r="3330" spans="4:4">
      <c r="D3330" s="941" t="s">
        <v>9865</v>
      </c>
    </row>
    <row r="3331" spans="4:4">
      <c r="D3331" s="941" t="s">
        <v>4056</v>
      </c>
    </row>
    <row r="3332" spans="4:4">
      <c r="D3332" s="941" t="s">
        <v>4057</v>
      </c>
    </row>
    <row r="3333" spans="4:4">
      <c r="D3333" s="941" t="s">
        <v>4058</v>
      </c>
    </row>
    <row r="3334" spans="4:4">
      <c r="D3334" s="941" t="s">
        <v>9765</v>
      </c>
    </row>
    <row r="3335" spans="4:4">
      <c r="D3335" s="941" t="s">
        <v>9444</v>
      </c>
    </row>
    <row r="3336" spans="4:4">
      <c r="D3336" s="941" t="s">
        <v>4059</v>
      </c>
    </row>
    <row r="3337" spans="4:4">
      <c r="D3337" s="941" t="s">
        <v>4060</v>
      </c>
    </row>
    <row r="3338" spans="4:4">
      <c r="D3338" s="941" t="s">
        <v>11016</v>
      </c>
    </row>
    <row r="3339" spans="4:4">
      <c r="D3339" s="941" t="s">
        <v>9445</v>
      </c>
    </row>
    <row r="3340" spans="4:4">
      <c r="D3340" s="941" t="s">
        <v>10420</v>
      </c>
    </row>
    <row r="3341" spans="4:4">
      <c r="D3341" s="941" t="s">
        <v>4061</v>
      </c>
    </row>
    <row r="3342" spans="4:4">
      <c r="D3342" s="941" t="s">
        <v>4062</v>
      </c>
    </row>
    <row r="3343" spans="4:4">
      <c r="D3343" s="941" t="s">
        <v>4063</v>
      </c>
    </row>
    <row r="3344" spans="4:4">
      <c r="D3344" s="941" t="s">
        <v>12340</v>
      </c>
    </row>
    <row r="3345" spans="4:4">
      <c r="D3345" s="941" t="s">
        <v>4064</v>
      </c>
    </row>
    <row r="3346" spans="4:4">
      <c r="D3346" s="941" t="s">
        <v>10326</v>
      </c>
    </row>
    <row r="3347" spans="4:4">
      <c r="D3347" s="941" t="s">
        <v>4065</v>
      </c>
    </row>
    <row r="3348" spans="4:4">
      <c r="D3348" s="941" t="s">
        <v>4066</v>
      </c>
    </row>
    <row r="3349" spans="4:4">
      <c r="D3349" s="941" t="s">
        <v>4067</v>
      </c>
    </row>
    <row r="3350" spans="4:4">
      <c r="D3350" s="941" t="s">
        <v>4068</v>
      </c>
    </row>
    <row r="3351" spans="4:4">
      <c r="D3351" s="941" t="s">
        <v>4069</v>
      </c>
    </row>
    <row r="3352" spans="4:4">
      <c r="D3352" s="941" t="s">
        <v>4070</v>
      </c>
    </row>
    <row r="3353" spans="4:4">
      <c r="D3353" s="941" t="s">
        <v>4071</v>
      </c>
    </row>
    <row r="3354" spans="4:4">
      <c r="D3354" s="941" t="s">
        <v>4072</v>
      </c>
    </row>
    <row r="3355" spans="4:4">
      <c r="D3355" s="941" t="s">
        <v>4073</v>
      </c>
    </row>
    <row r="3356" spans="4:4">
      <c r="D3356" s="941" t="s">
        <v>4074</v>
      </c>
    </row>
    <row r="3357" spans="4:4">
      <c r="D3357" s="941" t="s">
        <v>4075</v>
      </c>
    </row>
    <row r="3358" spans="4:4">
      <c r="D3358" s="941" t="s">
        <v>4076</v>
      </c>
    </row>
    <row r="3359" spans="4:4">
      <c r="D3359" s="941" t="s">
        <v>4077</v>
      </c>
    </row>
    <row r="3360" spans="4:4">
      <c r="D3360" s="941" t="s">
        <v>4078</v>
      </c>
    </row>
    <row r="3361" spans="4:4">
      <c r="D3361" s="941" t="s">
        <v>4079</v>
      </c>
    </row>
    <row r="3362" spans="4:4">
      <c r="D3362" s="941" t="s">
        <v>4080</v>
      </c>
    </row>
    <row r="3363" spans="4:4">
      <c r="D3363" s="941" t="s">
        <v>4081</v>
      </c>
    </row>
    <row r="3364" spans="4:4">
      <c r="D3364" s="941" t="s">
        <v>12326</v>
      </c>
    </row>
    <row r="3365" spans="4:4">
      <c r="D3365" s="941" t="s">
        <v>4082</v>
      </c>
    </row>
    <row r="3366" spans="4:4">
      <c r="D3366" s="941" t="s">
        <v>4083</v>
      </c>
    </row>
    <row r="3367" spans="4:4">
      <c r="D3367" s="941" t="s">
        <v>4084</v>
      </c>
    </row>
    <row r="3368" spans="4:4">
      <c r="D3368" s="941" t="s">
        <v>4085</v>
      </c>
    </row>
    <row r="3369" spans="4:4">
      <c r="D3369" s="941" t="s">
        <v>4086</v>
      </c>
    </row>
    <row r="3370" spans="4:4">
      <c r="D3370" s="941" t="s">
        <v>4087</v>
      </c>
    </row>
    <row r="3371" spans="4:4">
      <c r="D3371" s="941" t="s">
        <v>9446</v>
      </c>
    </row>
    <row r="3372" spans="4:4">
      <c r="D3372" s="941" t="s">
        <v>4088</v>
      </c>
    </row>
    <row r="3373" spans="4:4">
      <c r="D3373" s="941" t="s">
        <v>4089</v>
      </c>
    </row>
    <row r="3374" spans="4:4">
      <c r="D3374" s="941" t="s">
        <v>4090</v>
      </c>
    </row>
    <row r="3375" spans="4:4">
      <c r="D3375" s="941" t="s">
        <v>4091</v>
      </c>
    </row>
    <row r="3376" spans="4:4">
      <c r="D3376" s="941" t="s">
        <v>4092</v>
      </c>
    </row>
    <row r="3377" spans="4:4">
      <c r="D3377" s="941" t="s">
        <v>4093</v>
      </c>
    </row>
    <row r="3378" spans="4:4">
      <c r="D3378" s="941" t="s">
        <v>9447</v>
      </c>
    </row>
    <row r="3379" spans="4:4">
      <c r="D3379" s="941" t="s">
        <v>4094</v>
      </c>
    </row>
    <row r="3380" spans="4:4">
      <c r="D3380" s="941" t="s">
        <v>4095</v>
      </c>
    </row>
    <row r="3381" spans="4:4">
      <c r="D3381" s="941" t="s">
        <v>4096</v>
      </c>
    </row>
    <row r="3382" spans="4:4">
      <c r="D3382" s="941" t="s">
        <v>9866</v>
      </c>
    </row>
    <row r="3383" spans="4:4">
      <c r="D3383" s="941" t="s">
        <v>4097</v>
      </c>
    </row>
    <row r="3384" spans="4:4">
      <c r="D3384" s="941" t="s">
        <v>4098</v>
      </c>
    </row>
    <row r="3385" spans="4:4">
      <c r="D3385" s="941" t="s">
        <v>4099</v>
      </c>
    </row>
    <row r="3386" spans="4:4">
      <c r="D3386" s="941" t="s">
        <v>4100</v>
      </c>
    </row>
    <row r="3387" spans="4:4">
      <c r="D3387" s="941" t="s">
        <v>4101</v>
      </c>
    </row>
    <row r="3388" spans="4:4">
      <c r="D3388" s="941" t="s">
        <v>4102</v>
      </c>
    </row>
    <row r="3389" spans="4:4">
      <c r="D3389" s="941" t="s">
        <v>4103</v>
      </c>
    </row>
    <row r="3390" spans="4:4">
      <c r="D3390" s="941" t="s">
        <v>4104</v>
      </c>
    </row>
    <row r="3391" spans="4:4">
      <c r="D3391" s="941" t="s">
        <v>9448</v>
      </c>
    </row>
    <row r="3392" spans="4:4">
      <c r="D3392" s="941" t="s">
        <v>4105</v>
      </c>
    </row>
    <row r="3393" spans="4:4">
      <c r="D3393" s="941" t="s">
        <v>4106</v>
      </c>
    </row>
    <row r="3394" spans="4:4">
      <c r="D3394" s="941" t="s">
        <v>4107</v>
      </c>
    </row>
    <row r="3395" spans="4:4">
      <c r="D3395" s="941" t="s">
        <v>4108</v>
      </c>
    </row>
    <row r="3396" spans="4:4">
      <c r="D3396" s="941" t="s">
        <v>4109</v>
      </c>
    </row>
    <row r="3397" spans="4:4">
      <c r="D3397" s="941" t="s">
        <v>4110</v>
      </c>
    </row>
    <row r="3398" spans="4:4">
      <c r="D3398" s="941" t="s">
        <v>4111</v>
      </c>
    </row>
    <row r="3399" spans="4:4">
      <c r="D3399" s="941" t="s">
        <v>4112</v>
      </c>
    </row>
    <row r="3400" spans="4:4">
      <c r="D3400" s="941" t="s">
        <v>4113</v>
      </c>
    </row>
    <row r="3401" spans="4:4">
      <c r="D3401" s="941" t="s">
        <v>4114</v>
      </c>
    </row>
    <row r="3402" spans="4:4">
      <c r="D3402" s="941" t="s">
        <v>4115</v>
      </c>
    </row>
    <row r="3403" spans="4:4">
      <c r="D3403" s="941" t="s">
        <v>4116</v>
      </c>
    </row>
    <row r="3404" spans="4:4">
      <c r="D3404" s="941" t="s">
        <v>4117</v>
      </c>
    </row>
    <row r="3405" spans="4:4">
      <c r="D3405" s="941" t="s">
        <v>4118</v>
      </c>
    </row>
    <row r="3406" spans="4:4">
      <c r="D3406" s="941" t="s">
        <v>4119</v>
      </c>
    </row>
    <row r="3407" spans="4:4">
      <c r="D3407" s="941" t="s">
        <v>4120</v>
      </c>
    </row>
    <row r="3408" spans="4:4">
      <c r="D3408" s="941" t="s">
        <v>4121</v>
      </c>
    </row>
    <row r="3409" spans="4:4">
      <c r="D3409" s="941" t="s">
        <v>4122</v>
      </c>
    </row>
    <row r="3410" spans="4:4">
      <c r="D3410" s="941" t="s">
        <v>4123</v>
      </c>
    </row>
    <row r="3411" spans="4:4">
      <c r="D3411" s="941" t="s">
        <v>4124</v>
      </c>
    </row>
    <row r="3412" spans="4:4">
      <c r="D3412" s="941" t="s">
        <v>4125</v>
      </c>
    </row>
    <row r="3413" spans="4:4">
      <c r="D3413" s="941" t="s">
        <v>10531</v>
      </c>
    </row>
    <row r="3414" spans="4:4">
      <c r="D3414" s="941" t="s">
        <v>4126</v>
      </c>
    </row>
    <row r="3415" spans="4:4">
      <c r="D3415" s="941" t="s">
        <v>4127</v>
      </c>
    </row>
    <row r="3416" spans="4:4">
      <c r="D3416" s="941" t="s">
        <v>4128</v>
      </c>
    </row>
    <row r="3417" spans="4:4">
      <c r="D3417" s="941" t="s">
        <v>4129</v>
      </c>
    </row>
    <row r="3418" spans="4:4">
      <c r="D3418" s="941" t="s">
        <v>4130</v>
      </c>
    </row>
    <row r="3419" spans="4:4">
      <c r="D3419" s="941" t="s">
        <v>4131</v>
      </c>
    </row>
    <row r="3420" spans="4:4">
      <c r="D3420" s="941" t="s">
        <v>4132</v>
      </c>
    </row>
    <row r="3421" spans="4:4">
      <c r="D3421" s="941" t="s">
        <v>4133</v>
      </c>
    </row>
    <row r="3422" spans="4:4">
      <c r="D3422" s="941" t="s">
        <v>4134</v>
      </c>
    </row>
    <row r="3423" spans="4:4">
      <c r="D3423" s="941" t="s">
        <v>4135</v>
      </c>
    </row>
    <row r="3424" spans="4:4">
      <c r="D3424" s="941" t="s">
        <v>4136</v>
      </c>
    </row>
    <row r="3425" spans="4:4">
      <c r="D3425" s="941" t="s">
        <v>4137</v>
      </c>
    </row>
    <row r="3426" spans="4:4">
      <c r="D3426" s="941" t="s">
        <v>4138</v>
      </c>
    </row>
    <row r="3427" spans="4:4">
      <c r="D3427" s="941" t="s">
        <v>4139</v>
      </c>
    </row>
    <row r="3428" spans="4:4">
      <c r="D3428" s="941" t="s">
        <v>4140</v>
      </c>
    </row>
    <row r="3429" spans="4:4">
      <c r="D3429" s="941" t="s">
        <v>4141</v>
      </c>
    </row>
    <row r="3430" spans="4:4">
      <c r="D3430" s="941" t="s">
        <v>4142</v>
      </c>
    </row>
    <row r="3431" spans="4:4">
      <c r="D3431" s="941" t="s">
        <v>4143</v>
      </c>
    </row>
    <row r="3432" spans="4:4">
      <c r="D3432" s="941" t="s">
        <v>4144</v>
      </c>
    </row>
    <row r="3433" spans="4:4">
      <c r="D3433" s="941" t="s">
        <v>10196</v>
      </c>
    </row>
    <row r="3434" spans="4:4">
      <c r="D3434" s="941" t="s">
        <v>4145</v>
      </c>
    </row>
    <row r="3435" spans="4:4">
      <c r="D3435" s="941" t="s">
        <v>10532</v>
      </c>
    </row>
    <row r="3436" spans="4:4">
      <c r="D3436" s="941" t="s">
        <v>4146</v>
      </c>
    </row>
    <row r="3437" spans="4:4">
      <c r="D3437" s="941" t="s">
        <v>9449</v>
      </c>
    </row>
    <row r="3438" spans="4:4">
      <c r="D3438" s="941" t="s">
        <v>4147</v>
      </c>
    </row>
    <row r="3439" spans="4:4">
      <c r="D3439" s="941" t="s">
        <v>4148</v>
      </c>
    </row>
    <row r="3440" spans="4:4">
      <c r="D3440" s="941" t="s">
        <v>4149</v>
      </c>
    </row>
    <row r="3441" spans="4:4">
      <c r="D3441" s="941" t="s">
        <v>4150</v>
      </c>
    </row>
    <row r="3442" spans="4:4">
      <c r="D3442" s="941" t="s">
        <v>4151</v>
      </c>
    </row>
    <row r="3443" spans="4:4">
      <c r="D3443" s="941" t="s">
        <v>4152</v>
      </c>
    </row>
    <row r="3444" spans="4:4">
      <c r="D3444" s="941" t="s">
        <v>4153</v>
      </c>
    </row>
    <row r="3445" spans="4:4">
      <c r="D3445" s="941" t="s">
        <v>4154</v>
      </c>
    </row>
    <row r="3446" spans="4:4">
      <c r="D3446" s="941" t="s">
        <v>4155</v>
      </c>
    </row>
    <row r="3447" spans="4:4">
      <c r="D3447" s="941" t="s">
        <v>4156</v>
      </c>
    </row>
    <row r="3448" spans="4:4">
      <c r="D3448" s="941" t="s">
        <v>4157</v>
      </c>
    </row>
    <row r="3449" spans="4:4">
      <c r="D3449" s="941" t="s">
        <v>4158</v>
      </c>
    </row>
    <row r="3450" spans="4:4">
      <c r="D3450" s="941" t="s">
        <v>4159</v>
      </c>
    </row>
    <row r="3451" spans="4:4">
      <c r="D3451" s="941" t="s">
        <v>4160</v>
      </c>
    </row>
    <row r="3452" spans="4:4">
      <c r="D3452" s="941" t="s">
        <v>4161</v>
      </c>
    </row>
    <row r="3453" spans="4:4">
      <c r="D3453" s="941" t="s">
        <v>4162</v>
      </c>
    </row>
    <row r="3454" spans="4:4">
      <c r="D3454" s="941" t="s">
        <v>4163</v>
      </c>
    </row>
    <row r="3455" spans="4:4">
      <c r="D3455" s="941" t="s">
        <v>4164</v>
      </c>
    </row>
    <row r="3456" spans="4:4">
      <c r="D3456" s="941" t="s">
        <v>4165</v>
      </c>
    </row>
    <row r="3457" spans="4:4">
      <c r="D3457" s="941" t="s">
        <v>4166</v>
      </c>
    </row>
    <row r="3458" spans="4:4">
      <c r="D3458" s="941" t="s">
        <v>10729</v>
      </c>
    </row>
    <row r="3459" spans="4:4">
      <c r="D3459" s="941" t="s">
        <v>4167</v>
      </c>
    </row>
    <row r="3460" spans="4:4">
      <c r="D3460" s="941" t="s">
        <v>4168</v>
      </c>
    </row>
    <row r="3461" spans="4:4">
      <c r="D3461" s="941" t="s">
        <v>4169</v>
      </c>
    </row>
    <row r="3462" spans="4:4">
      <c r="D3462" s="941" t="s">
        <v>4170</v>
      </c>
    </row>
    <row r="3463" spans="4:4">
      <c r="D3463" s="941" t="s">
        <v>4171</v>
      </c>
    </row>
    <row r="3464" spans="4:4">
      <c r="D3464" s="941" t="s">
        <v>4172</v>
      </c>
    </row>
    <row r="3465" spans="4:4">
      <c r="D3465" s="941" t="s">
        <v>4173</v>
      </c>
    </row>
    <row r="3466" spans="4:4">
      <c r="D3466" s="941" t="s">
        <v>4174</v>
      </c>
    </row>
    <row r="3467" spans="4:4">
      <c r="D3467" s="941" t="s">
        <v>4175</v>
      </c>
    </row>
    <row r="3468" spans="4:4">
      <c r="D3468" s="941" t="s">
        <v>4176</v>
      </c>
    </row>
    <row r="3469" spans="4:4">
      <c r="D3469" s="941" t="s">
        <v>4177</v>
      </c>
    </row>
    <row r="3470" spans="4:4">
      <c r="D3470" s="941" t="s">
        <v>4178</v>
      </c>
    </row>
    <row r="3471" spans="4:4">
      <c r="D3471" s="941" t="s">
        <v>4179</v>
      </c>
    </row>
    <row r="3472" spans="4:4">
      <c r="D3472" s="941" t="s">
        <v>4180</v>
      </c>
    </row>
    <row r="3473" spans="4:4">
      <c r="D3473" s="941" t="s">
        <v>4181</v>
      </c>
    </row>
    <row r="3474" spans="4:4">
      <c r="D3474" s="941" t="s">
        <v>4182</v>
      </c>
    </row>
    <row r="3475" spans="4:4">
      <c r="D3475" s="941" t="s">
        <v>4183</v>
      </c>
    </row>
    <row r="3476" spans="4:4">
      <c r="D3476" s="941" t="s">
        <v>4184</v>
      </c>
    </row>
    <row r="3477" spans="4:4">
      <c r="D3477" s="941" t="s">
        <v>4185</v>
      </c>
    </row>
    <row r="3478" spans="4:4">
      <c r="D3478" s="941" t="s">
        <v>4186</v>
      </c>
    </row>
    <row r="3479" spans="4:4">
      <c r="D3479" s="941" t="s">
        <v>4187</v>
      </c>
    </row>
    <row r="3480" spans="4:4">
      <c r="D3480" s="941" t="s">
        <v>4188</v>
      </c>
    </row>
    <row r="3481" spans="4:4">
      <c r="D3481" s="941" t="s">
        <v>4189</v>
      </c>
    </row>
    <row r="3482" spans="4:4">
      <c r="D3482" s="941" t="s">
        <v>9766</v>
      </c>
    </row>
    <row r="3483" spans="4:4">
      <c r="D3483" s="941" t="s">
        <v>4190</v>
      </c>
    </row>
    <row r="3484" spans="4:4">
      <c r="D3484" s="941" t="s">
        <v>4191</v>
      </c>
    </row>
    <row r="3485" spans="4:4">
      <c r="D3485" s="941" t="s">
        <v>10533</v>
      </c>
    </row>
    <row r="3486" spans="4:4">
      <c r="D3486" s="941" t="s">
        <v>4192</v>
      </c>
    </row>
    <row r="3487" spans="4:4">
      <c r="D3487" s="941" t="s">
        <v>4193</v>
      </c>
    </row>
    <row r="3488" spans="4:4">
      <c r="D3488" s="941" t="s">
        <v>4194</v>
      </c>
    </row>
    <row r="3489" spans="4:4">
      <c r="D3489" s="941" t="s">
        <v>4195</v>
      </c>
    </row>
    <row r="3490" spans="4:4">
      <c r="D3490" s="941" t="s">
        <v>4196</v>
      </c>
    </row>
    <row r="3491" spans="4:4">
      <c r="D3491" s="941" t="s">
        <v>4197</v>
      </c>
    </row>
    <row r="3492" spans="4:4">
      <c r="D3492" s="941" t="s">
        <v>4198</v>
      </c>
    </row>
    <row r="3493" spans="4:4">
      <c r="D3493" s="941" t="s">
        <v>4199</v>
      </c>
    </row>
    <row r="3494" spans="4:4">
      <c r="D3494" s="941" t="s">
        <v>4200</v>
      </c>
    </row>
    <row r="3495" spans="4:4">
      <c r="D3495" s="941" t="s">
        <v>4201</v>
      </c>
    </row>
    <row r="3496" spans="4:4">
      <c r="D3496" s="941" t="s">
        <v>4202</v>
      </c>
    </row>
    <row r="3497" spans="4:4">
      <c r="D3497" s="941" t="s">
        <v>4203</v>
      </c>
    </row>
    <row r="3498" spans="4:4">
      <c r="D3498" s="941" t="s">
        <v>4204</v>
      </c>
    </row>
    <row r="3499" spans="4:4">
      <c r="D3499" s="941" t="s">
        <v>4205</v>
      </c>
    </row>
    <row r="3500" spans="4:4">
      <c r="D3500" s="941" t="s">
        <v>10385</v>
      </c>
    </row>
    <row r="3501" spans="4:4">
      <c r="D3501" s="941" t="s">
        <v>4206</v>
      </c>
    </row>
    <row r="3502" spans="4:4">
      <c r="D3502" s="941" t="s">
        <v>4207</v>
      </c>
    </row>
    <row r="3503" spans="4:4">
      <c r="D3503" s="941" t="s">
        <v>4208</v>
      </c>
    </row>
    <row r="3504" spans="4:4">
      <c r="D3504" s="941" t="s">
        <v>4209</v>
      </c>
    </row>
    <row r="3505" spans="4:4">
      <c r="D3505" s="941" t="s">
        <v>4210</v>
      </c>
    </row>
    <row r="3506" spans="4:4">
      <c r="D3506" s="941" t="s">
        <v>4211</v>
      </c>
    </row>
    <row r="3507" spans="4:4">
      <c r="D3507" s="941" t="s">
        <v>4212</v>
      </c>
    </row>
    <row r="3508" spans="4:4">
      <c r="D3508" s="941" t="s">
        <v>4213</v>
      </c>
    </row>
    <row r="3509" spans="4:4">
      <c r="D3509" s="941" t="s">
        <v>4214</v>
      </c>
    </row>
    <row r="3510" spans="4:4">
      <c r="D3510" s="941" t="s">
        <v>4215</v>
      </c>
    </row>
    <row r="3511" spans="4:4">
      <c r="D3511" s="941" t="s">
        <v>9450</v>
      </c>
    </row>
    <row r="3512" spans="4:4">
      <c r="D3512" s="941" t="s">
        <v>9451</v>
      </c>
    </row>
    <row r="3513" spans="4:4">
      <c r="D3513" s="941" t="s">
        <v>4216</v>
      </c>
    </row>
    <row r="3514" spans="4:4">
      <c r="D3514" s="941" t="s">
        <v>4217</v>
      </c>
    </row>
    <row r="3515" spans="4:4">
      <c r="D3515" s="941" t="s">
        <v>4218</v>
      </c>
    </row>
    <row r="3516" spans="4:4">
      <c r="D3516" s="941" t="s">
        <v>4219</v>
      </c>
    </row>
    <row r="3517" spans="4:4">
      <c r="D3517" s="941" t="s">
        <v>4220</v>
      </c>
    </row>
    <row r="3518" spans="4:4">
      <c r="D3518" s="941" t="s">
        <v>4221</v>
      </c>
    </row>
    <row r="3519" spans="4:4">
      <c r="D3519" s="941" t="s">
        <v>4222</v>
      </c>
    </row>
    <row r="3520" spans="4:4">
      <c r="D3520" s="941" t="s">
        <v>4223</v>
      </c>
    </row>
    <row r="3521" spans="4:4">
      <c r="D3521" s="941" t="s">
        <v>4224</v>
      </c>
    </row>
    <row r="3522" spans="4:4">
      <c r="D3522" s="941" t="s">
        <v>4225</v>
      </c>
    </row>
    <row r="3523" spans="4:4">
      <c r="D3523" s="941" t="s">
        <v>4226</v>
      </c>
    </row>
    <row r="3524" spans="4:4">
      <c r="D3524" s="941" t="s">
        <v>4227</v>
      </c>
    </row>
    <row r="3525" spans="4:4">
      <c r="D3525" s="941" t="s">
        <v>4228</v>
      </c>
    </row>
    <row r="3526" spans="4:4">
      <c r="D3526" s="941" t="s">
        <v>4229</v>
      </c>
    </row>
    <row r="3527" spans="4:4">
      <c r="D3527" s="941" t="s">
        <v>4230</v>
      </c>
    </row>
    <row r="3528" spans="4:4">
      <c r="D3528" s="941" t="s">
        <v>4231</v>
      </c>
    </row>
    <row r="3529" spans="4:4">
      <c r="D3529" s="941" t="s">
        <v>4232</v>
      </c>
    </row>
    <row r="3530" spans="4:4">
      <c r="D3530" s="941" t="s">
        <v>4233</v>
      </c>
    </row>
    <row r="3531" spans="4:4">
      <c r="D3531" s="941" t="s">
        <v>4234</v>
      </c>
    </row>
    <row r="3532" spans="4:4">
      <c r="D3532" s="941" t="s">
        <v>4235</v>
      </c>
    </row>
    <row r="3533" spans="4:4">
      <c r="D3533" s="941" t="s">
        <v>4236</v>
      </c>
    </row>
    <row r="3534" spans="4:4">
      <c r="D3534" s="941" t="s">
        <v>4237</v>
      </c>
    </row>
    <row r="3535" spans="4:4">
      <c r="D3535" s="941" t="s">
        <v>4238</v>
      </c>
    </row>
    <row r="3536" spans="4:4">
      <c r="D3536" s="941" t="s">
        <v>4239</v>
      </c>
    </row>
    <row r="3537" spans="4:4">
      <c r="D3537" s="941" t="s">
        <v>11017</v>
      </c>
    </row>
    <row r="3538" spans="4:4">
      <c r="D3538" s="941" t="s">
        <v>4240</v>
      </c>
    </row>
    <row r="3539" spans="4:4">
      <c r="D3539" s="941" t="s">
        <v>4241</v>
      </c>
    </row>
    <row r="3540" spans="4:4">
      <c r="D3540" s="941" t="s">
        <v>4242</v>
      </c>
    </row>
    <row r="3541" spans="4:4">
      <c r="D3541" s="941" t="s">
        <v>4243</v>
      </c>
    </row>
    <row r="3542" spans="4:4">
      <c r="D3542" s="941" t="s">
        <v>4244</v>
      </c>
    </row>
    <row r="3543" spans="4:4">
      <c r="D3543" s="941" t="s">
        <v>450</v>
      </c>
    </row>
    <row r="3544" spans="4:4">
      <c r="D3544" s="941" t="s">
        <v>4245</v>
      </c>
    </row>
    <row r="3545" spans="4:4">
      <c r="D3545" s="941" t="s">
        <v>4246</v>
      </c>
    </row>
    <row r="3546" spans="4:4">
      <c r="D3546" s="941" t="s">
        <v>4247</v>
      </c>
    </row>
    <row r="3547" spans="4:4">
      <c r="D3547" s="941" t="s">
        <v>4248</v>
      </c>
    </row>
    <row r="3548" spans="4:4">
      <c r="D3548" s="941" t="s">
        <v>4249</v>
      </c>
    </row>
    <row r="3549" spans="4:4">
      <c r="D3549" s="941" t="s">
        <v>9767</v>
      </c>
    </row>
    <row r="3550" spans="4:4">
      <c r="D3550" s="941" t="s">
        <v>4250</v>
      </c>
    </row>
    <row r="3551" spans="4:4">
      <c r="D3551" s="941" t="s">
        <v>4251</v>
      </c>
    </row>
    <row r="3552" spans="4:4">
      <c r="D3552" s="941" t="s">
        <v>4252</v>
      </c>
    </row>
    <row r="3553" spans="4:4">
      <c r="D3553" s="941" t="s">
        <v>4253</v>
      </c>
    </row>
    <row r="3554" spans="4:4">
      <c r="D3554" s="941" t="s">
        <v>4254</v>
      </c>
    </row>
    <row r="3555" spans="4:4">
      <c r="D3555" s="941" t="s">
        <v>1013</v>
      </c>
    </row>
    <row r="3556" spans="4:4">
      <c r="D3556" s="941" t="s">
        <v>4255</v>
      </c>
    </row>
    <row r="3557" spans="4:4">
      <c r="D3557" s="941" t="s">
        <v>4256</v>
      </c>
    </row>
    <row r="3558" spans="4:4">
      <c r="D3558" s="941" t="s">
        <v>4257</v>
      </c>
    </row>
    <row r="3559" spans="4:4">
      <c r="D3559" s="941" t="s">
        <v>4258</v>
      </c>
    </row>
    <row r="3560" spans="4:4">
      <c r="D3560" s="941" t="s">
        <v>4259</v>
      </c>
    </row>
    <row r="3561" spans="4:4">
      <c r="D3561" s="941" t="s">
        <v>4260</v>
      </c>
    </row>
    <row r="3562" spans="4:4">
      <c r="D3562" s="941" t="s">
        <v>4261</v>
      </c>
    </row>
    <row r="3563" spans="4:4">
      <c r="D3563" s="941" t="s">
        <v>4262</v>
      </c>
    </row>
    <row r="3564" spans="4:4">
      <c r="D3564" s="941" t="s">
        <v>4263</v>
      </c>
    </row>
    <row r="3565" spans="4:4">
      <c r="D3565" s="941" t="s">
        <v>4264</v>
      </c>
    </row>
    <row r="3566" spans="4:4">
      <c r="D3566" s="941" t="s">
        <v>4265</v>
      </c>
    </row>
    <row r="3567" spans="4:4">
      <c r="D3567" s="941" t="s">
        <v>4266</v>
      </c>
    </row>
    <row r="3568" spans="4:4">
      <c r="D3568" s="941" t="s">
        <v>4267</v>
      </c>
    </row>
    <row r="3569" spans="4:4">
      <c r="D3569" s="941" t="s">
        <v>4268</v>
      </c>
    </row>
    <row r="3570" spans="4:4">
      <c r="D3570" s="941" t="s">
        <v>4269</v>
      </c>
    </row>
    <row r="3571" spans="4:4">
      <c r="D3571" s="941" t="s">
        <v>4270</v>
      </c>
    </row>
    <row r="3572" spans="4:4">
      <c r="D3572" s="941" t="s">
        <v>4271</v>
      </c>
    </row>
    <row r="3573" spans="4:4">
      <c r="D3573" s="941" t="s">
        <v>4272</v>
      </c>
    </row>
    <row r="3574" spans="4:4">
      <c r="D3574" s="941" t="s">
        <v>4273</v>
      </c>
    </row>
    <row r="3575" spans="4:4">
      <c r="D3575" s="941" t="s">
        <v>4274</v>
      </c>
    </row>
    <row r="3576" spans="4:4">
      <c r="D3576" s="941" t="s">
        <v>4275</v>
      </c>
    </row>
    <row r="3577" spans="4:4">
      <c r="D3577" s="941" t="s">
        <v>4276</v>
      </c>
    </row>
    <row r="3578" spans="4:4">
      <c r="D3578" s="941" t="s">
        <v>4277</v>
      </c>
    </row>
    <row r="3579" spans="4:4">
      <c r="D3579" s="941" t="s">
        <v>4278</v>
      </c>
    </row>
    <row r="3580" spans="4:4">
      <c r="D3580" s="941" t="s">
        <v>4279</v>
      </c>
    </row>
    <row r="3581" spans="4:4">
      <c r="D3581" s="941" t="s">
        <v>4280</v>
      </c>
    </row>
    <row r="3582" spans="4:4">
      <c r="D3582" s="941" t="s">
        <v>4281</v>
      </c>
    </row>
    <row r="3583" spans="4:4">
      <c r="D3583" s="941" t="s">
        <v>4282</v>
      </c>
    </row>
    <row r="3584" spans="4:4">
      <c r="D3584" s="941" t="s">
        <v>4283</v>
      </c>
    </row>
    <row r="3585" spans="4:4">
      <c r="D3585" s="941" t="s">
        <v>4284</v>
      </c>
    </row>
    <row r="3586" spans="4:4">
      <c r="D3586" s="941" t="s">
        <v>4285</v>
      </c>
    </row>
    <row r="3587" spans="4:4">
      <c r="D3587" s="941" t="s">
        <v>4286</v>
      </c>
    </row>
    <row r="3588" spans="4:4">
      <c r="D3588" s="941" t="s">
        <v>9452</v>
      </c>
    </row>
    <row r="3589" spans="4:4">
      <c r="D3589" s="941" t="s">
        <v>4287</v>
      </c>
    </row>
    <row r="3590" spans="4:4">
      <c r="D3590" s="941" t="s">
        <v>4288</v>
      </c>
    </row>
    <row r="3591" spans="4:4">
      <c r="D3591" s="941" t="s">
        <v>4289</v>
      </c>
    </row>
    <row r="3592" spans="4:4">
      <c r="D3592" s="941" t="s">
        <v>4290</v>
      </c>
    </row>
    <row r="3593" spans="4:4">
      <c r="D3593" s="941" t="s">
        <v>4291</v>
      </c>
    </row>
    <row r="3594" spans="4:4">
      <c r="D3594" s="941" t="s">
        <v>4292</v>
      </c>
    </row>
    <row r="3595" spans="4:4">
      <c r="D3595" s="941" t="s">
        <v>4293</v>
      </c>
    </row>
    <row r="3596" spans="4:4">
      <c r="D3596" s="941" t="s">
        <v>4294</v>
      </c>
    </row>
    <row r="3597" spans="4:4">
      <c r="D3597" s="941" t="s">
        <v>4295</v>
      </c>
    </row>
    <row r="3598" spans="4:4">
      <c r="D3598" s="941" t="s">
        <v>4296</v>
      </c>
    </row>
    <row r="3599" spans="4:4">
      <c r="D3599" s="941" t="s">
        <v>4297</v>
      </c>
    </row>
    <row r="3600" spans="4:4">
      <c r="D3600" s="941" t="s">
        <v>4298</v>
      </c>
    </row>
    <row r="3601" spans="4:4">
      <c r="D3601" s="941" t="s">
        <v>4299</v>
      </c>
    </row>
    <row r="3602" spans="4:4">
      <c r="D3602" s="941" t="s">
        <v>4300</v>
      </c>
    </row>
    <row r="3603" spans="4:4">
      <c r="D3603" s="941" t="s">
        <v>4301</v>
      </c>
    </row>
    <row r="3604" spans="4:4">
      <c r="D3604" s="941" t="s">
        <v>4302</v>
      </c>
    </row>
    <row r="3605" spans="4:4">
      <c r="D3605" s="941" t="s">
        <v>4303</v>
      </c>
    </row>
    <row r="3606" spans="4:4">
      <c r="D3606" s="941" t="s">
        <v>4304</v>
      </c>
    </row>
    <row r="3607" spans="4:4">
      <c r="D3607" s="941" t="s">
        <v>9453</v>
      </c>
    </row>
    <row r="3608" spans="4:4">
      <c r="D3608" s="941" t="s">
        <v>4305</v>
      </c>
    </row>
    <row r="3609" spans="4:4">
      <c r="D3609" s="941" t="s">
        <v>4306</v>
      </c>
    </row>
    <row r="3610" spans="4:4">
      <c r="D3610" s="941" t="s">
        <v>4307</v>
      </c>
    </row>
    <row r="3611" spans="4:4">
      <c r="D3611" s="941" t="s">
        <v>4308</v>
      </c>
    </row>
    <row r="3612" spans="4:4">
      <c r="D3612" s="941" t="s">
        <v>4309</v>
      </c>
    </row>
    <row r="3613" spans="4:4">
      <c r="D3613" s="941" t="s">
        <v>4310</v>
      </c>
    </row>
    <row r="3614" spans="4:4">
      <c r="D3614" s="941" t="s">
        <v>9454</v>
      </c>
    </row>
    <row r="3615" spans="4:4">
      <c r="D3615" s="941" t="s">
        <v>4311</v>
      </c>
    </row>
    <row r="3616" spans="4:4">
      <c r="D3616" s="941" t="s">
        <v>4312</v>
      </c>
    </row>
    <row r="3617" spans="4:4">
      <c r="D3617" s="941" t="s">
        <v>523</v>
      </c>
    </row>
    <row r="3618" spans="4:4">
      <c r="D3618" s="941" t="s">
        <v>4313</v>
      </c>
    </row>
    <row r="3619" spans="4:4">
      <c r="D3619" s="941" t="s">
        <v>10534</v>
      </c>
    </row>
    <row r="3620" spans="4:4">
      <c r="D3620" s="941" t="s">
        <v>4314</v>
      </c>
    </row>
    <row r="3621" spans="4:4">
      <c r="D3621" s="941" t="s">
        <v>4315</v>
      </c>
    </row>
    <row r="3622" spans="4:4">
      <c r="D3622" s="941" t="s">
        <v>4316</v>
      </c>
    </row>
    <row r="3623" spans="4:4">
      <c r="D3623" s="941" t="s">
        <v>10535</v>
      </c>
    </row>
    <row r="3624" spans="4:4">
      <c r="D3624" s="941" t="s">
        <v>4317</v>
      </c>
    </row>
    <row r="3625" spans="4:4">
      <c r="D3625" s="941" t="s">
        <v>9455</v>
      </c>
    </row>
    <row r="3626" spans="4:4">
      <c r="D3626" s="941" t="s">
        <v>4318</v>
      </c>
    </row>
    <row r="3627" spans="4:4">
      <c r="D3627" s="941" t="s">
        <v>4319</v>
      </c>
    </row>
    <row r="3628" spans="4:4">
      <c r="D3628" s="941" t="s">
        <v>4320</v>
      </c>
    </row>
    <row r="3629" spans="4:4">
      <c r="D3629" s="941" t="s">
        <v>4321</v>
      </c>
    </row>
    <row r="3630" spans="4:4">
      <c r="D3630" s="941" t="s">
        <v>4322</v>
      </c>
    </row>
    <row r="3631" spans="4:4">
      <c r="D3631" s="941" t="s">
        <v>4323</v>
      </c>
    </row>
    <row r="3632" spans="4:4">
      <c r="D3632" s="941" t="s">
        <v>9456</v>
      </c>
    </row>
    <row r="3633" spans="4:4">
      <c r="D3633" s="941" t="s">
        <v>4324</v>
      </c>
    </row>
    <row r="3634" spans="4:4">
      <c r="D3634" s="941" t="s">
        <v>4325</v>
      </c>
    </row>
    <row r="3635" spans="4:4">
      <c r="D3635" s="941" t="s">
        <v>4326</v>
      </c>
    </row>
    <row r="3636" spans="4:4">
      <c r="D3636" s="941" t="s">
        <v>4327</v>
      </c>
    </row>
    <row r="3637" spans="4:4">
      <c r="D3637" s="941" t="s">
        <v>4328</v>
      </c>
    </row>
    <row r="3638" spans="4:4">
      <c r="D3638" s="941" t="s">
        <v>4329</v>
      </c>
    </row>
    <row r="3639" spans="4:4">
      <c r="D3639" s="941" t="s">
        <v>10327</v>
      </c>
    </row>
    <row r="3640" spans="4:4">
      <c r="D3640" s="941" t="s">
        <v>4330</v>
      </c>
    </row>
    <row r="3641" spans="4:4">
      <c r="D3641" s="941" t="s">
        <v>4331</v>
      </c>
    </row>
    <row r="3642" spans="4:4">
      <c r="D3642" s="941" t="s">
        <v>4332</v>
      </c>
    </row>
    <row r="3643" spans="4:4">
      <c r="D3643" s="941" t="s">
        <v>4333</v>
      </c>
    </row>
    <row r="3644" spans="4:4">
      <c r="D3644" s="941" t="s">
        <v>4334</v>
      </c>
    </row>
    <row r="3645" spans="4:4">
      <c r="D3645" s="941" t="s">
        <v>4335</v>
      </c>
    </row>
    <row r="3646" spans="4:4">
      <c r="D3646" s="941" t="s">
        <v>4336</v>
      </c>
    </row>
    <row r="3647" spans="4:4">
      <c r="D3647" s="941" t="s">
        <v>4337</v>
      </c>
    </row>
    <row r="3648" spans="4:4">
      <c r="D3648" s="941" t="s">
        <v>4338</v>
      </c>
    </row>
    <row r="3649" spans="4:4">
      <c r="D3649" s="941" t="s">
        <v>4339</v>
      </c>
    </row>
    <row r="3650" spans="4:4">
      <c r="D3650" s="941" t="s">
        <v>4340</v>
      </c>
    </row>
    <row r="3651" spans="4:4">
      <c r="D3651" s="941" t="s">
        <v>4341</v>
      </c>
    </row>
    <row r="3652" spans="4:4">
      <c r="D3652" s="941" t="s">
        <v>4342</v>
      </c>
    </row>
    <row r="3653" spans="4:4">
      <c r="D3653" s="941" t="s">
        <v>4343</v>
      </c>
    </row>
    <row r="3654" spans="4:4">
      <c r="D3654" s="941" t="s">
        <v>4344</v>
      </c>
    </row>
    <row r="3655" spans="4:4">
      <c r="D3655" s="941" t="s">
        <v>9457</v>
      </c>
    </row>
    <row r="3656" spans="4:4">
      <c r="D3656" s="941" t="s">
        <v>4345</v>
      </c>
    </row>
    <row r="3657" spans="4:4">
      <c r="D3657" s="941" t="s">
        <v>4346</v>
      </c>
    </row>
    <row r="3658" spans="4:4">
      <c r="D3658" s="941" t="s">
        <v>4347</v>
      </c>
    </row>
    <row r="3659" spans="4:4">
      <c r="D3659" s="941" t="s">
        <v>4348</v>
      </c>
    </row>
    <row r="3660" spans="4:4">
      <c r="D3660" s="941" t="s">
        <v>4349</v>
      </c>
    </row>
    <row r="3661" spans="4:4">
      <c r="D3661" s="941" t="s">
        <v>4350</v>
      </c>
    </row>
    <row r="3662" spans="4:4">
      <c r="D3662" s="941" t="s">
        <v>4351</v>
      </c>
    </row>
    <row r="3663" spans="4:4">
      <c r="D3663" s="941" t="s">
        <v>4352</v>
      </c>
    </row>
    <row r="3664" spans="4:4">
      <c r="D3664" s="941" t="s">
        <v>4353</v>
      </c>
    </row>
    <row r="3665" spans="4:4">
      <c r="D3665" s="941" t="s">
        <v>4354</v>
      </c>
    </row>
    <row r="3666" spans="4:4">
      <c r="D3666" s="941" t="s">
        <v>4355</v>
      </c>
    </row>
    <row r="3667" spans="4:4">
      <c r="D3667" s="941" t="s">
        <v>4356</v>
      </c>
    </row>
    <row r="3668" spans="4:4">
      <c r="D3668" s="941" t="s">
        <v>4357</v>
      </c>
    </row>
    <row r="3669" spans="4:4">
      <c r="D3669" s="941" t="s">
        <v>4358</v>
      </c>
    </row>
    <row r="3670" spans="4:4">
      <c r="D3670" s="941" t="s">
        <v>4359</v>
      </c>
    </row>
    <row r="3671" spans="4:4">
      <c r="D3671" s="941" t="s">
        <v>4360</v>
      </c>
    </row>
    <row r="3672" spans="4:4">
      <c r="D3672" s="941" t="s">
        <v>4361</v>
      </c>
    </row>
    <row r="3673" spans="4:4">
      <c r="D3673" s="941" t="s">
        <v>4362</v>
      </c>
    </row>
    <row r="3674" spans="4:4">
      <c r="D3674" s="941" t="s">
        <v>4363</v>
      </c>
    </row>
    <row r="3675" spans="4:4">
      <c r="D3675" s="941" t="s">
        <v>4364</v>
      </c>
    </row>
    <row r="3676" spans="4:4">
      <c r="D3676" s="941" t="s">
        <v>4365</v>
      </c>
    </row>
    <row r="3677" spans="4:4">
      <c r="D3677" s="941" t="s">
        <v>4366</v>
      </c>
    </row>
    <row r="3678" spans="4:4">
      <c r="D3678" s="941" t="s">
        <v>4367</v>
      </c>
    </row>
    <row r="3679" spans="4:4">
      <c r="D3679" s="941" t="s">
        <v>9458</v>
      </c>
    </row>
    <row r="3680" spans="4:4">
      <c r="D3680" s="941" t="s">
        <v>4368</v>
      </c>
    </row>
    <row r="3681" spans="4:4">
      <c r="D3681" s="941" t="s">
        <v>10730</v>
      </c>
    </row>
    <row r="3682" spans="4:4">
      <c r="D3682" s="941" t="s">
        <v>4369</v>
      </c>
    </row>
    <row r="3683" spans="4:4">
      <c r="D3683" s="941" t="s">
        <v>4370</v>
      </c>
    </row>
    <row r="3684" spans="4:4">
      <c r="D3684" s="941" t="s">
        <v>4371</v>
      </c>
    </row>
    <row r="3685" spans="4:4">
      <c r="D3685" s="941" t="s">
        <v>4372</v>
      </c>
    </row>
    <row r="3686" spans="4:4">
      <c r="D3686" s="941" t="s">
        <v>4373</v>
      </c>
    </row>
    <row r="3687" spans="4:4">
      <c r="D3687" s="941" t="s">
        <v>4374</v>
      </c>
    </row>
    <row r="3688" spans="4:4">
      <c r="D3688" s="941" t="s">
        <v>4375</v>
      </c>
    </row>
    <row r="3689" spans="4:4">
      <c r="D3689" s="941" t="s">
        <v>10731</v>
      </c>
    </row>
    <row r="3690" spans="4:4">
      <c r="D3690" s="941" t="s">
        <v>4376</v>
      </c>
    </row>
    <row r="3691" spans="4:4">
      <c r="D3691" s="941" t="s">
        <v>4377</v>
      </c>
    </row>
    <row r="3692" spans="4:4">
      <c r="D3692" s="941" t="s">
        <v>4378</v>
      </c>
    </row>
    <row r="3693" spans="4:4">
      <c r="D3693" s="941" t="s">
        <v>4379</v>
      </c>
    </row>
    <row r="3694" spans="4:4">
      <c r="D3694" s="941" t="s">
        <v>4380</v>
      </c>
    </row>
    <row r="3695" spans="4:4">
      <c r="D3695" s="941" t="s">
        <v>4381</v>
      </c>
    </row>
    <row r="3696" spans="4:4">
      <c r="D3696" s="941" t="s">
        <v>4382</v>
      </c>
    </row>
    <row r="3697" spans="4:4">
      <c r="D3697" s="941" t="s">
        <v>4383</v>
      </c>
    </row>
    <row r="3698" spans="4:4">
      <c r="D3698" s="941" t="s">
        <v>4384</v>
      </c>
    </row>
    <row r="3699" spans="4:4">
      <c r="D3699" s="941" t="s">
        <v>4385</v>
      </c>
    </row>
    <row r="3700" spans="4:4">
      <c r="D3700" s="941" t="s">
        <v>4386</v>
      </c>
    </row>
    <row r="3701" spans="4:4">
      <c r="D3701" s="941" t="s">
        <v>4387</v>
      </c>
    </row>
    <row r="3702" spans="4:4">
      <c r="D3702" s="941" t="s">
        <v>12327</v>
      </c>
    </row>
    <row r="3703" spans="4:4">
      <c r="D3703" s="941" t="s">
        <v>4388</v>
      </c>
    </row>
    <row r="3704" spans="4:4">
      <c r="D3704" s="941" t="s">
        <v>4389</v>
      </c>
    </row>
    <row r="3705" spans="4:4">
      <c r="D3705" s="941" t="s">
        <v>4390</v>
      </c>
    </row>
    <row r="3706" spans="4:4">
      <c r="D3706" s="941" t="s">
        <v>4391</v>
      </c>
    </row>
    <row r="3707" spans="4:4">
      <c r="D3707" s="941" t="s">
        <v>9459</v>
      </c>
    </row>
    <row r="3708" spans="4:4">
      <c r="D3708" s="941" t="s">
        <v>4392</v>
      </c>
    </row>
    <row r="3709" spans="4:4">
      <c r="D3709" s="941" t="s">
        <v>4393</v>
      </c>
    </row>
    <row r="3710" spans="4:4">
      <c r="D3710" s="941" t="s">
        <v>4394</v>
      </c>
    </row>
    <row r="3711" spans="4:4">
      <c r="D3711" s="941" t="s">
        <v>10568</v>
      </c>
    </row>
    <row r="3712" spans="4:4">
      <c r="D3712" s="941" t="s">
        <v>4395</v>
      </c>
    </row>
    <row r="3713" spans="4:4">
      <c r="D3713" s="941" t="s">
        <v>4396</v>
      </c>
    </row>
    <row r="3714" spans="4:4">
      <c r="D3714" s="941" t="s">
        <v>4397</v>
      </c>
    </row>
    <row r="3715" spans="4:4">
      <c r="D3715" s="941" t="s">
        <v>4398</v>
      </c>
    </row>
    <row r="3716" spans="4:4">
      <c r="D3716" s="941" t="s">
        <v>4399</v>
      </c>
    </row>
    <row r="3717" spans="4:4">
      <c r="D3717" s="941" t="s">
        <v>4400</v>
      </c>
    </row>
    <row r="3718" spans="4:4">
      <c r="D3718" s="941" t="s">
        <v>4401</v>
      </c>
    </row>
    <row r="3719" spans="4:4">
      <c r="D3719" s="941" t="s">
        <v>4402</v>
      </c>
    </row>
    <row r="3720" spans="4:4">
      <c r="D3720" s="941" t="s">
        <v>4403</v>
      </c>
    </row>
    <row r="3721" spans="4:4">
      <c r="D3721" s="941" t="s">
        <v>4404</v>
      </c>
    </row>
    <row r="3722" spans="4:4">
      <c r="D3722" s="941" t="s">
        <v>10386</v>
      </c>
    </row>
    <row r="3723" spans="4:4">
      <c r="D3723" s="941" t="s">
        <v>4405</v>
      </c>
    </row>
    <row r="3724" spans="4:4">
      <c r="D3724" s="941" t="s">
        <v>4406</v>
      </c>
    </row>
    <row r="3725" spans="4:4">
      <c r="D3725" s="941" t="s">
        <v>4407</v>
      </c>
    </row>
    <row r="3726" spans="4:4">
      <c r="D3726" s="941" t="s">
        <v>4408</v>
      </c>
    </row>
    <row r="3727" spans="4:4">
      <c r="D3727" s="941" t="s">
        <v>4409</v>
      </c>
    </row>
    <row r="3728" spans="4:4">
      <c r="D3728" s="941" t="s">
        <v>4410</v>
      </c>
    </row>
    <row r="3729" spans="4:4">
      <c r="D3729" s="941" t="s">
        <v>4411</v>
      </c>
    </row>
    <row r="3730" spans="4:4">
      <c r="D3730" s="941" t="s">
        <v>4412</v>
      </c>
    </row>
    <row r="3731" spans="4:4">
      <c r="D3731" s="941" t="s">
        <v>4413</v>
      </c>
    </row>
    <row r="3732" spans="4:4">
      <c r="D3732" s="941" t="s">
        <v>9768</v>
      </c>
    </row>
    <row r="3733" spans="4:4">
      <c r="D3733" s="941" t="s">
        <v>4414</v>
      </c>
    </row>
    <row r="3734" spans="4:4">
      <c r="D3734" s="941" t="s">
        <v>4415</v>
      </c>
    </row>
    <row r="3735" spans="4:4">
      <c r="D3735" s="941" t="s">
        <v>4416</v>
      </c>
    </row>
    <row r="3736" spans="4:4">
      <c r="D3736" s="941" t="s">
        <v>4417</v>
      </c>
    </row>
    <row r="3737" spans="4:4">
      <c r="D3737" s="941" t="s">
        <v>4418</v>
      </c>
    </row>
    <row r="3738" spans="4:4">
      <c r="D3738" s="941" t="s">
        <v>4419</v>
      </c>
    </row>
    <row r="3739" spans="4:4">
      <c r="D3739" s="941" t="s">
        <v>4420</v>
      </c>
    </row>
    <row r="3740" spans="4:4">
      <c r="D3740" s="941" t="s">
        <v>4421</v>
      </c>
    </row>
    <row r="3741" spans="4:4">
      <c r="D3741" s="941" t="s">
        <v>4422</v>
      </c>
    </row>
    <row r="3742" spans="4:4">
      <c r="D3742" s="941" t="s">
        <v>4423</v>
      </c>
    </row>
    <row r="3743" spans="4:4">
      <c r="D3743" s="941" t="s">
        <v>4424</v>
      </c>
    </row>
    <row r="3744" spans="4:4">
      <c r="D3744" s="941" t="s">
        <v>4425</v>
      </c>
    </row>
    <row r="3745" spans="4:4">
      <c r="D3745" s="941" t="s">
        <v>4426</v>
      </c>
    </row>
    <row r="3746" spans="4:4">
      <c r="D3746" s="941" t="s">
        <v>4427</v>
      </c>
    </row>
    <row r="3747" spans="4:4">
      <c r="D3747" s="941" t="s">
        <v>4428</v>
      </c>
    </row>
    <row r="3748" spans="4:4">
      <c r="D3748" s="941" t="s">
        <v>9460</v>
      </c>
    </row>
    <row r="3749" spans="4:4">
      <c r="D3749" s="941" t="s">
        <v>9288</v>
      </c>
    </row>
    <row r="3750" spans="4:4">
      <c r="D3750" s="941" t="s">
        <v>4429</v>
      </c>
    </row>
    <row r="3751" spans="4:4">
      <c r="D3751" s="941" t="s">
        <v>4430</v>
      </c>
    </row>
    <row r="3752" spans="4:4">
      <c r="D3752" s="941" t="s">
        <v>4431</v>
      </c>
    </row>
    <row r="3753" spans="4:4">
      <c r="D3753" s="941" t="s">
        <v>9461</v>
      </c>
    </row>
    <row r="3754" spans="4:4">
      <c r="D3754" s="941" t="s">
        <v>4432</v>
      </c>
    </row>
    <row r="3755" spans="4:4">
      <c r="D3755" s="941" t="s">
        <v>4433</v>
      </c>
    </row>
    <row r="3756" spans="4:4">
      <c r="D3756" s="941" t="s">
        <v>4434</v>
      </c>
    </row>
    <row r="3757" spans="4:4">
      <c r="D3757" s="941" t="s">
        <v>4435</v>
      </c>
    </row>
    <row r="3758" spans="4:4">
      <c r="D3758" s="941" t="s">
        <v>4436</v>
      </c>
    </row>
    <row r="3759" spans="4:4">
      <c r="D3759" s="941" t="s">
        <v>4437</v>
      </c>
    </row>
    <row r="3760" spans="4:4">
      <c r="D3760" s="941" t="s">
        <v>4438</v>
      </c>
    </row>
    <row r="3761" spans="4:4">
      <c r="D3761" s="941" t="s">
        <v>4439</v>
      </c>
    </row>
    <row r="3762" spans="4:4">
      <c r="D3762" s="941" t="s">
        <v>4440</v>
      </c>
    </row>
    <row r="3763" spans="4:4">
      <c r="D3763" s="941" t="s">
        <v>4441</v>
      </c>
    </row>
    <row r="3764" spans="4:4">
      <c r="D3764" s="941" t="s">
        <v>9462</v>
      </c>
    </row>
    <row r="3765" spans="4:4">
      <c r="D3765" s="941" t="s">
        <v>4442</v>
      </c>
    </row>
    <row r="3766" spans="4:4">
      <c r="D3766" s="941" t="s">
        <v>4443</v>
      </c>
    </row>
    <row r="3767" spans="4:4">
      <c r="D3767" s="941" t="s">
        <v>4444</v>
      </c>
    </row>
    <row r="3768" spans="4:4">
      <c r="D3768" s="941" t="s">
        <v>4445</v>
      </c>
    </row>
    <row r="3769" spans="4:4">
      <c r="D3769" s="941" t="s">
        <v>4446</v>
      </c>
    </row>
    <row r="3770" spans="4:4">
      <c r="D3770" s="941" t="s">
        <v>4447</v>
      </c>
    </row>
    <row r="3771" spans="4:4">
      <c r="D3771" s="941" t="s">
        <v>4448</v>
      </c>
    </row>
    <row r="3772" spans="4:4">
      <c r="D3772" s="941" t="s">
        <v>4449</v>
      </c>
    </row>
    <row r="3773" spans="4:4">
      <c r="D3773" s="941" t="s">
        <v>4450</v>
      </c>
    </row>
    <row r="3774" spans="4:4">
      <c r="D3774" s="941" t="s">
        <v>4451</v>
      </c>
    </row>
    <row r="3775" spans="4:4">
      <c r="D3775" s="941" t="s">
        <v>4452</v>
      </c>
    </row>
    <row r="3776" spans="4:4">
      <c r="D3776" s="941" t="s">
        <v>4453</v>
      </c>
    </row>
    <row r="3777" spans="4:4">
      <c r="D3777" s="941" t="s">
        <v>4454</v>
      </c>
    </row>
    <row r="3778" spans="4:4">
      <c r="D3778" s="941" t="s">
        <v>4455</v>
      </c>
    </row>
    <row r="3779" spans="4:4">
      <c r="D3779" s="941" t="s">
        <v>4456</v>
      </c>
    </row>
    <row r="3780" spans="4:4">
      <c r="D3780" s="941" t="s">
        <v>9463</v>
      </c>
    </row>
    <row r="3781" spans="4:4">
      <c r="D3781" s="941" t="s">
        <v>4457</v>
      </c>
    </row>
    <row r="3782" spans="4:4">
      <c r="D3782" s="941" t="s">
        <v>4458</v>
      </c>
    </row>
    <row r="3783" spans="4:4">
      <c r="D3783" s="941" t="s">
        <v>17</v>
      </c>
    </row>
    <row r="3784" spans="4:4">
      <c r="D3784" s="941" t="s">
        <v>4459</v>
      </c>
    </row>
    <row r="3785" spans="4:4">
      <c r="D3785" s="941" t="s">
        <v>4460</v>
      </c>
    </row>
    <row r="3786" spans="4:4">
      <c r="D3786" s="941" t="s">
        <v>9464</v>
      </c>
    </row>
    <row r="3787" spans="4:4">
      <c r="D3787" s="941" t="s">
        <v>4461</v>
      </c>
    </row>
    <row r="3788" spans="4:4">
      <c r="D3788" s="941" t="s">
        <v>4462</v>
      </c>
    </row>
    <row r="3789" spans="4:4">
      <c r="D3789" s="941" t="s">
        <v>4463</v>
      </c>
    </row>
    <row r="3790" spans="4:4">
      <c r="D3790" s="941" t="s">
        <v>9465</v>
      </c>
    </row>
    <row r="3791" spans="4:4">
      <c r="D3791" s="941" t="s">
        <v>4464</v>
      </c>
    </row>
    <row r="3792" spans="4:4">
      <c r="D3792" s="941" t="s">
        <v>4465</v>
      </c>
    </row>
    <row r="3793" spans="4:4">
      <c r="D3793" s="941" t="s">
        <v>4466</v>
      </c>
    </row>
    <row r="3794" spans="4:4">
      <c r="D3794" s="941" t="s">
        <v>4467</v>
      </c>
    </row>
    <row r="3795" spans="4:4">
      <c r="D3795" s="941" t="s">
        <v>4468</v>
      </c>
    </row>
    <row r="3796" spans="4:4">
      <c r="D3796" s="941" t="s">
        <v>4469</v>
      </c>
    </row>
    <row r="3797" spans="4:4">
      <c r="D3797" s="941" t="s">
        <v>4470</v>
      </c>
    </row>
    <row r="3798" spans="4:4">
      <c r="D3798" s="941" t="s">
        <v>4471</v>
      </c>
    </row>
    <row r="3799" spans="4:4">
      <c r="D3799" s="941" t="s">
        <v>4472</v>
      </c>
    </row>
    <row r="3800" spans="4:4">
      <c r="D3800" s="941" t="s">
        <v>4473</v>
      </c>
    </row>
    <row r="3801" spans="4:4">
      <c r="D3801" s="941" t="s">
        <v>4474</v>
      </c>
    </row>
    <row r="3802" spans="4:4">
      <c r="D3802" s="941" t="s">
        <v>4475</v>
      </c>
    </row>
    <row r="3803" spans="4:4">
      <c r="D3803" s="941" t="s">
        <v>4476</v>
      </c>
    </row>
    <row r="3804" spans="4:4">
      <c r="D3804" s="941" t="s">
        <v>4477</v>
      </c>
    </row>
    <row r="3805" spans="4:4">
      <c r="D3805" s="941" t="s">
        <v>4478</v>
      </c>
    </row>
    <row r="3806" spans="4:4">
      <c r="D3806" s="941" t="s">
        <v>4479</v>
      </c>
    </row>
    <row r="3807" spans="4:4">
      <c r="D3807" s="941" t="s">
        <v>9466</v>
      </c>
    </row>
    <row r="3808" spans="4:4">
      <c r="D3808" s="941" t="s">
        <v>4480</v>
      </c>
    </row>
    <row r="3809" spans="4:4">
      <c r="D3809" s="941" t="s">
        <v>4481</v>
      </c>
    </row>
    <row r="3810" spans="4:4">
      <c r="D3810" s="941" t="s">
        <v>4482</v>
      </c>
    </row>
    <row r="3811" spans="4:4">
      <c r="D3811" s="941" t="s">
        <v>4483</v>
      </c>
    </row>
    <row r="3812" spans="4:4">
      <c r="D3812" s="941" t="s">
        <v>9867</v>
      </c>
    </row>
    <row r="3813" spans="4:4">
      <c r="D3813" s="941" t="s">
        <v>4484</v>
      </c>
    </row>
    <row r="3814" spans="4:4">
      <c r="D3814" s="941" t="s">
        <v>4485</v>
      </c>
    </row>
    <row r="3815" spans="4:4">
      <c r="D3815" s="941" t="s">
        <v>4486</v>
      </c>
    </row>
    <row r="3816" spans="4:4">
      <c r="D3816" s="941" t="s">
        <v>4487</v>
      </c>
    </row>
    <row r="3817" spans="4:4">
      <c r="D3817" s="941" t="s">
        <v>4488</v>
      </c>
    </row>
    <row r="3818" spans="4:4">
      <c r="D3818" s="941" t="s">
        <v>4489</v>
      </c>
    </row>
    <row r="3819" spans="4:4">
      <c r="D3819" s="941" t="s">
        <v>4490</v>
      </c>
    </row>
    <row r="3820" spans="4:4">
      <c r="D3820" s="941" t="s">
        <v>4491</v>
      </c>
    </row>
    <row r="3821" spans="4:4">
      <c r="D3821" s="941" t="s">
        <v>4492</v>
      </c>
    </row>
    <row r="3822" spans="4:4">
      <c r="D3822" s="941" t="s">
        <v>4493</v>
      </c>
    </row>
    <row r="3823" spans="4:4">
      <c r="D3823" s="941" t="s">
        <v>9467</v>
      </c>
    </row>
    <row r="3824" spans="4:4">
      <c r="D3824" s="941" t="s">
        <v>4494</v>
      </c>
    </row>
    <row r="3825" spans="4:4">
      <c r="D3825" s="941" t="s">
        <v>4495</v>
      </c>
    </row>
    <row r="3826" spans="4:4">
      <c r="D3826" s="941" t="s">
        <v>4496</v>
      </c>
    </row>
    <row r="3827" spans="4:4">
      <c r="D3827" s="941" t="s">
        <v>4497</v>
      </c>
    </row>
    <row r="3828" spans="4:4">
      <c r="D3828" s="941" t="s">
        <v>4498</v>
      </c>
    </row>
    <row r="3829" spans="4:4">
      <c r="D3829" s="941" t="s">
        <v>4499</v>
      </c>
    </row>
    <row r="3830" spans="4:4">
      <c r="D3830" s="941" t="s">
        <v>4500</v>
      </c>
    </row>
    <row r="3831" spans="4:4">
      <c r="D3831" s="941" t="s">
        <v>4501</v>
      </c>
    </row>
    <row r="3832" spans="4:4">
      <c r="D3832" s="941" t="s">
        <v>4502</v>
      </c>
    </row>
    <row r="3833" spans="4:4">
      <c r="D3833" s="941" t="s">
        <v>4503</v>
      </c>
    </row>
    <row r="3834" spans="4:4">
      <c r="D3834" s="941" t="s">
        <v>4504</v>
      </c>
    </row>
    <row r="3835" spans="4:4">
      <c r="D3835" s="941" t="s">
        <v>4505</v>
      </c>
    </row>
    <row r="3836" spans="4:4">
      <c r="D3836" s="941" t="s">
        <v>4506</v>
      </c>
    </row>
    <row r="3837" spans="4:4">
      <c r="D3837" s="941" t="s">
        <v>4507</v>
      </c>
    </row>
    <row r="3838" spans="4:4">
      <c r="D3838" s="941" t="s">
        <v>4508</v>
      </c>
    </row>
    <row r="3839" spans="4:4">
      <c r="D3839" s="941" t="s">
        <v>4509</v>
      </c>
    </row>
    <row r="3840" spans="4:4">
      <c r="D3840" s="941" t="s">
        <v>4510</v>
      </c>
    </row>
    <row r="3841" spans="4:4">
      <c r="D3841" s="941" t="s">
        <v>4511</v>
      </c>
    </row>
    <row r="3842" spans="4:4">
      <c r="D3842" s="941" t="s">
        <v>4512</v>
      </c>
    </row>
    <row r="3843" spans="4:4">
      <c r="D3843" s="941" t="s">
        <v>4513</v>
      </c>
    </row>
    <row r="3844" spans="4:4">
      <c r="D3844" s="941" t="s">
        <v>4514</v>
      </c>
    </row>
    <row r="3845" spans="4:4">
      <c r="D3845" s="941" t="s">
        <v>4515</v>
      </c>
    </row>
    <row r="3846" spans="4:4">
      <c r="D3846" s="941" t="s">
        <v>4516</v>
      </c>
    </row>
    <row r="3847" spans="4:4">
      <c r="D3847" s="941" t="s">
        <v>4517</v>
      </c>
    </row>
    <row r="3848" spans="4:4">
      <c r="D3848" s="941" t="s">
        <v>586</v>
      </c>
    </row>
    <row r="3849" spans="4:4">
      <c r="D3849" s="941" t="s">
        <v>4518</v>
      </c>
    </row>
    <row r="3850" spans="4:4">
      <c r="D3850" s="941" t="s">
        <v>4519</v>
      </c>
    </row>
    <row r="3851" spans="4:4">
      <c r="D3851" s="941" t="s">
        <v>4520</v>
      </c>
    </row>
    <row r="3852" spans="4:4">
      <c r="D3852" s="941" t="s">
        <v>4521</v>
      </c>
    </row>
    <row r="3853" spans="4:4">
      <c r="D3853" s="941" t="s">
        <v>4522</v>
      </c>
    </row>
    <row r="3854" spans="4:4">
      <c r="D3854" s="941" t="s">
        <v>4523</v>
      </c>
    </row>
    <row r="3855" spans="4:4">
      <c r="D3855" s="941" t="s">
        <v>4524</v>
      </c>
    </row>
    <row r="3856" spans="4:4">
      <c r="D3856" s="941" t="s">
        <v>4525</v>
      </c>
    </row>
    <row r="3857" spans="4:4">
      <c r="D3857" s="941" t="s">
        <v>4526</v>
      </c>
    </row>
    <row r="3858" spans="4:4">
      <c r="D3858" s="941" t="s">
        <v>4527</v>
      </c>
    </row>
    <row r="3859" spans="4:4">
      <c r="D3859" s="941" t="s">
        <v>4528</v>
      </c>
    </row>
    <row r="3860" spans="4:4">
      <c r="D3860" s="941" t="s">
        <v>9468</v>
      </c>
    </row>
    <row r="3861" spans="4:4">
      <c r="D3861" s="941" t="s">
        <v>4529</v>
      </c>
    </row>
    <row r="3862" spans="4:4">
      <c r="D3862" s="941" t="s">
        <v>4530</v>
      </c>
    </row>
    <row r="3863" spans="4:4">
      <c r="D3863" s="941" t="s">
        <v>4531</v>
      </c>
    </row>
    <row r="3864" spans="4:4">
      <c r="D3864" s="941" t="s">
        <v>4532</v>
      </c>
    </row>
    <row r="3865" spans="4:4">
      <c r="D3865" s="941" t="s">
        <v>4533</v>
      </c>
    </row>
    <row r="3866" spans="4:4">
      <c r="D3866" s="941" t="s">
        <v>4534</v>
      </c>
    </row>
    <row r="3867" spans="4:4">
      <c r="D3867" s="941" t="s">
        <v>4535</v>
      </c>
    </row>
    <row r="3868" spans="4:4">
      <c r="D3868" s="941" t="s">
        <v>4536</v>
      </c>
    </row>
    <row r="3869" spans="4:4">
      <c r="D3869" s="941" t="s">
        <v>4537</v>
      </c>
    </row>
    <row r="3870" spans="4:4">
      <c r="D3870" s="941" t="s">
        <v>4538</v>
      </c>
    </row>
    <row r="3871" spans="4:4">
      <c r="D3871" s="941" t="s">
        <v>10736</v>
      </c>
    </row>
    <row r="3872" spans="4:4">
      <c r="D3872" s="941" t="s">
        <v>4539</v>
      </c>
    </row>
    <row r="3873" spans="4:4">
      <c r="D3873" s="941" t="s">
        <v>10387</v>
      </c>
    </row>
    <row r="3874" spans="4:4">
      <c r="D3874" s="941" t="s">
        <v>4540</v>
      </c>
    </row>
    <row r="3875" spans="4:4">
      <c r="D3875" s="941" t="s">
        <v>9469</v>
      </c>
    </row>
    <row r="3876" spans="4:4">
      <c r="D3876" s="941" t="s">
        <v>4541</v>
      </c>
    </row>
    <row r="3877" spans="4:4">
      <c r="D3877" s="941" t="s">
        <v>4542</v>
      </c>
    </row>
    <row r="3878" spans="4:4">
      <c r="D3878" s="941" t="s">
        <v>4543</v>
      </c>
    </row>
    <row r="3879" spans="4:4">
      <c r="D3879" s="941" t="s">
        <v>11018</v>
      </c>
    </row>
    <row r="3880" spans="4:4">
      <c r="D3880" s="941" t="s">
        <v>4544</v>
      </c>
    </row>
    <row r="3881" spans="4:4">
      <c r="D3881" s="941" t="s">
        <v>4545</v>
      </c>
    </row>
    <row r="3882" spans="4:4">
      <c r="D3882" s="941" t="s">
        <v>4546</v>
      </c>
    </row>
    <row r="3883" spans="4:4">
      <c r="D3883" s="941" t="s">
        <v>4547</v>
      </c>
    </row>
    <row r="3884" spans="4:4">
      <c r="D3884" s="941" t="s">
        <v>4548</v>
      </c>
    </row>
    <row r="3885" spans="4:4">
      <c r="D3885" s="941" t="s">
        <v>4549</v>
      </c>
    </row>
    <row r="3886" spans="4:4">
      <c r="D3886" s="941" t="s">
        <v>10536</v>
      </c>
    </row>
    <row r="3887" spans="4:4">
      <c r="D3887" s="941" t="s">
        <v>4550</v>
      </c>
    </row>
    <row r="3888" spans="4:4">
      <c r="D3888" s="941" t="s">
        <v>4551</v>
      </c>
    </row>
    <row r="3889" spans="4:4">
      <c r="D3889" s="941" t="s">
        <v>4552</v>
      </c>
    </row>
    <row r="3890" spans="4:4">
      <c r="D3890" s="941" t="s">
        <v>4553</v>
      </c>
    </row>
    <row r="3891" spans="4:4">
      <c r="D3891" s="941" t="s">
        <v>4554</v>
      </c>
    </row>
    <row r="3892" spans="4:4">
      <c r="D3892" s="941" t="s">
        <v>4555</v>
      </c>
    </row>
    <row r="3893" spans="4:4">
      <c r="D3893" s="941" t="s">
        <v>4556</v>
      </c>
    </row>
    <row r="3894" spans="4:4">
      <c r="D3894" s="941" t="s">
        <v>4557</v>
      </c>
    </row>
    <row r="3895" spans="4:4">
      <c r="D3895" s="941" t="s">
        <v>4558</v>
      </c>
    </row>
    <row r="3896" spans="4:4">
      <c r="D3896" s="941" t="s">
        <v>4559</v>
      </c>
    </row>
    <row r="3897" spans="4:4">
      <c r="D3897" s="941" t="s">
        <v>4560</v>
      </c>
    </row>
    <row r="3898" spans="4:4">
      <c r="D3898" s="941" t="s">
        <v>4561</v>
      </c>
    </row>
    <row r="3899" spans="4:4">
      <c r="D3899" s="941" t="s">
        <v>4562</v>
      </c>
    </row>
    <row r="3900" spans="4:4">
      <c r="D3900" s="941" t="s">
        <v>10388</v>
      </c>
    </row>
    <row r="3901" spans="4:4">
      <c r="D3901" s="941" t="s">
        <v>4563</v>
      </c>
    </row>
    <row r="3902" spans="4:4">
      <c r="D3902" s="941" t="s">
        <v>4564</v>
      </c>
    </row>
    <row r="3903" spans="4:4">
      <c r="D3903" s="941" t="s">
        <v>4565</v>
      </c>
    </row>
    <row r="3904" spans="4:4">
      <c r="D3904" s="941" t="s">
        <v>4566</v>
      </c>
    </row>
    <row r="3905" spans="4:4">
      <c r="D3905" s="941" t="s">
        <v>4567</v>
      </c>
    </row>
    <row r="3906" spans="4:4">
      <c r="D3906" s="941" t="s">
        <v>4568</v>
      </c>
    </row>
    <row r="3907" spans="4:4">
      <c r="D3907" s="941" t="s">
        <v>4569</v>
      </c>
    </row>
    <row r="3908" spans="4:4">
      <c r="D3908" s="941" t="s">
        <v>4570</v>
      </c>
    </row>
    <row r="3909" spans="4:4">
      <c r="D3909" s="941" t="s">
        <v>11004</v>
      </c>
    </row>
    <row r="3910" spans="4:4">
      <c r="D3910" s="941" t="s">
        <v>4571</v>
      </c>
    </row>
    <row r="3911" spans="4:4">
      <c r="D3911" s="941" t="s">
        <v>10537</v>
      </c>
    </row>
    <row r="3912" spans="4:4">
      <c r="D3912" s="941" t="s">
        <v>4572</v>
      </c>
    </row>
    <row r="3913" spans="4:4">
      <c r="D3913" s="941" t="s">
        <v>4573</v>
      </c>
    </row>
    <row r="3914" spans="4:4">
      <c r="D3914" s="941" t="s">
        <v>4574</v>
      </c>
    </row>
    <row r="3915" spans="4:4">
      <c r="D3915" s="941" t="s">
        <v>4575</v>
      </c>
    </row>
    <row r="3916" spans="4:4">
      <c r="D3916" s="941" t="s">
        <v>4576</v>
      </c>
    </row>
    <row r="3917" spans="4:4">
      <c r="D3917" s="941" t="s">
        <v>4577</v>
      </c>
    </row>
    <row r="3918" spans="4:4">
      <c r="D3918" s="941" t="s">
        <v>9470</v>
      </c>
    </row>
    <row r="3919" spans="4:4">
      <c r="D3919" s="941" t="s">
        <v>10389</v>
      </c>
    </row>
    <row r="3920" spans="4:4">
      <c r="D3920" s="941" t="s">
        <v>4578</v>
      </c>
    </row>
    <row r="3921" spans="4:4">
      <c r="D3921" s="941" t="s">
        <v>4579</v>
      </c>
    </row>
    <row r="3922" spans="4:4">
      <c r="D3922" s="941" t="s">
        <v>4580</v>
      </c>
    </row>
    <row r="3923" spans="4:4">
      <c r="D3923" s="941" t="s">
        <v>4581</v>
      </c>
    </row>
    <row r="3924" spans="4:4">
      <c r="D3924" s="941" t="s">
        <v>4582</v>
      </c>
    </row>
    <row r="3925" spans="4:4">
      <c r="D3925" s="941" t="s">
        <v>4583</v>
      </c>
    </row>
    <row r="3926" spans="4:4">
      <c r="D3926" s="941" t="s">
        <v>4584</v>
      </c>
    </row>
    <row r="3927" spans="4:4">
      <c r="D3927" s="941" t="s">
        <v>4585</v>
      </c>
    </row>
    <row r="3928" spans="4:4">
      <c r="D3928" s="941" t="s">
        <v>4586</v>
      </c>
    </row>
    <row r="3929" spans="4:4">
      <c r="D3929" s="941" t="s">
        <v>4587</v>
      </c>
    </row>
    <row r="3930" spans="4:4">
      <c r="D3930" s="941" t="s">
        <v>4588</v>
      </c>
    </row>
    <row r="3931" spans="4:4">
      <c r="D3931" s="941" t="s">
        <v>4589</v>
      </c>
    </row>
    <row r="3932" spans="4:4">
      <c r="D3932" s="941" t="s">
        <v>4590</v>
      </c>
    </row>
    <row r="3933" spans="4:4">
      <c r="D3933" s="941" t="s">
        <v>4591</v>
      </c>
    </row>
    <row r="3934" spans="4:4">
      <c r="D3934" s="941" t="s">
        <v>4592</v>
      </c>
    </row>
    <row r="3935" spans="4:4">
      <c r="D3935" s="941" t="s">
        <v>4593</v>
      </c>
    </row>
    <row r="3936" spans="4:4">
      <c r="D3936" s="941" t="s">
        <v>4594</v>
      </c>
    </row>
    <row r="3937" spans="4:4">
      <c r="D3937" s="941" t="s">
        <v>4595</v>
      </c>
    </row>
    <row r="3938" spans="4:4">
      <c r="D3938" s="941" t="s">
        <v>4596</v>
      </c>
    </row>
    <row r="3939" spans="4:4">
      <c r="D3939" s="941" t="s">
        <v>4597</v>
      </c>
    </row>
    <row r="3940" spans="4:4">
      <c r="D3940" s="941" t="s">
        <v>4598</v>
      </c>
    </row>
    <row r="3941" spans="4:4">
      <c r="D3941" s="941" t="s">
        <v>4599</v>
      </c>
    </row>
    <row r="3942" spans="4:4">
      <c r="D3942" s="941" t="s">
        <v>4600</v>
      </c>
    </row>
    <row r="3943" spans="4:4">
      <c r="D3943" s="941" t="s">
        <v>1014</v>
      </c>
    </row>
    <row r="3944" spans="4:4">
      <c r="D3944" s="941" t="s">
        <v>4601</v>
      </c>
    </row>
    <row r="3945" spans="4:4">
      <c r="D3945" s="941" t="s">
        <v>4602</v>
      </c>
    </row>
    <row r="3946" spans="4:4">
      <c r="D3946" s="941" t="s">
        <v>9471</v>
      </c>
    </row>
    <row r="3947" spans="4:4">
      <c r="D3947" s="941" t="s">
        <v>4603</v>
      </c>
    </row>
    <row r="3948" spans="4:4">
      <c r="D3948" s="941" t="s">
        <v>4604</v>
      </c>
    </row>
    <row r="3949" spans="4:4">
      <c r="D3949" s="941" t="s">
        <v>4605</v>
      </c>
    </row>
    <row r="3950" spans="4:4">
      <c r="D3950" s="941" t="s">
        <v>4606</v>
      </c>
    </row>
    <row r="3951" spans="4:4">
      <c r="D3951" s="941" t="s">
        <v>4607</v>
      </c>
    </row>
    <row r="3952" spans="4:4">
      <c r="D3952" s="941" t="s">
        <v>4608</v>
      </c>
    </row>
    <row r="3953" spans="4:4">
      <c r="D3953" s="941" t="s">
        <v>4609</v>
      </c>
    </row>
    <row r="3954" spans="4:4">
      <c r="D3954" s="941" t="s">
        <v>4610</v>
      </c>
    </row>
    <row r="3955" spans="4:4">
      <c r="D3955" s="941" t="s">
        <v>4611</v>
      </c>
    </row>
    <row r="3956" spans="4:4">
      <c r="D3956" s="941" t="s">
        <v>4612</v>
      </c>
    </row>
    <row r="3957" spans="4:4">
      <c r="D3957" s="941" t="s">
        <v>4613</v>
      </c>
    </row>
    <row r="3958" spans="4:4">
      <c r="D3958" s="941" t="s">
        <v>4614</v>
      </c>
    </row>
    <row r="3959" spans="4:4">
      <c r="D3959" s="941" t="s">
        <v>4615</v>
      </c>
    </row>
    <row r="3960" spans="4:4">
      <c r="D3960" s="941" t="s">
        <v>4616</v>
      </c>
    </row>
    <row r="3961" spans="4:4">
      <c r="D3961" s="941" t="s">
        <v>4617</v>
      </c>
    </row>
    <row r="3962" spans="4:4">
      <c r="D3962" s="941" t="s">
        <v>4618</v>
      </c>
    </row>
    <row r="3963" spans="4:4">
      <c r="D3963" s="941" t="s">
        <v>4619</v>
      </c>
    </row>
    <row r="3964" spans="4:4">
      <c r="D3964" s="941" t="s">
        <v>4620</v>
      </c>
    </row>
    <row r="3965" spans="4:4">
      <c r="D3965" s="941" t="s">
        <v>9472</v>
      </c>
    </row>
    <row r="3966" spans="4:4">
      <c r="D3966" s="941" t="s">
        <v>4621</v>
      </c>
    </row>
    <row r="3967" spans="4:4">
      <c r="D3967" s="941" t="s">
        <v>4622</v>
      </c>
    </row>
    <row r="3968" spans="4:4">
      <c r="D3968" s="941" t="s">
        <v>4623</v>
      </c>
    </row>
    <row r="3969" spans="4:4">
      <c r="D3969" s="941" t="s">
        <v>4624</v>
      </c>
    </row>
    <row r="3970" spans="4:4">
      <c r="D3970" s="941" t="s">
        <v>4625</v>
      </c>
    </row>
    <row r="3971" spans="4:4">
      <c r="D3971" s="941" t="s">
        <v>4626</v>
      </c>
    </row>
    <row r="3972" spans="4:4">
      <c r="D3972" s="941" t="s">
        <v>4627</v>
      </c>
    </row>
    <row r="3973" spans="4:4">
      <c r="D3973" s="941" t="s">
        <v>4628</v>
      </c>
    </row>
    <row r="3974" spans="4:4">
      <c r="D3974" s="941" t="s">
        <v>4629</v>
      </c>
    </row>
    <row r="3975" spans="4:4">
      <c r="D3975" s="941" t="s">
        <v>9769</v>
      </c>
    </row>
    <row r="3976" spans="4:4">
      <c r="D3976" s="941" t="s">
        <v>4630</v>
      </c>
    </row>
    <row r="3977" spans="4:4">
      <c r="D3977" s="941" t="s">
        <v>4631</v>
      </c>
    </row>
    <row r="3978" spans="4:4">
      <c r="D3978" s="941" t="s">
        <v>4632</v>
      </c>
    </row>
    <row r="3979" spans="4:4">
      <c r="D3979" s="941" t="s">
        <v>4633</v>
      </c>
    </row>
    <row r="3980" spans="4:4">
      <c r="D3980" s="941" t="s">
        <v>4634</v>
      </c>
    </row>
    <row r="3981" spans="4:4">
      <c r="D3981" s="941" t="s">
        <v>9473</v>
      </c>
    </row>
    <row r="3982" spans="4:4">
      <c r="D3982" s="941" t="s">
        <v>4635</v>
      </c>
    </row>
    <row r="3983" spans="4:4">
      <c r="D3983" s="941" t="s">
        <v>4636</v>
      </c>
    </row>
    <row r="3984" spans="4:4">
      <c r="D3984" s="941" t="s">
        <v>4637</v>
      </c>
    </row>
    <row r="3985" spans="4:4">
      <c r="D3985" s="941" t="s">
        <v>4638</v>
      </c>
    </row>
    <row r="3986" spans="4:4">
      <c r="D3986" s="941" t="s">
        <v>4639</v>
      </c>
    </row>
    <row r="3987" spans="4:4">
      <c r="D3987" s="941" t="s">
        <v>4640</v>
      </c>
    </row>
    <row r="3988" spans="4:4">
      <c r="D3988" s="941" t="s">
        <v>4641</v>
      </c>
    </row>
    <row r="3989" spans="4:4">
      <c r="D3989" s="941" t="s">
        <v>4642</v>
      </c>
    </row>
    <row r="3990" spans="4:4">
      <c r="D3990" s="941" t="s">
        <v>4643</v>
      </c>
    </row>
    <row r="3991" spans="4:4">
      <c r="D3991" s="941" t="s">
        <v>4644</v>
      </c>
    </row>
    <row r="3992" spans="4:4">
      <c r="D3992" s="941" t="s">
        <v>4645</v>
      </c>
    </row>
    <row r="3993" spans="4:4">
      <c r="D3993" s="941" t="s">
        <v>4646</v>
      </c>
    </row>
    <row r="3994" spans="4:4">
      <c r="D3994" s="941" t="s">
        <v>4647</v>
      </c>
    </row>
    <row r="3995" spans="4:4">
      <c r="D3995" s="941" t="s">
        <v>4648</v>
      </c>
    </row>
    <row r="3996" spans="4:4">
      <c r="D3996" s="941" t="s">
        <v>4649</v>
      </c>
    </row>
    <row r="3997" spans="4:4">
      <c r="D3997" s="941" t="s">
        <v>4650</v>
      </c>
    </row>
    <row r="3998" spans="4:4">
      <c r="D3998" s="941" t="s">
        <v>4651</v>
      </c>
    </row>
    <row r="3999" spans="4:4">
      <c r="D3999" s="941" t="s">
        <v>4652</v>
      </c>
    </row>
    <row r="4000" spans="4:4">
      <c r="D4000" s="941" t="s">
        <v>4653</v>
      </c>
    </row>
    <row r="4001" spans="4:4">
      <c r="D4001" s="941" t="s">
        <v>4654</v>
      </c>
    </row>
    <row r="4002" spans="4:4">
      <c r="D4002" s="941" t="s">
        <v>10421</v>
      </c>
    </row>
    <row r="4003" spans="4:4">
      <c r="D4003" s="941" t="s">
        <v>4655</v>
      </c>
    </row>
    <row r="4004" spans="4:4">
      <c r="D4004" s="941" t="s">
        <v>4656</v>
      </c>
    </row>
    <row r="4005" spans="4:4">
      <c r="D4005" s="941" t="s">
        <v>4657</v>
      </c>
    </row>
    <row r="4006" spans="4:4">
      <c r="D4006" s="941" t="s">
        <v>11019</v>
      </c>
    </row>
    <row r="4007" spans="4:4">
      <c r="D4007" s="941" t="s">
        <v>4658</v>
      </c>
    </row>
    <row r="4008" spans="4:4">
      <c r="D4008" s="941" t="s">
        <v>4659</v>
      </c>
    </row>
    <row r="4009" spans="4:4">
      <c r="D4009" s="941" t="s">
        <v>4660</v>
      </c>
    </row>
    <row r="4010" spans="4:4">
      <c r="D4010" s="941" t="s">
        <v>4661</v>
      </c>
    </row>
    <row r="4011" spans="4:4">
      <c r="D4011" s="941" t="s">
        <v>4662</v>
      </c>
    </row>
    <row r="4012" spans="4:4">
      <c r="D4012" s="941" t="s">
        <v>4663</v>
      </c>
    </row>
    <row r="4013" spans="4:4">
      <c r="D4013" s="941" t="s">
        <v>4664</v>
      </c>
    </row>
    <row r="4014" spans="4:4">
      <c r="D4014" s="941" t="s">
        <v>4665</v>
      </c>
    </row>
    <row r="4015" spans="4:4">
      <c r="D4015" s="941" t="s">
        <v>4666</v>
      </c>
    </row>
    <row r="4016" spans="4:4">
      <c r="D4016" s="941" t="s">
        <v>4667</v>
      </c>
    </row>
    <row r="4017" spans="4:4">
      <c r="D4017" s="941" t="s">
        <v>4668</v>
      </c>
    </row>
    <row r="4018" spans="4:4">
      <c r="D4018" s="941" t="s">
        <v>4669</v>
      </c>
    </row>
    <row r="4019" spans="4:4">
      <c r="D4019" s="941" t="s">
        <v>4670</v>
      </c>
    </row>
    <row r="4020" spans="4:4">
      <c r="D4020" s="941" t="s">
        <v>4671</v>
      </c>
    </row>
    <row r="4021" spans="4:4">
      <c r="D4021" s="941" t="s">
        <v>4672</v>
      </c>
    </row>
    <row r="4022" spans="4:4">
      <c r="D4022" s="941" t="s">
        <v>9868</v>
      </c>
    </row>
    <row r="4023" spans="4:4">
      <c r="D4023" s="941" t="s">
        <v>4673</v>
      </c>
    </row>
    <row r="4024" spans="4:4">
      <c r="D4024" s="941" t="s">
        <v>4674</v>
      </c>
    </row>
    <row r="4025" spans="4:4">
      <c r="D4025" s="941" t="s">
        <v>4675</v>
      </c>
    </row>
    <row r="4026" spans="4:4">
      <c r="D4026" s="941" t="s">
        <v>4676</v>
      </c>
    </row>
    <row r="4027" spans="4:4">
      <c r="D4027" s="941" t="s">
        <v>4677</v>
      </c>
    </row>
    <row r="4028" spans="4:4">
      <c r="D4028" s="941" t="s">
        <v>4678</v>
      </c>
    </row>
    <row r="4029" spans="4:4">
      <c r="D4029" s="941" t="s">
        <v>4679</v>
      </c>
    </row>
    <row r="4030" spans="4:4">
      <c r="D4030" s="941" t="s">
        <v>4680</v>
      </c>
    </row>
    <row r="4031" spans="4:4">
      <c r="D4031" s="941" t="s">
        <v>4681</v>
      </c>
    </row>
    <row r="4032" spans="4:4">
      <c r="D4032" s="941" t="s">
        <v>4682</v>
      </c>
    </row>
    <row r="4033" spans="4:4">
      <c r="D4033" s="941" t="s">
        <v>4683</v>
      </c>
    </row>
    <row r="4034" spans="4:4">
      <c r="D4034" s="941" t="s">
        <v>4684</v>
      </c>
    </row>
    <row r="4035" spans="4:4">
      <c r="D4035" s="941" t="s">
        <v>4685</v>
      </c>
    </row>
    <row r="4036" spans="4:4">
      <c r="D4036" s="941" t="s">
        <v>4686</v>
      </c>
    </row>
    <row r="4037" spans="4:4">
      <c r="D4037" s="941" t="s">
        <v>4687</v>
      </c>
    </row>
    <row r="4038" spans="4:4">
      <c r="D4038" s="941" t="s">
        <v>4688</v>
      </c>
    </row>
    <row r="4039" spans="4:4">
      <c r="D4039" s="941" t="s">
        <v>4689</v>
      </c>
    </row>
    <row r="4040" spans="4:4">
      <c r="D4040" s="941" t="s">
        <v>4690</v>
      </c>
    </row>
    <row r="4041" spans="4:4">
      <c r="D4041" s="941" t="s">
        <v>4691</v>
      </c>
    </row>
    <row r="4042" spans="4:4">
      <c r="D4042" s="941" t="s">
        <v>4692</v>
      </c>
    </row>
    <row r="4043" spans="4:4">
      <c r="D4043" s="941" t="s">
        <v>4693</v>
      </c>
    </row>
    <row r="4044" spans="4:4">
      <c r="D4044" s="941" t="s">
        <v>4694</v>
      </c>
    </row>
    <row r="4045" spans="4:4">
      <c r="D4045" s="941" t="s">
        <v>4695</v>
      </c>
    </row>
    <row r="4046" spans="4:4">
      <c r="D4046" s="941" t="s">
        <v>4696</v>
      </c>
    </row>
    <row r="4047" spans="4:4">
      <c r="D4047" s="941" t="s">
        <v>4697</v>
      </c>
    </row>
    <row r="4048" spans="4:4">
      <c r="D4048" s="941" t="s">
        <v>4698</v>
      </c>
    </row>
    <row r="4049" spans="4:4">
      <c r="D4049" s="941" t="s">
        <v>4699</v>
      </c>
    </row>
    <row r="4050" spans="4:4">
      <c r="D4050" s="941" t="s">
        <v>4700</v>
      </c>
    </row>
    <row r="4051" spans="4:4">
      <c r="D4051" s="941" t="s">
        <v>4701</v>
      </c>
    </row>
    <row r="4052" spans="4:4">
      <c r="D4052" s="941" t="s">
        <v>4702</v>
      </c>
    </row>
    <row r="4053" spans="4:4">
      <c r="D4053" s="941" t="s">
        <v>4703</v>
      </c>
    </row>
    <row r="4054" spans="4:4">
      <c r="D4054" s="941" t="s">
        <v>4704</v>
      </c>
    </row>
    <row r="4055" spans="4:4">
      <c r="D4055" s="941" t="s">
        <v>4705</v>
      </c>
    </row>
    <row r="4056" spans="4:4">
      <c r="D4056" s="941" t="s">
        <v>4706</v>
      </c>
    </row>
    <row r="4057" spans="4:4">
      <c r="D4057" s="941" t="s">
        <v>4707</v>
      </c>
    </row>
    <row r="4058" spans="4:4">
      <c r="D4058" s="941" t="s">
        <v>4708</v>
      </c>
    </row>
    <row r="4059" spans="4:4">
      <c r="D4059" s="941" t="s">
        <v>4709</v>
      </c>
    </row>
    <row r="4060" spans="4:4">
      <c r="D4060" s="941" t="s">
        <v>4710</v>
      </c>
    </row>
    <row r="4061" spans="4:4">
      <c r="D4061" s="941" t="s">
        <v>4711</v>
      </c>
    </row>
    <row r="4062" spans="4:4">
      <c r="D4062" s="941" t="s">
        <v>4712</v>
      </c>
    </row>
    <row r="4063" spans="4:4">
      <c r="D4063" s="941" t="s">
        <v>9474</v>
      </c>
    </row>
    <row r="4064" spans="4:4">
      <c r="D4064" s="941" t="s">
        <v>4713</v>
      </c>
    </row>
    <row r="4065" spans="4:4">
      <c r="D4065" s="941" t="s">
        <v>10390</v>
      </c>
    </row>
    <row r="4066" spans="4:4">
      <c r="D4066" s="941" t="s">
        <v>4714</v>
      </c>
    </row>
    <row r="4067" spans="4:4">
      <c r="D4067" s="941" t="s">
        <v>4715</v>
      </c>
    </row>
    <row r="4068" spans="4:4">
      <c r="D4068" s="941" t="s">
        <v>4716</v>
      </c>
    </row>
    <row r="4069" spans="4:4">
      <c r="D4069" s="941" t="s">
        <v>4717</v>
      </c>
    </row>
    <row r="4070" spans="4:4">
      <c r="D4070" s="941" t="s">
        <v>4718</v>
      </c>
    </row>
    <row r="4071" spans="4:4">
      <c r="D4071" s="941" t="s">
        <v>4719</v>
      </c>
    </row>
    <row r="4072" spans="4:4">
      <c r="D4072" s="941" t="s">
        <v>4720</v>
      </c>
    </row>
    <row r="4073" spans="4:4">
      <c r="D4073" s="941" t="s">
        <v>4721</v>
      </c>
    </row>
    <row r="4074" spans="4:4">
      <c r="D4074" s="941" t="s">
        <v>4722</v>
      </c>
    </row>
    <row r="4075" spans="4:4">
      <c r="D4075" s="941" t="s">
        <v>4723</v>
      </c>
    </row>
    <row r="4076" spans="4:4">
      <c r="D4076" s="941" t="s">
        <v>4724</v>
      </c>
    </row>
    <row r="4077" spans="4:4">
      <c r="D4077" s="941" t="s">
        <v>4725</v>
      </c>
    </row>
    <row r="4078" spans="4:4">
      <c r="D4078" s="941" t="s">
        <v>4726</v>
      </c>
    </row>
    <row r="4079" spans="4:4">
      <c r="D4079" s="941" t="s">
        <v>4727</v>
      </c>
    </row>
    <row r="4080" spans="4:4">
      <c r="D4080" s="941" t="s">
        <v>4728</v>
      </c>
    </row>
    <row r="4081" spans="4:4">
      <c r="D4081" s="941" t="s">
        <v>4729</v>
      </c>
    </row>
    <row r="4082" spans="4:4">
      <c r="D4082" s="941" t="s">
        <v>4730</v>
      </c>
    </row>
    <row r="4083" spans="4:4">
      <c r="D4083" s="941" t="s">
        <v>4731</v>
      </c>
    </row>
    <row r="4084" spans="4:4">
      <c r="D4084" s="941" t="s">
        <v>4732</v>
      </c>
    </row>
    <row r="4085" spans="4:4">
      <c r="D4085" s="941" t="s">
        <v>10664</v>
      </c>
    </row>
    <row r="4086" spans="4:4">
      <c r="D4086" s="941" t="s">
        <v>9475</v>
      </c>
    </row>
    <row r="4087" spans="4:4">
      <c r="D4087" s="941" t="s">
        <v>4733</v>
      </c>
    </row>
    <row r="4088" spans="4:4">
      <c r="D4088" s="941" t="s">
        <v>4734</v>
      </c>
    </row>
    <row r="4089" spans="4:4">
      <c r="D4089" s="941" t="s">
        <v>4735</v>
      </c>
    </row>
    <row r="4090" spans="4:4">
      <c r="D4090" s="941" t="s">
        <v>4736</v>
      </c>
    </row>
    <row r="4091" spans="4:4">
      <c r="D4091" s="941" t="s">
        <v>4737</v>
      </c>
    </row>
    <row r="4092" spans="4:4">
      <c r="D4092" s="941" t="s">
        <v>4738</v>
      </c>
    </row>
    <row r="4093" spans="4:4">
      <c r="D4093" s="941" t="s">
        <v>4739</v>
      </c>
    </row>
    <row r="4094" spans="4:4">
      <c r="D4094" s="941" t="s">
        <v>4740</v>
      </c>
    </row>
    <row r="4095" spans="4:4">
      <c r="D4095" s="941" t="s">
        <v>4741</v>
      </c>
    </row>
    <row r="4096" spans="4:4">
      <c r="D4096" s="941" t="s">
        <v>4742</v>
      </c>
    </row>
    <row r="4097" spans="4:4">
      <c r="D4097" s="941" t="s">
        <v>4743</v>
      </c>
    </row>
    <row r="4098" spans="4:4">
      <c r="D4098" s="941" t="s">
        <v>4744</v>
      </c>
    </row>
    <row r="4099" spans="4:4">
      <c r="D4099" s="941" t="s">
        <v>4745</v>
      </c>
    </row>
    <row r="4100" spans="4:4">
      <c r="D4100" s="941" t="s">
        <v>4746</v>
      </c>
    </row>
    <row r="4101" spans="4:4">
      <c r="D4101" s="941" t="s">
        <v>4747</v>
      </c>
    </row>
    <row r="4102" spans="4:4">
      <c r="D4102" s="941" t="s">
        <v>4748</v>
      </c>
    </row>
    <row r="4103" spans="4:4">
      <c r="D4103" s="941" t="s">
        <v>4749</v>
      </c>
    </row>
    <row r="4104" spans="4:4">
      <c r="D4104" s="941" t="s">
        <v>4750</v>
      </c>
    </row>
    <row r="4105" spans="4:4">
      <c r="D4105" s="941" t="s">
        <v>4751</v>
      </c>
    </row>
    <row r="4106" spans="4:4">
      <c r="D4106" s="941" t="s">
        <v>4752</v>
      </c>
    </row>
    <row r="4107" spans="4:4">
      <c r="D4107" s="941" t="s">
        <v>4753</v>
      </c>
    </row>
    <row r="4108" spans="4:4">
      <c r="D4108" s="941" t="s">
        <v>4754</v>
      </c>
    </row>
    <row r="4109" spans="4:4">
      <c r="D4109" s="941" t="s">
        <v>4755</v>
      </c>
    </row>
    <row r="4110" spans="4:4">
      <c r="D4110" s="941" t="s">
        <v>4756</v>
      </c>
    </row>
    <row r="4111" spans="4:4">
      <c r="D4111" s="941" t="s">
        <v>4757</v>
      </c>
    </row>
    <row r="4112" spans="4:4">
      <c r="D4112" s="941" t="s">
        <v>4758</v>
      </c>
    </row>
    <row r="4113" spans="4:4">
      <c r="D4113" s="941" t="s">
        <v>4759</v>
      </c>
    </row>
    <row r="4114" spans="4:4">
      <c r="D4114" s="941" t="s">
        <v>4760</v>
      </c>
    </row>
    <row r="4115" spans="4:4">
      <c r="D4115" s="941" t="s">
        <v>4761</v>
      </c>
    </row>
    <row r="4116" spans="4:4">
      <c r="D4116" s="941" t="s">
        <v>4762</v>
      </c>
    </row>
    <row r="4117" spans="4:4">
      <c r="D4117" s="941" t="s">
        <v>4763</v>
      </c>
    </row>
    <row r="4118" spans="4:4">
      <c r="D4118" s="941" t="s">
        <v>4764</v>
      </c>
    </row>
    <row r="4119" spans="4:4">
      <c r="D4119" s="941" t="s">
        <v>4765</v>
      </c>
    </row>
    <row r="4120" spans="4:4">
      <c r="D4120" s="941" t="s">
        <v>4766</v>
      </c>
    </row>
    <row r="4121" spans="4:4">
      <c r="D4121" s="941" t="s">
        <v>1015</v>
      </c>
    </row>
    <row r="4122" spans="4:4">
      <c r="D4122" s="941" t="s">
        <v>4767</v>
      </c>
    </row>
    <row r="4123" spans="4:4">
      <c r="D4123" s="941" t="s">
        <v>10482</v>
      </c>
    </row>
    <row r="4124" spans="4:4">
      <c r="D4124" s="941" t="s">
        <v>4768</v>
      </c>
    </row>
    <row r="4125" spans="4:4">
      <c r="D4125" s="941" t="s">
        <v>4769</v>
      </c>
    </row>
    <row r="4126" spans="4:4">
      <c r="D4126" s="941" t="s">
        <v>4770</v>
      </c>
    </row>
    <row r="4127" spans="4:4">
      <c r="D4127" s="941" t="s">
        <v>4771</v>
      </c>
    </row>
    <row r="4128" spans="4:4">
      <c r="D4128" s="941" t="s">
        <v>9476</v>
      </c>
    </row>
    <row r="4129" spans="4:4">
      <c r="D4129" s="941" t="s">
        <v>4772</v>
      </c>
    </row>
    <row r="4130" spans="4:4">
      <c r="D4130" s="941" t="s">
        <v>4773</v>
      </c>
    </row>
    <row r="4131" spans="4:4">
      <c r="D4131" s="941" t="s">
        <v>4774</v>
      </c>
    </row>
    <row r="4132" spans="4:4">
      <c r="D4132" s="941" t="s">
        <v>4775</v>
      </c>
    </row>
    <row r="4133" spans="4:4">
      <c r="D4133" s="941" t="s">
        <v>4776</v>
      </c>
    </row>
    <row r="4134" spans="4:4">
      <c r="D4134" s="941" t="s">
        <v>4777</v>
      </c>
    </row>
    <row r="4135" spans="4:4">
      <c r="D4135" s="941" t="s">
        <v>4778</v>
      </c>
    </row>
    <row r="4136" spans="4:4">
      <c r="D4136" s="941" t="s">
        <v>4779</v>
      </c>
    </row>
    <row r="4137" spans="4:4">
      <c r="D4137" s="941" t="s">
        <v>4780</v>
      </c>
    </row>
    <row r="4138" spans="4:4">
      <c r="D4138" s="941" t="s">
        <v>4781</v>
      </c>
    </row>
    <row r="4139" spans="4:4">
      <c r="D4139" s="941" t="s">
        <v>4782</v>
      </c>
    </row>
    <row r="4140" spans="4:4">
      <c r="D4140" s="941" t="s">
        <v>4783</v>
      </c>
    </row>
    <row r="4141" spans="4:4">
      <c r="D4141" s="941" t="s">
        <v>4784</v>
      </c>
    </row>
    <row r="4142" spans="4:4">
      <c r="D4142" s="941" t="s">
        <v>4785</v>
      </c>
    </row>
    <row r="4143" spans="4:4">
      <c r="D4143" s="941" t="s">
        <v>4786</v>
      </c>
    </row>
    <row r="4144" spans="4:4">
      <c r="D4144" s="941" t="s">
        <v>4787</v>
      </c>
    </row>
    <row r="4145" spans="4:4">
      <c r="D4145" s="941" t="s">
        <v>4788</v>
      </c>
    </row>
    <row r="4146" spans="4:4">
      <c r="D4146" s="941" t="s">
        <v>4789</v>
      </c>
    </row>
    <row r="4147" spans="4:4">
      <c r="D4147" s="941" t="s">
        <v>4790</v>
      </c>
    </row>
    <row r="4148" spans="4:4">
      <c r="D4148" s="941" t="s">
        <v>4791</v>
      </c>
    </row>
    <row r="4149" spans="4:4">
      <c r="D4149" s="941" t="s">
        <v>4792</v>
      </c>
    </row>
    <row r="4150" spans="4:4">
      <c r="D4150" s="941" t="s">
        <v>4793</v>
      </c>
    </row>
    <row r="4151" spans="4:4">
      <c r="D4151" s="941" t="s">
        <v>4794</v>
      </c>
    </row>
    <row r="4152" spans="4:4">
      <c r="D4152" s="941" t="s">
        <v>4795</v>
      </c>
    </row>
    <row r="4153" spans="4:4">
      <c r="D4153" s="941" t="s">
        <v>4796</v>
      </c>
    </row>
    <row r="4154" spans="4:4">
      <c r="D4154" s="941" t="s">
        <v>4797</v>
      </c>
    </row>
    <row r="4155" spans="4:4">
      <c r="D4155" s="941" t="s">
        <v>4798</v>
      </c>
    </row>
    <row r="4156" spans="4:4">
      <c r="D4156" s="941" t="s">
        <v>4799</v>
      </c>
    </row>
    <row r="4157" spans="4:4">
      <c r="D4157" s="941" t="s">
        <v>4800</v>
      </c>
    </row>
    <row r="4158" spans="4:4">
      <c r="D4158" s="941" t="s">
        <v>4801</v>
      </c>
    </row>
    <row r="4159" spans="4:4">
      <c r="D4159" s="941" t="s">
        <v>4802</v>
      </c>
    </row>
    <row r="4160" spans="4:4">
      <c r="D4160" s="941" t="s">
        <v>4803</v>
      </c>
    </row>
    <row r="4161" spans="4:4">
      <c r="D4161" s="941" t="s">
        <v>4804</v>
      </c>
    </row>
    <row r="4162" spans="4:4">
      <c r="D4162" s="941" t="s">
        <v>4805</v>
      </c>
    </row>
    <row r="4163" spans="4:4">
      <c r="D4163" s="941" t="s">
        <v>4806</v>
      </c>
    </row>
    <row r="4164" spans="4:4">
      <c r="D4164" s="941" t="s">
        <v>10391</v>
      </c>
    </row>
    <row r="4165" spans="4:4">
      <c r="D4165" s="941" t="s">
        <v>4807</v>
      </c>
    </row>
    <row r="4166" spans="4:4">
      <c r="D4166" s="941" t="s">
        <v>10197</v>
      </c>
    </row>
    <row r="4167" spans="4:4">
      <c r="D4167" s="941" t="s">
        <v>4808</v>
      </c>
    </row>
    <row r="4168" spans="4:4">
      <c r="D4168" s="941" t="s">
        <v>4809</v>
      </c>
    </row>
    <row r="4169" spans="4:4">
      <c r="D4169" s="941" t="s">
        <v>4810</v>
      </c>
    </row>
    <row r="4170" spans="4:4">
      <c r="D4170" s="941" t="s">
        <v>4811</v>
      </c>
    </row>
    <row r="4171" spans="4:4">
      <c r="D4171" s="941" t="s">
        <v>4812</v>
      </c>
    </row>
    <row r="4172" spans="4:4">
      <c r="D4172" s="941" t="s">
        <v>4813</v>
      </c>
    </row>
    <row r="4173" spans="4:4">
      <c r="D4173" s="941" t="s">
        <v>4814</v>
      </c>
    </row>
    <row r="4174" spans="4:4">
      <c r="D4174" s="941" t="s">
        <v>4815</v>
      </c>
    </row>
    <row r="4175" spans="4:4">
      <c r="D4175" s="941" t="s">
        <v>4816</v>
      </c>
    </row>
    <row r="4176" spans="4:4">
      <c r="D4176" s="941" t="s">
        <v>4817</v>
      </c>
    </row>
    <row r="4177" spans="4:4">
      <c r="D4177" s="941" t="s">
        <v>4818</v>
      </c>
    </row>
    <row r="4178" spans="4:4">
      <c r="D4178" s="941" t="s">
        <v>4819</v>
      </c>
    </row>
    <row r="4179" spans="4:4">
      <c r="D4179" s="941" t="s">
        <v>4820</v>
      </c>
    </row>
    <row r="4180" spans="4:4">
      <c r="D4180" s="941" t="s">
        <v>4821</v>
      </c>
    </row>
    <row r="4181" spans="4:4">
      <c r="D4181" s="941" t="s">
        <v>4822</v>
      </c>
    </row>
    <row r="4182" spans="4:4">
      <c r="D4182" s="941" t="s">
        <v>4823</v>
      </c>
    </row>
    <row r="4183" spans="4:4">
      <c r="D4183" s="941" t="s">
        <v>11020</v>
      </c>
    </row>
    <row r="4184" spans="4:4">
      <c r="D4184" s="941" t="s">
        <v>4824</v>
      </c>
    </row>
    <row r="4185" spans="4:4">
      <c r="D4185" s="941" t="s">
        <v>4825</v>
      </c>
    </row>
    <row r="4186" spans="4:4">
      <c r="D4186" s="941" t="s">
        <v>4826</v>
      </c>
    </row>
    <row r="4187" spans="4:4">
      <c r="D4187" s="941" t="s">
        <v>4827</v>
      </c>
    </row>
    <row r="4188" spans="4:4">
      <c r="D4188" s="941" t="s">
        <v>4828</v>
      </c>
    </row>
    <row r="4189" spans="4:4">
      <c r="D4189" s="941" t="s">
        <v>4829</v>
      </c>
    </row>
    <row r="4190" spans="4:4">
      <c r="D4190" s="941" t="s">
        <v>4830</v>
      </c>
    </row>
    <row r="4191" spans="4:4">
      <c r="D4191" s="941" t="s">
        <v>4831</v>
      </c>
    </row>
    <row r="4192" spans="4:4">
      <c r="D4192" s="941" t="s">
        <v>4832</v>
      </c>
    </row>
    <row r="4193" spans="4:4">
      <c r="D4193" s="941" t="s">
        <v>4833</v>
      </c>
    </row>
    <row r="4194" spans="4:4">
      <c r="D4194" s="941" t="s">
        <v>4834</v>
      </c>
    </row>
    <row r="4195" spans="4:4">
      <c r="D4195" s="941" t="s">
        <v>10422</v>
      </c>
    </row>
    <row r="4196" spans="4:4">
      <c r="D4196" s="941" t="s">
        <v>4835</v>
      </c>
    </row>
    <row r="4197" spans="4:4">
      <c r="D4197" s="941" t="s">
        <v>4836</v>
      </c>
    </row>
    <row r="4198" spans="4:4">
      <c r="D4198" s="941" t="s">
        <v>4837</v>
      </c>
    </row>
    <row r="4199" spans="4:4">
      <c r="D4199" s="941" t="s">
        <v>4838</v>
      </c>
    </row>
    <row r="4200" spans="4:4">
      <c r="D4200" s="941" t="s">
        <v>4839</v>
      </c>
    </row>
    <row r="4201" spans="4:4">
      <c r="D4201" s="941" t="s">
        <v>4840</v>
      </c>
    </row>
    <row r="4202" spans="4:4">
      <c r="D4202" s="941" t="s">
        <v>4841</v>
      </c>
    </row>
    <row r="4203" spans="4:4">
      <c r="D4203" s="941" t="s">
        <v>4842</v>
      </c>
    </row>
    <row r="4204" spans="4:4">
      <c r="D4204" s="941" t="s">
        <v>4843</v>
      </c>
    </row>
    <row r="4205" spans="4:4">
      <c r="D4205" s="941" t="s">
        <v>4844</v>
      </c>
    </row>
    <row r="4206" spans="4:4">
      <c r="D4206" s="941" t="s">
        <v>4845</v>
      </c>
    </row>
    <row r="4207" spans="4:4">
      <c r="D4207" s="941" t="s">
        <v>4846</v>
      </c>
    </row>
    <row r="4208" spans="4:4">
      <c r="D4208" s="941" t="s">
        <v>4847</v>
      </c>
    </row>
    <row r="4209" spans="4:4">
      <c r="D4209" s="941" t="s">
        <v>4848</v>
      </c>
    </row>
    <row r="4210" spans="4:4">
      <c r="D4210" s="941" t="s">
        <v>4849</v>
      </c>
    </row>
    <row r="4211" spans="4:4">
      <c r="D4211" s="941" t="s">
        <v>4850</v>
      </c>
    </row>
    <row r="4212" spans="4:4">
      <c r="D4212" s="941" t="s">
        <v>4851</v>
      </c>
    </row>
    <row r="4213" spans="4:4">
      <c r="D4213" s="941" t="s">
        <v>4852</v>
      </c>
    </row>
    <row r="4214" spans="4:4">
      <c r="D4214" s="941" t="s">
        <v>4853</v>
      </c>
    </row>
    <row r="4215" spans="4:4">
      <c r="D4215" s="941" t="s">
        <v>4854</v>
      </c>
    </row>
    <row r="4216" spans="4:4">
      <c r="D4216" s="941" t="s">
        <v>4855</v>
      </c>
    </row>
    <row r="4217" spans="4:4">
      <c r="D4217" s="941" t="s">
        <v>4856</v>
      </c>
    </row>
    <row r="4218" spans="4:4">
      <c r="D4218" s="941" t="s">
        <v>4857</v>
      </c>
    </row>
    <row r="4219" spans="4:4">
      <c r="D4219" s="941" t="s">
        <v>4858</v>
      </c>
    </row>
    <row r="4220" spans="4:4">
      <c r="D4220" s="941" t="s">
        <v>4859</v>
      </c>
    </row>
    <row r="4221" spans="4:4">
      <c r="D4221" s="941" t="s">
        <v>4860</v>
      </c>
    </row>
    <row r="4222" spans="4:4">
      <c r="D4222" s="941" t="s">
        <v>10392</v>
      </c>
    </row>
    <row r="4223" spans="4:4">
      <c r="D4223" s="941" t="s">
        <v>4861</v>
      </c>
    </row>
    <row r="4224" spans="4:4">
      <c r="D4224" s="941" t="s">
        <v>4862</v>
      </c>
    </row>
    <row r="4225" spans="4:4">
      <c r="D4225" s="941" t="s">
        <v>4863</v>
      </c>
    </row>
    <row r="4226" spans="4:4">
      <c r="D4226" s="941" t="s">
        <v>4864</v>
      </c>
    </row>
    <row r="4227" spans="4:4">
      <c r="D4227" s="941" t="s">
        <v>4865</v>
      </c>
    </row>
    <row r="4228" spans="4:4">
      <c r="D4228" s="941" t="s">
        <v>4866</v>
      </c>
    </row>
    <row r="4229" spans="4:4">
      <c r="D4229" s="941" t="s">
        <v>4867</v>
      </c>
    </row>
    <row r="4230" spans="4:4">
      <c r="D4230" s="941" t="s">
        <v>4868</v>
      </c>
    </row>
    <row r="4231" spans="4:4">
      <c r="D4231" s="941" t="s">
        <v>4869</v>
      </c>
    </row>
    <row r="4232" spans="4:4">
      <c r="D4232" s="941" t="s">
        <v>4870</v>
      </c>
    </row>
    <row r="4233" spans="4:4">
      <c r="D4233" s="941" t="s">
        <v>4871</v>
      </c>
    </row>
    <row r="4234" spans="4:4">
      <c r="D4234" s="941" t="s">
        <v>4872</v>
      </c>
    </row>
    <row r="4235" spans="4:4">
      <c r="D4235" s="941" t="s">
        <v>4873</v>
      </c>
    </row>
    <row r="4236" spans="4:4">
      <c r="D4236" s="941" t="s">
        <v>4874</v>
      </c>
    </row>
    <row r="4237" spans="4:4">
      <c r="D4237" s="941" t="s">
        <v>4875</v>
      </c>
    </row>
    <row r="4238" spans="4:4">
      <c r="D4238" s="941" t="s">
        <v>4876</v>
      </c>
    </row>
    <row r="4239" spans="4:4">
      <c r="D4239" s="941" t="s">
        <v>4877</v>
      </c>
    </row>
    <row r="4240" spans="4:4">
      <c r="D4240" s="941" t="s">
        <v>4878</v>
      </c>
    </row>
    <row r="4241" spans="4:4">
      <c r="D4241" s="941" t="s">
        <v>9869</v>
      </c>
    </row>
    <row r="4242" spans="4:4">
      <c r="D4242" s="941" t="s">
        <v>4879</v>
      </c>
    </row>
    <row r="4243" spans="4:4">
      <c r="D4243" s="941" t="s">
        <v>4880</v>
      </c>
    </row>
    <row r="4244" spans="4:4">
      <c r="D4244" s="941" t="s">
        <v>4881</v>
      </c>
    </row>
    <row r="4245" spans="4:4">
      <c r="D4245" s="941" t="s">
        <v>4882</v>
      </c>
    </row>
    <row r="4246" spans="4:4">
      <c r="D4246" s="941" t="s">
        <v>4883</v>
      </c>
    </row>
    <row r="4247" spans="4:4">
      <c r="D4247" s="941" t="s">
        <v>4884</v>
      </c>
    </row>
    <row r="4248" spans="4:4">
      <c r="D4248" s="941" t="s">
        <v>4885</v>
      </c>
    </row>
    <row r="4249" spans="4:4">
      <c r="D4249" s="941" t="s">
        <v>4886</v>
      </c>
    </row>
    <row r="4250" spans="4:4">
      <c r="D4250" s="941" t="s">
        <v>4887</v>
      </c>
    </row>
    <row r="4251" spans="4:4">
      <c r="D4251" s="941" t="s">
        <v>4888</v>
      </c>
    </row>
    <row r="4252" spans="4:4">
      <c r="D4252" s="941" t="s">
        <v>4889</v>
      </c>
    </row>
    <row r="4253" spans="4:4">
      <c r="D4253" s="941" t="s">
        <v>4890</v>
      </c>
    </row>
    <row r="4254" spans="4:4">
      <c r="D4254" s="941" t="s">
        <v>10671</v>
      </c>
    </row>
    <row r="4255" spans="4:4">
      <c r="D4255" s="941" t="s">
        <v>4891</v>
      </c>
    </row>
    <row r="4256" spans="4:4">
      <c r="D4256" s="941" t="s">
        <v>4892</v>
      </c>
    </row>
    <row r="4257" spans="4:4">
      <c r="D4257" s="941" t="s">
        <v>4893</v>
      </c>
    </row>
    <row r="4258" spans="4:4">
      <c r="D4258" s="941" t="s">
        <v>4894</v>
      </c>
    </row>
    <row r="4259" spans="4:4">
      <c r="D4259" s="941" t="s">
        <v>4895</v>
      </c>
    </row>
    <row r="4260" spans="4:4">
      <c r="D4260" s="941" t="s">
        <v>9477</v>
      </c>
    </row>
    <row r="4261" spans="4:4">
      <c r="D4261" s="941" t="s">
        <v>9478</v>
      </c>
    </row>
    <row r="4262" spans="4:4">
      <c r="D4262" s="941" t="s">
        <v>4896</v>
      </c>
    </row>
    <row r="4263" spans="4:4">
      <c r="D4263" s="941" t="s">
        <v>4897</v>
      </c>
    </row>
    <row r="4264" spans="4:4">
      <c r="D4264" s="941" t="s">
        <v>10589</v>
      </c>
    </row>
    <row r="4265" spans="4:4">
      <c r="D4265" s="941" t="s">
        <v>4898</v>
      </c>
    </row>
    <row r="4266" spans="4:4">
      <c r="D4266" s="941" t="s">
        <v>9479</v>
      </c>
    </row>
    <row r="4267" spans="4:4">
      <c r="D4267" s="941" t="s">
        <v>4899</v>
      </c>
    </row>
    <row r="4268" spans="4:4">
      <c r="D4268" s="941" t="s">
        <v>4900</v>
      </c>
    </row>
    <row r="4269" spans="4:4">
      <c r="D4269" s="941" t="s">
        <v>4901</v>
      </c>
    </row>
    <row r="4270" spans="4:4">
      <c r="D4270" s="941" t="s">
        <v>4902</v>
      </c>
    </row>
    <row r="4271" spans="4:4">
      <c r="D4271" s="941" t="s">
        <v>4903</v>
      </c>
    </row>
    <row r="4272" spans="4:4">
      <c r="D4272" s="941" t="s">
        <v>4904</v>
      </c>
    </row>
    <row r="4273" spans="4:4">
      <c r="D4273" s="941" t="s">
        <v>4905</v>
      </c>
    </row>
    <row r="4274" spans="4:4">
      <c r="D4274" s="941" t="s">
        <v>4906</v>
      </c>
    </row>
    <row r="4275" spans="4:4">
      <c r="D4275" s="941" t="s">
        <v>4907</v>
      </c>
    </row>
    <row r="4276" spans="4:4">
      <c r="D4276" s="941" t="s">
        <v>4908</v>
      </c>
    </row>
    <row r="4277" spans="4:4">
      <c r="D4277" s="941" t="s">
        <v>4909</v>
      </c>
    </row>
    <row r="4278" spans="4:4">
      <c r="D4278" s="941" t="s">
        <v>9770</v>
      </c>
    </row>
    <row r="4279" spans="4:4">
      <c r="D4279" s="941" t="s">
        <v>4910</v>
      </c>
    </row>
    <row r="4280" spans="4:4">
      <c r="D4280" s="941" t="s">
        <v>9480</v>
      </c>
    </row>
    <row r="4281" spans="4:4">
      <c r="D4281" s="941" t="s">
        <v>4911</v>
      </c>
    </row>
    <row r="4282" spans="4:4">
      <c r="D4282" s="941" t="s">
        <v>9481</v>
      </c>
    </row>
    <row r="4283" spans="4:4">
      <c r="D4283" s="941" t="s">
        <v>4912</v>
      </c>
    </row>
    <row r="4284" spans="4:4">
      <c r="D4284" s="941" t="s">
        <v>4913</v>
      </c>
    </row>
    <row r="4285" spans="4:4">
      <c r="D4285" s="941" t="s">
        <v>4914</v>
      </c>
    </row>
    <row r="4286" spans="4:4">
      <c r="D4286" s="941" t="s">
        <v>4915</v>
      </c>
    </row>
    <row r="4287" spans="4:4">
      <c r="D4287" s="941" t="s">
        <v>4916</v>
      </c>
    </row>
    <row r="4288" spans="4:4">
      <c r="D4288" s="941" t="s">
        <v>4917</v>
      </c>
    </row>
    <row r="4289" spans="4:4">
      <c r="D4289" s="941" t="s">
        <v>4918</v>
      </c>
    </row>
    <row r="4290" spans="4:4">
      <c r="D4290" s="941" t="s">
        <v>4919</v>
      </c>
    </row>
    <row r="4291" spans="4:4">
      <c r="D4291" s="941" t="s">
        <v>4920</v>
      </c>
    </row>
    <row r="4292" spans="4:4">
      <c r="D4292" s="941" t="s">
        <v>4921</v>
      </c>
    </row>
    <row r="4293" spans="4:4">
      <c r="D4293" s="941" t="s">
        <v>4922</v>
      </c>
    </row>
    <row r="4294" spans="4:4">
      <c r="D4294" s="941" t="s">
        <v>9482</v>
      </c>
    </row>
    <row r="4295" spans="4:4">
      <c r="D4295" s="941" t="s">
        <v>4923</v>
      </c>
    </row>
    <row r="4296" spans="4:4">
      <c r="D4296" s="941" t="s">
        <v>4924</v>
      </c>
    </row>
    <row r="4297" spans="4:4">
      <c r="D4297" s="941" t="s">
        <v>4925</v>
      </c>
    </row>
    <row r="4298" spans="4:4">
      <c r="D4298" s="941" t="s">
        <v>4926</v>
      </c>
    </row>
    <row r="4299" spans="4:4">
      <c r="D4299" s="941" t="s">
        <v>4927</v>
      </c>
    </row>
    <row r="4300" spans="4:4">
      <c r="D4300" s="941" t="s">
        <v>4928</v>
      </c>
    </row>
    <row r="4301" spans="4:4">
      <c r="D4301" s="941" t="s">
        <v>299</v>
      </c>
    </row>
    <row r="4302" spans="4:4">
      <c r="D4302" s="941" t="s">
        <v>4929</v>
      </c>
    </row>
    <row r="4303" spans="4:4">
      <c r="D4303" s="941" t="s">
        <v>4930</v>
      </c>
    </row>
    <row r="4304" spans="4:4">
      <c r="D4304" s="941" t="s">
        <v>4931</v>
      </c>
    </row>
    <row r="4305" spans="4:4">
      <c r="D4305" s="941" t="s">
        <v>4932</v>
      </c>
    </row>
    <row r="4306" spans="4:4">
      <c r="D4306" s="941" t="s">
        <v>4933</v>
      </c>
    </row>
    <row r="4307" spans="4:4">
      <c r="D4307" s="941" t="s">
        <v>4934</v>
      </c>
    </row>
    <row r="4308" spans="4:4">
      <c r="D4308" s="941" t="s">
        <v>4935</v>
      </c>
    </row>
    <row r="4309" spans="4:4">
      <c r="D4309" s="941" t="s">
        <v>4936</v>
      </c>
    </row>
    <row r="4310" spans="4:4">
      <c r="D4310" s="941" t="s">
        <v>4937</v>
      </c>
    </row>
    <row r="4311" spans="4:4">
      <c r="D4311" s="941" t="s">
        <v>4938</v>
      </c>
    </row>
    <row r="4312" spans="4:4">
      <c r="D4312" s="941" t="s">
        <v>4939</v>
      </c>
    </row>
    <row r="4313" spans="4:4">
      <c r="D4313" s="941" t="s">
        <v>9483</v>
      </c>
    </row>
    <row r="4314" spans="4:4">
      <c r="D4314" s="941" t="s">
        <v>4940</v>
      </c>
    </row>
    <row r="4315" spans="4:4">
      <c r="D4315" s="941" t="s">
        <v>9484</v>
      </c>
    </row>
    <row r="4316" spans="4:4">
      <c r="D4316" s="941" t="s">
        <v>4941</v>
      </c>
    </row>
    <row r="4317" spans="4:4">
      <c r="D4317" s="941" t="s">
        <v>4942</v>
      </c>
    </row>
    <row r="4318" spans="4:4">
      <c r="D4318" s="941" t="s">
        <v>10328</v>
      </c>
    </row>
    <row r="4319" spans="4:4">
      <c r="D4319" s="941" t="s">
        <v>4943</v>
      </c>
    </row>
    <row r="4320" spans="4:4">
      <c r="D4320" s="941" t="s">
        <v>4944</v>
      </c>
    </row>
    <row r="4321" spans="4:4">
      <c r="D4321" s="941" t="s">
        <v>4945</v>
      </c>
    </row>
    <row r="4322" spans="4:4">
      <c r="D4322" s="941" t="s">
        <v>4946</v>
      </c>
    </row>
    <row r="4323" spans="4:4">
      <c r="D4323" s="941" t="s">
        <v>1016</v>
      </c>
    </row>
    <row r="4324" spans="4:4">
      <c r="D4324" s="941" t="s">
        <v>4947</v>
      </c>
    </row>
    <row r="4325" spans="4:4">
      <c r="D4325" s="941" t="s">
        <v>4948</v>
      </c>
    </row>
    <row r="4326" spans="4:4">
      <c r="D4326" s="941" t="s">
        <v>4949</v>
      </c>
    </row>
    <row r="4327" spans="4:4">
      <c r="D4327" s="941" t="s">
        <v>4950</v>
      </c>
    </row>
    <row r="4328" spans="4:4">
      <c r="D4328" s="941" t="s">
        <v>4951</v>
      </c>
    </row>
    <row r="4329" spans="4:4">
      <c r="D4329" s="941" t="s">
        <v>4952</v>
      </c>
    </row>
    <row r="4330" spans="4:4">
      <c r="D4330" s="941" t="s">
        <v>4953</v>
      </c>
    </row>
    <row r="4331" spans="4:4">
      <c r="D4331" s="941" t="s">
        <v>10538</v>
      </c>
    </row>
    <row r="4332" spans="4:4">
      <c r="D4332" s="941" t="s">
        <v>4954</v>
      </c>
    </row>
    <row r="4333" spans="4:4">
      <c r="D4333" s="941" t="s">
        <v>4955</v>
      </c>
    </row>
    <row r="4334" spans="4:4">
      <c r="D4334" s="941" t="s">
        <v>4956</v>
      </c>
    </row>
    <row r="4335" spans="4:4">
      <c r="D4335" s="941" t="s">
        <v>4957</v>
      </c>
    </row>
    <row r="4336" spans="4:4">
      <c r="D4336" s="941" t="s">
        <v>4958</v>
      </c>
    </row>
    <row r="4337" spans="4:4">
      <c r="D4337" s="941" t="s">
        <v>4959</v>
      </c>
    </row>
    <row r="4338" spans="4:4">
      <c r="D4338" s="941" t="s">
        <v>4960</v>
      </c>
    </row>
    <row r="4339" spans="4:4">
      <c r="D4339" s="941" t="s">
        <v>4961</v>
      </c>
    </row>
    <row r="4340" spans="4:4">
      <c r="D4340" s="941" t="s">
        <v>4962</v>
      </c>
    </row>
    <row r="4341" spans="4:4">
      <c r="D4341" s="941" t="s">
        <v>4963</v>
      </c>
    </row>
    <row r="4342" spans="4:4">
      <c r="D4342" s="941" t="s">
        <v>4964</v>
      </c>
    </row>
    <row r="4343" spans="4:4">
      <c r="D4343" s="941" t="s">
        <v>4965</v>
      </c>
    </row>
    <row r="4344" spans="4:4">
      <c r="D4344" s="941" t="s">
        <v>4966</v>
      </c>
    </row>
    <row r="4345" spans="4:4">
      <c r="D4345" s="941" t="s">
        <v>4967</v>
      </c>
    </row>
    <row r="4346" spans="4:4">
      <c r="D4346" s="941" t="s">
        <v>4968</v>
      </c>
    </row>
    <row r="4347" spans="4:4">
      <c r="D4347" s="941" t="s">
        <v>4969</v>
      </c>
    </row>
    <row r="4348" spans="4:4">
      <c r="D4348" s="941" t="s">
        <v>4970</v>
      </c>
    </row>
    <row r="4349" spans="4:4">
      <c r="D4349" s="941" t="s">
        <v>4971</v>
      </c>
    </row>
    <row r="4350" spans="4:4">
      <c r="D4350" s="941" t="s">
        <v>4972</v>
      </c>
    </row>
    <row r="4351" spans="4:4">
      <c r="D4351" s="941" t="s">
        <v>4973</v>
      </c>
    </row>
    <row r="4352" spans="4:4">
      <c r="D4352" s="941" t="s">
        <v>4974</v>
      </c>
    </row>
    <row r="4353" spans="4:4">
      <c r="D4353" s="941" t="s">
        <v>4975</v>
      </c>
    </row>
    <row r="4354" spans="4:4">
      <c r="D4354" s="941" t="s">
        <v>9485</v>
      </c>
    </row>
    <row r="4355" spans="4:4">
      <c r="D4355" s="941" t="s">
        <v>4976</v>
      </c>
    </row>
    <row r="4356" spans="4:4">
      <c r="D4356" s="941" t="s">
        <v>9283</v>
      </c>
    </row>
    <row r="4357" spans="4:4">
      <c r="D4357" s="941" t="s">
        <v>4977</v>
      </c>
    </row>
    <row r="4358" spans="4:4">
      <c r="D4358" s="941" t="s">
        <v>4978</v>
      </c>
    </row>
    <row r="4359" spans="4:4">
      <c r="D4359" s="941" t="s">
        <v>4979</v>
      </c>
    </row>
    <row r="4360" spans="4:4">
      <c r="D4360" s="941" t="s">
        <v>4980</v>
      </c>
    </row>
    <row r="4361" spans="4:4">
      <c r="D4361" s="941" t="s">
        <v>4981</v>
      </c>
    </row>
    <row r="4362" spans="4:4">
      <c r="D4362" s="941" t="s">
        <v>4982</v>
      </c>
    </row>
    <row r="4363" spans="4:4">
      <c r="D4363" s="941" t="s">
        <v>4983</v>
      </c>
    </row>
    <row r="4364" spans="4:4">
      <c r="D4364" s="941" t="s">
        <v>4984</v>
      </c>
    </row>
    <row r="4365" spans="4:4">
      <c r="D4365" s="941" t="s">
        <v>4985</v>
      </c>
    </row>
    <row r="4366" spans="4:4">
      <c r="D4366" s="941" t="s">
        <v>4986</v>
      </c>
    </row>
    <row r="4367" spans="4:4">
      <c r="D4367" s="941" t="s">
        <v>4987</v>
      </c>
    </row>
    <row r="4368" spans="4:4">
      <c r="D4368" s="941" t="s">
        <v>4988</v>
      </c>
    </row>
    <row r="4369" spans="4:4">
      <c r="D4369" s="941" t="s">
        <v>4989</v>
      </c>
    </row>
    <row r="4370" spans="4:4">
      <c r="D4370" s="941" t="s">
        <v>4990</v>
      </c>
    </row>
    <row r="4371" spans="4:4">
      <c r="D4371" s="941" t="s">
        <v>4991</v>
      </c>
    </row>
    <row r="4372" spans="4:4">
      <c r="D4372" s="941" t="s">
        <v>4992</v>
      </c>
    </row>
    <row r="4373" spans="4:4">
      <c r="D4373" s="941" t="s">
        <v>4993</v>
      </c>
    </row>
    <row r="4374" spans="4:4">
      <c r="D4374" s="941" t="s">
        <v>4994</v>
      </c>
    </row>
    <row r="4375" spans="4:4">
      <c r="D4375" s="941" t="s">
        <v>4995</v>
      </c>
    </row>
    <row r="4376" spans="4:4">
      <c r="D4376" s="941" t="s">
        <v>4996</v>
      </c>
    </row>
    <row r="4377" spans="4:4">
      <c r="D4377" s="941" t="s">
        <v>4997</v>
      </c>
    </row>
    <row r="4378" spans="4:4">
      <c r="D4378" s="941" t="s">
        <v>4998</v>
      </c>
    </row>
    <row r="4379" spans="4:4">
      <c r="D4379" s="941" t="s">
        <v>4999</v>
      </c>
    </row>
    <row r="4380" spans="4:4">
      <c r="D4380" s="941" t="s">
        <v>5000</v>
      </c>
    </row>
    <row r="4381" spans="4:4">
      <c r="D4381" s="941" t="s">
        <v>5001</v>
      </c>
    </row>
    <row r="4382" spans="4:4">
      <c r="D4382" s="941" t="s">
        <v>9486</v>
      </c>
    </row>
    <row r="4383" spans="4:4">
      <c r="D4383" s="941" t="s">
        <v>5002</v>
      </c>
    </row>
    <row r="4384" spans="4:4">
      <c r="D4384" s="941" t="s">
        <v>5003</v>
      </c>
    </row>
    <row r="4385" spans="4:4">
      <c r="D4385" s="941" t="s">
        <v>5004</v>
      </c>
    </row>
    <row r="4386" spans="4:4">
      <c r="D4386" s="941" t="s">
        <v>5005</v>
      </c>
    </row>
    <row r="4387" spans="4:4">
      <c r="D4387" s="941" t="s">
        <v>5006</v>
      </c>
    </row>
    <row r="4388" spans="4:4">
      <c r="D4388" s="941" t="s">
        <v>5007</v>
      </c>
    </row>
    <row r="4389" spans="4:4">
      <c r="D4389" s="941" t="s">
        <v>5008</v>
      </c>
    </row>
    <row r="4390" spans="4:4">
      <c r="D4390" s="941" t="s">
        <v>5009</v>
      </c>
    </row>
    <row r="4391" spans="4:4">
      <c r="D4391" s="941" t="s">
        <v>5010</v>
      </c>
    </row>
    <row r="4392" spans="4:4">
      <c r="D4392" s="941" t="s">
        <v>5011</v>
      </c>
    </row>
    <row r="4393" spans="4:4">
      <c r="D4393" s="941" t="s">
        <v>10539</v>
      </c>
    </row>
    <row r="4394" spans="4:4">
      <c r="D4394" s="941" t="s">
        <v>5012</v>
      </c>
    </row>
    <row r="4395" spans="4:4">
      <c r="D4395" s="941" t="s">
        <v>5013</v>
      </c>
    </row>
    <row r="4396" spans="4:4">
      <c r="D4396" s="941" t="s">
        <v>5014</v>
      </c>
    </row>
    <row r="4397" spans="4:4">
      <c r="D4397" s="941" t="s">
        <v>5015</v>
      </c>
    </row>
    <row r="4398" spans="4:4">
      <c r="D4398" s="941" t="s">
        <v>5016</v>
      </c>
    </row>
    <row r="4399" spans="4:4">
      <c r="D4399" s="941" t="s">
        <v>5017</v>
      </c>
    </row>
    <row r="4400" spans="4:4">
      <c r="D4400" s="941" t="s">
        <v>5018</v>
      </c>
    </row>
    <row r="4401" spans="4:4">
      <c r="D4401" s="941" t="s">
        <v>5019</v>
      </c>
    </row>
    <row r="4402" spans="4:4">
      <c r="D4402" s="941" t="s">
        <v>5020</v>
      </c>
    </row>
    <row r="4403" spans="4:4">
      <c r="D4403" s="941" t="s">
        <v>5021</v>
      </c>
    </row>
    <row r="4404" spans="4:4">
      <c r="D4404" s="941" t="s">
        <v>9487</v>
      </c>
    </row>
    <row r="4405" spans="4:4">
      <c r="D4405" s="941" t="s">
        <v>5022</v>
      </c>
    </row>
    <row r="4406" spans="4:4">
      <c r="D4406" s="941" t="s">
        <v>5023</v>
      </c>
    </row>
    <row r="4407" spans="4:4">
      <c r="D4407" s="941" t="s">
        <v>1017</v>
      </c>
    </row>
    <row r="4408" spans="4:4">
      <c r="D4408" s="941" t="s">
        <v>5024</v>
      </c>
    </row>
    <row r="4409" spans="4:4">
      <c r="D4409" s="941" t="s">
        <v>5025</v>
      </c>
    </row>
    <row r="4410" spans="4:4">
      <c r="D4410" s="941" t="s">
        <v>5026</v>
      </c>
    </row>
    <row r="4411" spans="4:4">
      <c r="D4411" s="941" t="s">
        <v>5027</v>
      </c>
    </row>
    <row r="4412" spans="4:4">
      <c r="D4412" s="941" t="s">
        <v>5028</v>
      </c>
    </row>
    <row r="4413" spans="4:4">
      <c r="D4413" s="941" t="s">
        <v>5029</v>
      </c>
    </row>
    <row r="4414" spans="4:4">
      <c r="D4414" s="941" t="s">
        <v>5030</v>
      </c>
    </row>
    <row r="4415" spans="4:4">
      <c r="D4415" s="941" t="s">
        <v>5031</v>
      </c>
    </row>
    <row r="4416" spans="4:4">
      <c r="D4416" s="941" t="s">
        <v>5032</v>
      </c>
    </row>
    <row r="4417" spans="4:4">
      <c r="D4417" s="941" t="s">
        <v>5033</v>
      </c>
    </row>
    <row r="4418" spans="4:4">
      <c r="D4418" s="941" t="s">
        <v>5034</v>
      </c>
    </row>
    <row r="4419" spans="4:4">
      <c r="D4419" s="941" t="s">
        <v>5035</v>
      </c>
    </row>
    <row r="4420" spans="4:4">
      <c r="D4420" s="941" t="s">
        <v>5036</v>
      </c>
    </row>
    <row r="4421" spans="4:4">
      <c r="D4421" s="941" t="s">
        <v>5037</v>
      </c>
    </row>
    <row r="4422" spans="4:4">
      <c r="D4422" s="941" t="s">
        <v>5038</v>
      </c>
    </row>
    <row r="4423" spans="4:4">
      <c r="D4423" s="941" t="s">
        <v>10604</v>
      </c>
    </row>
    <row r="4424" spans="4:4">
      <c r="D4424" s="941" t="s">
        <v>5039</v>
      </c>
    </row>
    <row r="4425" spans="4:4">
      <c r="D4425" s="941" t="s">
        <v>5040</v>
      </c>
    </row>
    <row r="4426" spans="4:4">
      <c r="D4426" s="941" t="s">
        <v>9488</v>
      </c>
    </row>
    <row r="4427" spans="4:4">
      <c r="D4427" s="941" t="s">
        <v>5041</v>
      </c>
    </row>
    <row r="4428" spans="4:4">
      <c r="D4428" s="941" t="s">
        <v>9870</v>
      </c>
    </row>
    <row r="4429" spans="4:4">
      <c r="D4429" s="941" t="s">
        <v>10329</v>
      </c>
    </row>
    <row r="4430" spans="4:4">
      <c r="D4430" s="941" t="s">
        <v>5042</v>
      </c>
    </row>
    <row r="4431" spans="4:4">
      <c r="D4431" s="941" t="s">
        <v>5043</v>
      </c>
    </row>
    <row r="4432" spans="4:4">
      <c r="D4432" s="941" t="s">
        <v>5044</v>
      </c>
    </row>
    <row r="4433" spans="4:4">
      <c r="D4433" s="941" t="s">
        <v>5045</v>
      </c>
    </row>
    <row r="4434" spans="4:4">
      <c r="D4434" s="941" t="s">
        <v>5046</v>
      </c>
    </row>
    <row r="4435" spans="4:4">
      <c r="D4435" s="941" t="s">
        <v>5047</v>
      </c>
    </row>
    <row r="4436" spans="4:4">
      <c r="D4436" s="941" t="s">
        <v>5048</v>
      </c>
    </row>
    <row r="4437" spans="4:4">
      <c r="D4437" s="941" t="s">
        <v>5049</v>
      </c>
    </row>
    <row r="4438" spans="4:4">
      <c r="D4438" s="941" t="s">
        <v>5050</v>
      </c>
    </row>
    <row r="4439" spans="4:4">
      <c r="D4439" s="941" t="s">
        <v>5051</v>
      </c>
    </row>
    <row r="4440" spans="4:4">
      <c r="D4440" s="941" t="s">
        <v>5052</v>
      </c>
    </row>
    <row r="4441" spans="4:4">
      <c r="D4441" s="941" t="s">
        <v>5053</v>
      </c>
    </row>
    <row r="4442" spans="4:4">
      <c r="D4442" s="941" t="s">
        <v>5054</v>
      </c>
    </row>
    <row r="4443" spans="4:4">
      <c r="D4443" s="941" t="s">
        <v>5055</v>
      </c>
    </row>
    <row r="4444" spans="4:4">
      <c r="D4444" s="941" t="s">
        <v>5056</v>
      </c>
    </row>
    <row r="4445" spans="4:4">
      <c r="D4445" s="941" t="s">
        <v>5057</v>
      </c>
    </row>
    <row r="4446" spans="4:4">
      <c r="D4446" s="941" t="s">
        <v>5058</v>
      </c>
    </row>
    <row r="4447" spans="4:4">
      <c r="D4447" s="941" t="s">
        <v>5059</v>
      </c>
    </row>
    <row r="4448" spans="4:4">
      <c r="D4448" s="941" t="s">
        <v>5060</v>
      </c>
    </row>
    <row r="4449" spans="4:4">
      <c r="D4449" s="941" t="s">
        <v>5061</v>
      </c>
    </row>
    <row r="4450" spans="4:4">
      <c r="D4450" s="941" t="s">
        <v>5062</v>
      </c>
    </row>
    <row r="4451" spans="4:4">
      <c r="D4451" s="941" t="s">
        <v>5063</v>
      </c>
    </row>
    <row r="4452" spans="4:4">
      <c r="D4452" s="941" t="s">
        <v>5064</v>
      </c>
    </row>
    <row r="4453" spans="4:4">
      <c r="D4453" s="941" t="s">
        <v>5065</v>
      </c>
    </row>
    <row r="4454" spans="4:4">
      <c r="D4454" s="941" t="s">
        <v>5066</v>
      </c>
    </row>
    <row r="4455" spans="4:4">
      <c r="D4455" s="941" t="s">
        <v>5067</v>
      </c>
    </row>
    <row r="4456" spans="4:4">
      <c r="D4456" s="941" t="s">
        <v>9489</v>
      </c>
    </row>
    <row r="4457" spans="4:4">
      <c r="D4457" s="941" t="s">
        <v>5068</v>
      </c>
    </row>
    <row r="4458" spans="4:4">
      <c r="D4458" s="941" t="s">
        <v>5069</v>
      </c>
    </row>
    <row r="4459" spans="4:4">
      <c r="D4459" s="941" t="s">
        <v>5070</v>
      </c>
    </row>
    <row r="4460" spans="4:4">
      <c r="D4460" s="941" t="s">
        <v>5071</v>
      </c>
    </row>
    <row r="4461" spans="4:4">
      <c r="D4461" s="941" t="s">
        <v>5072</v>
      </c>
    </row>
    <row r="4462" spans="4:4">
      <c r="D4462" s="941" t="s">
        <v>5073</v>
      </c>
    </row>
    <row r="4463" spans="4:4">
      <c r="D4463" s="941" t="s">
        <v>5074</v>
      </c>
    </row>
    <row r="4464" spans="4:4">
      <c r="D4464" s="941" t="s">
        <v>5075</v>
      </c>
    </row>
    <row r="4465" spans="4:4">
      <c r="D4465" s="941" t="s">
        <v>5076</v>
      </c>
    </row>
    <row r="4466" spans="4:4">
      <c r="D4466" s="941" t="s">
        <v>5077</v>
      </c>
    </row>
    <row r="4467" spans="4:4">
      <c r="D4467" s="941" t="s">
        <v>9771</v>
      </c>
    </row>
    <row r="4468" spans="4:4">
      <c r="D4468" s="941" t="s">
        <v>5078</v>
      </c>
    </row>
    <row r="4469" spans="4:4">
      <c r="D4469" s="941" t="s">
        <v>5079</v>
      </c>
    </row>
    <row r="4470" spans="4:4">
      <c r="D4470" s="941" t="s">
        <v>5080</v>
      </c>
    </row>
    <row r="4471" spans="4:4">
      <c r="D4471" s="941" t="s">
        <v>5081</v>
      </c>
    </row>
    <row r="4472" spans="4:4">
      <c r="D4472" s="941" t="s">
        <v>5082</v>
      </c>
    </row>
    <row r="4473" spans="4:4">
      <c r="D4473" s="941" t="s">
        <v>5083</v>
      </c>
    </row>
    <row r="4474" spans="4:4">
      <c r="D4474" s="941" t="s">
        <v>5084</v>
      </c>
    </row>
    <row r="4475" spans="4:4">
      <c r="D4475" s="941" t="s">
        <v>5085</v>
      </c>
    </row>
    <row r="4476" spans="4:4">
      <c r="D4476" s="941" t="s">
        <v>5086</v>
      </c>
    </row>
    <row r="4477" spans="4:4">
      <c r="D4477" s="941" t="s">
        <v>5087</v>
      </c>
    </row>
    <row r="4478" spans="4:4">
      <c r="D4478" s="941" t="s">
        <v>5088</v>
      </c>
    </row>
    <row r="4479" spans="4:4">
      <c r="D4479" s="941" t="s">
        <v>5089</v>
      </c>
    </row>
    <row r="4480" spans="4:4">
      <c r="D4480" s="941" t="s">
        <v>9490</v>
      </c>
    </row>
    <row r="4481" spans="4:4">
      <c r="D4481" s="941" t="s">
        <v>9491</v>
      </c>
    </row>
    <row r="4482" spans="4:4">
      <c r="D4482" s="941" t="s">
        <v>5090</v>
      </c>
    </row>
    <row r="4483" spans="4:4">
      <c r="D4483" s="941" t="s">
        <v>5091</v>
      </c>
    </row>
    <row r="4484" spans="4:4">
      <c r="D4484" s="941" t="s">
        <v>9492</v>
      </c>
    </row>
    <row r="4485" spans="4:4">
      <c r="D4485" s="941" t="s">
        <v>5092</v>
      </c>
    </row>
    <row r="4486" spans="4:4">
      <c r="D4486" s="941" t="s">
        <v>5093</v>
      </c>
    </row>
    <row r="4487" spans="4:4">
      <c r="D4487" s="941" t="s">
        <v>5094</v>
      </c>
    </row>
    <row r="4488" spans="4:4">
      <c r="D4488" s="941" t="s">
        <v>5095</v>
      </c>
    </row>
    <row r="4489" spans="4:4">
      <c r="D4489" s="941" t="s">
        <v>5096</v>
      </c>
    </row>
    <row r="4490" spans="4:4">
      <c r="D4490" s="941" t="s">
        <v>5097</v>
      </c>
    </row>
    <row r="4491" spans="4:4">
      <c r="D4491" s="941" t="s">
        <v>5098</v>
      </c>
    </row>
    <row r="4492" spans="4:4">
      <c r="D4492" s="941" t="s">
        <v>5099</v>
      </c>
    </row>
    <row r="4493" spans="4:4">
      <c r="D4493" s="941" t="s">
        <v>5100</v>
      </c>
    </row>
    <row r="4494" spans="4:4">
      <c r="D4494" s="941" t="s">
        <v>5101</v>
      </c>
    </row>
    <row r="4495" spans="4:4">
      <c r="D4495" s="941" t="s">
        <v>5102</v>
      </c>
    </row>
    <row r="4496" spans="4:4">
      <c r="D4496" s="941" t="s">
        <v>5103</v>
      </c>
    </row>
    <row r="4497" spans="4:4">
      <c r="D4497" s="941" t="s">
        <v>5104</v>
      </c>
    </row>
    <row r="4498" spans="4:4">
      <c r="D4498" s="941" t="s">
        <v>5105</v>
      </c>
    </row>
    <row r="4499" spans="4:4">
      <c r="D4499" s="941" t="s">
        <v>9493</v>
      </c>
    </row>
    <row r="4500" spans="4:4">
      <c r="D4500" s="941" t="s">
        <v>5106</v>
      </c>
    </row>
    <row r="4501" spans="4:4">
      <c r="D4501" s="941" t="s">
        <v>5107</v>
      </c>
    </row>
    <row r="4502" spans="4:4">
      <c r="D4502" s="941" t="s">
        <v>5108</v>
      </c>
    </row>
    <row r="4503" spans="4:4">
      <c r="D4503" s="941" t="s">
        <v>5109</v>
      </c>
    </row>
    <row r="4504" spans="4:4">
      <c r="D4504" s="941" t="s">
        <v>5110</v>
      </c>
    </row>
    <row r="4505" spans="4:4">
      <c r="D4505" s="941" t="s">
        <v>5111</v>
      </c>
    </row>
    <row r="4506" spans="4:4">
      <c r="D4506" s="941" t="s">
        <v>5112</v>
      </c>
    </row>
    <row r="4507" spans="4:4">
      <c r="D4507" s="941" t="s">
        <v>5113</v>
      </c>
    </row>
    <row r="4508" spans="4:4">
      <c r="D4508" s="941" t="s">
        <v>5114</v>
      </c>
    </row>
    <row r="4509" spans="4:4">
      <c r="D4509" s="941" t="s">
        <v>5115</v>
      </c>
    </row>
    <row r="4510" spans="4:4">
      <c r="D4510" s="941" t="s">
        <v>5116</v>
      </c>
    </row>
    <row r="4511" spans="4:4">
      <c r="D4511" s="941" t="s">
        <v>5117</v>
      </c>
    </row>
    <row r="4512" spans="4:4">
      <c r="D4512" s="941" t="s">
        <v>5118</v>
      </c>
    </row>
    <row r="4513" spans="4:4">
      <c r="D4513" s="941" t="s">
        <v>5119</v>
      </c>
    </row>
    <row r="4514" spans="4:4">
      <c r="D4514" s="941" t="s">
        <v>5120</v>
      </c>
    </row>
    <row r="4515" spans="4:4">
      <c r="D4515" s="941" t="s">
        <v>5121</v>
      </c>
    </row>
    <row r="4516" spans="4:4">
      <c r="D4516" s="941" t="s">
        <v>5122</v>
      </c>
    </row>
    <row r="4517" spans="4:4">
      <c r="D4517" s="941" t="s">
        <v>5123</v>
      </c>
    </row>
    <row r="4518" spans="4:4">
      <c r="D4518" s="941" t="s">
        <v>5124</v>
      </c>
    </row>
    <row r="4519" spans="4:4">
      <c r="D4519" s="941" t="s">
        <v>5125</v>
      </c>
    </row>
    <row r="4520" spans="4:4">
      <c r="D4520" s="941" t="s">
        <v>10224</v>
      </c>
    </row>
    <row r="4521" spans="4:4">
      <c r="D4521" s="941" t="s">
        <v>5126</v>
      </c>
    </row>
    <row r="4522" spans="4:4">
      <c r="D4522" s="941" t="s">
        <v>5127</v>
      </c>
    </row>
    <row r="4523" spans="4:4">
      <c r="D4523" s="941" t="s">
        <v>5128</v>
      </c>
    </row>
    <row r="4524" spans="4:4">
      <c r="D4524" s="941" t="s">
        <v>5129</v>
      </c>
    </row>
    <row r="4525" spans="4:4">
      <c r="D4525" s="941" t="s">
        <v>5130</v>
      </c>
    </row>
    <row r="4526" spans="4:4">
      <c r="D4526" s="941" t="s">
        <v>5131</v>
      </c>
    </row>
    <row r="4527" spans="4:4">
      <c r="D4527" s="941" t="s">
        <v>5132</v>
      </c>
    </row>
    <row r="4528" spans="4:4">
      <c r="D4528" s="941" t="s">
        <v>5133</v>
      </c>
    </row>
    <row r="4529" spans="4:4">
      <c r="D4529" s="941" t="s">
        <v>5134</v>
      </c>
    </row>
    <row r="4530" spans="4:4">
      <c r="D4530" s="941" t="s">
        <v>5135</v>
      </c>
    </row>
    <row r="4531" spans="4:4">
      <c r="D4531" s="941" t="s">
        <v>5136</v>
      </c>
    </row>
    <row r="4532" spans="4:4">
      <c r="D4532" s="941" t="s">
        <v>5137</v>
      </c>
    </row>
    <row r="4533" spans="4:4">
      <c r="D4533" s="941" t="s">
        <v>5138</v>
      </c>
    </row>
    <row r="4534" spans="4:4">
      <c r="D4534" s="941" t="s">
        <v>5139</v>
      </c>
    </row>
    <row r="4535" spans="4:4">
      <c r="D4535" s="941" t="s">
        <v>5140</v>
      </c>
    </row>
    <row r="4536" spans="4:4">
      <c r="D4536" s="941" t="s">
        <v>5141</v>
      </c>
    </row>
    <row r="4537" spans="4:4">
      <c r="D4537" s="941" t="s">
        <v>5142</v>
      </c>
    </row>
    <row r="4538" spans="4:4">
      <c r="D4538" s="941" t="s">
        <v>5143</v>
      </c>
    </row>
    <row r="4539" spans="4:4">
      <c r="D4539" s="941" t="s">
        <v>5144</v>
      </c>
    </row>
    <row r="4540" spans="4:4">
      <c r="D4540" s="941" t="s">
        <v>9494</v>
      </c>
    </row>
    <row r="4541" spans="4:4">
      <c r="D4541" s="941" t="s">
        <v>5145</v>
      </c>
    </row>
    <row r="4542" spans="4:4">
      <c r="D4542" s="941" t="s">
        <v>5146</v>
      </c>
    </row>
    <row r="4543" spans="4:4">
      <c r="D4543" s="941" t="s">
        <v>5147</v>
      </c>
    </row>
    <row r="4544" spans="4:4">
      <c r="D4544" s="941" t="s">
        <v>5148</v>
      </c>
    </row>
    <row r="4545" spans="4:4">
      <c r="D4545" s="941" t="s">
        <v>5149</v>
      </c>
    </row>
    <row r="4546" spans="4:4">
      <c r="D4546" s="941" t="s">
        <v>5150</v>
      </c>
    </row>
    <row r="4547" spans="4:4">
      <c r="D4547" s="941" t="s">
        <v>5151</v>
      </c>
    </row>
    <row r="4548" spans="4:4">
      <c r="D4548" s="941" t="s">
        <v>5152</v>
      </c>
    </row>
    <row r="4549" spans="4:4">
      <c r="D4549" s="941" t="s">
        <v>10330</v>
      </c>
    </row>
    <row r="4550" spans="4:4">
      <c r="D4550" s="941" t="s">
        <v>10198</v>
      </c>
    </row>
    <row r="4551" spans="4:4">
      <c r="D4551" s="941" t="s">
        <v>5153</v>
      </c>
    </row>
    <row r="4552" spans="4:4">
      <c r="D4552" s="941" t="s">
        <v>5154</v>
      </c>
    </row>
    <row r="4553" spans="4:4">
      <c r="D4553" s="941" t="s">
        <v>5155</v>
      </c>
    </row>
    <row r="4554" spans="4:4">
      <c r="D4554" s="941" t="s">
        <v>5156</v>
      </c>
    </row>
    <row r="4555" spans="4:4">
      <c r="D4555" s="941" t="s">
        <v>5157</v>
      </c>
    </row>
    <row r="4556" spans="4:4">
      <c r="D4556" s="941" t="s">
        <v>844</v>
      </c>
    </row>
    <row r="4557" spans="4:4">
      <c r="D4557" s="941" t="s">
        <v>5158</v>
      </c>
    </row>
    <row r="4558" spans="4:4">
      <c r="D4558" s="941" t="s">
        <v>5159</v>
      </c>
    </row>
    <row r="4559" spans="4:4">
      <c r="D4559" s="941" t="s">
        <v>5160</v>
      </c>
    </row>
    <row r="4560" spans="4:4">
      <c r="D4560" s="941" t="s">
        <v>5161</v>
      </c>
    </row>
    <row r="4561" spans="4:4">
      <c r="D4561" s="941" t="s">
        <v>5162</v>
      </c>
    </row>
    <row r="4562" spans="4:4">
      <c r="D4562" s="941" t="s">
        <v>5163</v>
      </c>
    </row>
    <row r="4563" spans="4:4">
      <c r="D4563" s="941" t="s">
        <v>5164</v>
      </c>
    </row>
    <row r="4564" spans="4:4">
      <c r="D4564" s="941" t="s">
        <v>5165</v>
      </c>
    </row>
    <row r="4565" spans="4:4">
      <c r="D4565" s="941" t="s">
        <v>5166</v>
      </c>
    </row>
    <row r="4566" spans="4:4">
      <c r="D4566" s="941" t="s">
        <v>5167</v>
      </c>
    </row>
    <row r="4567" spans="4:4">
      <c r="D4567" s="941" t="s">
        <v>5168</v>
      </c>
    </row>
    <row r="4568" spans="4:4">
      <c r="D4568" s="941" t="s">
        <v>5169</v>
      </c>
    </row>
    <row r="4569" spans="4:4">
      <c r="D4569" s="941" t="s">
        <v>5170</v>
      </c>
    </row>
    <row r="4570" spans="4:4">
      <c r="D4570" s="941" t="s">
        <v>5171</v>
      </c>
    </row>
    <row r="4571" spans="4:4">
      <c r="D4571" s="941" t="s">
        <v>5172</v>
      </c>
    </row>
    <row r="4572" spans="4:4">
      <c r="D4572" s="941" t="s">
        <v>5173</v>
      </c>
    </row>
    <row r="4573" spans="4:4">
      <c r="D4573" s="941" t="s">
        <v>9495</v>
      </c>
    </row>
    <row r="4574" spans="4:4">
      <c r="D4574" s="941" t="s">
        <v>5174</v>
      </c>
    </row>
    <row r="4575" spans="4:4">
      <c r="D4575" s="941" t="s">
        <v>5175</v>
      </c>
    </row>
    <row r="4576" spans="4:4">
      <c r="D4576" s="941" t="s">
        <v>5176</v>
      </c>
    </row>
    <row r="4577" spans="4:4">
      <c r="D4577" s="941" t="s">
        <v>5177</v>
      </c>
    </row>
    <row r="4578" spans="4:4">
      <c r="D4578" s="941" t="s">
        <v>5178</v>
      </c>
    </row>
    <row r="4579" spans="4:4">
      <c r="D4579" s="941" t="s">
        <v>5179</v>
      </c>
    </row>
    <row r="4580" spans="4:4">
      <c r="D4580" s="941" t="s">
        <v>5180</v>
      </c>
    </row>
    <row r="4581" spans="4:4">
      <c r="D4581" s="941" t="s">
        <v>5181</v>
      </c>
    </row>
    <row r="4582" spans="4:4">
      <c r="D4582" s="941" t="s">
        <v>5182</v>
      </c>
    </row>
    <row r="4583" spans="4:4">
      <c r="D4583" s="941" t="s">
        <v>5183</v>
      </c>
    </row>
    <row r="4584" spans="4:4">
      <c r="D4584" s="941" t="s">
        <v>9871</v>
      </c>
    </row>
    <row r="4585" spans="4:4">
      <c r="D4585" s="941" t="s">
        <v>5184</v>
      </c>
    </row>
    <row r="4586" spans="4:4">
      <c r="D4586" s="941" t="s">
        <v>5185</v>
      </c>
    </row>
    <row r="4587" spans="4:4">
      <c r="D4587" s="941" t="s">
        <v>845</v>
      </c>
    </row>
    <row r="4588" spans="4:4">
      <c r="D4588" s="941" t="s">
        <v>5186</v>
      </c>
    </row>
    <row r="4589" spans="4:4">
      <c r="D4589" s="941" t="s">
        <v>5187</v>
      </c>
    </row>
    <row r="4590" spans="4:4">
      <c r="D4590" s="941" t="s">
        <v>5188</v>
      </c>
    </row>
    <row r="4591" spans="4:4">
      <c r="D4591" s="941" t="s">
        <v>5189</v>
      </c>
    </row>
    <row r="4592" spans="4:4">
      <c r="D4592" s="941" t="s">
        <v>5190</v>
      </c>
    </row>
    <row r="4593" spans="4:4">
      <c r="D4593" s="941" t="s">
        <v>5191</v>
      </c>
    </row>
    <row r="4594" spans="4:4">
      <c r="D4594" s="941" t="s">
        <v>5192</v>
      </c>
    </row>
    <row r="4595" spans="4:4">
      <c r="D4595" s="941" t="s">
        <v>5193</v>
      </c>
    </row>
    <row r="4596" spans="4:4">
      <c r="D4596" s="941" t="s">
        <v>5194</v>
      </c>
    </row>
    <row r="4597" spans="4:4">
      <c r="D4597" s="941" t="s">
        <v>5195</v>
      </c>
    </row>
    <row r="4598" spans="4:4">
      <c r="D4598" s="941" t="s">
        <v>9496</v>
      </c>
    </row>
    <row r="4599" spans="4:4">
      <c r="D4599" s="941" t="s">
        <v>5196</v>
      </c>
    </row>
    <row r="4600" spans="4:4">
      <c r="D4600" s="941" t="s">
        <v>5197</v>
      </c>
    </row>
    <row r="4601" spans="4:4">
      <c r="D4601" s="941" t="s">
        <v>5198</v>
      </c>
    </row>
    <row r="4602" spans="4:4">
      <c r="D4602" s="941" t="s">
        <v>5199</v>
      </c>
    </row>
    <row r="4603" spans="4:4">
      <c r="D4603" s="941" t="s">
        <v>5200</v>
      </c>
    </row>
    <row r="4604" spans="4:4">
      <c r="D4604" s="941" t="s">
        <v>5201</v>
      </c>
    </row>
    <row r="4605" spans="4:4">
      <c r="D4605" s="941" t="s">
        <v>5202</v>
      </c>
    </row>
    <row r="4606" spans="4:4">
      <c r="D4606" s="941" t="s">
        <v>10423</v>
      </c>
    </row>
    <row r="4607" spans="4:4">
      <c r="D4607" s="941" t="s">
        <v>5203</v>
      </c>
    </row>
    <row r="4608" spans="4:4">
      <c r="D4608" s="941" t="s">
        <v>5204</v>
      </c>
    </row>
    <row r="4609" spans="4:4">
      <c r="D4609" s="941" t="s">
        <v>5205</v>
      </c>
    </row>
    <row r="4610" spans="4:4">
      <c r="D4610" s="941" t="s">
        <v>10540</v>
      </c>
    </row>
    <row r="4611" spans="4:4">
      <c r="D4611" s="941" t="s">
        <v>9497</v>
      </c>
    </row>
    <row r="4612" spans="4:4">
      <c r="D4612" s="941" t="s">
        <v>5206</v>
      </c>
    </row>
    <row r="4613" spans="4:4">
      <c r="D4613" s="941" t="s">
        <v>5207</v>
      </c>
    </row>
    <row r="4614" spans="4:4">
      <c r="D4614" s="941" t="s">
        <v>5208</v>
      </c>
    </row>
    <row r="4615" spans="4:4">
      <c r="D4615" s="941" t="s">
        <v>5209</v>
      </c>
    </row>
    <row r="4616" spans="4:4">
      <c r="D4616" s="941" t="s">
        <v>5210</v>
      </c>
    </row>
    <row r="4617" spans="4:4">
      <c r="D4617" s="941" t="s">
        <v>5211</v>
      </c>
    </row>
    <row r="4618" spans="4:4">
      <c r="D4618" s="941" t="s">
        <v>5212</v>
      </c>
    </row>
    <row r="4619" spans="4:4">
      <c r="D4619" s="941" t="s">
        <v>5213</v>
      </c>
    </row>
    <row r="4620" spans="4:4">
      <c r="D4620" s="941" t="s">
        <v>5214</v>
      </c>
    </row>
    <row r="4621" spans="4:4">
      <c r="D4621" s="941" t="s">
        <v>5215</v>
      </c>
    </row>
    <row r="4622" spans="4:4">
      <c r="D4622" s="941" t="s">
        <v>10289</v>
      </c>
    </row>
    <row r="4623" spans="4:4">
      <c r="D4623" s="941" t="s">
        <v>5216</v>
      </c>
    </row>
    <row r="4624" spans="4:4">
      <c r="D4624" s="941" t="s">
        <v>5217</v>
      </c>
    </row>
    <row r="4625" spans="4:4">
      <c r="D4625" s="941" t="s">
        <v>5218</v>
      </c>
    </row>
    <row r="4626" spans="4:4">
      <c r="D4626" s="941" t="s">
        <v>5219</v>
      </c>
    </row>
    <row r="4627" spans="4:4">
      <c r="D4627" s="941" t="s">
        <v>5220</v>
      </c>
    </row>
    <row r="4628" spans="4:4">
      <c r="D4628" s="941" t="s">
        <v>9772</v>
      </c>
    </row>
    <row r="4629" spans="4:4">
      <c r="D4629" s="941" t="s">
        <v>9498</v>
      </c>
    </row>
    <row r="4630" spans="4:4">
      <c r="D4630" s="941" t="s">
        <v>5221</v>
      </c>
    </row>
    <row r="4631" spans="4:4">
      <c r="D4631" s="941" t="s">
        <v>5222</v>
      </c>
    </row>
    <row r="4632" spans="4:4">
      <c r="D4632" s="941" t="s">
        <v>9499</v>
      </c>
    </row>
    <row r="4633" spans="4:4">
      <c r="D4633" s="941" t="s">
        <v>5223</v>
      </c>
    </row>
    <row r="4634" spans="4:4">
      <c r="D4634" s="941" t="s">
        <v>5224</v>
      </c>
    </row>
    <row r="4635" spans="4:4">
      <c r="D4635" s="941" t="s">
        <v>498</v>
      </c>
    </row>
    <row r="4636" spans="4:4">
      <c r="D4636" s="941" t="s">
        <v>5225</v>
      </c>
    </row>
    <row r="4637" spans="4:4">
      <c r="D4637" s="941" t="s">
        <v>5226</v>
      </c>
    </row>
    <row r="4638" spans="4:4">
      <c r="D4638" s="941" t="s">
        <v>5227</v>
      </c>
    </row>
    <row r="4639" spans="4:4">
      <c r="D4639" s="941" t="s">
        <v>5228</v>
      </c>
    </row>
    <row r="4640" spans="4:4">
      <c r="D4640" s="941" t="s">
        <v>5229</v>
      </c>
    </row>
    <row r="4641" spans="4:4">
      <c r="D4641" s="941" t="s">
        <v>5230</v>
      </c>
    </row>
    <row r="4642" spans="4:4">
      <c r="D4642" s="941" t="s">
        <v>9500</v>
      </c>
    </row>
    <row r="4643" spans="4:4">
      <c r="D4643" s="941" t="s">
        <v>5231</v>
      </c>
    </row>
    <row r="4644" spans="4:4">
      <c r="D4644" s="941" t="s">
        <v>5232</v>
      </c>
    </row>
    <row r="4645" spans="4:4">
      <c r="D4645" s="941" t="s">
        <v>5233</v>
      </c>
    </row>
    <row r="4646" spans="4:4">
      <c r="D4646" s="941" t="s">
        <v>5234</v>
      </c>
    </row>
    <row r="4647" spans="4:4">
      <c r="D4647" s="941" t="s">
        <v>5235</v>
      </c>
    </row>
    <row r="4648" spans="4:4">
      <c r="D4648" s="941" t="s">
        <v>5236</v>
      </c>
    </row>
    <row r="4649" spans="4:4">
      <c r="D4649" s="941" t="s">
        <v>10684</v>
      </c>
    </row>
    <row r="4650" spans="4:4">
      <c r="D4650" s="941" t="s">
        <v>5237</v>
      </c>
    </row>
    <row r="4651" spans="4:4">
      <c r="D4651" s="941" t="s">
        <v>5238</v>
      </c>
    </row>
    <row r="4652" spans="4:4">
      <c r="D4652" s="941" t="s">
        <v>5239</v>
      </c>
    </row>
    <row r="4653" spans="4:4">
      <c r="D4653" s="941" t="s">
        <v>5240</v>
      </c>
    </row>
    <row r="4654" spans="4:4">
      <c r="D4654" s="941" t="s">
        <v>5241</v>
      </c>
    </row>
    <row r="4655" spans="4:4">
      <c r="D4655" s="941" t="s">
        <v>5242</v>
      </c>
    </row>
    <row r="4656" spans="4:4">
      <c r="D4656" s="941" t="s">
        <v>5243</v>
      </c>
    </row>
    <row r="4657" spans="4:4">
      <c r="D4657" s="941" t="s">
        <v>5244</v>
      </c>
    </row>
    <row r="4658" spans="4:4">
      <c r="D4658" s="941" t="s">
        <v>5245</v>
      </c>
    </row>
    <row r="4659" spans="4:4">
      <c r="D4659" s="941" t="s">
        <v>5246</v>
      </c>
    </row>
    <row r="4660" spans="4:4">
      <c r="D4660" s="941" t="s">
        <v>5247</v>
      </c>
    </row>
    <row r="4661" spans="4:4">
      <c r="D4661" s="941" t="s">
        <v>9501</v>
      </c>
    </row>
    <row r="4662" spans="4:4">
      <c r="D4662" s="941" t="s">
        <v>5248</v>
      </c>
    </row>
    <row r="4663" spans="4:4">
      <c r="D4663" s="941" t="s">
        <v>5249</v>
      </c>
    </row>
    <row r="4664" spans="4:4">
      <c r="D4664" s="941" t="s">
        <v>5250</v>
      </c>
    </row>
    <row r="4665" spans="4:4">
      <c r="D4665" s="941" t="s">
        <v>5251</v>
      </c>
    </row>
    <row r="4666" spans="4:4">
      <c r="D4666" s="941" t="s">
        <v>5252</v>
      </c>
    </row>
    <row r="4667" spans="4:4">
      <c r="D4667" s="941" t="s">
        <v>5253</v>
      </c>
    </row>
    <row r="4668" spans="4:4">
      <c r="D4668" s="941" t="s">
        <v>5254</v>
      </c>
    </row>
    <row r="4669" spans="4:4">
      <c r="D4669" s="941" t="s">
        <v>5255</v>
      </c>
    </row>
    <row r="4670" spans="4:4">
      <c r="D4670" s="941" t="s">
        <v>5256</v>
      </c>
    </row>
    <row r="4671" spans="4:4">
      <c r="D4671" s="941" t="s">
        <v>5257</v>
      </c>
    </row>
    <row r="4672" spans="4:4">
      <c r="D4672" s="941" t="s">
        <v>9502</v>
      </c>
    </row>
    <row r="4673" spans="4:4">
      <c r="D4673" s="941" t="s">
        <v>5258</v>
      </c>
    </row>
    <row r="4674" spans="4:4">
      <c r="D4674" s="941" t="s">
        <v>5259</v>
      </c>
    </row>
    <row r="4675" spans="4:4">
      <c r="D4675" s="941" t="s">
        <v>5260</v>
      </c>
    </row>
    <row r="4676" spans="4:4">
      <c r="D4676" s="941" t="s">
        <v>5261</v>
      </c>
    </row>
    <row r="4677" spans="4:4">
      <c r="D4677" s="941" t="s">
        <v>5262</v>
      </c>
    </row>
    <row r="4678" spans="4:4">
      <c r="D4678" s="941" t="s">
        <v>5263</v>
      </c>
    </row>
    <row r="4679" spans="4:4">
      <c r="D4679" s="941" t="s">
        <v>5264</v>
      </c>
    </row>
    <row r="4680" spans="4:4">
      <c r="D4680" s="941" t="s">
        <v>5265</v>
      </c>
    </row>
    <row r="4681" spans="4:4">
      <c r="D4681" s="941" t="s">
        <v>5266</v>
      </c>
    </row>
    <row r="4682" spans="4:4">
      <c r="D4682" s="941" t="s">
        <v>5267</v>
      </c>
    </row>
    <row r="4683" spans="4:4">
      <c r="D4683" s="941" t="s">
        <v>5268</v>
      </c>
    </row>
    <row r="4684" spans="4:4">
      <c r="D4684" s="941" t="s">
        <v>5269</v>
      </c>
    </row>
    <row r="4685" spans="4:4">
      <c r="D4685" s="941" t="s">
        <v>5270</v>
      </c>
    </row>
    <row r="4686" spans="4:4">
      <c r="D4686" s="941" t="s">
        <v>5271</v>
      </c>
    </row>
    <row r="4687" spans="4:4">
      <c r="D4687" s="941" t="s">
        <v>9872</v>
      </c>
    </row>
    <row r="4688" spans="4:4">
      <c r="D4688" s="941" t="s">
        <v>5272</v>
      </c>
    </row>
    <row r="4689" spans="4:4">
      <c r="D4689" s="941" t="s">
        <v>5273</v>
      </c>
    </row>
    <row r="4690" spans="4:4">
      <c r="D4690" s="941" t="s">
        <v>5274</v>
      </c>
    </row>
    <row r="4691" spans="4:4">
      <c r="D4691" s="941" t="s">
        <v>5275</v>
      </c>
    </row>
    <row r="4692" spans="4:4">
      <c r="D4692" s="941" t="s">
        <v>5276</v>
      </c>
    </row>
    <row r="4693" spans="4:4">
      <c r="D4693" s="941" t="s">
        <v>5277</v>
      </c>
    </row>
    <row r="4694" spans="4:4">
      <c r="D4694" s="941" t="s">
        <v>5278</v>
      </c>
    </row>
    <row r="4695" spans="4:4">
      <c r="D4695" s="941" t="s">
        <v>5279</v>
      </c>
    </row>
    <row r="4696" spans="4:4">
      <c r="D4696" s="941" t="s">
        <v>5280</v>
      </c>
    </row>
    <row r="4697" spans="4:4">
      <c r="D4697" s="941" t="s">
        <v>5281</v>
      </c>
    </row>
    <row r="4698" spans="4:4">
      <c r="D4698" s="941" t="s">
        <v>5282</v>
      </c>
    </row>
    <row r="4699" spans="4:4">
      <c r="D4699" s="941" t="s">
        <v>5283</v>
      </c>
    </row>
    <row r="4700" spans="4:4">
      <c r="D4700" s="941" t="s">
        <v>5284</v>
      </c>
    </row>
    <row r="4701" spans="4:4">
      <c r="D4701" s="941" t="s">
        <v>5285</v>
      </c>
    </row>
    <row r="4702" spans="4:4">
      <c r="D4702" s="941" t="s">
        <v>5286</v>
      </c>
    </row>
    <row r="4703" spans="4:4">
      <c r="D4703" s="941" t="s">
        <v>5287</v>
      </c>
    </row>
    <row r="4704" spans="4:4">
      <c r="D4704" s="941" t="s">
        <v>5288</v>
      </c>
    </row>
    <row r="4705" spans="4:4">
      <c r="D4705" s="941" t="s">
        <v>5289</v>
      </c>
    </row>
    <row r="4706" spans="4:4">
      <c r="D4706" s="941" t="s">
        <v>5290</v>
      </c>
    </row>
    <row r="4707" spans="4:4">
      <c r="D4707" s="941" t="s">
        <v>9503</v>
      </c>
    </row>
    <row r="4708" spans="4:4">
      <c r="D4708" s="941" t="s">
        <v>5291</v>
      </c>
    </row>
    <row r="4709" spans="4:4">
      <c r="D4709" s="941" t="s">
        <v>5292</v>
      </c>
    </row>
    <row r="4710" spans="4:4">
      <c r="D4710" s="941" t="s">
        <v>849</v>
      </c>
    </row>
    <row r="4711" spans="4:4">
      <c r="D4711" s="941" t="s">
        <v>5293</v>
      </c>
    </row>
    <row r="4712" spans="4:4">
      <c r="D4712" s="941" t="s">
        <v>5294</v>
      </c>
    </row>
    <row r="4713" spans="4:4">
      <c r="D4713" s="941" t="s">
        <v>5295</v>
      </c>
    </row>
    <row r="4714" spans="4:4">
      <c r="D4714" s="941" t="s">
        <v>5296</v>
      </c>
    </row>
    <row r="4715" spans="4:4">
      <c r="D4715" s="941" t="s">
        <v>10199</v>
      </c>
    </row>
    <row r="4716" spans="4:4">
      <c r="D4716" s="941" t="s">
        <v>5297</v>
      </c>
    </row>
    <row r="4717" spans="4:4">
      <c r="D4717" s="941" t="s">
        <v>5298</v>
      </c>
    </row>
    <row r="4718" spans="4:4">
      <c r="D4718" s="941" t="s">
        <v>5299</v>
      </c>
    </row>
    <row r="4719" spans="4:4">
      <c r="D4719" s="941" t="s">
        <v>5300</v>
      </c>
    </row>
    <row r="4720" spans="4:4">
      <c r="D4720" s="941" t="s">
        <v>5301</v>
      </c>
    </row>
    <row r="4721" spans="4:4">
      <c r="D4721" s="941" t="s">
        <v>9504</v>
      </c>
    </row>
    <row r="4722" spans="4:4">
      <c r="D4722" s="941" t="s">
        <v>5302</v>
      </c>
    </row>
    <row r="4723" spans="4:4">
      <c r="D4723" s="941" t="s">
        <v>5303</v>
      </c>
    </row>
    <row r="4724" spans="4:4">
      <c r="D4724" s="941" t="s">
        <v>9284</v>
      </c>
    </row>
    <row r="4725" spans="4:4">
      <c r="D4725" s="941" t="s">
        <v>9285</v>
      </c>
    </row>
    <row r="4726" spans="4:4">
      <c r="D4726" s="941" t="s">
        <v>7571</v>
      </c>
    </row>
    <row r="4727" spans="4:4">
      <c r="D4727" s="941" t="s">
        <v>9873</v>
      </c>
    </row>
    <row r="4728" spans="4:4">
      <c r="D4728" s="941" t="s">
        <v>5304</v>
      </c>
    </row>
    <row r="4729" spans="4:4">
      <c r="D4729" s="941" t="s">
        <v>7572</v>
      </c>
    </row>
    <row r="4730" spans="4:4">
      <c r="D4730" s="941" t="s">
        <v>5305</v>
      </c>
    </row>
    <row r="4731" spans="4:4">
      <c r="D4731" s="941" t="s">
        <v>7573</v>
      </c>
    </row>
    <row r="4732" spans="4:4">
      <c r="D4732" s="941" t="s">
        <v>7574</v>
      </c>
    </row>
    <row r="4733" spans="4:4">
      <c r="D4733" s="941" t="s">
        <v>7575</v>
      </c>
    </row>
    <row r="4734" spans="4:4">
      <c r="D4734" s="941" t="s">
        <v>7576</v>
      </c>
    </row>
    <row r="4735" spans="4:4">
      <c r="D4735" s="941" t="s">
        <v>10679</v>
      </c>
    </row>
    <row r="4736" spans="4:4">
      <c r="D4736" s="941" t="s">
        <v>5306</v>
      </c>
    </row>
    <row r="4737" spans="4:4">
      <c r="D4737" s="941" t="s">
        <v>5307</v>
      </c>
    </row>
    <row r="4738" spans="4:4">
      <c r="D4738" s="941" t="s">
        <v>5308</v>
      </c>
    </row>
    <row r="4739" spans="4:4">
      <c r="D4739" s="941" t="s">
        <v>5309</v>
      </c>
    </row>
    <row r="4740" spans="4:4">
      <c r="D4740" s="941" t="s">
        <v>5310</v>
      </c>
    </row>
    <row r="4741" spans="4:4">
      <c r="D4741" s="941" t="s">
        <v>5311</v>
      </c>
    </row>
    <row r="4742" spans="4:4">
      <c r="D4742" s="941" t="s">
        <v>7577</v>
      </c>
    </row>
    <row r="4743" spans="4:4">
      <c r="D4743" s="941" t="s">
        <v>5312</v>
      </c>
    </row>
    <row r="4744" spans="4:4">
      <c r="D4744" s="941" t="s">
        <v>7578</v>
      </c>
    </row>
    <row r="4745" spans="4:4">
      <c r="D4745" s="941" t="s">
        <v>5313</v>
      </c>
    </row>
    <row r="4746" spans="4:4">
      <c r="D4746" s="941" t="s">
        <v>5314</v>
      </c>
    </row>
    <row r="4747" spans="4:4">
      <c r="D4747" s="941" t="s">
        <v>7579</v>
      </c>
    </row>
    <row r="4748" spans="4:4">
      <c r="D4748" s="941" t="s">
        <v>10225</v>
      </c>
    </row>
    <row r="4749" spans="4:4">
      <c r="D4749" s="941" t="s">
        <v>5315</v>
      </c>
    </row>
    <row r="4750" spans="4:4">
      <c r="D4750" s="941" t="s">
        <v>5316</v>
      </c>
    </row>
    <row r="4751" spans="4:4">
      <c r="D4751" s="941" t="s">
        <v>5317</v>
      </c>
    </row>
    <row r="4752" spans="4:4">
      <c r="D4752" s="941" t="s">
        <v>9773</v>
      </c>
    </row>
    <row r="4753" spans="4:4">
      <c r="D4753" s="941" t="s">
        <v>5318</v>
      </c>
    </row>
    <row r="4754" spans="4:4">
      <c r="D4754" s="941" t="s">
        <v>7580</v>
      </c>
    </row>
    <row r="4755" spans="4:4">
      <c r="D4755" s="941" t="s">
        <v>5319</v>
      </c>
    </row>
    <row r="4756" spans="4:4">
      <c r="D4756" s="941" t="s">
        <v>9505</v>
      </c>
    </row>
    <row r="4757" spans="4:4">
      <c r="D4757" s="941" t="s">
        <v>5320</v>
      </c>
    </row>
    <row r="4758" spans="4:4">
      <c r="D4758" s="941" t="s">
        <v>5321</v>
      </c>
    </row>
    <row r="4759" spans="4:4">
      <c r="D4759" s="941" t="s">
        <v>5322</v>
      </c>
    </row>
    <row r="4760" spans="4:4">
      <c r="D4760" s="941" t="s">
        <v>5323</v>
      </c>
    </row>
    <row r="4761" spans="4:4">
      <c r="D4761" s="941" t="s">
        <v>5324</v>
      </c>
    </row>
    <row r="4762" spans="4:4">
      <c r="D4762" s="941" t="s">
        <v>5325</v>
      </c>
    </row>
    <row r="4763" spans="4:4">
      <c r="D4763" s="941" t="s">
        <v>5326</v>
      </c>
    </row>
    <row r="4764" spans="4:4">
      <c r="D4764" s="941" t="s">
        <v>5327</v>
      </c>
    </row>
    <row r="4765" spans="4:4">
      <c r="D4765" s="941" t="s">
        <v>5328</v>
      </c>
    </row>
    <row r="4766" spans="4:4">
      <c r="D4766" s="941" t="s">
        <v>5329</v>
      </c>
    </row>
    <row r="4767" spans="4:4">
      <c r="D4767" s="941" t="s">
        <v>5330</v>
      </c>
    </row>
    <row r="4768" spans="4:4">
      <c r="D4768" s="941" t="s">
        <v>5331</v>
      </c>
    </row>
    <row r="4769" spans="4:4">
      <c r="D4769" s="941" t="s">
        <v>5332</v>
      </c>
    </row>
    <row r="4770" spans="4:4">
      <c r="D4770" s="941" t="s">
        <v>5333</v>
      </c>
    </row>
    <row r="4771" spans="4:4">
      <c r="D4771" s="941" t="s">
        <v>5334</v>
      </c>
    </row>
    <row r="4772" spans="4:4">
      <c r="D4772" s="941" t="s">
        <v>5335</v>
      </c>
    </row>
    <row r="4773" spans="4:4">
      <c r="D4773" s="941" t="s">
        <v>5336</v>
      </c>
    </row>
    <row r="4774" spans="4:4">
      <c r="D4774" s="941" t="s">
        <v>5337</v>
      </c>
    </row>
    <row r="4775" spans="4:4">
      <c r="D4775" s="941" t="s">
        <v>5338</v>
      </c>
    </row>
    <row r="4776" spans="4:4">
      <c r="D4776" s="941" t="s">
        <v>5339</v>
      </c>
    </row>
    <row r="4777" spans="4:4">
      <c r="D4777" s="941" t="s">
        <v>5340</v>
      </c>
    </row>
    <row r="4778" spans="4:4">
      <c r="D4778" s="941" t="s">
        <v>5341</v>
      </c>
    </row>
    <row r="4779" spans="4:4">
      <c r="D4779" s="941" t="s">
        <v>5342</v>
      </c>
    </row>
    <row r="4780" spans="4:4">
      <c r="D4780" s="941" t="s">
        <v>5343</v>
      </c>
    </row>
    <row r="4781" spans="4:4">
      <c r="D4781" s="941" t="s">
        <v>10541</v>
      </c>
    </row>
    <row r="4782" spans="4:4">
      <c r="D4782" s="941" t="s">
        <v>5344</v>
      </c>
    </row>
    <row r="4783" spans="4:4">
      <c r="D4783" s="941" t="s">
        <v>9506</v>
      </c>
    </row>
    <row r="4784" spans="4:4">
      <c r="D4784" s="941" t="s">
        <v>5345</v>
      </c>
    </row>
    <row r="4785" spans="4:4">
      <c r="D4785" s="941" t="s">
        <v>5346</v>
      </c>
    </row>
    <row r="4786" spans="4:4">
      <c r="D4786" s="941" t="s">
        <v>5347</v>
      </c>
    </row>
    <row r="4787" spans="4:4">
      <c r="D4787" s="941" t="s">
        <v>9507</v>
      </c>
    </row>
    <row r="4788" spans="4:4">
      <c r="D4788" s="941" t="s">
        <v>5348</v>
      </c>
    </row>
    <row r="4789" spans="4:4">
      <c r="D4789" s="941" t="s">
        <v>7581</v>
      </c>
    </row>
    <row r="4790" spans="4:4">
      <c r="D4790" s="941" t="s">
        <v>5349</v>
      </c>
    </row>
    <row r="4791" spans="4:4">
      <c r="D4791" s="941" t="s">
        <v>7582</v>
      </c>
    </row>
    <row r="4792" spans="4:4">
      <c r="D4792" s="941" t="s">
        <v>7583</v>
      </c>
    </row>
    <row r="4793" spans="4:4">
      <c r="D4793" s="941" t="s">
        <v>5350</v>
      </c>
    </row>
    <row r="4794" spans="4:4">
      <c r="D4794" s="941" t="s">
        <v>5351</v>
      </c>
    </row>
    <row r="4795" spans="4:4">
      <c r="D4795" s="941" t="s">
        <v>7584</v>
      </c>
    </row>
    <row r="4796" spans="4:4">
      <c r="D4796" s="941" t="s">
        <v>5352</v>
      </c>
    </row>
    <row r="4797" spans="4:4">
      <c r="D4797" s="941" t="s">
        <v>5353</v>
      </c>
    </row>
    <row r="4798" spans="4:4">
      <c r="D4798" s="941" t="s">
        <v>5354</v>
      </c>
    </row>
    <row r="4799" spans="4:4">
      <c r="D4799" s="941" t="s">
        <v>10542</v>
      </c>
    </row>
    <row r="4800" spans="4:4">
      <c r="D4800" s="941" t="s">
        <v>9508</v>
      </c>
    </row>
    <row r="4801" spans="4:4">
      <c r="D4801" s="941" t="s">
        <v>5355</v>
      </c>
    </row>
    <row r="4802" spans="4:4">
      <c r="D4802" s="941" t="s">
        <v>5356</v>
      </c>
    </row>
    <row r="4803" spans="4:4">
      <c r="D4803" s="941" t="s">
        <v>5357</v>
      </c>
    </row>
    <row r="4804" spans="4:4">
      <c r="D4804" s="941" t="s">
        <v>5358</v>
      </c>
    </row>
    <row r="4805" spans="4:4">
      <c r="D4805" s="941" t="s">
        <v>5359</v>
      </c>
    </row>
    <row r="4806" spans="4:4">
      <c r="D4806" s="941" t="s">
        <v>5360</v>
      </c>
    </row>
    <row r="4807" spans="4:4">
      <c r="D4807" s="941" t="s">
        <v>5361</v>
      </c>
    </row>
    <row r="4808" spans="4:4">
      <c r="D4808" s="941" t="s">
        <v>5362</v>
      </c>
    </row>
    <row r="4809" spans="4:4">
      <c r="D4809" s="941" t="s">
        <v>9774</v>
      </c>
    </row>
    <row r="4810" spans="4:4">
      <c r="D4810" s="941" t="s">
        <v>5363</v>
      </c>
    </row>
    <row r="4811" spans="4:4">
      <c r="D4811" s="941" t="s">
        <v>5364</v>
      </c>
    </row>
    <row r="4812" spans="4:4">
      <c r="D4812" s="941" t="s">
        <v>5365</v>
      </c>
    </row>
    <row r="4813" spans="4:4">
      <c r="D4813" s="941" t="s">
        <v>5366</v>
      </c>
    </row>
    <row r="4814" spans="4:4">
      <c r="D4814" s="941" t="s">
        <v>5367</v>
      </c>
    </row>
    <row r="4815" spans="4:4">
      <c r="D4815" s="941" t="s">
        <v>5368</v>
      </c>
    </row>
    <row r="4816" spans="4:4">
      <c r="D4816" s="941" t="s">
        <v>5369</v>
      </c>
    </row>
    <row r="4817" spans="4:4">
      <c r="D4817" s="941" t="s">
        <v>5370</v>
      </c>
    </row>
    <row r="4818" spans="4:4">
      <c r="D4818" s="941" t="s">
        <v>5371</v>
      </c>
    </row>
    <row r="4819" spans="4:4">
      <c r="D4819" s="941" t="s">
        <v>5372</v>
      </c>
    </row>
    <row r="4820" spans="4:4">
      <c r="D4820" s="941" t="s">
        <v>5373</v>
      </c>
    </row>
    <row r="4821" spans="4:4">
      <c r="D4821" s="941" t="s">
        <v>9509</v>
      </c>
    </row>
    <row r="4822" spans="4:4">
      <c r="D4822" s="941" t="s">
        <v>5374</v>
      </c>
    </row>
    <row r="4823" spans="4:4">
      <c r="D4823" s="941" t="s">
        <v>5375</v>
      </c>
    </row>
    <row r="4824" spans="4:4">
      <c r="D4824" s="941" t="s">
        <v>5376</v>
      </c>
    </row>
    <row r="4825" spans="4:4">
      <c r="D4825" s="941" t="s">
        <v>5377</v>
      </c>
    </row>
    <row r="4826" spans="4:4">
      <c r="D4826" s="941" t="s">
        <v>10605</v>
      </c>
    </row>
    <row r="4827" spans="4:4">
      <c r="D4827" s="941" t="s">
        <v>5378</v>
      </c>
    </row>
    <row r="4828" spans="4:4">
      <c r="D4828" s="941" t="s">
        <v>7585</v>
      </c>
    </row>
    <row r="4829" spans="4:4">
      <c r="D4829" s="941" t="s">
        <v>5379</v>
      </c>
    </row>
    <row r="4830" spans="4:4">
      <c r="D4830" s="941" t="s">
        <v>5380</v>
      </c>
    </row>
    <row r="4831" spans="4:4">
      <c r="D4831" s="941" t="s">
        <v>5381</v>
      </c>
    </row>
    <row r="4832" spans="4:4">
      <c r="D4832" s="941" t="s">
        <v>5382</v>
      </c>
    </row>
    <row r="4833" spans="4:4">
      <c r="D4833" s="941" t="s">
        <v>5383</v>
      </c>
    </row>
    <row r="4834" spans="4:4">
      <c r="D4834" s="941" t="s">
        <v>5384</v>
      </c>
    </row>
    <row r="4835" spans="4:4">
      <c r="D4835" s="941" t="s">
        <v>10393</v>
      </c>
    </row>
    <row r="4836" spans="4:4">
      <c r="D4836" s="941" t="s">
        <v>10424</v>
      </c>
    </row>
    <row r="4837" spans="4:4">
      <c r="D4837" s="941" t="s">
        <v>5385</v>
      </c>
    </row>
    <row r="4838" spans="4:4">
      <c r="D4838" s="941" t="s">
        <v>5386</v>
      </c>
    </row>
    <row r="4839" spans="4:4">
      <c r="D4839" s="941" t="s">
        <v>5387</v>
      </c>
    </row>
    <row r="4840" spans="4:4">
      <c r="D4840" s="941" t="s">
        <v>5388</v>
      </c>
    </row>
    <row r="4841" spans="4:4">
      <c r="D4841" s="941" t="s">
        <v>5389</v>
      </c>
    </row>
    <row r="4842" spans="4:4">
      <c r="D4842" s="941" t="s">
        <v>5390</v>
      </c>
    </row>
    <row r="4843" spans="4:4">
      <c r="D4843" s="941" t="s">
        <v>5391</v>
      </c>
    </row>
    <row r="4844" spans="4:4">
      <c r="D4844" s="941" t="s">
        <v>5392</v>
      </c>
    </row>
    <row r="4845" spans="4:4">
      <c r="D4845" s="941" t="s">
        <v>5393</v>
      </c>
    </row>
    <row r="4846" spans="4:4">
      <c r="D4846" s="941" t="s">
        <v>5394</v>
      </c>
    </row>
    <row r="4847" spans="4:4">
      <c r="D4847" s="941" t="s">
        <v>5395</v>
      </c>
    </row>
    <row r="4848" spans="4:4">
      <c r="D4848" s="941" t="s">
        <v>9510</v>
      </c>
    </row>
    <row r="4849" spans="4:4">
      <c r="D4849" s="941" t="s">
        <v>5396</v>
      </c>
    </row>
    <row r="4850" spans="4:4">
      <c r="D4850" s="941" t="s">
        <v>5397</v>
      </c>
    </row>
    <row r="4851" spans="4:4">
      <c r="D4851" s="941" t="s">
        <v>5398</v>
      </c>
    </row>
    <row r="4852" spans="4:4">
      <c r="D4852" s="941" t="s">
        <v>5399</v>
      </c>
    </row>
    <row r="4853" spans="4:4">
      <c r="D4853" s="941" t="s">
        <v>5400</v>
      </c>
    </row>
    <row r="4854" spans="4:4">
      <c r="D4854" s="941" t="s">
        <v>5401</v>
      </c>
    </row>
    <row r="4855" spans="4:4">
      <c r="D4855" s="941" t="s">
        <v>5402</v>
      </c>
    </row>
    <row r="4856" spans="4:4">
      <c r="D4856" s="941" t="s">
        <v>5403</v>
      </c>
    </row>
    <row r="4857" spans="4:4">
      <c r="D4857" s="941" t="s">
        <v>5404</v>
      </c>
    </row>
    <row r="4858" spans="4:4">
      <c r="D4858" s="941" t="s">
        <v>5405</v>
      </c>
    </row>
    <row r="4859" spans="4:4">
      <c r="D4859" s="941" t="s">
        <v>5406</v>
      </c>
    </row>
    <row r="4860" spans="4:4">
      <c r="D4860" s="941" t="s">
        <v>5407</v>
      </c>
    </row>
    <row r="4861" spans="4:4">
      <c r="D4861" s="941" t="s">
        <v>5408</v>
      </c>
    </row>
    <row r="4862" spans="4:4">
      <c r="D4862" s="941" t="s">
        <v>5409</v>
      </c>
    </row>
    <row r="4863" spans="4:4">
      <c r="D4863" s="941" t="s">
        <v>5410</v>
      </c>
    </row>
    <row r="4864" spans="4:4">
      <c r="D4864" s="941" t="s">
        <v>5411</v>
      </c>
    </row>
    <row r="4865" spans="4:4">
      <c r="D4865" s="941" t="s">
        <v>5412</v>
      </c>
    </row>
    <row r="4866" spans="4:4">
      <c r="D4866" s="941" t="s">
        <v>5413</v>
      </c>
    </row>
    <row r="4867" spans="4:4">
      <c r="D4867" s="941" t="s">
        <v>5414</v>
      </c>
    </row>
    <row r="4868" spans="4:4">
      <c r="D4868" s="941" t="s">
        <v>5415</v>
      </c>
    </row>
    <row r="4869" spans="4:4">
      <c r="D4869" s="941" t="s">
        <v>5416</v>
      </c>
    </row>
    <row r="4870" spans="4:4">
      <c r="D4870" s="941" t="s">
        <v>1018</v>
      </c>
    </row>
    <row r="4871" spans="4:4">
      <c r="D4871" s="941" t="s">
        <v>5417</v>
      </c>
    </row>
    <row r="4872" spans="4:4">
      <c r="D4872" s="941" t="s">
        <v>5418</v>
      </c>
    </row>
    <row r="4873" spans="4:4">
      <c r="D4873" s="941" t="s">
        <v>9511</v>
      </c>
    </row>
    <row r="4874" spans="4:4">
      <c r="D4874" s="941" t="s">
        <v>5419</v>
      </c>
    </row>
    <row r="4875" spans="4:4">
      <c r="D4875" s="941" t="s">
        <v>5420</v>
      </c>
    </row>
    <row r="4876" spans="4:4">
      <c r="D4876" s="941" t="s">
        <v>5421</v>
      </c>
    </row>
    <row r="4877" spans="4:4">
      <c r="D4877" s="941" t="s">
        <v>5422</v>
      </c>
    </row>
    <row r="4878" spans="4:4">
      <c r="D4878" s="941" t="s">
        <v>5423</v>
      </c>
    </row>
    <row r="4879" spans="4:4">
      <c r="D4879" s="941" t="s">
        <v>5424</v>
      </c>
    </row>
    <row r="4880" spans="4:4">
      <c r="D4880" s="941" t="s">
        <v>5425</v>
      </c>
    </row>
    <row r="4881" spans="4:4">
      <c r="D4881" s="941" t="s">
        <v>5426</v>
      </c>
    </row>
    <row r="4882" spans="4:4">
      <c r="D4882" s="941" t="s">
        <v>5427</v>
      </c>
    </row>
    <row r="4883" spans="4:4">
      <c r="D4883" s="941" t="s">
        <v>626</v>
      </c>
    </row>
    <row r="4884" spans="4:4">
      <c r="D4884" s="941" t="s">
        <v>5428</v>
      </c>
    </row>
    <row r="4885" spans="4:4">
      <c r="D4885" s="941" t="s">
        <v>5429</v>
      </c>
    </row>
    <row r="4886" spans="4:4">
      <c r="D4886" s="941" t="s">
        <v>5430</v>
      </c>
    </row>
    <row r="4887" spans="4:4">
      <c r="D4887" s="941" t="s">
        <v>5431</v>
      </c>
    </row>
    <row r="4888" spans="4:4">
      <c r="D4888" s="941" t="s">
        <v>5432</v>
      </c>
    </row>
    <row r="4889" spans="4:4">
      <c r="D4889" s="941" t="s">
        <v>5433</v>
      </c>
    </row>
    <row r="4890" spans="4:4">
      <c r="D4890" s="941" t="s">
        <v>5434</v>
      </c>
    </row>
    <row r="4891" spans="4:4">
      <c r="D4891" s="941" t="s">
        <v>5435</v>
      </c>
    </row>
    <row r="4892" spans="4:4">
      <c r="D4892" s="941" t="s">
        <v>5436</v>
      </c>
    </row>
    <row r="4893" spans="4:4">
      <c r="D4893" s="941" t="s">
        <v>5437</v>
      </c>
    </row>
    <row r="4894" spans="4:4">
      <c r="D4894" s="941" t="s">
        <v>5438</v>
      </c>
    </row>
    <row r="4895" spans="4:4">
      <c r="D4895" s="941" t="s">
        <v>5439</v>
      </c>
    </row>
    <row r="4896" spans="4:4">
      <c r="D4896" s="941" t="s">
        <v>5440</v>
      </c>
    </row>
    <row r="4897" spans="4:4">
      <c r="D4897" s="941" t="s">
        <v>5441</v>
      </c>
    </row>
    <row r="4898" spans="4:4">
      <c r="D4898" s="941" t="s">
        <v>5442</v>
      </c>
    </row>
    <row r="4899" spans="4:4">
      <c r="D4899" s="941" t="s">
        <v>5443</v>
      </c>
    </row>
    <row r="4900" spans="4:4">
      <c r="D4900" s="941" t="s">
        <v>5444</v>
      </c>
    </row>
    <row r="4901" spans="4:4">
      <c r="D4901" s="941" t="s">
        <v>5445</v>
      </c>
    </row>
    <row r="4902" spans="4:4">
      <c r="D4902" s="941" t="s">
        <v>5446</v>
      </c>
    </row>
    <row r="4903" spans="4:4">
      <c r="D4903" s="941" t="s">
        <v>5447</v>
      </c>
    </row>
    <row r="4904" spans="4:4">
      <c r="D4904" s="941" t="s">
        <v>5448</v>
      </c>
    </row>
    <row r="4905" spans="4:4">
      <c r="D4905" s="941" t="s">
        <v>5449</v>
      </c>
    </row>
    <row r="4906" spans="4:4">
      <c r="D4906" s="941" t="s">
        <v>5450</v>
      </c>
    </row>
    <row r="4907" spans="4:4">
      <c r="D4907" s="941" t="s">
        <v>5451</v>
      </c>
    </row>
    <row r="4908" spans="4:4">
      <c r="D4908" s="941" t="s">
        <v>5452</v>
      </c>
    </row>
    <row r="4909" spans="4:4">
      <c r="D4909" s="941" t="s">
        <v>5453</v>
      </c>
    </row>
    <row r="4910" spans="4:4">
      <c r="D4910" s="941" t="s">
        <v>5454</v>
      </c>
    </row>
    <row r="4911" spans="4:4">
      <c r="D4911" s="941" t="s">
        <v>10495</v>
      </c>
    </row>
    <row r="4912" spans="4:4">
      <c r="D4912" s="941" t="s">
        <v>5455</v>
      </c>
    </row>
    <row r="4913" spans="4:4">
      <c r="D4913" s="941" t="s">
        <v>5456</v>
      </c>
    </row>
    <row r="4914" spans="4:4">
      <c r="D4914" s="941" t="s">
        <v>10543</v>
      </c>
    </row>
    <row r="4915" spans="4:4">
      <c r="D4915" s="941" t="s">
        <v>5457</v>
      </c>
    </row>
    <row r="4916" spans="4:4">
      <c r="D4916" s="941" t="s">
        <v>5458</v>
      </c>
    </row>
    <row r="4917" spans="4:4">
      <c r="D4917" s="941" t="s">
        <v>5459</v>
      </c>
    </row>
    <row r="4918" spans="4:4">
      <c r="D4918" s="941" t="s">
        <v>5460</v>
      </c>
    </row>
    <row r="4919" spans="4:4">
      <c r="D4919" s="941" t="s">
        <v>5461</v>
      </c>
    </row>
    <row r="4920" spans="4:4">
      <c r="D4920" s="941" t="s">
        <v>9512</v>
      </c>
    </row>
    <row r="4921" spans="4:4">
      <c r="D4921" s="941" t="s">
        <v>5462</v>
      </c>
    </row>
    <row r="4922" spans="4:4">
      <c r="D4922" s="941" t="s">
        <v>5463</v>
      </c>
    </row>
    <row r="4923" spans="4:4">
      <c r="D4923" s="941" t="s">
        <v>5464</v>
      </c>
    </row>
    <row r="4924" spans="4:4">
      <c r="D4924" s="941" t="s">
        <v>5465</v>
      </c>
    </row>
    <row r="4925" spans="4:4">
      <c r="D4925" s="941" t="s">
        <v>5466</v>
      </c>
    </row>
    <row r="4926" spans="4:4">
      <c r="D4926" s="941" t="s">
        <v>5467</v>
      </c>
    </row>
    <row r="4927" spans="4:4">
      <c r="D4927" s="941" t="s">
        <v>5468</v>
      </c>
    </row>
    <row r="4928" spans="4:4">
      <c r="D4928" s="941" t="s">
        <v>5469</v>
      </c>
    </row>
    <row r="4929" spans="4:4">
      <c r="D4929" s="941" t="s">
        <v>5470</v>
      </c>
    </row>
    <row r="4930" spans="4:4">
      <c r="D4930" s="941" t="s">
        <v>5471</v>
      </c>
    </row>
    <row r="4931" spans="4:4">
      <c r="D4931" s="941" t="s">
        <v>5472</v>
      </c>
    </row>
    <row r="4932" spans="4:4">
      <c r="D4932" s="941" t="s">
        <v>5473</v>
      </c>
    </row>
    <row r="4933" spans="4:4">
      <c r="D4933" s="941" t="s">
        <v>5474</v>
      </c>
    </row>
    <row r="4934" spans="4:4">
      <c r="D4934" s="941" t="s">
        <v>10887</v>
      </c>
    </row>
    <row r="4935" spans="4:4">
      <c r="D4935" s="941" t="s">
        <v>5475</v>
      </c>
    </row>
    <row r="4936" spans="4:4">
      <c r="D4936" s="941" t="s">
        <v>5476</v>
      </c>
    </row>
    <row r="4937" spans="4:4">
      <c r="D4937" s="941" t="s">
        <v>5477</v>
      </c>
    </row>
    <row r="4938" spans="4:4">
      <c r="D4938" s="941" t="s">
        <v>10590</v>
      </c>
    </row>
    <row r="4939" spans="4:4">
      <c r="D4939" s="941" t="s">
        <v>5478</v>
      </c>
    </row>
    <row r="4940" spans="4:4">
      <c r="D4940" s="941" t="s">
        <v>198</v>
      </c>
    </row>
    <row r="4941" spans="4:4">
      <c r="D4941" s="941" t="s">
        <v>10544</v>
      </c>
    </row>
    <row r="4942" spans="4:4">
      <c r="D4942" s="941" t="s">
        <v>5479</v>
      </c>
    </row>
    <row r="4943" spans="4:4">
      <c r="D4943" s="941" t="s">
        <v>5480</v>
      </c>
    </row>
    <row r="4944" spans="4:4">
      <c r="D4944" s="941" t="s">
        <v>5481</v>
      </c>
    </row>
    <row r="4945" spans="4:4">
      <c r="D4945" s="941" t="s">
        <v>5482</v>
      </c>
    </row>
    <row r="4946" spans="4:4">
      <c r="D4946" s="941" t="s">
        <v>5483</v>
      </c>
    </row>
    <row r="4947" spans="4:4">
      <c r="D4947" s="941" t="s">
        <v>5484</v>
      </c>
    </row>
    <row r="4948" spans="4:4">
      <c r="D4948" s="941" t="s">
        <v>5485</v>
      </c>
    </row>
    <row r="4949" spans="4:4">
      <c r="D4949" s="941" t="s">
        <v>5486</v>
      </c>
    </row>
    <row r="4950" spans="4:4">
      <c r="D4950" s="941" t="s">
        <v>5487</v>
      </c>
    </row>
    <row r="4951" spans="4:4">
      <c r="D4951" s="941" t="s">
        <v>5488</v>
      </c>
    </row>
    <row r="4952" spans="4:4">
      <c r="D4952" s="941" t="s">
        <v>5489</v>
      </c>
    </row>
    <row r="4953" spans="4:4">
      <c r="D4953" s="941" t="s">
        <v>5490</v>
      </c>
    </row>
    <row r="4954" spans="4:4">
      <c r="D4954" s="941" t="s">
        <v>5491</v>
      </c>
    </row>
    <row r="4955" spans="4:4">
      <c r="D4955" s="941" t="s">
        <v>5492</v>
      </c>
    </row>
    <row r="4956" spans="4:4">
      <c r="D4956" s="941" t="s">
        <v>10545</v>
      </c>
    </row>
    <row r="4957" spans="4:4">
      <c r="D4957" s="941" t="s">
        <v>5493</v>
      </c>
    </row>
    <row r="4958" spans="4:4">
      <c r="D4958" s="941" t="s">
        <v>5494</v>
      </c>
    </row>
    <row r="4959" spans="4:4">
      <c r="D4959" s="941" t="s">
        <v>9513</v>
      </c>
    </row>
    <row r="4960" spans="4:4">
      <c r="D4960" s="941" t="s">
        <v>5495</v>
      </c>
    </row>
    <row r="4961" spans="4:4">
      <c r="D4961" s="941" t="s">
        <v>5496</v>
      </c>
    </row>
    <row r="4962" spans="4:4">
      <c r="D4962" s="941" t="s">
        <v>5497</v>
      </c>
    </row>
    <row r="4963" spans="4:4">
      <c r="D4963" s="941" t="s">
        <v>5498</v>
      </c>
    </row>
    <row r="4964" spans="4:4">
      <c r="D4964" s="941" t="s">
        <v>5499</v>
      </c>
    </row>
    <row r="4965" spans="4:4">
      <c r="D4965" s="941" t="s">
        <v>5500</v>
      </c>
    </row>
    <row r="4966" spans="4:4">
      <c r="D4966" s="941" t="s">
        <v>5501</v>
      </c>
    </row>
    <row r="4967" spans="4:4">
      <c r="D4967" s="941" t="s">
        <v>5502</v>
      </c>
    </row>
    <row r="4968" spans="4:4">
      <c r="D4968" s="941" t="s">
        <v>5503</v>
      </c>
    </row>
    <row r="4969" spans="4:4">
      <c r="D4969" s="941" t="s">
        <v>5504</v>
      </c>
    </row>
    <row r="4970" spans="4:4">
      <c r="D4970" s="941" t="s">
        <v>5505</v>
      </c>
    </row>
    <row r="4971" spans="4:4">
      <c r="D4971" s="941" t="s">
        <v>5506</v>
      </c>
    </row>
    <row r="4972" spans="4:4">
      <c r="D4972" s="941" t="s">
        <v>5507</v>
      </c>
    </row>
    <row r="4973" spans="4:4">
      <c r="D4973" s="941" t="s">
        <v>5508</v>
      </c>
    </row>
    <row r="4974" spans="4:4">
      <c r="D4974" s="941" t="s">
        <v>5509</v>
      </c>
    </row>
    <row r="4975" spans="4:4">
      <c r="D4975" s="941" t="s">
        <v>5510</v>
      </c>
    </row>
    <row r="4976" spans="4:4">
      <c r="D4976" s="941" t="s">
        <v>5511</v>
      </c>
    </row>
    <row r="4977" spans="4:4">
      <c r="D4977" s="941" t="s">
        <v>5512</v>
      </c>
    </row>
    <row r="4978" spans="4:4">
      <c r="D4978" s="941" t="s">
        <v>5513</v>
      </c>
    </row>
    <row r="4979" spans="4:4">
      <c r="D4979" s="941" t="s">
        <v>5514</v>
      </c>
    </row>
    <row r="4980" spans="4:4">
      <c r="D4980" s="941" t="s">
        <v>5515</v>
      </c>
    </row>
    <row r="4981" spans="4:4">
      <c r="D4981" s="941" t="s">
        <v>5516</v>
      </c>
    </row>
    <row r="4982" spans="4:4">
      <c r="D4982" s="941" t="s">
        <v>5517</v>
      </c>
    </row>
    <row r="4983" spans="4:4">
      <c r="D4983" s="941" t="s">
        <v>9514</v>
      </c>
    </row>
    <row r="4984" spans="4:4">
      <c r="D4984" s="941" t="s">
        <v>5518</v>
      </c>
    </row>
    <row r="4985" spans="4:4">
      <c r="D4985" s="941" t="s">
        <v>10689</v>
      </c>
    </row>
    <row r="4986" spans="4:4">
      <c r="D4986" s="941" t="s">
        <v>5519</v>
      </c>
    </row>
    <row r="4987" spans="4:4">
      <c r="D4987" s="941" t="s">
        <v>5520</v>
      </c>
    </row>
    <row r="4988" spans="4:4">
      <c r="D4988" s="941" t="s">
        <v>9515</v>
      </c>
    </row>
    <row r="4989" spans="4:4">
      <c r="D4989" s="941" t="s">
        <v>5521</v>
      </c>
    </row>
    <row r="4990" spans="4:4">
      <c r="D4990" s="941" t="s">
        <v>5522</v>
      </c>
    </row>
    <row r="4991" spans="4:4">
      <c r="D4991" s="941" t="s">
        <v>5523</v>
      </c>
    </row>
    <row r="4992" spans="4:4">
      <c r="D4992" s="941" t="s">
        <v>9516</v>
      </c>
    </row>
    <row r="4993" spans="4:4">
      <c r="D4993" s="941" t="s">
        <v>5524</v>
      </c>
    </row>
    <row r="4994" spans="4:4">
      <c r="D4994" s="941" t="s">
        <v>5525</v>
      </c>
    </row>
    <row r="4995" spans="4:4">
      <c r="D4995" s="941" t="s">
        <v>5526</v>
      </c>
    </row>
    <row r="4996" spans="4:4">
      <c r="D4996" s="941" t="s">
        <v>5527</v>
      </c>
    </row>
    <row r="4997" spans="4:4">
      <c r="D4997" s="941" t="s">
        <v>5528</v>
      </c>
    </row>
    <row r="4998" spans="4:4">
      <c r="D4998" s="941" t="s">
        <v>9775</v>
      </c>
    </row>
    <row r="4999" spans="4:4">
      <c r="D4999" s="941" t="s">
        <v>10546</v>
      </c>
    </row>
    <row r="5000" spans="4:4">
      <c r="D5000" s="941" t="s">
        <v>5529</v>
      </c>
    </row>
    <row r="5001" spans="4:4">
      <c r="D5001" s="941" t="s">
        <v>5530</v>
      </c>
    </row>
    <row r="5002" spans="4:4">
      <c r="D5002" s="941" t="s">
        <v>5531</v>
      </c>
    </row>
    <row r="5003" spans="4:4">
      <c r="D5003" s="941" t="s">
        <v>9517</v>
      </c>
    </row>
    <row r="5004" spans="4:4">
      <c r="D5004" s="941" t="s">
        <v>9518</v>
      </c>
    </row>
    <row r="5005" spans="4:4">
      <c r="D5005" s="941" t="s">
        <v>5532</v>
      </c>
    </row>
    <row r="5006" spans="4:4">
      <c r="D5006" s="941" t="s">
        <v>5533</v>
      </c>
    </row>
    <row r="5007" spans="4:4">
      <c r="D5007" s="941" t="s">
        <v>5534</v>
      </c>
    </row>
    <row r="5008" spans="4:4">
      <c r="D5008" s="941" t="s">
        <v>5535</v>
      </c>
    </row>
    <row r="5009" spans="4:4">
      <c r="D5009" s="941" t="s">
        <v>5536</v>
      </c>
    </row>
    <row r="5010" spans="4:4">
      <c r="D5010" s="941" t="s">
        <v>5537</v>
      </c>
    </row>
    <row r="5011" spans="4:4">
      <c r="D5011" s="941" t="s">
        <v>9519</v>
      </c>
    </row>
    <row r="5012" spans="4:4">
      <c r="D5012" s="941" t="s">
        <v>5538</v>
      </c>
    </row>
    <row r="5013" spans="4:4">
      <c r="D5013" s="941" t="s">
        <v>5539</v>
      </c>
    </row>
    <row r="5014" spans="4:4">
      <c r="D5014" s="941" t="s">
        <v>9286</v>
      </c>
    </row>
    <row r="5015" spans="4:4">
      <c r="D5015" s="941" t="s">
        <v>5540</v>
      </c>
    </row>
    <row r="5016" spans="4:4">
      <c r="D5016" s="941" t="s">
        <v>5541</v>
      </c>
    </row>
    <row r="5017" spans="4:4">
      <c r="D5017" s="941" t="s">
        <v>10463</v>
      </c>
    </row>
    <row r="5018" spans="4:4">
      <c r="D5018" s="941" t="s">
        <v>5542</v>
      </c>
    </row>
    <row r="5019" spans="4:4">
      <c r="D5019" s="941" t="s">
        <v>5543</v>
      </c>
    </row>
    <row r="5020" spans="4:4">
      <c r="D5020" s="941" t="s">
        <v>5544</v>
      </c>
    </row>
    <row r="5021" spans="4:4">
      <c r="D5021" s="941" t="s">
        <v>5545</v>
      </c>
    </row>
    <row r="5022" spans="4:4">
      <c r="D5022" s="941" t="s">
        <v>5546</v>
      </c>
    </row>
    <row r="5023" spans="4:4">
      <c r="D5023" s="941" t="s">
        <v>5547</v>
      </c>
    </row>
    <row r="5024" spans="4:4">
      <c r="D5024" s="941" t="s">
        <v>5548</v>
      </c>
    </row>
    <row r="5025" spans="4:4">
      <c r="D5025" s="941" t="s">
        <v>5549</v>
      </c>
    </row>
    <row r="5026" spans="4:4">
      <c r="D5026" s="941" t="s">
        <v>5550</v>
      </c>
    </row>
    <row r="5027" spans="4:4">
      <c r="D5027" s="941" t="s">
        <v>5551</v>
      </c>
    </row>
    <row r="5028" spans="4:4">
      <c r="D5028" s="941" t="s">
        <v>5552</v>
      </c>
    </row>
    <row r="5029" spans="4:4">
      <c r="D5029" s="941" t="s">
        <v>5553</v>
      </c>
    </row>
    <row r="5030" spans="4:4">
      <c r="D5030" s="941" t="s">
        <v>5554</v>
      </c>
    </row>
    <row r="5031" spans="4:4">
      <c r="D5031" s="941" t="s">
        <v>5555</v>
      </c>
    </row>
    <row r="5032" spans="4:4">
      <c r="D5032" s="941" t="s">
        <v>5556</v>
      </c>
    </row>
    <row r="5033" spans="4:4">
      <c r="D5033" s="941" t="s">
        <v>5557</v>
      </c>
    </row>
    <row r="5034" spans="4:4">
      <c r="D5034" s="941" t="s">
        <v>9520</v>
      </c>
    </row>
    <row r="5035" spans="4:4">
      <c r="D5035" s="941" t="s">
        <v>5558</v>
      </c>
    </row>
    <row r="5036" spans="4:4">
      <c r="D5036" s="941" t="s">
        <v>5559</v>
      </c>
    </row>
    <row r="5037" spans="4:4">
      <c r="D5037" s="941" t="s">
        <v>5560</v>
      </c>
    </row>
    <row r="5038" spans="4:4">
      <c r="D5038" s="941" t="s">
        <v>5561</v>
      </c>
    </row>
    <row r="5039" spans="4:4">
      <c r="D5039" s="941" t="s">
        <v>5562</v>
      </c>
    </row>
    <row r="5040" spans="4:4">
      <c r="D5040" s="941" t="s">
        <v>5563</v>
      </c>
    </row>
    <row r="5041" spans="4:4">
      <c r="D5041" s="941" t="s">
        <v>5564</v>
      </c>
    </row>
    <row r="5042" spans="4:4">
      <c r="D5042" s="941" t="s">
        <v>5565</v>
      </c>
    </row>
    <row r="5043" spans="4:4">
      <c r="D5043" s="941" t="s">
        <v>5566</v>
      </c>
    </row>
    <row r="5044" spans="4:4">
      <c r="D5044" s="941" t="s">
        <v>5567</v>
      </c>
    </row>
    <row r="5045" spans="4:4">
      <c r="D5045" s="941" t="s">
        <v>5568</v>
      </c>
    </row>
    <row r="5046" spans="4:4">
      <c r="D5046" s="941" t="s">
        <v>5569</v>
      </c>
    </row>
    <row r="5047" spans="4:4">
      <c r="D5047" s="941" t="s">
        <v>5570</v>
      </c>
    </row>
    <row r="5048" spans="4:4">
      <c r="D5048" s="941" t="s">
        <v>5571</v>
      </c>
    </row>
    <row r="5049" spans="4:4">
      <c r="D5049" s="941" t="s">
        <v>5572</v>
      </c>
    </row>
    <row r="5050" spans="4:4">
      <c r="D5050" s="941" t="s">
        <v>9874</v>
      </c>
    </row>
    <row r="5051" spans="4:4">
      <c r="D5051" s="941" t="s">
        <v>5573</v>
      </c>
    </row>
    <row r="5052" spans="4:4">
      <c r="D5052" s="941" t="s">
        <v>5574</v>
      </c>
    </row>
    <row r="5053" spans="4:4">
      <c r="D5053" s="941" t="s">
        <v>5575</v>
      </c>
    </row>
    <row r="5054" spans="4:4">
      <c r="D5054" s="941" t="s">
        <v>9521</v>
      </c>
    </row>
    <row r="5055" spans="4:4">
      <c r="D5055" s="941" t="s">
        <v>5576</v>
      </c>
    </row>
    <row r="5056" spans="4:4">
      <c r="D5056" s="941" t="s">
        <v>5577</v>
      </c>
    </row>
    <row r="5057" spans="4:4">
      <c r="D5057" s="941" t="s">
        <v>5578</v>
      </c>
    </row>
    <row r="5058" spans="4:4">
      <c r="D5058" s="941" t="s">
        <v>5579</v>
      </c>
    </row>
    <row r="5059" spans="4:4">
      <c r="D5059" s="941" t="s">
        <v>5580</v>
      </c>
    </row>
    <row r="5060" spans="4:4">
      <c r="D5060" s="941" t="s">
        <v>5581</v>
      </c>
    </row>
    <row r="5061" spans="4:4">
      <c r="D5061" s="941" t="s">
        <v>5582</v>
      </c>
    </row>
    <row r="5062" spans="4:4">
      <c r="D5062" s="941" t="s">
        <v>5583</v>
      </c>
    </row>
    <row r="5063" spans="4:4">
      <c r="D5063" s="941" t="s">
        <v>5584</v>
      </c>
    </row>
    <row r="5064" spans="4:4">
      <c r="D5064" s="941" t="s">
        <v>5585</v>
      </c>
    </row>
    <row r="5065" spans="4:4">
      <c r="D5065" s="941" t="s">
        <v>5586</v>
      </c>
    </row>
    <row r="5066" spans="4:4">
      <c r="D5066" s="941" t="s">
        <v>5587</v>
      </c>
    </row>
    <row r="5067" spans="4:4">
      <c r="D5067" s="941" t="s">
        <v>5588</v>
      </c>
    </row>
    <row r="5068" spans="4:4">
      <c r="D5068" s="941" t="s">
        <v>5589</v>
      </c>
    </row>
    <row r="5069" spans="4:4">
      <c r="D5069" s="941" t="s">
        <v>5590</v>
      </c>
    </row>
    <row r="5070" spans="4:4">
      <c r="D5070" s="941" t="s">
        <v>5591</v>
      </c>
    </row>
    <row r="5071" spans="4:4">
      <c r="D5071" s="941" t="s">
        <v>5592</v>
      </c>
    </row>
    <row r="5072" spans="4:4">
      <c r="D5072" s="941" t="s">
        <v>5593</v>
      </c>
    </row>
    <row r="5073" spans="4:4">
      <c r="D5073" s="941" t="s">
        <v>5594</v>
      </c>
    </row>
    <row r="5074" spans="4:4">
      <c r="D5074" s="941" t="s">
        <v>5595</v>
      </c>
    </row>
    <row r="5075" spans="4:4">
      <c r="D5075" s="941" t="s">
        <v>5596</v>
      </c>
    </row>
    <row r="5076" spans="4:4">
      <c r="D5076" s="941" t="s">
        <v>5597</v>
      </c>
    </row>
    <row r="5077" spans="4:4">
      <c r="D5077" s="941" t="s">
        <v>9776</v>
      </c>
    </row>
    <row r="5078" spans="4:4">
      <c r="D5078" s="941" t="s">
        <v>5598</v>
      </c>
    </row>
    <row r="5079" spans="4:4">
      <c r="D5079" s="941" t="s">
        <v>5599</v>
      </c>
    </row>
    <row r="5080" spans="4:4">
      <c r="D5080" s="941" t="s">
        <v>5600</v>
      </c>
    </row>
    <row r="5081" spans="4:4">
      <c r="D5081" s="941" t="s">
        <v>5601</v>
      </c>
    </row>
    <row r="5082" spans="4:4">
      <c r="D5082" s="941" t="s">
        <v>5602</v>
      </c>
    </row>
    <row r="5083" spans="4:4">
      <c r="D5083" s="941" t="s">
        <v>5603</v>
      </c>
    </row>
    <row r="5084" spans="4:4">
      <c r="D5084" s="941" t="s">
        <v>5604</v>
      </c>
    </row>
    <row r="5085" spans="4:4">
      <c r="D5085" s="941" t="s">
        <v>5605</v>
      </c>
    </row>
    <row r="5086" spans="4:4">
      <c r="D5086" s="941" t="s">
        <v>5606</v>
      </c>
    </row>
    <row r="5087" spans="4:4">
      <c r="D5087" s="941" t="s">
        <v>5607</v>
      </c>
    </row>
    <row r="5088" spans="4:4">
      <c r="D5088" s="941" t="s">
        <v>5608</v>
      </c>
    </row>
    <row r="5089" spans="4:4">
      <c r="D5089" s="941" t="s">
        <v>5609</v>
      </c>
    </row>
    <row r="5090" spans="4:4">
      <c r="D5090" s="941" t="s">
        <v>5610</v>
      </c>
    </row>
    <row r="5091" spans="4:4">
      <c r="D5091" s="941" t="s">
        <v>5611</v>
      </c>
    </row>
    <row r="5092" spans="4:4">
      <c r="D5092" s="941" t="s">
        <v>5612</v>
      </c>
    </row>
    <row r="5093" spans="4:4">
      <c r="D5093" s="941" t="s">
        <v>5613</v>
      </c>
    </row>
    <row r="5094" spans="4:4">
      <c r="D5094" s="941" t="s">
        <v>5614</v>
      </c>
    </row>
    <row r="5095" spans="4:4">
      <c r="D5095" s="941" t="s">
        <v>5615</v>
      </c>
    </row>
    <row r="5096" spans="4:4">
      <c r="D5096" s="941" t="s">
        <v>5616</v>
      </c>
    </row>
    <row r="5097" spans="4:4">
      <c r="D5097" s="941" t="s">
        <v>5617</v>
      </c>
    </row>
    <row r="5098" spans="4:4">
      <c r="D5098" s="941" t="s">
        <v>5618</v>
      </c>
    </row>
    <row r="5099" spans="4:4">
      <c r="D5099" s="941" t="s">
        <v>5619</v>
      </c>
    </row>
    <row r="5100" spans="4:4">
      <c r="D5100" s="941" t="s">
        <v>5620</v>
      </c>
    </row>
    <row r="5101" spans="4:4">
      <c r="D5101" s="941" t="s">
        <v>5621</v>
      </c>
    </row>
    <row r="5102" spans="4:4">
      <c r="D5102" s="941" t="s">
        <v>5622</v>
      </c>
    </row>
    <row r="5103" spans="4:4">
      <c r="D5103" s="941" t="s">
        <v>10394</v>
      </c>
    </row>
    <row r="5104" spans="4:4">
      <c r="D5104" s="941" t="s">
        <v>10547</v>
      </c>
    </row>
    <row r="5105" spans="4:4">
      <c r="D5105" s="941" t="s">
        <v>10737</v>
      </c>
    </row>
    <row r="5106" spans="4:4">
      <c r="D5106" s="941" t="s">
        <v>5623</v>
      </c>
    </row>
    <row r="5107" spans="4:4">
      <c r="D5107" s="941" t="s">
        <v>5624</v>
      </c>
    </row>
    <row r="5108" spans="4:4">
      <c r="D5108" s="941" t="s">
        <v>5625</v>
      </c>
    </row>
    <row r="5109" spans="4:4">
      <c r="D5109" s="941" t="s">
        <v>5626</v>
      </c>
    </row>
    <row r="5110" spans="4:4">
      <c r="D5110" s="941" t="s">
        <v>5627</v>
      </c>
    </row>
    <row r="5111" spans="4:4">
      <c r="D5111" s="941" t="s">
        <v>5628</v>
      </c>
    </row>
    <row r="5112" spans="4:4">
      <c r="D5112" s="941" t="s">
        <v>5629</v>
      </c>
    </row>
    <row r="5113" spans="4:4">
      <c r="D5113" s="941" t="s">
        <v>5630</v>
      </c>
    </row>
    <row r="5114" spans="4:4">
      <c r="D5114" s="941" t="s">
        <v>5631</v>
      </c>
    </row>
    <row r="5115" spans="4:4">
      <c r="D5115" s="941" t="s">
        <v>5632</v>
      </c>
    </row>
    <row r="5116" spans="4:4">
      <c r="D5116" s="941" t="s">
        <v>5633</v>
      </c>
    </row>
    <row r="5117" spans="4:4">
      <c r="D5117" s="941" t="s">
        <v>10395</v>
      </c>
    </row>
    <row r="5118" spans="4:4">
      <c r="D5118" s="941" t="s">
        <v>5634</v>
      </c>
    </row>
    <row r="5119" spans="4:4">
      <c r="D5119" s="941" t="s">
        <v>5635</v>
      </c>
    </row>
    <row r="5120" spans="4:4">
      <c r="D5120" s="941" t="s">
        <v>5636</v>
      </c>
    </row>
    <row r="5121" spans="4:4">
      <c r="D5121" s="941" t="s">
        <v>5637</v>
      </c>
    </row>
    <row r="5122" spans="4:4">
      <c r="D5122" s="941" t="s">
        <v>9522</v>
      </c>
    </row>
    <row r="5123" spans="4:4">
      <c r="D5123" s="941" t="s">
        <v>9523</v>
      </c>
    </row>
    <row r="5124" spans="4:4">
      <c r="D5124" s="941" t="s">
        <v>5638</v>
      </c>
    </row>
    <row r="5125" spans="4:4">
      <c r="D5125" s="941" t="s">
        <v>5639</v>
      </c>
    </row>
    <row r="5126" spans="4:4">
      <c r="D5126" s="941" t="s">
        <v>5640</v>
      </c>
    </row>
    <row r="5127" spans="4:4">
      <c r="D5127" s="941" t="s">
        <v>5641</v>
      </c>
    </row>
    <row r="5128" spans="4:4">
      <c r="D5128" s="941" t="s">
        <v>5642</v>
      </c>
    </row>
    <row r="5129" spans="4:4">
      <c r="D5129" s="941" t="s">
        <v>5643</v>
      </c>
    </row>
    <row r="5130" spans="4:4">
      <c r="D5130" s="941" t="s">
        <v>11021</v>
      </c>
    </row>
    <row r="5131" spans="4:4">
      <c r="D5131" s="941" t="s">
        <v>5644</v>
      </c>
    </row>
    <row r="5132" spans="4:4">
      <c r="D5132" s="941" t="s">
        <v>5645</v>
      </c>
    </row>
    <row r="5133" spans="4:4">
      <c r="D5133" s="941" t="s">
        <v>5646</v>
      </c>
    </row>
    <row r="5134" spans="4:4">
      <c r="D5134" s="941" t="s">
        <v>11022</v>
      </c>
    </row>
    <row r="5135" spans="4:4">
      <c r="D5135" s="941" t="s">
        <v>5647</v>
      </c>
    </row>
    <row r="5136" spans="4:4">
      <c r="D5136" s="941" t="s">
        <v>5648</v>
      </c>
    </row>
    <row r="5137" spans="4:4">
      <c r="D5137" s="941" t="s">
        <v>5649</v>
      </c>
    </row>
    <row r="5138" spans="4:4">
      <c r="D5138" s="941" t="s">
        <v>5650</v>
      </c>
    </row>
    <row r="5139" spans="4:4">
      <c r="D5139" s="941" t="s">
        <v>5651</v>
      </c>
    </row>
    <row r="5140" spans="4:4">
      <c r="D5140" s="941" t="s">
        <v>10548</v>
      </c>
    </row>
    <row r="5141" spans="4:4">
      <c r="D5141" s="941" t="s">
        <v>5652</v>
      </c>
    </row>
    <row r="5142" spans="4:4">
      <c r="D5142" s="941" t="s">
        <v>5653</v>
      </c>
    </row>
    <row r="5143" spans="4:4">
      <c r="D5143" s="941" t="s">
        <v>5654</v>
      </c>
    </row>
    <row r="5144" spans="4:4">
      <c r="D5144" s="941" t="s">
        <v>5655</v>
      </c>
    </row>
    <row r="5145" spans="4:4">
      <c r="D5145" s="941" t="s">
        <v>5656</v>
      </c>
    </row>
    <row r="5146" spans="4:4">
      <c r="D5146" s="941" t="s">
        <v>5657</v>
      </c>
    </row>
    <row r="5147" spans="4:4">
      <c r="D5147" s="941" t="s">
        <v>5658</v>
      </c>
    </row>
    <row r="5148" spans="4:4">
      <c r="D5148" s="941" t="s">
        <v>5659</v>
      </c>
    </row>
    <row r="5149" spans="4:4">
      <c r="D5149" s="941" t="s">
        <v>5660</v>
      </c>
    </row>
    <row r="5150" spans="4:4">
      <c r="D5150" s="941" t="s">
        <v>5661</v>
      </c>
    </row>
    <row r="5151" spans="4:4">
      <c r="D5151" s="941" t="s">
        <v>5662</v>
      </c>
    </row>
    <row r="5152" spans="4:4">
      <c r="D5152" s="941" t="s">
        <v>5663</v>
      </c>
    </row>
    <row r="5153" spans="4:4">
      <c r="D5153" s="941" t="s">
        <v>5664</v>
      </c>
    </row>
    <row r="5154" spans="4:4">
      <c r="D5154" s="941" t="s">
        <v>5665</v>
      </c>
    </row>
    <row r="5155" spans="4:4">
      <c r="D5155" s="941" t="s">
        <v>5666</v>
      </c>
    </row>
    <row r="5156" spans="4:4">
      <c r="D5156" s="941" t="s">
        <v>5667</v>
      </c>
    </row>
    <row r="5157" spans="4:4">
      <c r="D5157" s="941" t="s">
        <v>5668</v>
      </c>
    </row>
    <row r="5158" spans="4:4">
      <c r="D5158" s="941" t="s">
        <v>5669</v>
      </c>
    </row>
    <row r="5159" spans="4:4">
      <c r="D5159" s="941" t="s">
        <v>5670</v>
      </c>
    </row>
    <row r="5160" spans="4:4">
      <c r="D5160" s="941" t="s">
        <v>5671</v>
      </c>
    </row>
    <row r="5161" spans="4:4">
      <c r="D5161" s="941" t="s">
        <v>5672</v>
      </c>
    </row>
    <row r="5162" spans="4:4">
      <c r="D5162" s="941" t="s">
        <v>5673</v>
      </c>
    </row>
    <row r="5163" spans="4:4">
      <c r="D5163" s="941" t="s">
        <v>5674</v>
      </c>
    </row>
    <row r="5164" spans="4:4">
      <c r="D5164" s="941" t="s">
        <v>5675</v>
      </c>
    </row>
    <row r="5165" spans="4:4">
      <c r="D5165" s="941" t="s">
        <v>5676</v>
      </c>
    </row>
    <row r="5166" spans="4:4">
      <c r="D5166" s="941" t="s">
        <v>5677</v>
      </c>
    </row>
    <row r="5167" spans="4:4">
      <c r="D5167" s="941" t="s">
        <v>5678</v>
      </c>
    </row>
    <row r="5168" spans="4:4">
      <c r="D5168" s="941" t="s">
        <v>5679</v>
      </c>
    </row>
    <row r="5169" spans="4:4">
      <c r="D5169" s="941" t="s">
        <v>5680</v>
      </c>
    </row>
    <row r="5170" spans="4:4">
      <c r="D5170" s="941" t="s">
        <v>5681</v>
      </c>
    </row>
    <row r="5171" spans="4:4">
      <c r="D5171" s="941" t="s">
        <v>5682</v>
      </c>
    </row>
    <row r="5172" spans="4:4">
      <c r="D5172" s="941" t="s">
        <v>5683</v>
      </c>
    </row>
    <row r="5173" spans="4:4">
      <c r="D5173" s="941" t="s">
        <v>5684</v>
      </c>
    </row>
    <row r="5174" spans="4:4">
      <c r="D5174" s="941" t="s">
        <v>5685</v>
      </c>
    </row>
    <row r="5175" spans="4:4">
      <c r="D5175" s="941" t="s">
        <v>5686</v>
      </c>
    </row>
    <row r="5176" spans="4:4">
      <c r="D5176" s="941" t="s">
        <v>5687</v>
      </c>
    </row>
    <row r="5177" spans="4:4">
      <c r="D5177" s="941" t="s">
        <v>5688</v>
      </c>
    </row>
    <row r="5178" spans="4:4">
      <c r="D5178" s="941" t="s">
        <v>5689</v>
      </c>
    </row>
    <row r="5179" spans="4:4">
      <c r="D5179" s="941" t="s">
        <v>5690</v>
      </c>
    </row>
    <row r="5180" spans="4:4">
      <c r="D5180" s="941" t="s">
        <v>5691</v>
      </c>
    </row>
    <row r="5181" spans="4:4">
      <c r="D5181" s="941" t="s">
        <v>5692</v>
      </c>
    </row>
    <row r="5182" spans="4:4">
      <c r="D5182" s="941" t="s">
        <v>5693</v>
      </c>
    </row>
    <row r="5183" spans="4:4">
      <c r="D5183" s="941" t="s">
        <v>5694</v>
      </c>
    </row>
    <row r="5184" spans="4:4">
      <c r="D5184" s="941" t="s">
        <v>5695</v>
      </c>
    </row>
    <row r="5185" spans="4:4">
      <c r="D5185" s="941" t="s">
        <v>10396</v>
      </c>
    </row>
    <row r="5186" spans="4:4">
      <c r="D5186" s="941" t="s">
        <v>5696</v>
      </c>
    </row>
    <row r="5187" spans="4:4">
      <c r="D5187" s="941" t="s">
        <v>5697</v>
      </c>
    </row>
    <row r="5188" spans="4:4">
      <c r="D5188" s="941" t="s">
        <v>5698</v>
      </c>
    </row>
    <row r="5189" spans="4:4">
      <c r="D5189" s="941" t="s">
        <v>5699</v>
      </c>
    </row>
    <row r="5190" spans="4:4">
      <c r="D5190" s="941" t="s">
        <v>5700</v>
      </c>
    </row>
    <row r="5191" spans="4:4">
      <c r="D5191" s="941" t="s">
        <v>5701</v>
      </c>
    </row>
    <row r="5192" spans="4:4">
      <c r="D5192" s="941" t="s">
        <v>5702</v>
      </c>
    </row>
    <row r="5193" spans="4:4">
      <c r="D5193" s="941" t="s">
        <v>5703</v>
      </c>
    </row>
    <row r="5194" spans="4:4">
      <c r="D5194" s="941" t="s">
        <v>5704</v>
      </c>
    </row>
    <row r="5195" spans="4:4">
      <c r="D5195" s="941" t="s">
        <v>5705</v>
      </c>
    </row>
    <row r="5196" spans="4:4">
      <c r="D5196" s="941" t="s">
        <v>5706</v>
      </c>
    </row>
    <row r="5197" spans="4:4">
      <c r="D5197" s="941" t="s">
        <v>5707</v>
      </c>
    </row>
    <row r="5198" spans="4:4">
      <c r="D5198" s="941" t="s">
        <v>5708</v>
      </c>
    </row>
    <row r="5199" spans="4:4">
      <c r="D5199" s="941" t="s">
        <v>5709</v>
      </c>
    </row>
    <row r="5200" spans="4:4">
      <c r="D5200" s="941" t="s">
        <v>5710</v>
      </c>
    </row>
    <row r="5201" spans="4:4">
      <c r="D5201" s="941" t="s">
        <v>5711</v>
      </c>
    </row>
    <row r="5202" spans="4:4">
      <c r="D5202" s="941" t="s">
        <v>9524</v>
      </c>
    </row>
    <row r="5203" spans="4:4">
      <c r="D5203" s="941" t="s">
        <v>5712</v>
      </c>
    </row>
    <row r="5204" spans="4:4">
      <c r="D5204" s="941" t="s">
        <v>5713</v>
      </c>
    </row>
    <row r="5205" spans="4:4">
      <c r="D5205" s="941" t="s">
        <v>9525</v>
      </c>
    </row>
    <row r="5206" spans="4:4">
      <c r="D5206" s="941" t="s">
        <v>5714</v>
      </c>
    </row>
    <row r="5207" spans="4:4">
      <c r="D5207" s="941" t="s">
        <v>5715</v>
      </c>
    </row>
    <row r="5208" spans="4:4">
      <c r="D5208" s="941" t="s">
        <v>5716</v>
      </c>
    </row>
    <row r="5209" spans="4:4">
      <c r="D5209" s="941" t="s">
        <v>9777</v>
      </c>
    </row>
    <row r="5210" spans="4:4">
      <c r="D5210" s="941" t="s">
        <v>5717</v>
      </c>
    </row>
    <row r="5211" spans="4:4">
      <c r="D5211" s="941" t="s">
        <v>5718</v>
      </c>
    </row>
    <row r="5212" spans="4:4">
      <c r="D5212" s="941" t="s">
        <v>9526</v>
      </c>
    </row>
    <row r="5213" spans="4:4">
      <c r="D5213" s="941" t="s">
        <v>5719</v>
      </c>
    </row>
    <row r="5214" spans="4:4">
      <c r="D5214" s="941" t="s">
        <v>5720</v>
      </c>
    </row>
    <row r="5215" spans="4:4">
      <c r="D5215" s="941" t="s">
        <v>5721</v>
      </c>
    </row>
    <row r="5216" spans="4:4">
      <c r="D5216" s="941" t="s">
        <v>5722</v>
      </c>
    </row>
    <row r="5217" spans="4:4">
      <c r="D5217" s="941" t="s">
        <v>5723</v>
      </c>
    </row>
    <row r="5218" spans="4:4">
      <c r="D5218" s="941" t="s">
        <v>5724</v>
      </c>
    </row>
    <row r="5219" spans="4:4">
      <c r="D5219" s="941" t="s">
        <v>9527</v>
      </c>
    </row>
    <row r="5220" spans="4:4">
      <c r="D5220" s="941" t="s">
        <v>5725</v>
      </c>
    </row>
    <row r="5221" spans="4:4">
      <c r="D5221" s="941" t="s">
        <v>5726</v>
      </c>
    </row>
    <row r="5222" spans="4:4">
      <c r="D5222" s="941" t="s">
        <v>5727</v>
      </c>
    </row>
    <row r="5223" spans="4:4">
      <c r="D5223" s="941" t="s">
        <v>5728</v>
      </c>
    </row>
    <row r="5224" spans="4:4">
      <c r="D5224" s="941" t="s">
        <v>5729</v>
      </c>
    </row>
    <row r="5225" spans="4:4">
      <c r="D5225" s="941" t="s">
        <v>5730</v>
      </c>
    </row>
    <row r="5226" spans="4:4">
      <c r="D5226" s="941" t="s">
        <v>5731</v>
      </c>
    </row>
    <row r="5227" spans="4:4">
      <c r="D5227" s="941" t="s">
        <v>5732</v>
      </c>
    </row>
    <row r="5228" spans="4:4">
      <c r="D5228" s="941" t="s">
        <v>5733</v>
      </c>
    </row>
    <row r="5229" spans="4:4">
      <c r="D5229" s="941" t="s">
        <v>5734</v>
      </c>
    </row>
    <row r="5230" spans="4:4">
      <c r="D5230" s="941" t="s">
        <v>5735</v>
      </c>
    </row>
    <row r="5231" spans="4:4">
      <c r="D5231" s="941" t="s">
        <v>5736</v>
      </c>
    </row>
    <row r="5232" spans="4:4">
      <c r="D5232" s="941" t="s">
        <v>5737</v>
      </c>
    </row>
    <row r="5233" spans="4:4">
      <c r="D5233" s="941" t="s">
        <v>9528</v>
      </c>
    </row>
    <row r="5234" spans="4:4">
      <c r="D5234" s="941" t="s">
        <v>5738</v>
      </c>
    </row>
    <row r="5235" spans="4:4">
      <c r="D5235" s="941" t="s">
        <v>5739</v>
      </c>
    </row>
    <row r="5236" spans="4:4">
      <c r="D5236" s="941" t="s">
        <v>10567</v>
      </c>
    </row>
    <row r="5237" spans="4:4">
      <c r="D5237" s="941" t="s">
        <v>5740</v>
      </c>
    </row>
    <row r="5238" spans="4:4">
      <c r="D5238" s="941" t="s">
        <v>5741</v>
      </c>
    </row>
    <row r="5239" spans="4:4">
      <c r="D5239" s="941" t="s">
        <v>5742</v>
      </c>
    </row>
    <row r="5240" spans="4:4">
      <c r="D5240" s="941" t="s">
        <v>5743</v>
      </c>
    </row>
    <row r="5241" spans="4:4">
      <c r="D5241" s="941" t="s">
        <v>10425</v>
      </c>
    </row>
    <row r="5242" spans="4:4">
      <c r="D5242" s="941" t="s">
        <v>5744</v>
      </c>
    </row>
    <row r="5243" spans="4:4">
      <c r="D5243" s="941" t="s">
        <v>5745</v>
      </c>
    </row>
    <row r="5244" spans="4:4">
      <c r="D5244" s="941" t="s">
        <v>5746</v>
      </c>
    </row>
    <row r="5245" spans="4:4">
      <c r="D5245" s="941" t="s">
        <v>5747</v>
      </c>
    </row>
    <row r="5246" spans="4:4">
      <c r="D5246" s="941" t="s">
        <v>5748</v>
      </c>
    </row>
    <row r="5247" spans="4:4">
      <c r="D5247" s="941" t="s">
        <v>5749</v>
      </c>
    </row>
    <row r="5248" spans="4:4">
      <c r="D5248" s="941" t="s">
        <v>5750</v>
      </c>
    </row>
    <row r="5249" spans="4:4">
      <c r="D5249" s="941" t="s">
        <v>5751</v>
      </c>
    </row>
    <row r="5250" spans="4:4">
      <c r="D5250" s="941" t="s">
        <v>5752</v>
      </c>
    </row>
    <row r="5251" spans="4:4">
      <c r="D5251" s="941" t="s">
        <v>5753</v>
      </c>
    </row>
    <row r="5252" spans="4:4">
      <c r="D5252" s="941" t="s">
        <v>5754</v>
      </c>
    </row>
    <row r="5253" spans="4:4">
      <c r="D5253" s="941" t="s">
        <v>5755</v>
      </c>
    </row>
    <row r="5254" spans="4:4">
      <c r="D5254" s="941" t="s">
        <v>5756</v>
      </c>
    </row>
    <row r="5255" spans="4:4">
      <c r="D5255" s="941" t="s">
        <v>5757</v>
      </c>
    </row>
    <row r="5256" spans="4:4">
      <c r="D5256" s="941" t="s">
        <v>5758</v>
      </c>
    </row>
    <row r="5257" spans="4:4">
      <c r="D5257" s="941" t="s">
        <v>5759</v>
      </c>
    </row>
    <row r="5258" spans="4:4">
      <c r="D5258" s="941" t="s">
        <v>5760</v>
      </c>
    </row>
    <row r="5259" spans="4:4">
      <c r="D5259" s="941" t="s">
        <v>5761</v>
      </c>
    </row>
    <row r="5260" spans="4:4">
      <c r="D5260" s="941" t="s">
        <v>5762</v>
      </c>
    </row>
    <row r="5261" spans="4:4">
      <c r="D5261" s="941" t="s">
        <v>5763</v>
      </c>
    </row>
    <row r="5262" spans="4:4">
      <c r="D5262" s="941" t="s">
        <v>5764</v>
      </c>
    </row>
    <row r="5263" spans="4:4">
      <c r="D5263" s="941" t="s">
        <v>10549</v>
      </c>
    </row>
    <row r="5264" spans="4:4">
      <c r="D5264" s="941" t="s">
        <v>5765</v>
      </c>
    </row>
    <row r="5265" spans="4:4">
      <c r="D5265" s="941" t="s">
        <v>5766</v>
      </c>
    </row>
    <row r="5266" spans="4:4">
      <c r="D5266" s="941" t="s">
        <v>5767</v>
      </c>
    </row>
    <row r="5267" spans="4:4">
      <c r="D5267" s="941" t="s">
        <v>5768</v>
      </c>
    </row>
    <row r="5268" spans="4:4">
      <c r="D5268" s="941" t="s">
        <v>5769</v>
      </c>
    </row>
    <row r="5269" spans="4:4">
      <c r="D5269" s="941" t="s">
        <v>5770</v>
      </c>
    </row>
    <row r="5270" spans="4:4">
      <c r="D5270" s="941" t="s">
        <v>5771</v>
      </c>
    </row>
    <row r="5271" spans="4:4">
      <c r="D5271" s="941" t="s">
        <v>5772</v>
      </c>
    </row>
    <row r="5272" spans="4:4">
      <c r="D5272" s="941" t="s">
        <v>5773</v>
      </c>
    </row>
    <row r="5273" spans="4:4">
      <c r="D5273" s="941" t="s">
        <v>5774</v>
      </c>
    </row>
    <row r="5274" spans="4:4">
      <c r="D5274" s="941" t="s">
        <v>5775</v>
      </c>
    </row>
    <row r="5275" spans="4:4">
      <c r="D5275" s="941" t="s">
        <v>5776</v>
      </c>
    </row>
    <row r="5276" spans="4:4">
      <c r="D5276" s="941" t="s">
        <v>5777</v>
      </c>
    </row>
    <row r="5277" spans="4:4">
      <c r="D5277" s="941" t="s">
        <v>5778</v>
      </c>
    </row>
    <row r="5278" spans="4:4">
      <c r="D5278" s="941" t="s">
        <v>5779</v>
      </c>
    </row>
    <row r="5279" spans="4:4">
      <c r="D5279" s="941" t="s">
        <v>5780</v>
      </c>
    </row>
    <row r="5280" spans="4:4">
      <c r="D5280" s="941" t="s">
        <v>5781</v>
      </c>
    </row>
    <row r="5281" spans="4:4">
      <c r="D5281" s="941" t="s">
        <v>9529</v>
      </c>
    </row>
    <row r="5282" spans="4:4">
      <c r="D5282" s="941" t="s">
        <v>5782</v>
      </c>
    </row>
    <row r="5283" spans="4:4">
      <c r="D5283" s="941" t="s">
        <v>5783</v>
      </c>
    </row>
    <row r="5284" spans="4:4">
      <c r="D5284" s="941" t="s">
        <v>5784</v>
      </c>
    </row>
    <row r="5285" spans="4:4">
      <c r="D5285" s="941" t="s">
        <v>5785</v>
      </c>
    </row>
    <row r="5286" spans="4:4">
      <c r="D5286" s="941" t="s">
        <v>5786</v>
      </c>
    </row>
    <row r="5287" spans="4:4">
      <c r="D5287" s="941" t="s">
        <v>5787</v>
      </c>
    </row>
    <row r="5288" spans="4:4">
      <c r="D5288" s="941" t="s">
        <v>5788</v>
      </c>
    </row>
    <row r="5289" spans="4:4">
      <c r="D5289" s="941" t="s">
        <v>5789</v>
      </c>
    </row>
    <row r="5290" spans="4:4">
      <c r="D5290" s="941" t="s">
        <v>5790</v>
      </c>
    </row>
    <row r="5291" spans="4:4">
      <c r="D5291" s="941" t="s">
        <v>5791</v>
      </c>
    </row>
    <row r="5292" spans="4:4">
      <c r="D5292" s="941" t="s">
        <v>5792</v>
      </c>
    </row>
    <row r="5293" spans="4:4">
      <c r="D5293" s="941" t="s">
        <v>5793</v>
      </c>
    </row>
    <row r="5294" spans="4:4">
      <c r="D5294" s="941" t="s">
        <v>5794</v>
      </c>
    </row>
    <row r="5295" spans="4:4">
      <c r="D5295" s="941" t="s">
        <v>5795</v>
      </c>
    </row>
    <row r="5296" spans="4:4">
      <c r="D5296" s="941" t="s">
        <v>5796</v>
      </c>
    </row>
    <row r="5297" spans="4:4">
      <c r="D5297" s="941" t="s">
        <v>5797</v>
      </c>
    </row>
    <row r="5298" spans="4:4">
      <c r="D5298" s="941" t="s">
        <v>9530</v>
      </c>
    </row>
    <row r="5299" spans="4:4">
      <c r="D5299" s="941" t="s">
        <v>5798</v>
      </c>
    </row>
    <row r="5300" spans="4:4">
      <c r="D5300" s="941" t="s">
        <v>5799</v>
      </c>
    </row>
    <row r="5301" spans="4:4">
      <c r="D5301" s="941" t="s">
        <v>5800</v>
      </c>
    </row>
    <row r="5302" spans="4:4">
      <c r="D5302" s="941" t="s">
        <v>5801</v>
      </c>
    </row>
    <row r="5303" spans="4:4">
      <c r="D5303" s="941" t="s">
        <v>5802</v>
      </c>
    </row>
    <row r="5304" spans="4:4">
      <c r="D5304" s="941" t="s">
        <v>5803</v>
      </c>
    </row>
    <row r="5305" spans="4:4">
      <c r="D5305" s="941" t="s">
        <v>5804</v>
      </c>
    </row>
    <row r="5306" spans="4:4">
      <c r="D5306" s="941" t="s">
        <v>5805</v>
      </c>
    </row>
    <row r="5307" spans="4:4">
      <c r="D5307" s="941" t="s">
        <v>5806</v>
      </c>
    </row>
    <row r="5308" spans="4:4">
      <c r="D5308" s="941" t="s">
        <v>5807</v>
      </c>
    </row>
    <row r="5309" spans="4:4">
      <c r="D5309" s="941" t="s">
        <v>10426</v>
      </c>
    </row>
    <row r="5310" spans="4:4">
      <c r="D5310" s="941" t="s">
        <v>5808</v>
      </c>
    </row>
    <row r="5311" spans="4:4">
      <c r="D5311" s="941" t="s">
        <v>5809</v>
      </c>
    </row>
    <row r="5312" spans="4:4">
      <c r="D5312" s="941" t="s">
        <v>5810</v>
      </c>
    </row>
    <row r="5313" spans="4:4">
      <c r="D5313" s="941" t="s">
        <v>5811</v>
      </c>
    </row>
    <row r="5314" spans="4:4">
      <c r="D5314" s="941" t="s">
        <v>5812</v>
      </c>
    </row>
    <row r="5315" spans="4:4">
      <c r="D5315" s="941" t="s">
        <v>5813</v>
      </c>
    </row>
    <row r="5316" spans="4:4">
      <c r="D5316" s="941" t="s">
        <v>5814</v>
      </c>
    </row>
    <row r="5317" spans="4:4">
      <c r="D5317" s="941" t="s">
        <v>5815</v>
      </c>
    </row>
    <row r="5318" spans="4:4">
      <c r="D5318" s="941" t="s">
        <v>5816</v>
      </c>
    </row>
    <row r="5319" spans="4:4">
      <c r="D5319" s="941" t="s">
        <v>5817</v>
      </c>
    </row>
    <row r="5320" spans="4:4">
      <c r="D5320" s="941" t="s">
        <v>5818</v>
      </c>
    </row>
    <row r="5321" spans="4:4">
      <c r="D5321" s="941" t="s">
        <v>5819</v>
      </c>
    </row>
    <row r="5322" spans="4:4">
      <c r="D5322" s="941" t="s">
        <v>5820</v>
      </c>
    </row>
    <row r="5323" spans="4:4">
      <c r="D5323" s="941" t="s">
        <v>887</v>
      </c>
    </row>
    <row r="5324" spans="4:4">
      <c r="D5324" s="941" t="s">
        <v>5821</v>
      </c>
    </row>
    <row r="5325" spans="4:4">
      <c r="D5325" s="941" t="s">
        <v>5822</v>
      </c>
    </row>
    <row r="5326" spans="4:4">
      <c r="D5326" s="941" t="s">
        <v>5823</v>
      </c>
    </row>
    <row r="5327" spans="4:4">
      <c r="D5327" s="941" t="s">
        <v>5824</v>
      </c>
    </row>
    <row r="5328" spans="4:4">
      <c r="D5328" s="941" t="s">
        <v>5825</v>
      </c>
    </row>
    <row r="5329" spans="4:4">
      <c r="D5329" s="941" t="s">
        <v>5826</v>
      </c>
    </row>
    <row r="5330" spans="4:4">
      <c r="D5330" s="941" t="s">
        <v>10427</v>
      </c>
    </row>
    <row r="5331" spans="4:4">
      <c r="D5331" s="941" t="s">
        <v>5827</v>
      </c>
    </row>
    <row r="5332" spans="4:4">
      <c r="D5332" s="941" t="s">
        <v>5828</v>
      </c>
    </row>
    <row r="5333" spans="4:4">
      <c r="D5333" s="941" t="s">
        <v>5829</v>
      </c>
    </row>
    <row r="5334" spans="4:4">
      <c r="D5334" s="941" t="s">
        <v>247</v>
      </c>
    </row>
    <row r="5335" spans="4:4">
      <c r="D5335" s="941" t="s">
        <v>5830</v>
      </c>
    </row>
    <row r="5336" spans="4:4">
      <c r="D5336" s="941" t="s">
        <v>5831</v>
      </c>
    </row>
    <row r="5337" spans="4:4">
      <c r="D5337" s="941" t="s">
        <v>5832</v>
      </c>
    </row>
    <row r="5338" spans="4:4">
      <c r="D5338" s="941" t="s">
        <v>5833</v>
      </c>
    </row>
    <row r="5339" spans="4:4">
      <c r="D5339" s="941" t="s">
        <v>5834</v>
      </c>
    </row>
    <row r="5340" spans="4:4">
      <c r="D5340" s="941" t="s">
        <v>5835</v>
      </c>
    </row>
    <row r="5341" spans="4:4">
      <c r="D5341" s="941" t="s">
        <v>10906</v>
      </c>
    </row>
    <row r="5342" spans="4:4">
      <c r="D5342" s="941" t="s">
        <v>5836</v>
      </c>
    </row>
    <row r="5343" spans="4:4">
      <c r="D5343" s="941" t="s">
        <v>5837</v>
      </c>
    </row>
    <row r="5344" spans="4:4">
      <c r="D5344" s="941" t="s">
        <v>10200</v>
      </c>
    </row>
    <row r="5345" spans="4:4">
      <c r="D5345" s="941" t="s">
        <v>9531</v>
      </c>
    </row>
    <row r="5346" spans="4:4">
      <c r="D5346" s="941" t="s">
        <v>5838</v>
      </c>
    </row>
    <row r="5347" spans="4:4">
      <c r="D5347" s="941" t="s">
        <v>5839</v>
      </c>
    </row>
    <row r="5348" spans="4:4">
      <c r="D5348" s="941" t="s">
        <v>5840</v>
      </c>
    </row>
    <row r="5349" spans="4:4">
      <c r="D5349" s="941" t="s">
        <v>5841</v>
      </c>
    </row>
    <row r="5350" spans="4:4">
      <c r="D5350" s="941" t="s">
        <v>5842</v>
      </c>
    </row>
    <row r="5351" spans="4:4">
      <c r="D5351" s="941" t="s">
        <v>5843</v>
      </c>
    </row>
    <row r="5352" spans="4:4">
      <c r="D5352" s="941" t="s">
        <v>5844</v>
      </c>
    </row>
    <row r="5353" spans="4:4">
      <c r="D5353" s="941" t="s">
        <v>9532</v>
      </c>
    </row>
    <row r="5354" spans="4:4">
      <c r="D5354" s="941" t="s">
        <v>5845</v>
      </c>
    </row>
    <row r="5355" spans="4:4">
      <c r="D5355" s="941" t="s">
        <v>5846</v>
      </c>
    </row>
    <row r="5356" spans="4:4">
      <c r="D5356" s="941" t="s">
        <v>5847</v>
      </c>
    </row>
    <row r="5357" spans="4:4">
      <c r="D5357" s="941" t="s">
        <v>5848</v>
      </c>
    </row>
    <row r="5358" spans="4:4">
      <c r="D5358" s="941" t="s">
        <v>9533</v>
      </c>
    </row>
    <row r="5359" spans="4:4">
      <c r="D5359" s="941" t="s">
        <v>5849</v>
      </c>
    </row>
    <row r="5360" spans="4:4">
      <c r="D5360" s="941" t="s">
        <v>9534</v>
      </c>
    </row>
    <row r="5361" spans="4:4">
      <c r="D5361" s="941" t="s">
        <v>5850</v>
      </c>
    </row>
    <row r="5362" spans="4:4">
      <c r="D5362" s="941" t="s">
        <v>5851</v>
      </c>
    </row>
    <row r="5363" spans="4:4">
      <c r="D5363" s="941" t="s">
        <v>5852</v>
      </c>
    </row>
    <row r="5364" spans="4:4">
      <c r="D5364" s="941" t="s">
        <v>5853</v>
      </c>
    </row>
    <row r="5365" spans="4:4">
      <c r="D5365" s="941" t="s">
        <v>5854</v>
      </c>
    </row>
    <row r="5366" spans="4:4">
      <c r="D5366" s="941" t="s">
        <v>5855</v>
      </c>
    </row>
    <row r="5367" spans="4:4">
      <c r="D5367" s="941" t="s">
        <v>5856</v>
      </c>
    </row>
    <row r="5368" spans="4:4">
      <c r="D5368" s="941" t="s">
        <v>5857</v>
      </c>
    </row>
    <row r="5369" spans="4:4">
      <c r="D5369" s="941" t="s">
        <v>5858</v>
      </c>
    </row>
    <row r="5370" spans="4:4">
      <c r="D5370" s="941" t="s">
        <v>5859</v>
      </c>
    </row>
    <row r="5371" spans="4:4">
      <c r="D5371" s="941" t="s">
        <v>10550</v>
      </c>
    </row>
    <row r="5372" spans="4:4">
      <c r="D5372" s="941" t="s">
        <v>5860</v>
      </c>
    </row>
    <row r="5373" spans="4:4">
      <c r="D5373" s="941" t="s">
        <v>5861</v>
      </c>
    </row>
    <row r="5374" spans="4:4">
      <c r="D5374" s="941" t="s">
        <v>5862</v>
      </c>
    </row>
    <row r="5375" spans="4:4">
      <c r="D5375" s="941" t="s">
        <v>9875</v>
      </c>
    </row>
    <row r="5376" spans="4:4">
      <c r="D5376" s="941" t="s">
        <v>5863</v>
      </c>
    </row>
    <row r="5377" spans="4:4">
      <c r="D5377" s="941" t="s">
        <v>5864</v>
      </c>
    </row>
    <row r="5378" spans="4:4">
      <c r="D5378" s="941" t="s">
        <v>5865</v>
      </c>
    </row>
    <row r="5379" spans="4:4">
      <c r="D5379" s="941" t="s">
        <v>5866</v>
      </c>
    </row>
    <row r="5380" spans="4:4">
      <c r="D5380" s="941" t="s">
        <v>5867</v>
      </c>
    </row>
    <row r="5381" spans="4:4">
      <c r="D5381" s="941" t="s">
        <v>5868</v>
      </c>
    </row>
    <row r="5382" spans="4:4">
      <c r="D5382" s="941" t="s">
        <v>5869</v>
      </c>
    </row>
    <row r="5383" spans="4:4">
      <c r="D5383" s="941" t="s">
        <v>5870</v>
      </c>
    </row>
    <row r="5384" spans="4:4">
      <c r="D5384" s="941" t="s">
        <v>5871</v>
      </c>
    </row>
    <row r="5385" spans="4:4">
      <c r="D5385" s="941" t="s">
        <v>5872</v>
      </c>
    </row>
    <row r="5386" spans="4:4">
      <c r="D5386" s="941" t="s">
        <v>5873</v>
      </c>
    </row>
    <row r="5387" spans="4:4">
      <c r="D5387" s="941" t="s">
        <v>5874</v>
      </c>
    </row>
    <row r="5388" spans="4:4">
      <c r="D5388" s="941" t="s">
        <v>5875</v>
      </c>
    </row>
    <row r="5389" spans="4:4">
      <c r="D5389" s="941" t="s">
        <v>5876</v>
      </c>
    </row>
    <row r="5390" spans="4:4">
      <c r="D5390" s="941" t="s">
        <v>9535</v>
      </c>
    </row>
    <row r="5391" spans="4:4">
      <c r="D5391" s="941" t="s">
        <v>5877</v>
      </c>
    </row>
    <row r="5392" spans="4:4">
      <c r="D5392" s="941" t="s">
        <v>5878</v>
      </c>
    </row>
    <row r="5393" spans="4:4">
      <c r="D5393" s="941" t="s">
        <v>5879</v>
      </c>
    </row>
    <row r="5394" spans="4:4">
      <c r="D5394" s="941" t="s">
        <v>5880</v>
      </c>
    </row>
    <row r="5395" spans="4:4">
      <c r="D5395" s="941" t="s">
        <v>5881</v>
      </c>
    </row>
    <row r="5396" spans="4:4">
      <c r="D5396" s="941" t="s">
        <v>5882</v>
      </c>
    </row>
    <row r="5397" spans="4:4">
      <c r="D5397" s="941" t="s">
        <v>5883</v>
      </c>
    </row>
    <row r="5398" spans="4:4">
      <c r="D5398" s="941" t="s">
        <v>5884</v>
      </c>
    </row>
    <row r="5399" spans="4:4">
      <c r="D5399" s="941" t="s">
        <v>5885</v>
      </c>
    </row>
    <row r="5400" spans="4:4">
      <c r="D5400" s="941" t="s">
        <v>5886</v>
      </c>
    </row>
    <row r="5401" spans="4:4">
      <c r="D5401" s="941" t="s">
        <v>5887</v>
      </c>
    </row>
    <row r="5402" spans="4:4">
      <c r="D5402" s="941" t="s">
        <v>5888</v>
      </c>
    </row>
    <row r="5403" spans="4:4">
      <c r="D5403" s="941" t="s">
        <v>5889</v>
      </c>
    </row>
    <row r="5404" spans="4:4">
      <c r="D5404" s="941" t="s">
        <v>5890</v>
      </c>
    </row>
    <row r="5405" spans="4:4">
      <c r="D5405" s="941" t="s">
        <v>5891</v>
      </c>
    </row>
    <row r="5406" spans="4:4">
      <c r="D5406" s="941" t="s">
        <v>5892</v>
      </c>
    </row>
    <row r="5407" spans="4:4">
      <c r="D5407" s="941" t="s">
        <v>5893</v>
      </c>
    </row>
    <row r="5408" spans="4:4">
      <c r="D5408" s="941" t="s">
        <v>5894</v>
      </c>
    </row>
    <row r="5409" spans="4:4">
      <c r="D5409" s="941" t="s">
        <v>5895</v>
      </c>
    </row>
    <row r="5410" spans="4:4">
      <c r="D5410" s="941" t="s">
        <v>5896</v>
      </c>
    </row>
    <row r="5411" spans="4:4">
      <c r="D5411" s="941" t="s">
        <v>5897</v>
      </c>
    </row>
    <row r="5412" spans="4:4">
      <c r="D5412" s="941" t="s">
        <v>10397</v>
      </c>
    </row>
    <row r="5413" spans="4:4">
      <c r="D5413" s="941" t="s">
        <v>5898</v>
      </c>
    </row>
    <row r="5414" spans="4:4">
      <c r="D5414" s="941" t="s">
        <v>10428</v>
      </c>
    </row>
    <row r="5415" spans="4:4">
      <c r="D5415" s="941" t="s">
        <v>5899</v>
      </c>
    </row>
    <row r="5416" spans="4:4">
      <c r="D5416" s="941" t="s">
        <v>10398</v>
      </c>
    </row>
    <row r="5417" spans="4:4">
      <c r="D5417" s="941" t="s">
        <v>5900</v>
      </c>
    </row>
    <row r="5418" spans="4:4">
      <c r="D5418" s="941" t="s">
        <v>5901</v>
      </c>
    </row>
    <row r="5419" spans="4:4">
      <c r="D5419" s="941" t="s">
        <v>5902</v>
      </c>
    </row>
    <row r="5420" spans="4:4">
      <c r="D5420" s="941" t="s">
        <v>5903</v>
      </c>
    </row>
    <row r="5421" spans="4:4">
      <c r="D5421" s="941" t="s">
        <v>5904</v>
      </c>
    </row>
    <row r="5422" spans="4:4">
      <c r="D5422" s="941" t="s">
        <v>5905</v>
      </c>
    </row>
    <row r="5423" spans="4:4">
      <c r="D5423" s="941" t="s">
        <v>5906</v>
      </c>
    </row>
    <row r="5424" spans="4:4">
      <c r="D5424" s="941" t="s">
        <v>5907</v>
      </c>
    </row>
    <row r="5425" spans="4:4">
      <c r="D5425" s="941" t="s">
        <v>5908</v>
      </c>
    </row>
    <row r="5426" spans="4:4">
      <c r="D5426" s="941" t="s">
        <v>5909</v>
      </c>
    </row>
    <row r="5427" spans="4:4">
      <c r="D5427" s="941" t="s">
        <v>10551</v>
      </c>
    </row>
    <row r="5428" spans="4:4">
      <c r="D5428" s="941" t="s">
        <v>5910</v>
      </c>
    </row>
    <row r="5429" spans="4:4">
      <c r="D5429" s="941" t="s">
        <v>5911</v>
      </c>
    </row>
    <row r="5430" spans="4:4">
      <c r="D5430" s="941" t="s">
        <v>5912</v>
      </c>
    </row>
    <row r="5431" spans="4:4">
      <c r="D5431" s="941" t="s">
        <v>5913</v>
      </c>
    </row>
    <row r="5432" spans="4:4">
      <c r="D5432" s="941" t="s">
        <v>5914</v>
      </c>
    </row>
    <row r="5433" spans="4:4">
      <c r="D5433" s="941" t="s">
        <v>5915</v>
      </c>
    </row>
    <row r="5434" spans="4:4">
      <c r="D5434" s="941" t="s">
        <v>5916</v>
      </c>
    </row>
    <row r="5435" spans="4:4">
      <c r="D5435" s="941" t="s">
        <v>5917</v>
      </c>
    </row>
    <row r="5436" spans="4:4">
      <c r="D5436" s="941" t="s">
        <v>5918</v>
      </c>
    </row>
    <row r="5437" spans="4:4">
      <c r="D5437" s="941" t="s">
        <v>5919</v>
      </c>
    </row>
    <row r="5438" spans="4:4">
      <c r="D5438" s="941" t="s">
        <v>5920</v>
      </c>
    </row>
    <row r="5439" spans="4:4">
      <c r="D5439" s="941" t="s">
        <v>5921</v>
      </c>
    </row>
    <row r="5440" spans="4:4">
      <c r="D5440" s="941" t="s">
        <v>5922</v>
      </c>
    </row>
    <row r="5441" spans="4:4">
      <c r="D5441" s="941" t="s">
        <v>5923</v>
      </c>
    </row>
    <row r="5442" spans="4:4">
      <c r="D5442" s="941" t="s">
        <v>5924</v>
      </c>
    </row>
    <row r="5443" spans="4:4">
      <c r="D5443" s="941" t="s">
        <v>5925</v>
      </c>
    </row>
    <row r="5444" spans="4:4">
      <c r="D5444" s="941" t="s">
        <v>5926</v>
      </c>
    </row>
    <row r="5445" spans="4:4">
      <c r="D5445" s="941" t="s">
        <v>467</v>
      </c>
    </row>
    <row r="5446" spans="4:4">
      <c r="D5446" s="941" t="s">
        <v>5927</v>
      </c>
    </row>
    <row r="5447" spans="4:4">
      <c r="D5447" s="941" t="s">
        <v>5928</v>
      </c>
    </row>
    <row r="5448" spans="4:4">
      <c r="D5448" s="941" t="s">
        <v>5929</v>
      </c>
    </row>
    <row r="5449" spans="4:4">
      <c r="D5449" s="941" t="s">
        <v>10201</v>
      </c>
    </row>
    <row r="5450" spans="4:4">
      <c r="D5450" s="941" t="s">
        <v>5930</v>
      </c>
    </row>
    <row r="5451" spans="4:4">
      <c r="D5451" s="941" t="s">
        <v>5931</v>
      </c>
    </row>
    <row r="5452" spans="4:4">
      <c r="D5452" s="941" t="s">
        <v>5932</v>
      </c>
    </row>
    <row r="5453" spans="4:4">
      <c r="D5453" s="941" t="s">
        <v>5933</v>
      </c>
    </row>
    <row r="5454" spans="4:4">
      <c r="D5454" s="941" t="s">
        <v>5934</v>
      </c>
    </row>
    <row r="5455" spans="4:4">
      <c r="D5455" s="941" t="s">
        <v>5935</v>
      </c>
    </row>
    <row r="5456" spans="4:4">
      <c r="D5456" s="941" t="s">
        <v>9778</v>
      </c>
    </row>
    <row r="5457" spans="4:4">
      <c r="D5457" s="941" t="s">
        <v>5936</v>
      </c>
    </row>
    <row r="5458" spans="4:4">
      <c r="D5458" s="941" t="s">
        <v>5937</v>
      </c>
    </row>
    <row r="5459" spans="4:4">
      <c r="D5459" s="941" t="s">
        <v>5938</v>
      </c>
    </row>
    <row r="5460" spans="4:4">
      <c r="D5460" s="941" t="s">
        <v>5939</v>
      </c>
    </row>
    <row r="5461" spans="4:4">
      <c r="D5461" s="941" t="s">
        <v>5940</v>
      </c>
    </row>
    <row r="5462" spans="4:4">
      <c r="D5462" s="941" t="s">
        <v>5941</v>
      </c>
    </row>
    <row r="5463" spans="4:4">
      <c r="D5463" s="941" t="s">
        <v>5942</v>
      </c>
    </row>
    <row r="5464" spans="4:4">
      <c r="D5464" s="941" t="s">
        <v>5943</v>
      </c>
    </row>
    <row r="5465" spans="4:4">
      <c r="D5465" s="941" t="s">
        <v>5944</v>
      </c>
    </row>
    <row r="5466" spans="4:4">
      <c r="D5466" s="941" t="s">
        <v>9536</v>
      </c>
    </row>
    <row r="5467" spans="4:4">
      <c r="D5467" s="941" t="s">
        <v>9537</v>
      </c>
    </row>
    <row r="5468" spans="4:4">
      <c r="D5468" s="941" t="s">
        <v>5945</v>
      </c>
    </row>
    <row r="5469" spans="4:4">
      <c r="D5469" s="941" t="s">
        <v>5946</v>
      </c>
    </row>
    <row r="5470" spans="4:4">
      <c r="D5470" s="941" t="s">
        <v>5947</v>
      </c>
    </row>
    <row r="5471" spans="4:4">
      <c r="D5471" s="941" t="s">
        <v>5948</v>
      </c>
    </row>
    <row r="5472" spans="4:4">
      <c r="D5472" s="941" t="s">
        <v>5949</v>
      </c>
    </row>
    <row r="5473" spans="4:4">
      <c r="D5473" s="941" t="s">
        <v>5950</v>
      </c>
    </row>
    <row r="5474" spans="4:4">
      <c r="D5474" s="941" t="s">
        <v>5951</v>
      </c>
    </row>
    <row r="5475" spans="4:4">
      <c r="D5475" s="941" t="s">
        <v>5952</v>
      </c>
    </row>
    <row r="5476" spans="4:4">
      <c r="D5476" s="941" t="s">
        <v>5953</v>
      </c>
    </row>
    <row r="5477" spans="4:4">
      <c r="D5477" s="941" t="s">
        <v>5954</v>
      </c>
    </row>
    <row r="5478" spans="4:4">
      <c r="D5478" s="941" t="s">
        <v>5955</v>
      </c>
    </row>
    <row r="5479" spans="4:4">
      <c r="D5479" s="941" t="s">
        <v>5956</v>
      </c>
    </row>
    <row r="5480" spans="4:4">
      <c r="D5480" s="941" t="s">
        <v>5957</v>
      </c>
    </row>
    <row r="5481" spans="4:4">
      <c r="D5481" s="941" t="s">
        <v>5958</v>
      </c>
    </row>
    <row r="5482" spans="4:4">
      <c r="D5482" s="941" t="s">
        <v>5959</v>
      </c>
    </row>
    <row r="5483" spans="4:4">
      <c r="D5483" s="941" t="s">
        <v>5960</v>
      </c>
    </row>
    <row r="5484" spans="4:4">
      <c r="D5484" s="941" t="s">
        <v>5961</v>
      </c>
    </row>
    <row r="5485" spans="4:4">
      <c r="D5485" s="941" t="s">
        <v>5962</v>
      </c>
    </row>
    <row r="5486" spans="4:4">
      <c r="D5486" s="941" t="s">
        <v>5963</v>
      </c>
    </row>
    <row r="5487" spans="4:4">
      <c r="D5487" s="941" t="s">
        <v>5964</v>
      </c>
    </row>
    <row r="5488" spans="4:4">
      <c r="D5488" s="941" t="s">
        <v>5965</v>
      </c>
    </row>
    <row r="5489" spans="4:4">
      <c r="D5489" s="941" t="s">
        <v>5966</v>
      </c>
    </row>
    <row r="5490" spans="4:4">
      <c r="D5490" s="941" t="s">
        <v>5967</v>
      </c>
    </row>
    <row r="5491" spans="4:4">
      <c r="D5491" s="941" t="s">
        <v>5968</v>
      </c>
    </row>
    <row r="5492" spans="4:4">
      <c r="D5492" s="941" t="s">
        <v>5969</v>
      </c>
    </row>
    <row r="5493" spans="4:4">
      <c r="D5493" s="941" t="s">
        <v>5970</v>
      </c>
    </row>
    <row r="5494" spans="4:4">
      <c r="D5494" s="941" t="s">
        <v>5971</v>
      </c>
    </row>
    <row r="5495" spans="4:4">
      <c r="D5495" s="941" t="s">
        <v>5972</v>
      </c>
    </row>
    <row r="5496" spans="4:4">
      <c r="D5496" s="941" t="s">
        <v>5973</v>
      </c>
    </row>
    <row r="5497" spans="4:4">
      <c r="D5497" s="941" t="s">
        <v>10496</v>
      </c>
    </row>
    <row r="5498" spans="4:4">
      <c r="D5498" s="941" t="s">
        <v>5974</v>
      </c>
    </row>
    <row r="5499" spans="4:4">
      <c r="D5499" s="941" t="s">
        <v>5975</v>
      </c>
    </row>
    <row r="5500" spans="4:4">
      <c r="D5500" s="941" t="s">
        <v>5976</v>
      </c>
    </row>
    <row r="5501" spans="4:4">
      <c r="D5501" s="941" t="s">
        <v>5977</v>
      </c>
    </row>
    <row r="5502" spans="4:4">
      <c r="D5502" s="941" t="s">
        <v>5978</v>
      </c>
    </row>
    <row r="5503" spans="4:4">
      <c r="D5503" s="941" t="s">
        <v>5979</v>
      </c>
    </row>
    <row r="5504" spans="4:4">
      <c r="D5504" s="941" t="s">
        <v>5980</v>
      </c>
    </row>
    <row r="5505" spans="4:4">
      <c r="D5505" s="941" t="s">
        <v>5981</v>
      </c>
    </row>
    <row r="5506" spans="4:4">
      <c r="D5506" s="941" t="s">
        <v>5982</v>
      </c>
    </row>
    <row r="5507" spans="4:4">
      <c r="D5507" s="941" t="s">
        <v>5983</v>
      </c>
    </row>
    <row r="5508" spans="4:4">
      <c r="D5508" s="941" t="s">
        <v>5984</v>
      </c>
    </row>
    <row r="5509" spans="4:4">
      <c r="D5509" s="941" t="s">
        <v>5985</v>
      </c>
    </row>
    <row r="5510" spans="4:4">
      <c r="D5510" s="941" t="s">
        <v>5986</v>
      </c>
    </row>
    <row r="5511" spans="4:4">
      <c r="D5511" s="941" t="s">
        <v>5987</v>
      </c>
    </row>
    <row r="5512" spans="4:4">
      <c r="D5512" s="941" t="s">
        <v>5988</v>
      </c>
    </row>
    <row r="5513" spans="4:4">
      <c r="D5513" s="941" t="s">
        <v>5989</v>
      </c>
    </row>
    <row r="5514" spans="4:4">
      <c r="D5514" s="941" t="s">
        <v>5990</v>
      </c>
    </row>
    <row r="5515" spans="4:4">
      <c r="D5515" s="941" t="s">
        <v>5991</v>
      </c>
    </row>
    <row r="5516" spans="4:4">
      <c r="D5516" s="941" t="s">
        <v>5992</v>
      </c>
    </row>
    <row r="5517" spans="4:4">
      <c r="D5517" s="941" t="s">
        <v>5993</v>
      </c>
    </row>
    <row r="5518" spans="4:4">
      <c r="D5518" s="941" t="s">
        <v>5994</v>
      </c>
    </row>
    <row r="5519" spans="4:4">
      <c r="D5519" s="941" t="s">
        <v>5995</v>
      </c>
    </row>
    <row r="5520" spans="4:4">
      <c r="D5520" s="941" t="s">
        <v>5996</v>
      </c>
    </row>
    <row r="5521" spans="4:4">
      <c r="D5521" s="941" t="s">
        <v>5997</v>
      </c>
    </row>
    <row r="5522" spans="4:4">
      <c r="D5522" s="941" t="s">
        <v>5998</v>
      </c>
    </row>
    <row r="5523" spans="4:4">
      <c r="D5523" s="941" t="s">
        <v>5999</v>
      </c>
    </row>
    <row r="5524" spans="4:4">
      <c r="D5524" s="941" t="s">
        <v>6000</v>
      </c>
    </row>
    <row r="5525" spans="4:4">
      <c r="D5525" s="941" t="s">
        <v>6001</v>
      </c>
    </row>
    <row r="5526" spans="4:4">
      <c r="D5526" s="941" t="s">
        <v>6002</v>
      </c>
    </row>
    <row r="5527" spans="4:4">
      <c r="D5527" s="941" t="s">
        <v>6003</v>
      </c>
    </row>
    <row r="5528" spans="4:4">
      <c r="D5528" s="941" t="s">
        <v>6004</v>
      </c>
    </row>
    <row r="5529" spans="4:4">
      <c r="D5529" s="941" t="s">
        <v>6005</v>
      </c>
    </row>
    <row r="5530" spans="4:4">
      <c r="D5530" s="941" t="s">
        <v>6006</v>
      </c>
    </row>
    <row r="5531" spans="4:4">
      <c r="D5531" s="941" t="s">
        <v>6007</v>
      </c>
    </row>
    <row r="5532" spans="4:4">
      <c r="D5532" s="941" t="s">
        <v>6008</v>
      </c>
    </row>
    <row r="5533" spans="4:4">
      <c r="D5533" s="941" t="s">
        <v>6009</v>
      </c>
    </row>
    <row r="5534" spans="4:4">
      <c r="D5534" s="941" t="s">
        <v>6010</v>
      </c>
    </row>
    <row r="5535" spans="4:4">
      <c r="D5535" s="941" t="s">
        <v>6011</v>
      </c>
    </row>
    <row r="5536" spans="4:4">
      <c r="D5536" s="941" t="s">
        <v>6012</v>
      </c>
    </row>
    <row r="5537" spans="4:4">
      <c r="D5537" s="941" t="s">
        <v>10552</v>
      </c>
    </row>
    <row r="5538" spans="4:4">
      <c r="D5538" s="941" t="s">
        <v>6013</v>
      </c>
    </row>
    <row r="5539" spans="4:4">
      <c r="D5539" s="941" t="s">
        <v>6014</v>
      </c>
    </row>
    <row r="5540" spans="4:4">
      <c r="D5540" s="941" t="s">
        <v>6015</v>
      </c>
    </row>
    <row r="5541" spans="4:4">
      <c r="D5541" s="941" t="s">
        <v>6016</v>
      </c>
    </row>
    <row r="5542" spans="4:4">
      <c r="D5542" s="941" t="s">
        <v>6017</v>
      </c>
    </row>
    <row r="5543" spans="4:4">
      <c r="D5543" s="941" t="s">
        <v>6018</v>
      </c>
    </row>
    <row r="5544" spans="4:4">
      <c r="D5544" s="941" t="s">
        <v>6019</v>
      </c>
    </row>
    <row r="5545" spans="4:4">
      <c r="D5545" s="941" t="s">
        <v>6020</v>
      </c>
    </row>
    <row r="5546" spans="4:4">
      <c r="D5546" s="941" t="s">
        <v>6021</v>
      </c>
    </row>
    <row r="5547" spans="4:4">
      <c r="D5547" s="941" t="s">
        <v>6022</v>
      </c>
    </row>
    <row r="5548" spans="4:4">
      <c r="D5548" s="941" t="s">
        <v>6023</v>
      </c>
    </row>
    <row r="5549" spans="4:4">
      <c r="D5549" s="941" t="s">
        <v>6024</v>
      </c>
    </row>
    <row r="5550" spans="4:4">
      <c r="D5550" s="941" t="s">
        <v>6025</v>
      </c>
    </row>
    <row r="5551" spans="4:4">
      <c r="D5551" s="941" t="s">
        <v>6026</v>
      </c>
    </row>
    <row r="5552" spans="4:4">
      <c r="D5552" s="941" t="s">
        <v>6027</v>
      </c>
    </row>
    <row r="5553" spans="4:4">
      <c r="D5553" s="941" t="s">
        <v>6028</v>
      </c>
    </row>
    <row r="5554" spans="4:4">
      <c r="D5554" s="941" t="s">
        <v>6029</v>
      </c>
    </row>
    <row r="5555" spans="4:4">
      <c r="D5555" s="941" t="s">
        <v>6030</v>
      </c>
    </row>
    <row r="5556" spans="4:4">
      <c r="D5556" s="941" t="s">
        <v>6031</v>
      </c>
    </row>
    <row r="5557" spans="4:4">
      <c r="D5557" s="941" t="s">
        <v>9876</v>
      </c>
    </row>
    <row r="5558" spans="4:4">
      <c r="D5558" s="941" t="s">
        <v>6032</v>
      </c>
    </row>
    <row r="5559" spans="4:4">
      <c r="D5559" s="941" t="s">
        <v>6033</v>
      </c>
    </row>
    <row r="5560" spans="4:4">
      <c r="D5560" s="941" t="s">
        <v>6034</v>
      </c>
    </row>
    <row r="5561" spans="4:4">
      <c r="D5561" s="941" t="s">
        <v>6035</v>
      </c>
    </row>
    <row r="5562" spans="4:4">
      <c r="D5562" s="941" t="s">
        <v>9538</v>
      </c>
    </row>
    <row r="5563" spans="4:4">
      <c r="D5563" s="941" t="s">
        <v>11023</v>
      </c>
    </row>
    <row r="5564" spans="4:4">
      <c r="D5564" s="941" t="s">
        <v>6036</v>
      </c>
    </row>
    <row r="5565" spans="4:4">
      <c r="D5565" s="941" t="s">
        <v>6037</v>
      </c>
    </row>
    <row r="5566" spans="4:4">
      <c r="D5566" s="941" t="s">
        <v>6038</v>
      </c>
    </row>
    <row r="5567" spans="4:4">
      <c r="D5567" s="941" t="s">
        <v>6039</v>
      </c>
    </row>
    <row r="5568" spans="4:4">
      <c r="D5568" s="941" t="s">
        <v>6040</v>
      </c>
    </row>
    <row r="5569" spans="4:4">
      <c r="D5569" s="941" t="s">
        <v>6041</v>
      </c>
    </row>
    <row r="5570" spans="4:4">
      <c r="D5570" s="941" t="s">
        <v>6042</v>
      </c>
    </row>
    <row r="5571" spans="4:4">
      <c r="D5571" s="941" t="s">
        <v>6043</v>
      </c>
    </row>
    <row r="5572" spans="4:4">
      <c r="D5572" s="941" t="s">
        <v>6044</v>
      </c>
    </row>
    <row r="5573" spans="4:4">
      <c r="D5573" s="941" t="s">
        <v>6046</v>
      </c>
    </row>
    <row r="5574" spans="4:4">
      <c r="D5574" s="941" t="s">
        <v>6047</v>
      </c>
    </row>
    <row r="5575" spans="4:4">
      <c r="D5575" s="941" t="s">
        <v>6045</v>
      </c>
    </row>
    <row r="5576" spans="4:4">
      <c r="D5576" s="941" t="s">
        <v>6048</v>
      </c>
    </row>
    <row r="5577" spans="4:4">
      <c r="D5577" s="941" t="s">
        <v>6049</v>
      </c>
    </row>
    <row r="5578" spans="4:4">
      <c r="D5578" s="941" t="s">
        <v>6050</v>
      </c>
    </row>
    <row r="5579" spans="4:4">
      <c r="D5579" s="941" t="s">
        <v>6051</v>
      </c>
    </row>
    <row r="5580" spans="4:4">
      <c r="D5580" s="941" t="s">
        <v>6052</v>
      </c>
    </row>
    <row r="5581" spans="4:4">
      <c r="D5581" s="941" t="s">
        <v>6053</v>
      </c>
    </row>
    <row r="5582" spans="4:4">
      <c r="D5582" s="941" t="s">
        <v>6054</v>
      </c>
    </row>
    <row r="5583" spans="4:4">
      <c r="D5583" s="941" t="s">
        <v>6055</v>
      </c>
    </row>
    <row r="5584" spans="4:4">
      <c r="D5584" s="941" t="s">
        <v>6056</v>
      </c>
    </row>
    <row r="5585" spans="4:4">
      <c r="D5585" s="941" t="s">
        <v>1019</v>
      </c>
    </row>
    <row r="5586" spans="4:4">
      <c r="D5586" s="941" t="s">
        <v>6057</v>
      </c>
    </row>
    <row r="5587" spans="4:4">
      <c r="D5587" s="941" t="s">
        <v>6058</v>
      </c>
    </row>
    <row r="5588" spans="4:4">
      <c r="D5588" s="941" t="s">
        <v>6059</v>
      </c>
    </row>
    <row r="5589" spans="4:4">
      <c r="D5589" s="941" t="s">
        <v>6060</v>
      </c>
    </row>
    <row r="5590" spans="4:4">
      <c r="D5590" s="941" t="s">
        <v>6061</v>
      </c>
    </row>
    <row r="5591" spans="4:4">
      <c r="D5591" s="941" t="s">
        <v>6062</v>
      </c>
    </row>
    <row r="5592" spans="4:4">
      <c r="D5592" s="941" t="s">
        <v>6063</v>
      </c>
    </row>
    <row r="5593" spans="4:4">
      <c r="D5593" s="941" t="s">
        <v>6064</v>
      </c>
    </row>
    <row r="5594" spans="4:4">
      <c r="D5594" s="941" t="s">
        <v>6065</v>
      </c>
    </row>
    <row r="5595" spans="4:4">
      <c r="D5595" s="941" t="s">
        <v>6066</v>
      </c>
    </row>
    <row r="5596" spans="4:4">
      <c r="D5596" s="941" t="s">
        <v>6067</v>
      </c>
    </row>
    <row r="5597" spans="4:4">
      <c r="D5597" s="941" t="s">
        <v>6068</v>
      </c>
    </row>
    <row r="5598" spans="4:4">
      <c r="D5598" s="941" t="s">
        <v>6069</v>
      </c>
    </row>
    <row r="5599" spans="4:4">
      <c r="D5599" s="941" t="s">
        <v>6070</v>
      </c>
    </row>
    <row r="5600" spans="4:4">
      <c r="D5600" s="941" t="s">
        <v>9539</v>
      </c>
    </row>
    <row r="5601" spans="4:4">
      <c r="D5601" s="941" t="s">
        <v>6071</v>
      </c>
    </row>
    <row r="5602" spans="4:4">
      <c r="D5602" s="941" t="s">
        <v>6072</v>
      </c>
    </row>
    <row r="5603" spans="4:4">
      <c r="D5603" s="941" t="s">
        <v>6073</v>
      </c>
    </row>
    <row r="5604" spans="4:4">
      <c r="D5604" s="941" t="s">
        <v>6074</v>
      </c>
    </row>
    <row r="5605" spans="4:4">
      <c r="D5605" s="941" t="s">
        <v>6075</v>
      </c>
    </row>
    <row r="5606" spans="4:4">
      <c r="D5606" s="941" t="s">
        <v>6076</v>
      </c>
    </row>
    <row r="5607" spans="4:4">
      <c r="D5607" s="941" t="s">
        <v>6077</v>
      </c>
    </row>
    <row r="5608" spans="4:4">
      <c r="D5608" s="941" t="s">
        <v>6078</v>
      </c>
    </row>
    <row r="5609" spans="4:4">
      <c r="D5609" s="941" t="s">
        <v>6079</v>
      </c>
    </row>
    <row r="5610" spans="4:4">
      <c r="D5610" s="941" t="s">
        <v>6080</v>
      </c>
    </row>
    <row r="5611" spans="4:4">
      <c r="D5611" s="941" t="s">
        <v>6081</v>
      </c>
    </row>
    <row r="5612" spans="4:4">
      <c r="D5612" s="941" t="s">
        <v>6082</v>
      </c>
    </row>
    <row r="5613" spans="4:4">
      <c r="D5613" s="941" t="s">
        <v>6083</v>
      </c>
    </row>
    <row r="5614" spans="4:4">
      <c r="D5614" s="941" t="s">
        <v>6084</v>
      </c>
    </row>
    <row r="5615" spans="4:4">
      <c r="D5615" s="941" t="s">
        <v>6085</v>
      </c>
    </row>
    <row r="5616" spans="4:4">
      <c r="D5616" s="941" t="s">
        <v>6086</v>
      </c>
    </row>
    <row r="5617" spans="4:4">
      <c r="D5617" s="941" t="s">
        <v>6087</v>
      </c>
    </row>
    <row r="5618" spans="4:4">
      <c r="D5618" s="941" t="s">
        <v>6088</v>
      </c>
    </row>
    <row r="5619" spans="4:4">
      <c r="D5619" s="941" t="s">
        <v>6089</v>
      </c>
    </row>
    <row r="5620" spans="4:4">
      <c r="D5620" s="941" t="s">
        <v>6090</v>
      </c>
    </row>
    <row r="5621" spans="4:4">
      <c r="D5621" s="941" t="s">
        <v>6091</v>
      </c>
    </row>
    <row r="5622" spans="4:4">
      <c r="D5622" s="941" t="s">
        <v>6092</v>
      </c>
    </row>
    <row r="5623" spans="4:4">
      <c r="D5623" s="941" t="s">
        <v>6093</v>
      </c>
    </row>
    <row r="5624" spans="4:4">
      <c r="D5624" s="941" t="s">
        <v>10331</v>
      </c>
    </row>
    <row r="5625" spans="4:4">
      <c r="D5625" s="941" t="s">
        <v>6094</v>
      </c>
    </row>
    <row r="5626" spans="4:4">
      <c r="D5626" s="941" t="s">
        <v>10202</v>
      </c>
    </row>
    <row r="5627" spans="4:4">
      <c r="D5627" s="941" t="s">
        <v>6095</v>
      </c>
    </row>
    <row r="5628" spans="4:4">
      <c r="D5628" s="941" t="s">
        <v>6096</v>
      </c>
    </row>
    <row r="5629" spans="4:4">
      <c r="D5629" s="941" t="s">
        <v>6097</v>
      </c>
    </row>
    <row r="5630" spans="4:4">
      <c r="D5630" s="941" t="s">
        <v>6098</v>
      </c>
    </row>
    <row r="5631" spans="4:4">
      <c r="D5631" s="941" t="s">
        <v>6099</v>
      </c>
    </row>
    <row r="5632" spans="4:4">
      <c r="D5632" s="941" t="s">
        <v>6100</v>
      </c>
    </row>
    <row r="5633" spans="4:4">
      <c r="D5633" s="941" t="s">
        <v>6101</v>
      </c>
    </row>
    <row r="5634" spans="4:4">
      <c r="D5634" s="941" t="s">
        <v>6102</v>
      </c>
    </row>
    <row r="5635" spans="4:4">
      <c r="D5635" s="941" t="s">
        <v>6103</v>
      </c>
    </row>
    <row r="5636" spans="4:4">
      <c r="D5636" s="941" t="s">
        <v>6104</v>
      </c>
    </row>
    <row r="5637" spans="4:4">
      <c r="D5637" s="941" t="s">
        <v>6105</v>
      </c>
    </row>
    <row r="5638" spans="4:4">
      <c r="D5638" s="941" t="s">
        <v>6106</v>
      </c>
    </row>
    <row r="5639" spans="4:4">
      <c r="D5639" s="941" t="s">
        <v>6107</v>
      </c>
    </row>
    <row r="5640" spans="4:4">
      <c r="D5640" s="941" t="s">
        <v>6108</v>
      </c>
    </row>
    <row r="5641" spans="4:4">
      <c r="D5641" s="941" t="s">
        <v>6109</v>
      </c>
    </row>
    <row r="5642" spans="4:4">
      <c r="D5642" s="941" t="s">
        <v>10203</v>
      </c>
    </row>
    <row r="5643" spans="4:4">
      <c r="D5643" s="941" t="s">
        <v>10429</v>
      </c>
    </row>
    <row r="5644" spans="4:4">
      <c r="D5644" s="941" t="s">
        <v>6110</v>
      </c>
    </row>
    <row r="5645" spans="4:4">
      <c r="D5645" s="941" t="s">
        <v>6111</v>
      </c>
    </row>
    <row r="5646" spans="4:4">
      <c r="D5646" s="941" t="s">
        <v>6112</v>
      </c>
    </row>
    <row r="5647" spans="4:4">
      <c r="D5647" s="941" t="s">
        <v>6113</v>
      </c>
    </row>
    <row r="5648" spans="4:4">
      <c r="D5648" s="941" t="s">
        <v>6114</v>
      </c>
    </row>
    <row r="5649" spans="4:4">
      <c r="D5649" s="941" t="s">
        <v>6115</v>
      </c>
    </row>
    <row r="5650" spans="4:4">
      <c r="D5650" s="941" t="s">
        <v>6116</v>
      </c>
    </row>
    <row r="5651" spans="4:4">
      <c r="D5651" s="941" t="s">
        <v>6117</v>
      </c>
    </row>
    <row r="5652" spans="4:4">
      <c r="D5652" s="941" t="s">
        <v>6118</v>
      </c>
    </row>
    <row r="5653" spans="4:4">
      <c r="D5653" s="941" t="s">
        <v>6119</v>
      </c>
    </row>
    <row r="5654" spans="4:4">
      <c r="D5654" s="941" t="s">
        <v>6120</v>
      </c>
    </row>
    <row r="5655" spans="4:4">
      <c r="D5655" s="941" t="s">
        <v>6121</v>
      </c>
    </row>
    <row r="5656" spans="4:4">
      <c r="D5656" s="941" t="s">
        <v>6122</v>
      </c>
    </row>
    <row r="5657" spans="4:4">
      <c r="D5657" s="941" t="s">
        <v>6123</v>
      </c>
    </row>
    <row r="5658" spans="4:4">
      <c r="D5658" s="941" t="s">
        <v>6124</v>
      </c>
    </row>
    <row r="5659" spans="4:4">
      <c r="D5659" s="941" t="s">
        <v>6125</v>
      </c>
    </row>
    <row r="5660" spans="4:4">
      <c r="D5660" s="941" t="s">
        <v>6126</v>
      </c>
    </row>
    <row r="5661" spans="4:4">
      <c r="D5661" s="941" t="s">
        <v>6127</v>
      </c>
    </row>
    <row r="5662" spans="4:4">
      <c r="D5662" s="941" t="s">
        <v>6128</v>
      </c>
    </row>
    <row r="5663" spans="4:4">
      <c r="D5663" s="941" t="s">
        <v>6129</v>
      </c>
    </row>
    <row r="5664" spans="4:4">
      <c r="D5664" s="941" t="s">
        <v>6130</v>
      </c>
    </row>
    <row r="5665" spans="4:4">
      <c r="D5665" s="941" t="s">
        <v>6131</v>
      </c>
    </row>
    <row r="5666" spans="4:4">
      <c r="D5666" s="941" t="s">
        <v>6132</v>
      </c>
    </row>
    <row r="5667" spans="4:4">
      <c r="D5667" s="941" t="s">
        <v>6133</v>
      </c>
    </row>
    <row r="5668" spans="4:4">
      <c r="D5668" s="941" t="s">
        <v>6134</v>
      </c>
    </row>
    <row r="5669" spans="4:4">
      <c r="D5669" s="941" t="s">
        <v>6135</v>
      </c>
    </row>
    <row r="5670" spans="4:4">
      <c r="D5670" s="941" t="s">
        <v>6136</v>
      </c>
    </row>
    <row r="5671" spans="4:4">
      <c r="D5671" s="941" t="s">
        <v>6137</v>
      </c>
    </row>
    <row r="5672" spans="4:4">
      <c r="D5672" s="941" t="s">
        <v>6138</v>
      </c>
    </row>
    <row r="5673" spans="4:4">
      <c r="D5673" s="941" t="s">
        <v>6139</v>
      </c>
    </row>
    <row r="5674" spans="4:4">
      <c r="D5674" s="941" t="s">
        <v>6140</v>
      </c>
    </row>
    <row r="5675" spans="4:4">
      <c r="D5675" s="941" t="s">
        <v>6141</v>
      </c>
    </row>
    <row r="5676" spans="4:4">
      <c r="D5676" s="941" t="s">
        <v>6142</v>
      </c>
    </row>
    <row r="5677" spans="4:4">
      <c r="D5677" s="941" t="s">
        <v>10672</v>
      </c>
    </row>
    <row r="5678" spans="4:4">
      <c r="D5678" s="941" t="s">
        <v>6143</v>
      </c>
    </row>
    <row r="5679" spans="4:4">
      <c r="D5679" s="941" t="s">
        <v>6144</v>
      </c>
    </row>
    <row r="5680" spans="4:4">
      <c r="D5680" s="941" t="s">
        <v>6145</v>
      </c>
    </row>
    <row r="5681" spans="4:4">
      <c r="D5681" s="941" t="s">
        <v>6146</v>
      </c>
    </row>
    <row r="5682" spans="4:4">
      <c r="D5682" s="941" t="s">
        <v>6147</v>
      </c>
    </row>
    <row r="5683" spans="4:4">
      <c r="D5683" s="941" t="s">
        <v>6148</v>
      </c>
    </row>
    <row r="5684" spans="4:4">
      <c r="D5684" s="941" t="s">
        <v>6149</v>
      </c>
    </row>
    <row r="5685" spans="4:4">
      <c r="D5685" s="941" t="s">
        <v>6150</v>
      </c>
    </row>
    <row r="5686" spans="4:4">
      <c r="D5686" s="941" t="s">
        <v>6151</v>
      </c>
    </row>
    <row r="5687" spans="4:4">
      <c r="D5687" s="941" t="s">
        <v>6152</v>
      </c>
    </row>
    <row r="5688" spans="4:4">
      <c r="D5688" s="941" t="s">
        <v>6153</v>
      </c>
    </row>
    <row r="5689" spans="4:4">
      <c r="D5689" s="941" t="s">
        <v>9540</v>
      </c>
    </row>
    <row r="5690" spans="4:4">
      <c r="D5690" s="941" t="s">
        <v>6154</v>
      </c>
    </row>
    <row r="5691" spans="4:4">
      <c r="D5691" s="941" t="s">
        <v>6155</v>
      </c>
    </row>
    <row r="5692" spans="4:4">
      <c r="D5692" s="941" t="s">
        <v>6156</v>
      </c>
    </row>
    <row r="5693" spans="4:4">
      <c r="D5693" s="941" t="s">
        <v>6157</v>
      </c>
    </row>
    <row r="5694" spans="4:4">
      <c r="D5694" s="941" t="s">
        <v>6158</v>
      </c>
    </row>
    <row r="5695" spans="4:4">
      <c r="D5695" s="941" t="s">
        <v>6159</v>
      </c>
    </row>
    <row r="5696" spans="4:4">
      <c r="D5696" s="941" t="s">
        <v>6160</v>
      </c>
    </row>
    <row r="5697" spans="4:4">
      <c r="D5697" s="941" t="s">
        <v>6161</v>
      </c>
    </row>
    <row r="5698" spans="4:4">
      <c r="D5698" s="941" t="s">
        <v>6162</v>
      </c>
    </row>
    <row r="5699" spans="4:4">
      <c r="D5699" s="941" t="s">
        <v>6163</v>
      </c>
    </row>
    <row r="5700" spans="4:4">
      <c r="D5700" s="941" t="s">
        <v>6164</v>
      </c>
    </row>
    <row r="5701" spans="4:4">
      <c r="D5701" s="941" t="s">
        <v>6165</v>
      </c>
    </row>
    <row r="5702" spans="4:4">
      <c r="D5702" s="941" t="s">
        <v>6166</v>
      </c>
    </row>
    <row r="5703" spans="4:4">
      <c r="D5703" s="941" t="s">
        <v>6167</v>
      </c>
    </row>
    <row r="5704" spans="4:4">
      <c r="D5704" s="941" t="s">
        <v>6168</v>
      </c>
    </row>
    <row r="5705" spans="4:4">
      <c r="D5705" s="941" t="s">
        <v>9541</v>
      </c>
    </row>
    <row r="5706" spans="4:4">
      <c r="D5706" s="941" t="s">
        <v>6169</v>
      </c>
    </row>
    <row r="5707" spans="4:4">
      <c r="D5707" s="941" t="s">
        <v>6170</v>
      </c>
    </row>
    <row r="5708" spans="4:4">
      <c r="D5708" s="941" t="s">
        <v>6171</v>
      </c>
    </row>
    <row r="5709" spans="4:4">
      <c r="D5709" s="941" t="s">
        <v>6172</v>
      </c>
    </row>
    <row r="5710" spans="4:4">
      <c r="D5710" s="941" t="s">
        <v>6173</v>
      </c>
    </row>
    <row r="5711" spans="4:4">
      <c r="D5711" s="941" t="s">
        <v>6174</v>
      </c>
    </row>
    <row r="5712" spans="4:4">
      <c r="D5712" s="941" t="s">
        <v>6175</v>
      </c>
    </row>
    <row r="5713" spans="4:4">
      <c r="D5713" s="941" t="s">
        <v>6176</v>
      </c>
    </row>
    <row r="5714" spans="4:4">
      <c r="D5714" s="941" t="s">
        <v>6177</v>
      </c>
    </row>
    <row r="5715" spans="4:4">
      <c r="D5715" s="941" t="s">
        <v>9877</v>
      </c>
    </row>
    <row r="5716" spans="4:4">
      <c r="D5716" s="941" t="s">
        <v>6178</v>
      </c>
    </row>
    <row r="5717" spans="4:4">
      <c r="D5717" s="941" t="s">
        <v>6179</v>
      </c>
    </row>
    <row r="5718" spans="4:4">
      <c r="D5718" s="941" t="s">
        <v>6180</v>
      </c>
    </row>
    <row r="5719" spans="4:4">
      <c r="D5719" s="941" t="s">
        <v>6181</v>
      </c>
    </row>
    <row r="5720" spans="4:4">
      <c r="D5720" s="941" t="s">
        <v>6182</v>
      </c>
    </row>
    <row r="5721" spans="4:4">
      <c r="D5721" s="941" t="s">
        <v>6183</v>
      </c>
    </row>
    <row r="5722" spans="4:4">
      <c r="D5722" s="941" t="s">
        <v>6184</v>
      </c>
    </row>
    <row r="5723" spans="4:4">
      <c r="D5723" s="941" t="s">
        <v>6185</v>
      </c>
    </row>
    <row r="5724" spans="4:4">
      <c r="D5724" s="941" t="s">
        <v>6186</v>
      </c>
    </row>
    <row r="5725" spans="4:4">
      <c r="D5725" s="941" t="s">
        <v>6187</v>
      </c>
    </row>
    <row r="5726" spans="4:4">
      <c r="D5726" s="941" t="s">
        <v>6188</v>
      </c>
    </row>
    <row r="5727" spans="4:4">
      <c r="D5727" s="941" t="s">
        <v>6189</v>
      </c>
    </row>
    <row r="5728" spans="4:4">
      <c r="D5728" s="941" t="s">
        <v>6190</v>
      </c>
    </row>
    <row r="5729" spans="4:4">
      <c r="D5729" s="941" t="s">
        <v>6191</v>
      </c>
    </row>
    <row r="5730" spans="4:4">
      <c r="D5730" s="941" t="s">
        <v>6192</v>
      </c>
    </row>
    <row r="5731" spans="4:4">
      <c r="D5731" s="941" t="s">
        <v>6193</v>
      </c>
    </row>
    <row r="5732" spans="4:4">
      <c r="D5732" s="941" t="s">
        <v>6194</v>
      </c>
    </row>
    <row r="5733" spans="4:4">
      <c r="D5733" s="941" t="s">
        <v>6195</v>
      </c>
    </row>
    <row r="5734" spans="4:4">
      <c r="D5734" s="941" t="s">
        <v>6196</v>
      </c>
    </row>
    <row r="5735" spans="4:4">
      <c r="D5735" s="941" t="s">
        <v>6197</v>
      </c>
    </row>
    <row r="5736" spans="4:4">
      <c r="D5736" s="941" t="s">
        <v>6198</v>
      </c>
    </row>
    <row r="5737" spans="4:4">
      <c r="D5737" s="941" t="s">
        <v>6199</v>
      </c>
    </row>
    <row r="5738" spans="4:4">
      <c r="D5738" s="941" t="s">
        <v>6200</v>
      </c>
    </row>
    <row r="5739" spans="4:4">
      <c r="D5739" s="941" t="s">
        <v>6201</v>
      </c>
    </row>
    <row r="5740" spans="4:4">
      <c r="D5740" s="941" t="s">
        <v>6202</v>
      </c>
    </row>
    <row r="5741" spans="4:4">
      <c r="D5741" s="941" t="s">
        <v>6203</v>
      </c>
    </row>
    <row r="5742" spans="4:4">
      <c r="D5742" s="941" t="s">
        <v>6204</v>
      </c>
    </row>
    <row r="5743" spans="4:4">
      <c r="D5743" s="941" t="s">
        <v>6205</v>
      </c>
    </row>
    <row r="5744" spans="4:4">
      <c r="D5744" s="941" t="s">
        <v>10680</v>
      </c>
    </row>
    <row r="5745" spans="4:4">
      <c r="D5745" s="941" t="s">
        <v>6206</v>
      </c>
    </row>
    <row r="5746" spans="4:4">
      <c r="D5746" s="941" t="s">
        <v>6207</v>
      </c>
    </row>
    <row r="5747" spans="4:4">
      <c r="D5747" s="941" t="s">
        <v>12341</v>
      </c>
    </row>
    <row r="5748" spans="4:4">
      <c r="D5748" s="941" t="s">
        <v>6208</v>
      </c>
    </row>
    <row r="5749" spans="4:4">
      <c r="D5749" s="941" t="s">
        <v>6209</v>
      </c>
    </row>
    <row r="5750" spans="4:4">
      <c r="D5750" s="941" t="s">
        <v>6210</v>
      </c>
    </row>
    <row r="5751" spans="4:4">
      <c r="D5751" s="941" t="s">
        <v>6211</v>
      </c>
    </row>
    <row r="5752" spans="4:4">
      <c r="D5752" s="941" t="s">
        <v>9542</v>
      </c>
    </row>
    <row r="5753" spans="4:4">
      <c r="D5753" s="941" t="s">
        <v>6212</v>
      </c>
    </row>
    <row r="5754" spans="4:4">
      <c r="D5754" s="941" t="s">
        <v>6213</v>
      </c>
    </row>
    <row r="5755" spans="4:4">
      <c r="D5755" s="941" t="s">
        <v>6214</v>
      </c>
    </row>
    <row r="5756" spans="4:4">
      <c r="D5756" s="941" t="s">
        <v>6215</v>
      </c>
    </row>
    <row r="5757" spans="4:4">
      <c r="D5757" s="941" t="s">
        <v>6216</v>
      </c>
    </row>
    <row r="5758" spans="4:4">
      <c r="D5758" s="941" t="s">
        <v>6217</v>
      </c>
    </row>
    <row r="5759" spans="4:4">
      <c r="D5759" s="941" t="s">
        <v>6218</v>
      </c>
    </row>
    <row r="5760" spans="4:4">
      <c r="D5760" s="941" t="s">
        <v>6219</v>
      </c>
    </row>
    <row r="5761" spans="4:4">
      <c r="D5761" s="941" t="s">
        <v>6220</v>
      </c>
    </row>
    <row r="5762" spans="4:4">
      <c r="D5762" s="941" t="s">
        <v>6221</v>
      </c>
    </row>
    <row r="5763" spans="4:4">
      <c r="D5763" s="941" t="s">
        <v>6222</v>
      </c>
    </row>
    <row r="5764" spans="4:4">
      <c r="D5764" s="941" t="s">
        <v>6223</v>
      </c>
    </row>
    <row r="5765" spans="4:4">
      <c r="D5765" s="941" t="s">
        <v>6224</v>
      </c>
    </row>
    <row r="5766" spans="4:4">
      <c r="D5766" s="941" t="s">
        <v>6225</v>
      </c>
    </row>
    <row r="5767" spans="4:4">
      <c r="D5767" s="941" t="s">
        <v>10553</v>
      </c>
    </row>
    <row r="5768" spans="4:4">
      <c r="D5768" s="941" t="s">
        <v>6226</v>
      </c>
    </row>
    <row r="5769" spans="4:4">
      <c r="D5769" s="941" t="s">
        <v>10688</v>
      </c>
    </row>
    <row r="5770" spans="4:4">
      <c r="D5770" s="941" t="s">
        <v>6227</v>
      </c>
    </row>
    <row r="5771" spans="4:4">
      <c r="D5771" s="941" t="s">
        <v>6228</v>
      </c>
    </row>
    <row r="5772" spans="4:4">
      <c r="D5772" s="941" t="s">
        <v>6229</v>
      </c>
    </row>
    <row r="5773" spans="4:4">
      <c r="D5773" s="941" t="s">
        <v>6230</v>
      </c>
    </row>
    <row r="5774" spans="4:4">
      <c r="D5774" s="941" t="s">
        <v>6231</v>
      </c>
    </row>
    <row r="5775" spans="4:4">
      <c r="D5775" s="941" t="s">
        <v>6232</v>
      </c>
    </row>
    <row r="5776" spans="4:4">
      <c r="D5776" s="941" t="s">
        <v>6233</v>
      </c>
    </row>
    <row r="5777" spans="4:4">
      <c r="D5777" s="941" t="s">
        <v>6234</v>
      </c>
    </row>
    <row r="5778" spans="4:4">
      <c r="D5778" s="941" t="s">
        <v>6235</v>
      </c>
    </row>
    <row r="5779" spans="4:4">
      <c r="D5779" s="941" t="s">
        <v>6236</v>
      </c>
    </row>
    <row r="5780" spans="4:4">
      <c r="D5780" s="941" t="s">
        <v>6237</v>
      </c>
    </row>
    <row r="5781" spans="4:4">
      <c r="D5781" s="941" t="s">
        <v>6238</v>
      </c>
    </row>
    <row r="5782" spans="4:4">
      <c r="D5782" s="941" t="s">
        <v>6239</v>
      </c>
    </row>
    <row r="5783" spans="4:4">
      <c r="D5783" s="941" t="s">
        <v>6240</v>
      </c>
    </row>
    <row r="5784" spans="4:4">
      <c r="D5784" s="941" t="s">
        <v>6241</v>
      </c>
    </row>
    <row r="5785" spans="4:4">
      <c r="D5785" s="941" t="s">
        <v>6242</v>
      </c>
    </row>
    <row r="5786" spans="4:4">
      <c r="D5786" s="941" t="s">
        <v>6243</v>
      </c>
    </row>
    <row r="5787" spans="4:4">
      <c r="D5787" s="941" t="s">
        <v>6244</v>
      </c>
    </row>
    <row r="5788" spans="4:4">
      <c r="D5788" s="941" t="s">
        <v>6245</v>
      </c>
    </row>
    <row r="5789" spans="4:4">
      <c r="D5789" s="941" t="s">
        <v>6246</v>
      </c>
    </row>
    <row r="5790" spans="4:4">
      <c r="D5790" s="941" t="s">
        <v>6247</v>
      </c>
    </row>
    <row r="5791" spans="4:4">
      <c r="D5791" s="941" t="s">
        <v>6248</v>
      </c>
    </row>
    <row r="5792" spans="4:4">
      <c r="D5792" s="941" t="s">
        <v>6249</v>
      </c>
    </row>
    <row r="5793" spans="4:4">
      <c r="D5793" s="941" t="s">
        <v>6250</v>
      </c>
    </row>
    <row r="5794" spans="4:4">
      <c r="D5794" s="941" t="s">
        <v>9543</v>
      </c>
    </row>
    <row r="5795" spans="4:4">
      <c r="D5795" s="941" t="s">
        <v>6251</v>
      </c>
    </row>
    <row r="5796" spans="4:4">
      <c r="D5796" s="941" t="s">
        <v>6252</v>
      </c>
    </row>
    <row r="5797" spans="4:4">
      <c r="D5797" s="941" t="s">
        <v>6253</v>
      </c>
    </row>
    <row r="5798" spans="4:4">
      <c r="D5798" s="941" t="s">
        <v>6254</v>
      </c>
    </row>
    <row r="5799" spans="4:4">
      <c r="D5799" s="941" t="s">
        <v>9544</v>
      </c>
    </row>
    <row r="5800" spans="4:4">
      <c r="D5800" s="941" t="s">
        <v>6255</v>
      </c>
    </row>
    <row r="5801" spans="4:4">
      <c r="D5801" s="941" t="s">
        <v>6256</v>
      </c>
    </row>
    <row r="5802" spans="4:4">
      <c r="D5802" s="941" t="s">
        <v>6257</v>
      </c>
    </row>
    <row r="5803" spans="4:4">
      <c r="D5803" s="941" t="s">
        <v>6258</v>
      </c>
    </row>
    <row r="5804" spans="4:4">
      <c r="D5804" s="941" t="s">
        <v>6259</v>
      </c>
    </row>
    <row r="5805" spans="4:4">
      <c r="D5805" s="941" t="s">
        <v>6260</v>
      </c>
    </row>
    <row r="5806" spans="4:4">
      <c r="D5806" s="941" t="s">
        <v>6261</v>
      </c>
    </row>
    <row r="5807" spans="4:4">
      <c r="D5807" s="941" t="s">
        <v>6262</v>
      </c>
    </row>
    <row r="5808" spans="4:4">
      <c r="D5808" s="941" t="s">
        <v>6263</v>
      </c>
    </row>
    <row r="5809" spans="4:4">
      <c r="D5809" s="941" t="s">
        <v>6264</v>
      </c>
    </row>
    <row r="5810" spans="4:4">
      <c r="D5810" s="941" t="s">
        <v>6265</v>
      </c>
    </row>
    <row r="5811" spans="4:4">
      <c r="D5811" s="941" t="s">
        <v>6266</v>
      </c>
    </row>
    <row r="5812" spans="4:4">
      <c r="D5812" s="941" t="s">
        <v>6267</v>
      </c>
    </row>
    <row r="5813" spans="4:4">
      <c r="D5813" s="941" t="s">
        <v>6268</v>
      </c>
    </row>
    <row r="5814" spans="4:4">
      <c r="D5814" s="941" t="s">
        <v>6269</v>
      </c>
    </row>
    <row r="5815" spans="4:4">
      <c r="D5815" s="941" t="s">
        <v>6270</v>
      </c>
    </row>
    <row r="5816" spans="4:4">
      <c r="D5816" s="941" t="s">
        <v>6271</v>
      </c>
    </row>
    <row r="5817" spans="4:4">
      <c r="D5817" s="941" t="s">
        <v>10204</v>
      </c>
    </row>
    <row r="5818" spans="4:4">
      <c r="D5818" s="941" t="s">
        <v>6272</v>
      </c>
    </row>
    <row r="5819" spans="4:4">
      <c r="D5819" s="941" t="s">
        <v>6273</v>
      </c>
    </row>
    <row r="5820" spans="4:4">
      <c r="D5820" s="941" t="s">
        <v>6274</v>
      </c>
    </row>
    <row r="5821" spans="4:4">
      <c r="D5821" s="941" t="s">
        <v>9779</v>
      </c>
    </row>
    <row r="5822" spans="4:4">
      <c r="D5822" s="941" t="s">
        <v>6275</v>
      </c>
    </row>
    <row r="5823" spans="4:4">
      <c r="D5823" s="941" t="s">
        <v>6276</v>
      </c>
    </row>
    <row r="5824" spans="4:4">
      <c r="D5824" s="941" t="s">
        <v>6277</v>
      </c>
    </row>
    <row r="5825" spans="4:4">
      <c r="D5825" s="941" t="s">
        <v>6278</v>
      </c>
    </row>
    <row r="5826" spans="4:4">
      <c r="D5826" s="941" t="s">
        <v>6279</v>
      </c>
    </row>
    <row r="5827" spans="4:4">
      <c r="D5827" s="941" t="s">
        <v>6280</v>
      </c>
    </row>
    <row r="5828" spans="4:4">
      <c r="D5828" s="941" t="s">
        <v>6281</v>
      </c>
    </row>
    <row r="5829" spans="4:4">
      <c r="D5829" s="941" t="s">
        <v>6282</v>
      </c>
    </row>
    <row r="5830" spans="4:4">
      <c r="D5830" s="941" t="s">
        <v>6283</v>
      </c>
    </row>
    <row r="5831" spans="4:4">
      <c r="D5831" s="941" t="s">
        <v>6284</v>
      </c>
    </row>
    <row r="5832" spans="4:4">
      <c r="D5832" s="941" t="s">
        <v>6285</v>
      </c>
    </row>
    <row r="5833" spans="4:4">
      <c r="D5833" s="941" t="s">
        <v>6286</v>
      </c>
    </row>
    <row r="5834" spans="4:4">
      <c r="D5834" s="941" t="s">
        <v>6287</v>
      </c>
    </row>
    <row r="5835" spans="4:4">
      <c r="D5835" s="941" t="s">
        <v>6288</v>
      </c>
    </row>
    <row r="5836" spans="4:4">
      <c r="D5836" s="941" t="s">
        <v>6289</v>
      </c>
    </row>
    <row r="5837" spans="4:4">
      <c r="D5837" s="941" t="s">
        <v>6290</v>
      </c>
    </row>
    <row r="5838" spans="4:4">
      <c r="D5838" s="941" t="s">
        <v>6291</v>
      </c>
    </row>
    <row r="5839" spans="4:4">
      <c r="D5839" s="941" t="s">
        <v>283</v>
      </c>
    </row>
    <row r="5840" spans="4:4">
      <c r="D5840" s="941" t="s">
        <v>6292</v>
      </c>
    </row>
    <row r="5841" spans="4:4">
      <c r="D5841" s="941" t="s">
        <v>6293</v>
      </c>
    </row>
    <row r="5842" spans="4:4">
      <c r="D5842" s="941" t="s">
        <v>9545</v>
      </c>
    </row>
    <row r="5843" spans="4:4">
      <c r="D5843" s="941" t="s">
        <v>6294</v>
      </c>
    </row>
    <row r="5844" spans="4:4">
      <c r="D5844" s="941" t="s">
        <v>6295</v>
      </c>
    </row>
    <row r="5845" spans="4:4">
      <c r="D5845" s="941" t="s">
        <v>6296</v>
      </c>
    </row>
    <row r="5846" spans="4:4">
      <c r="D5846" s="941" t="s">
        <v>6297</v>
      </c>
    </row>
    <row r="5847" spans="4:4">
      <c r="D5847" s="941" t="s">
        <v>6298</v>
      </c>
    </row>
    <row r="5848" spans="4:4">
      <c r="D5848" s="941" t="s">
        <v>6299</v>
      </c>
    </row>
    <row r="5849" spans="4:4">
      <c r="D5849" s="941" t="s">
        <v>6300</v>
      </c>
    </row>
    <row r="5850" spans="4:4">
      <c r="D5850" s="941" t="s">
        <v>6301</v>
      </c>
    </row>
    <row r="5851" spans="4:4">
      <c r="D5851" s="941" t="s">
        <v>6302</v>
      </c>
    </row>
    <row r="5852" spans="4:4">
      <c r="D5852" s="941" t="s">
        <v>6303</v>
      </c>
    </row>
    <row r="5853" spans="4:4">
      <c r="D5853" s="941" t="s">
        <v>6304</v>
      </c>
    </row>
    <row r="5854" spans="4:4">
      <c r="D5854" s="941" t="s">
        <v>6305</v>
      </c>
    </row>
    <row r="5855" spans="4:4">
      <c r="D5855" s="941" t="s">
        <v>6306</v>
      </c>
    </row>
    <row r="5856" spans="4:4">
      <c r="D5856" s="941" t="s">
        <v>9546</v>
      </c>
    </row>
    <row r="5857" spans="4:4">
      <c r="D5857" s="941" t="s">
        <v>6307</v>
      </c>
    </row>
    <row r="5858" spans="4:4">
      <c r="D5858" s="941" t="s">
        <v>6308</v>
      </c>
    </row>
    <row r="5859" spans="4:4">
      <c r="D5859" s="941" t="s">
        <v>6309</v>
      </c>
    </row>
    <row r="5860" spans="4:4">
      <c r="D5860" s="941" t="s">
        <v>6310</v>
      </c>
    </row>
    <row r="5861" spans="4:4">
      <c r="D5861" s="941" t="s">
        <v>6311</v>
      </c>
    </row>
    <row r="5862" spans="4:4">
      <c r="D5862" s="941" t="s">
        <v>6312</v>
      </c>
    </row>
    <row r="5863" spans="4:4">
      <c r="D5863" s="941" t="s">
        <v>6313</v>
      </c>
    </row>
    <row r="5864" spans="4:4">
      <c r="D5864" s="941" t="s">
        <v>6314</v>
      </c>
    </row>
    <row r="5865" spans="4:4">
      <c r="D5865" s="941" t="s">
        <v>6315</v>
      </c>
    </row>
    <row r="5866" spans="4:4">
      <c r="D5866" s="941" t="s">
        <v>6316</v>
      </c>
    </row>
    <row r="5867" spans="4:4">
      <c r="D5867" s="941" t="s">
        <v>6317</v>
      </c>
    </row>
    <row r="5868" spans="4:4">
      <c r="D5868" s="941" t="s">
        <v>6318</v>
      </c>
    </row>
    <row r="5869" spans="4:4">
      <c r="D5869" s="941" t="s">
        <v>6319</v>
      </c>
    </row>
    <row r="5870" spans="4:4">
      <c r="D5870" s="941" t="s">
        <v>9878</v>
      </c>
    </row>
    <row r="5871" spans="4:4">
      <c r="D5871" s="941" t="s">
        <v>6320</v>
      </c>
    </row>
    <row r="5872" spans="4:4">
      <c r="D5872" s="941" t="s">
        <v>6321</v>
      </c>
    </row>
    <row r="5873" spans="4:4">
      <c r="D5873" s="941" t="s">
        <v>6322</v>
      </c>
    </row>
    <row r="5874" spans="4:4">
      <c r="D5874" s="941" t="s">
        <v>6323</v>
      </c>
    </row>
    <row r="5875" spans="4:4">
      <c r="D5875" s="941" t="s">
        <v>6324</v>
      </c>
    </row>
    <row r="5876" spans="4:4">
      <c r="D5876" s="941" t="s">
        <v>6325</v>
      </c>
    </row>
    <row r="5877" spans="4:4">
      <c r="D5877" s="941" t="s">
        <v>6326</v>
      </c>
    </row>
    <row r="5878" spans="4:4">
      <c r="D5878" s="941" t="s">
        <v>6327</v>
      </c>
    </row>
    <row r="5879" spans="4:4">
      <c r="D5879" s="941" t="s">
        <v>6328</v>
      </c>
    </row>
    <row r="5880" spans="4:4">
      <c r="D5880" s="941" t="s">
        <v>6329</v>
      </c>
    </row>
    <row r="5881" spans="4:4">
      <c r="D5881" s="941" t="s">
        <v>6330</v>
      </c>
    </row>
    <row r="5882" spans="4:4">
      <c r="D5882" s="941" t="s">
        <v>6331</v>
      </c>
    </row>
    <row r="5883" spans="4:4">
      <c r="D5883" s="941" t="s">
        <v>6332</v>
      </c>
    </row>
    <row r="5884" spans="4:4">
      <c r="D5884" s="941" t="s">
        <v>6333</v>
      </c>
    </row>
    <row r="5885" spans="4:4">
      <c r="D5885" s="941" t="s">
        <v>6334</v>
      </c>
    </row>
    <row r="5886" spans="4:4">
      <c r="D5886" s="941" t="s">
        <v>6335</v>
      </c>
    </row>
    <row r="5887" spans="4:4">
      <c r="D5887" s="941" t="s">
        <v>6336</v>
      </c>
    </row>
    <row r="5888" spans="4:4">
      <c r="D5888" s="941" t="s">
        <v>6337</v>
      </c>
    </row>
    <row r="5889" spans="4:4">
      <c r="D5889" s="941" t="s">
        <v>6338</v>
      </c>
    </row>
    <row r="5890" spans="4:4">
      <c r="D5890" s="941" t="s">
        <v>6339</v>
      </c>
    </row>
    <row r="5891" spans="4:4">
      <c r="D5891" s="941" t="s">
        <v>6340</v>
      </c>
    </row>
    <row r="5892" spans="4:4">
      <c r="D5892" s="941" t="s">
        <v>6341</v>
      </c>
    </row>
    <row r="5893" spans="4:4">
      <c r="D5893" s="941" t="s">
        <v>6342</v>
      </c>
    </row>
    <row r="5894" spans="4:4">
      <c r="D5894" s="941" t="s">
        <v>6343</v>
      </c>
    </row>
    <row r="5895" spans="4:4">
      <c r="D5895" s="941" t="s">
        <v>6344</v>
      </c>
    </row>
    <row r="5896" spans="4:4">
      <c r="D5896" s="941" t="s">
        <v>6345</v>
      </c>
    </row>
    <row r="5897" spans="4:4">
      <c r="D5897" s="941" t="s">
        <v>6346</v>
      </c>
    </row>
    <row r="5898" spans="4:4">
      <c r="D5898" s="941" t="s">
        <v>10205</v>
      </c>
    </row>
    <row r="5899" spans="4:4">
      <c r="D5899" s="941" t="s">
        <v>6347</v>
      </c>
    </row>
    <row r="5900" spans="4:4">
      <c r="D5900" s="941" t="s">
        <v>6348</v>
      </c>
    </row>
    <row r="5901" spans="4:4">
      <c r="D5901" s="941" t="s">
        <v>6349</v>
      </c>
    </row>
    <row r="5902" spans="4:4">
      <c r="D5902" s="941" t="s">
        <v>6350</v>
      </c>
    </row>
    <row r="5903" spans="4:4">
      <c r="D5903" s="941" t="s">
        <v>6351</v>
      </c>
    </row>
    <row r="5904" spans="4:4">
      <c r="D5904" s="941" t="s">
        <v>6352</v>
      </c>
    </row>
    <row r="5905" spans="4:4">
      <c r="D5905" s="941" t="s">
        <v>6353</v>
      </c>
    </row>
    <row r="5906" spans="4:4">
      <c r="D5906" s="941" t="s">
        <v>6354</v>
      </c>
    </row>
    <row r="5907" spans="4:4">
      <c r="D5907" s="941" t="s">
        <v>6355</v>
      </c>
    </row>
    <row r="5908" spans="4:4">
      <c r="D5908" s="941" t="s">
        <v>6356</v>
      </c>
    </row>
    <row r="5909" spans="4:4">
      <c r="D5909" s="941" t="s">
        <v>6357</v>
      </c>
    </row>
    <row r="5910" spans="4:4">
      <c r="D5910" s="941" t="s">
        <v>6358</v>
      </c>
    </row>
    <row r="5911" spans="4:4">
      <c r="D5911" s="941" t="s">
        <v>6359</v>
      </c>
    </row>
    <row r="5912" spans="4:4">
      <c r="D5912" s="941" t="s">
        <v>6360</v>
      </c>
    </row>
    <row r="5913" spans="4:4">
      <c r="D5913" s="941" t="s">
        <v>6361</v>
      </c>
    </row>
    <row r="5914" spans="4:4">
      <c r="D5914" s="941" t="s">
        <v>6362</v>
      </c>
    </row>
    <row r="5915" spans="4:4">
      <c r="D5915" s="941" t="s">
        <v>6363</v>
      </c>
    </row>
    <row r="5916" spans="4:4">
      <c r="D5916" s="941" t="s">
        <v>6364</v>
      </c>
    </row>
    <row r="5917" spans="4:4">
      <c r="D5917" s="941" t="s">
        <v>6365</v>
      </c>
    </row>
    <row r="5918" spans="4:4">
      <c r="D5918" s="941" t="s">
        <v>6366</v>
      </c>
    </row>
    <row r="5919" spans="4:4">
      <c r="D5919" s="941" t="s">
        <v>6367</v>
      </c>
    </row>
    <row r="5920" spans="4:4">
      <c r="D5920" s="941" t="s">
        <v>6368</v>
      </c>
    </row>
    <row r="5921" spans="4:4">
      <c r="D5921" s="941" t="s">
        <v>6369</v>
      </c>
    </row>
    <row r="5922" spans="4:4">
      <c r="D5922" s="941" t="s">
        <v>6370</v>
      </c>
    </row>
    <row r="5923" spans="4:4">
      <c r="D5923" s="941" t="s">
        <v>6371</v>
      </c>
    </row>
    <row r="5924" spans="4:4">
      <c r="D5924" s="941" t="s">
        <v>6372</v>
      </c>
    </row>
    <row r="5925" spans="4:4">
      <c r="D5925" s="941" t="s">
        <v>6373</v>
      </c>
    </row>
    <row r="5926" spans="4:4">
      <c r="D5926" s="941" t="s">
        <v>9547</v>
      </c>
    </row>
    <row r="5927" spans="4:4">
      <c r="D5927" s="941" t="s">
        <v>6374</v>
      </c>
    </row>
    <row r="5928" spans="4:4">
      <c r="D5928" s="941" t="s">
        <v>9548</v>
      </c>
    </row>
    <row r="5929" spans="4:4">
      <c r="D5929" s="941" t="s">
        <v>6375</v>
      </c>
    </row>
    <row r="5930" spans="4:4">
      <c r="D5930" s="941" t="s">
        <v>6376</v>
      </c>
    </row>
    <row r="5931" spans="4:4">
      <c r="D5931" s="941" t="s">
        <v>6377</v>
      </c>
    </row>
    <row r="5932" spans="4:4">
      <c r="D5932" s="941" t="s">
        <v>6378</v>
      </c>
    </row>
    <row r="5933" spans="4:4">
      <c r="D5933" s="941" t="s">
        <v>10554</v>
      </c>
    </row>
    <row r="5934" spans="4:4">
      <c r="D5934" s="941" t="s">
        <v>9549</v>
      </c>
    </row>
    <row r="5935" spans="4:4">
      <c r="D5935" s="941" t="s">
        <v>6379</v>
      </c>
    </row>
    <row r="5936" spans="4:4">
      <c r="D5936" s="941" t="s">
        <v>6380</v>
      </c>
    </row>
    <row r="5937" spans="4:4">
      <c r="D5937" s="941" t="s">
        <v>6381</v>
      </c>
    </row>
    <row r="5938" spans="4:4">
      <c r="D5938" s="941" t="s">
        <v>6382</v>
      </c>
    </row>
    <row r="5939" spans="4:4">
      <c r="D5939" s="941" t="s">
        <v>6383</v>
      </c>
    </row>
    <row r="5940" spans="4:4">
      <c r="D5940" s="941" t="s">
        <v>6384</v>
      </c>
    </row>
    <row r="5941" spans="4:4">
      <c r="D5941" s="941" t="s">
        <v>6385</v>
      </c>
    </row>
    <row r="5942" spans="4:4">
      <c r="D5942" s="941" t="s">
        <v>6386</v>
      </c>
    </row>
    <row r="5943" spans="4:4">
      <c r="D5943" s="941" t="s">
        <v>6387</v>
      </c>
    </row>
    <row r="5944" spans="4:4">
      <c r="D5944" s="941" t="s">
        <v>6388</v>
      </c>
    </row>
    <row r="5945" spans="4:4">
      <c r="D5945" s="941" t="s">
        <v>9550</v>
      </c>
    </row>
    <row r="5946" spans="4:4">
      <c r="D5946" s="941" t="s">
        <v>6389</v>
      </c>
    </row>
    <row r="5947" spans="4:4">
      <c r="D5947" s="941" t="s">
        <v>6390</v>
      </c>
    </row>
    <row r="5948" spans="4:4">
      <c r="D5948" s="941" t="s">
        <v>6391</v>
      </c>
    </row>
    <row r="5949" spans="4:4">
      <c r="D5949" s="941" t="s">
        <v>6392</v>
      </c>
    </row>
    <row r="5950" spans="4:4">
      <c r="D5950" s="941" t="s">
        <v>6393</v>
      </c>
    </row>
    <row r="5951" spans="4:4">
      <c r="D5951" s="941" t="s">
        <v>6394</v>
      </c>
    </row>
    <row r="5952" spans="4:4">
      <c r="D5952" s="941" t="s">
        <v>6395</v>
      </c>
    </row>
    <row r="5953" spans="4:4">
      <c r="D5953" s="941" t="s">
        <v>6396</v>
      </c>
    </row>
    <row r="5954" spans="4:4">
      <c r="D5954" s="941" t="s">
        <v>6397</v>
      </c>
    </row>
    <row r="5955" spans="4:4">
      <c r="D5955" s="941" t="s">
        <v>6398</v>
      </c>
    </row>
    <row r="5956" spans="4:4">
      <c r="D5956" s="941" t="s">
        <v>6399</v>
      </c>
    </row>
    <row r="5957" spans="4:4">
      <c r="D5957" s="941" t="s">
        <v>6400</v>
      </c>
    </row>
    <row r="5958" spans="4:4">
      <c r="D5958" s="941" t="s">
        <v>6401</v>
      </c>
    </row>
    <row r="5959" spans="4:4">
      <c r="D5959" s="941" t="s">
        <v>6402</v>
      </c>
    </row>
    <row r="5960" spans="4:4">
      <c r="D5960" s="941" t="s">
        <v>6403</v>
      </c>
    </row>
    <row r="5961" spans="4:4">
      <c r="D5961" s="941" t="s">
        <v>6404</v>
      </c>
    </row>
    <row r="5962" spans="4:4">
      <c r="D5962" s="941" t="s">
        <v>6405</v>
      </c>
    </row>
    <row r="5963" spans="4:4">
      <c r="D5963" s="941" t="s">
        <v>6406</v>
      </c>
    </row>
    <row r="5964" spans="4:4">
      <c r="D5964" s="941" t="s">
        <v>6407</v>
      </c>
    </row>
    <row r="5965" spans="4:4">
      <c r="D5965" s="941" t="s">
        <v>6408</v>
      </c>
    </row>
    <row r="5966" spans="4:4">
      <c r="D5966" s="941" t="s">
        <v>6409</v>
      </c>
    </row>
    <row r="5967" spans="4:4">
      <c r="D5967" s="941" t="s">
        <v>9551</v>
      </c>
    </row>
    <row r="5968" spans="4:4">
      <c r="D5968" s="941" t="s">
        <v>9879</v>
      </c>
    </row>
    <row r="5969" spans="4:4">
      <c r="D5969" s="941" t="s">
        <v>6410</v>
      </c>
    </row>
    <row r="5970" spans="4:4">
      <c r="D5970" s="941" t="s">
        <v>6411</v>
      </c>
    </row>
    <row r="5971" spans="4:4">
      <c r="D5971" s="941" t="s">
        <v>10888</v>
      </c>
    </row>
    <row r="5972" spans="4:4">
      <c r="D5972" s="941" t="s">
        <v>6412</v>
      </c>
    </row>
    <row r="5973" spans="4:4">
      <c r="D5973" s="941" t="s">
        <v>6413</v>
      </c>
    </row>
    <row r="5974" spans="4:4">
      <c r="D5974" s="941" t="s">
        <v>6414</v>
      </c>
    </row>
    <row r="5975" spans="4:4">
      <c r="D5975" s="941" t="s">
        <v>6415</v>
      </c>
    </row>
    <row r="5976" spans="4:4">
      <c r="D5976" s="941" t="s">
        <v>10555</v>
      </c>
    </row>
    <row r="5977" spans="4:4">
      <c r="D5977" s="941" t="s">
        <v>6416</v>
      </c>
    </row>
    <row r="5978" spans="4:4">
      <c r="D5978" s="941" t="s">
        <v>6417</v>
      </c>
    </row>
    <row r="5979" spans="4:4">
      <c r="D5979" s="941" t="s">
        <v>6418</v>
      </c>
    </row>
    <row r="5980" spans="4:4">
      <c r="D5980" s="941" t="s">
        <v>11281</v>
      </c>
    </row>
    <row r="5981" spans="4:4">
      <c r="D5981" s="941" t="s">
        <v>6419</v>
      </c>
    </row>
    <row r="5982" spans="4:4">
      <c r="D5982" s="941" t="s">
        <v>6420</v>
      </c>
    </row>
    <row r="5983" spans="4:4">
      <c r="D5983" s="941" t="s">
        <v>6421</v>
      </c>
    </row>
    <row r="5984" spans="4:4">
      <c r="D5984" s="941" t="s">
        <v>6422</v>
      </c>
    </row>
    <row r="5985" spans="4:4">
      <c r="D5985" s="941" t="s">
        <v>6423</v>
      </c>
    </row>
    <row r="5986" spans="4:4">
      <c r="D5986" s="941" t="s">
        <v>6424</v>
      </c>
    </row>
    <row r="5987" spans="4:4">
      <c r="D5987" s="941" t="s">
        <v>6425</v>
      </c>
    </row>
    <row r="5988" spans="4:4">
      <c r="D5988" s="941" t="s">
        <v>6426</v>
      </c>
    </row>
    <row r="5989" spans="4:4">
      <c r="D5989" s="941" t="s">
        <v>6427</v>
      </c>
    </row>
    <row r="5990" spans="4:4">
      <c r="D5990" s="941" t="s">
        <v>6428</v>
      </c>
    </row>
    <row r="5991" spans="4:4">
      <c r="D5991" s="941" t="s">
        <v>6429</v>
      </c>
    </row>
    <row r="5992" spans="4:4">
      <c r="D5992" s="941" t="s">
        <v>6430</v>
      </c>
    </row>
    <row r="5993" spans="4:4">
      <c r="D5993" s="941" t="s">
        <v>6431</v>
      </c>
    </row>
    <row r="5994" spans="4:4">
      <c r="D5994" s="941" t="s">
        <v>6432</v>
      </c>
    </row>
    <row r="5995" spans="4:4">
      <c r="D5995" s="941" t="s">
        <v>6433</v>
      </c>
    </row>
    <row r="5996" spans="4:4">
      <c r="D5996" s="941" t="s">
        <v>6434</v>
      </c>
    </row>
    <row r="5997" spans="4:4">
      <c r="D5997" s="941" t="s">
        <v>6435</v>
      </c>
    </row>
    <row r="5998" spans="4:4">
      <c r="D5998" s="941" t="s">
        <v>6436</v>
      </c>
    </row>
    <row r="5999" spans="4:4">
      <c r="D5999" s="941" t="s">
        <v>6437</v>
      </c>
    </row>
    <row r="6000" spans="4:4">
      <c r="D6000" s="941" t="s">
        <v>6438</v>
      </c>
    </row>
    <row r="6001" spans="4:4">
      <c r="D6001" s="941" t="s">
        <v>6439</v>
      </c>
    </row>
    <row r="6002" spans="4:4">
      <c r="D6002" s="941" t="s">
        <v>6440</v>
      </c>
    </row>
    <row r="6003" spans="4:4">
      <c r="D6003" s="941" t="s">
        <v>6441</v>
      </c>
    </row>
    <row r="6004" spans="4:4">
      <c r="D6004" s="941" t="s">
        <v>6442</v>
      </c>
    </row>
    <row r="6005" spans="4:4">
      <c r="D6005" s="941" t="s">
        <v>6443</v>
      </c>
    </row>
    <row r="6006" spans="4:4">
      <c r="D6006" s="941" t="s">
        <v>6444</v>
      </c>
    </row>
    <row r="6007" spans="4:4">
      <c r="D6007" s="941" t="s">
        <v>12337</v>
      </c>
    </row>
    <row r="6008" spans="4:4">
      <c r="D6008" s="941" t="s">
        <v>6445</v>
      </c>
    </row>
    <row r="6009" spans="4:4">
      <c r="D6009" s="941" t="s">
        <v>6446</v>
      </c>
    </row>
    <row r="6010" spans="4:4">
      <c r="D6010" s="941" t="s">
        <v>6447</v>
      </c>
    </row>
    <row r="6011" spans="4:4">
      <c r="D6011" s="941" t="s">
        <v>6448</v>
      </c>
    </row>
    <row r="6012" spans="4:4">
      <c r="D6012" s="941" t="s">
        <v>6449</v>
      </c>
    </row>
    <row r="6013" spans="4:4">
      <c r="D6013" s="941" t="s">
        <v>6450</v>
      </c>
    </row>
    <row r="6014" spans="4:4">
      <c r="D6014" s="941" t="s">
        <v>6451</v>
      </c>
    </row>
    <row r="6015" spans="4:4">
      <c r="D6015" s="941" t="s">
        <v>6452</v>
      </c>
    </row>
    <row r="6016" spans="4:4">
      <c r="D6016" s="941" t="s">
        <v>6453</v>
      </c>
    </row>
    <row r="6017" spans="4:4">
      <c r="D6017" s="941" t="s">
        <v>6454</v>
      </c>
    </row>
    <row r="6018" spans="4:4">
      <c r="D6018" s="941" t="s">
        <v>6455</v>
      </c>
    </row>
    <row r="6019" spans="4:4">
      <c r="D6019" s="941" t="s">
        <v>6456</v>
      </c>
    </row>
    <row r="6020" spans="4:4">
      <c r="D6020" s="941" t="s">
        <v>6457</v>
      </c>
    </row>
    <row r="6021" spans="4:4">
      <c r="D6021" s="941" t="s">
        <v>6458</v>
      </c>
    </row>
    <row r="6022" spans="4:4">
      <c r="D6022" s="941" t="s">
        <v>6459</v>
      </c>
    </row>
    <row r="6023" spans="4:4">
      <c r="D6023" s="941" t="s">
        <v>6460</v>
      </c>
    </row>
    <row r="6024" spans="4:4">
      <c r="D6024" s="941" t="s">
        <v>6461</v>
      </c>
    </row>
    <row r="6025" spans="4:4">
      <c r="D6025" s="941" t="s">
        <v>6462</v>
      </c>
    </row>
    <row r="6026" spans="4:4">
      <c r="D6026" s="941" t="s">
        <v>9552</v>
      </c>
    </row>
    <row r="6027" spans="4:4">
      <c r="D6027" s="941" t="s">
        <v>524</v>
      </c>
    </row>
    <row r="6028" spans="4:4">
      <c r="D6028" s="941" t="s">
        <v>6463</v>
      </c>
    </row>
    <row r="6029" spans="4:4">
      <c r="D6029" s="941" t="s">
        <v>6464</v>
      </c>
    </row>
    <row r="6030" spans="4:4">
      <c r="D6030" s="941" t="s">
        <v>6465</v>
      </c>
    </row>
    <row r="6031" spans="4:4">
      <c r="D6031" s="941" t="s">
        <v>6466</v>
      </c>
    </row>
    <row r="6032" spans="4:4">
      <c r="D6032" s="941" t="s">
        <v>6467</v>
      </c>
    </row>
    <row r="6033" spans="4:4">
      <c r="D6033" s="941" t="s">
        <v>9553</v>
      </c>
    </row>
    <row r="6034" spans="4:4">
      <c r="D6034" s="941" t="s">
        <v>6468</v>
      </c>
    </row>
    <row r="6035" spans="4:4">
      <c r="D6035" s="941" t="s">
        <v>6469</v>
      </c>
    </row>
    <row r="6036" spans="4:4">
      <c r="D6036" s="941" t="s">
        <v>6470</v>
      </c>
    </row>
    <row r="6037" spans="4:4">
      <c r="D6037" s="941" t="s">
        <v>6471</v>
      </c>
    </row>
    <row r="6038" spans="4:4">
      <c r="D6038" s="941" t="s">
        <v>6472</v>
      </c>
    </row>
    <row r="6039" spans="4:4">
      <c r="D6039" s="941" t="s">
        <v>6473</v>
      </c>
    </row>
    <row r="6040" spans="4:4">
      <c r="D6040" s="941" t="s">
        <v>6474</v>
      </c>
    </row>
    <row r="6041" spans="4:4">
      <c r="D6041" s="941" t="s">
        <v>6475</v>
      </c>
    </row>
    <row r="6042" spans="4:4">
      <c r="D6042" s="941" t="s">
        <v>6476</v>
      </c>
    </row>
    <row r="6043" spans="4:4">
      <c r="D6043" s="941" t="s">
        <v>6477</v>
      </c>
    </row>
    <row r="6044" spans="4:4">
      <c r="D6044" s="941" t="s">
        <v>6478</v>
      </c>
    </row>
    <row r="6045" spans="4:4">
      <c r="D6045" s="941" t="s">
        <v>6479</v>
      </c>
    </row>
    <row r="6046" spans="4:4">
      <c r="D6046" s="941" t="s">
        <v>6480</v>
      </c>
    </row>
    <row r="6047" spans="4:4">
      <c r="D6047" s="941" t="s">
        <v>6481</v>
      </c>
    </row>
    <row r="6048" spans="4:4">
      <c r="D6048" s="941" t="s">
        <v>6482</v>
      </c>
    </row>
    <row r="6049" spans="4:4">
      <c r="D6049" s="941" t="s">
        <v>6483</v>
      </c>
    </row>
    <row r="6050" spans="4:4">
      <c r="D6050" s="941" t="s">
        <v>6484</v>
      </c>
    </row>
    <row r="6051" spans="4:4">
      <c r="D6051" s="941" t="s">
        <v>6485</v>
      </c>
    </row>
    <row r="6052" spans="4:4">
      <c r="D6052" s="941" t="s">
        <v>6486</v>
      </c>
    </row>
    <row r="6053" spans="4:4">
      <c r="D6053" s="941" t="s">
        <v>6487</v>
      </c>
    </row>
    <row r="6054" spans="4:4">
      <c r="D6054" s="941" t="s">
        <v>6488</v>
      </c>
    </row>
    <row r="6055" spans="4:4">
      <c r="D6055" s="941" t="s">
        <v>6489</v>
      </c>
    </row>
    <row r="6056" spans="4:4">
      <c r="D6056" s="941" t="s">
        <v>6490</v>
      </c>
    </row>
    <row r="6057" spans="4:4">
      <c r="D6057" s="941" t="s">
        <v>6491</v>
      </c>
    </row>
    <row r="6058" spans="4:4">
      <c r="D6058" s="941" t="s">
        <v>9554</v>
      </c>
    </row>
    <row r="6059" spans="4:4">
      <c r="D6059" s="941" t="s">
        <v>6492</v>
      </c>
    </row>
    <row r="6060" spans="4:4">
      <c r="D6060" s="941" t="s">
        <v>10556</v>
      </c>
    </row>
    <row r="6061" spans="4:4">
      <c r="D6061" s="941" t="s">
        <v>6493</v>
      </c>
    </row>
    <row r="6062" spans="4:4">
      <c r="D6062" s="941" t="s">
        <v>6494</v>
      </c>
    </row>
    <row r="6063" spans="4:4">
      <c r="D6063" s="941" t="s">
        <v>6495</v>
      </c>
    </row>
    <row r="6064" spans="4:4">
      <c r="D6064" s="941" t="s">
        <v>6496</v>
      </c>
    </row>
    <row r="6065" spans="4:4">
      <c r="D6065" s="941" t="s">
        <v>6497</v>
      </c>
    </row>
    <row r="6066" spans="4:4">
      <c r="D6066" s="941" t="s">
        <v>6498</v>
      </c>
    </row>
    <row r="6067" spans="4:4">
      <c r="D6067" s="941" t="s">
        <v>6499</v>
      </c>
    </row>
    <row r="6068" spans="4:4">
      <c r="D6068" s="941" t="s">
        <v>6500</v>
      </c>
    </row>
    <row r="6069" spans="4:4">
      <c r="D6069" s="941" t="s">
        <v>6501</v>
      </c>
    </row>
    <row r="6070" spans="4:4">
      <c r="D6070" s="941" t="s">
        <v>6502</v>
      </c>
    </row>
    <row r="6071" spans="4:4">
      <c r="D6071" s="941" t="s">
        <v>6503</v>
      </c>
    </row>
    <row r="6072" spans="4:4">
      <c r="D6072" s="941" t="s">
        <v>6504</v>
      </c>
    </row>
    <row r="6073" spans="4:4">
      <c r="D6073" s="941" t="s">
        <v>6505</v>
      </c>
    </row>
    <row r="6074" spans="4:4">
      <c r="D6074" s="941" t="s">
        <v>6506</v>
      </c>
    </row>
    <row r="6075" spans="4:4">
      <c r="D6075" s="941" t="s">
        <v>6507</v>
      </c>
    </row>
    <row r="6076" spans="4:4">
      <c r="D6076" s="941" t="s">
        <v>6508</v>
      </c>
    </row>
    <row r="6077" spans="4:4">
      <c r="D6077" s="941" t="s">
        <v>6509</v>
      </c>
    </row>
    <row r="6078" spans="4:4">
      <c r="D6078" s="941" t="s">
        <v>6510</v>
      </c>
    </row>
    <row r="6079" spans="4:4">
      <c r="D6079" s="941" t="s">
        <v>6511</v>
      </c>
    </row>
    <row r="6080" spans="4:4">
      <c r="D6080" s="941" t="s">
        <v>6512</v>
      </c>
    </row>
    <row r="6081" spans="4:4">
      <c r="D6081" s="941" t="s">
        <v>6513</v>
      </c>
    </row>
    <row r="6082" spans="4:4">
      <c r="D6082" s="941" t="s">
        <v>6514</v>
      </c>
    </row>
    <row r="6083" spans="4:4">
      <c r="D6083" s="941" t="s">
        <v>6515</v>
      </c>
    </row>
    <row r="6084" spans="4:4">
      <c r="D6084" s="941" t="s">
        <v>6516</v>
      </c>
    </row>
    <row r="6085" spans="4:4">
      <c r="D6085" s="941" t="s">
        <v>6517</v>
      </c>
    </row>
    <row r="6086" spans="4:4">
      <c r="D6086" s="941" t="s">
        <v>6518</v>
      </c>
    </row>
    <row r="6087" spans="4:4">
      <c r="D6087" s="941" t="s">
        <v>6519</v>
      </c>
    </row>
    <row r="6088" spans="4:4">
      <c r="D6088" s="941" t="s">
        <v>6520</v>
      </c>
    </row>
    <row r="6089" spans="4:4">
      <c r="D6089" s="941" t="s">
        <v>6521</v>
      </c>
    </row>
    <row r="6090" spans="4:4">
      <c r="D6090" s="941" t="s">
        <v>6522</v>
      </c>
    </row>
    <row r="6091" spans="4:4">
      <c r="D6091" s="941" t="s">
        <v>6523</v>
      </c>
    </row>
    <row r="6092" spans="4:4">
      <c r="D6092" s="941" t="s">
        <v>6524</v>
      </c>
    </row>
    <row r="6093" spans="4:4">
      <c r="D6093" s="941" t="s">
        <v>6525</v>
      </c>
    </row>
    <row r="6094" spans="4:4">
      <c r="D6094" s="941" t="s">
        <v>6526</v>
      </c>
    </row>
    <row r="6095" spans="4:4">
      <c r="D6095" s="941" t="s">
        <v>6527</v>
      </c>
    </row>
    <row r="6096" spans="4:4">
      <c r="D6096" s="941" t="s">
        <v>6528</v>
      </c>
    </row>
    <row r="6097" spans="4:4">
      <c r="D6097" s="941" t="s">
        <v>6529</v>
      </c>
    </row>
    <row r="6098" spans="4:4">
      <c r="D6098" s="941" t="s">
        <v>6530</v>
      </c>
    </row>
    <row r="6099" spans="4:4">
      <c r="D6099" s="941" t="s">
        <v>6531</v>
      </c>
    </row>
    <row r="6100" spans="4:4">
      <c r="D6100" s="941" t="s">
        <v>6532</v>
      </c>
    </row>
    <row r="6101" spans="4:4">
      <c r="D6101" s="941" t="s">
        <v>6533</v>
      </c>
    </row>
    <row r="6102" spans="4:4">
      <c r="D6102" s="941" t="s">
        <v>6534</v>
      </c>
    </row>
    <row r="6103" spans="4:4">
      <c r="D6103" s="941" t="s">
        <v>6535</v>
      </c>
    </row>
    <row r="6104" spans="4:4">
      <c r="D6104" s="941" t="s">
        <v>10332</v>
      </c>
    </row>
    <row r="6105" spans="4:4">
      <c r="D6105" s="941" t="s">
        <v>6536</v>
      </c>
    </row>
    <row r="6106" spans="4:4">
      <c r="D6106" s="941" t="s">
        <v>6537</v>
      </c>
    </row>
    <row r="6107" spans="4:4">
      <c r="D6107" s="941" t="s">
        <v>6538</v>
      </c>
    </row>
    <row r="6108" spans="4:4">
      <c r="D6108" s="941" t="s">
        <v>6539</v>
      </c>
    </row>
    <row r="6109" spans="4:4">
      <c r="D6109" s="941" t="s">
        <v>398</v>
      </c>
    </row>
    <row r="6110" spans="4:4">
      <c r="D6110" s="941" t="s">
        <v>6540</v>
      </c>
    </row>
    <row r="6111" spans="4:4">
      <c r="D6111" s="941" t="s">
        <v>6541</v>
      </c>
    </row>
    <row r="6112" spans="4:4">
      <c r="D6112" s="941" t="s">
        <v>6542</v>
      </c>
    </row>
    <row r="6113" spans="4:4">
      <c r="D6113" s="941" t="s">
        <v>6543</v>
      </c>
    </row>
    <row r="6114" spans="4:4">
      <c r="D6114" s="941" t="s">
        <v>6544</v>
      </c>
    </row>
    <row r="6115" spans="4:4">
      <c r="D6115" s="941" t="s">
        <v>6545</v>
      </c>
    </row>
    <row r="6116" spans="4:4">
      <c r="D6116" s="941" t="s">
        <v>10399</v>
      </c>
    </row>
    <row r="6117" spans="4:4">
      <c r="D6117" s="941" t="s">
        <v>6546</v>
      </c>
    </row>
    <row r="6118" spans="4:4">
      <c r="D6118" s="941" t="s">
        <v>6547</v>
      </c>
    </row>
    <row r="6119" spans="4:4">
      <c r="D6119" s="941" t="s">
        <v>10400</v>
      </c>
    </row>
    <row r="6120" spans="4:4">
      <c r="D6120" s="941" t="s">
        <v>6548</v>
      </c>
    </row>
    <row r="6121" spans="4:4">
      <c r="D6121" s="941" t="s">
        <v>6549</v>
      </c>
    </row>
    <row r="6122" spans="4:4">
      <c r="D6122" s="941" t="s">
        <v>6550</v>
      </c>
    </row>
    <row r="6123" spans="4:4">
      <c r="D6123" s="941" t="s">
        <v>6551</v>
      </c>
    </row>
    <row r="6124" spans="4:4">
      <c r="D6124" s="941" t="s">
        <v>10430</v>
      </c>
    </row>
    <row r="6125" spans="4:4">
      <c r="D6125" s="941" t="s">
        <v>6552</v>
      </c>
    </row>
    <row r="6126" spans="4:4">
      <c r="D6126" s="941" t="s">
        <v>6553</v>
      </c>
    </row>
    <row r="6127" spans="4:4">
      <c r="D6127" s="941" t="s">
        <v>6554</v>
      </c>
    </row>
    <row r="6128" spans="4:4">
      <c r="D6128" s="941" t="s">
        <v>9555</v>
      </c>
    </row>
    <row r="6129" spans="4:4">
      <c r="D6129" s="941" t="s">
        <v>6555</v>
      </c>
    </row>
    <row r="6130" spans="4:4">
      <c r="D6130" s="941" t="s">
        <v>6556</v>
      </c>
    </row>
    <row r="6131" spans="4:4">
      <c r="D6131" s="941" t="s">
        <v>6557</v>
      </c>
    </row>
    <row r="6132" spans="4:4">
      <c r="D6132" s="941" t="s">
        <v>6558</v>
      </c>
    </row>
    <row r="6133" spans="4:4">
      <c r="D6133" s="941" t="s">
        <v>9556</v>
      </c>
    </row>
    <row r="6134" spans="4:4">
      <c r="D6134" s="941" t="s">
        <v>6559</v>
      </c>
    </row>
    <row r="6135" spans="4:4">
      <c r="D6135" s="941" t="s">
        <v>6560</v>
      </c>
    </row>
    <row r="6136" spans="4:4">
      <c r="D6136" s="941" t="s">
        <v>6561</v>
      </c>
    </row>
    <row r="6137" spans="4:4">
      <c r="D6137" s="941" t="s">
        <v>6562</v>
      </c>
    </row>
    <row r="6138" spans="4:4">
      <c r="D6138" s="941" t="s">
        <v>6563</v>
      </c>
    </row>
    <row r="6139" spans="4:4">
      <c r="D6139" s="941" t="s">
        <v>6564</v>
      </c>
    </row>
    <row r="6140" spans="4:4">
      <c r="D6140" s="941" t="s">
        <v>6565</v>
      </c>
    </row>
    <row r="6141" spans="4:4">
      <c r="D6141" s="941" t="s">
        <v>6566</v>
      </c>
    </row>
    <row r="6142" spans="4:4">
      <c r="D6142" s="941" t="s">
        <v>6567</v>
      </c>
    </row>
    <row r="6143" spans="4:4">
      <c r="D6143" s="941" t="s">
        <v>6568</v>
      </c>
    </row>
    <row r="6144" spans="4:4">
      <c r="D6144" s="941" t="s">
        <v>6569</v>
      </c>
    </row>
    <row r="6145" spans="4:4">
      <c r="D6145" s="941" t="s">
        <v>6570</v>
      </c>
    </row>
    <row r="6146" spans="4:4">
      <c r="D6146" s="941" t="s">
        <v>6571</v>
      </c>
    </row>
    <row r="6147" spans="4:4">
      <c r="D6147" s="941" t="s">
        <v>6572</v>
      </c>
    </row>
    <row r="6148" spans="4:4">
      <c r="D6148" s="941" t="s">
        <v>6573</v>
      </c>
    </row>
    <row r="6149" spans="4:4">
      <c r="D6149" s="941" t="s">
        <v>6574</v>
      </c>
    </row>
    <row r="6150" spans="4:4">
      <c r="D6150" s="941" t="s">
        <v>6575</v>
      </c>
    </row>
    <row r="6151" spans="4:4">
      <c r="D6151" s="941" t="s">
        <v>6576</v>
      </c>
    </row>
    <row r="6152" spans="4:4">
      <c r="D6152" s="941" t="s">
        <v>6577</v>
      </c>
    </row>
    <row r="6153" spans="4:4">
      <c r="D6153" s="941" t="s">
        <v>6578</v>
      </c>
    </row>
    <row r="6154" spans="4:4">
      <c r="D6154" s="941" t="s">
        <v>6579</v>
      </c>
    </row>
    <row r="6155" spans="4:4">
      <c r="D6155" s="941" t="s">
        <v>6580</v>
      </c>
    </row>
    <row r="6156" spans="4:4">
      <c r="D6156" s="941" t="s">
        <v>6581</v>
      </c>
    </row>
    <row r="6157" spans="4:4">
      <c r="D6157" s="941" t="s">
        <v>6582</v>
      </c>
    </row>
    <row r="6158" spans="4:4">
      <c r="D6158" s="941" t="s">
        <v>6583</v>
      </c>
    </row>
    <row r="6159" spans="4:4">
      <c r="D6159" s="941" t="s">
        <v>6584</v>
      </c>
    </row>
    <row r="6160" spans="4:4">
      <c r="D6160" s="941" t="s">
        <v>6585</v>
      </c>
    </row>
    <row r="6161" spans="4:4">
      <c r="D6161" s="941" t="s">
        <v>6586</v>
      </c>
    </row>
    <row r="6162" spans="4:4">
      <c r="D6162" s="941" t="s">
        <v>6587</v>
      </c>
    </row>
    <row r="6163" spans="4:4">
      <c r="D6163" s="941" t="s">
        <v>6588</v>
      </c>
    </row>
    <row r="6164" spans="4:4">
      <c r="D6164" s="941" t="s">
        <v>6589</v>
      </c>
    </row>
    <row r="6165" spans="4:4">
      <c r="D6165" s="941" t="s">
        <v>6590</v>
      </c>
    </row>
    <row r="6166" spans="4:4">
      <c r="D6166" s="941" t="s">
        <v>6591</v>
      </c>
    </row>
    <row r="6167" spans="4:4">
      <c r="D6167" s="941" t="s">
        <v>6592</v>
      </c>
    </row>
    <row r="6168" spans="4:4">
      <c r="D6168" s="941" t="s">
        <v>6593</v>
      </c>
    </row>
    <row r="6169" spans="4:4">
      <c r="D6169" s="941" t="s">
        <v>10557</v>
      </c>
    </row>
    <row r="6170" spans="4:4">
      <c r="D6170" s="941" t="s">
        <v>6594</v>
      </c>
    </row>
    <row r="6171" spans="4:4">
      <c r="D6171" s="941" t="s">
        <v>6595</v>
      </c>
    </row>
    <row r="6172" spans="4:4">
      <c r="D6172" s="941" t="s">
        <v>6596</v>
      </c>
    </row>
    <row r="6173" spans="4:4">
      <c r="D6173" s="941" t="s">
        <v>6597</v>
      </c>
    </row>
    <row r="6174" spans="4:4">
      <c r="D6174" s="941" t="s">
        <v>6598</v>
      </c>
    </row>
    <row r="6175" spans="4:4">
      <c r="D6175" s="941" t="s">
        <v>9557</v>
      </c>
    </row>
    <row r="6176" spans="4:4">
      <c r="D6176" s="941" t="s">
        <v>6599</v>
      </c>
    </row>
    <row r="6177" spans="4:4">
      <c r="D6177" s="941" t="s">
        <v>6600</v>
      </c>
    </row>
    <row r="6178" spans="4:4">
      <c r="D6178" s="941" t="s">
        <v>6601</v>
      </c>
    </row>
    <row r="6179" spans="4:4">
      <c r="D6179" s="941" t="s">
        <v>6602</v>
      </c>
    </row>
    <row r="6180" spans="4:4">
      <c r="D6180" s="941" t="s">
        <v>6603</v>
      </c>
    </row>
    <row r="6181" spans="4:4">
      <c r="D6181" s="941" t="s">
        <v>6604</v>
      </c>
    </row>
    <row r="6182" spans="4:4">
      <c r="D6182" s="941" t="s">
        <v>6605</v>
      </c>
    </row>
    <row r="6183" spans="4:4">
      <c r="D6183" s="941" t="s">
        <v>6606</v>
      </c>
    </row>
    <row r="6184" spans="4:4">
      <c r="D6184" s="941" t="s">
        <v>6607</v>
      </c>
    </row>
    <row r="6185" spans="4:4">
      <c r="D6185" s="941" t="s">
        <v>6608</v>
      </c>
    </row>
    <row r="6186" spans="4:4">
      <c r="D6186" s="941" t="s">
        <v>6609</v>
      </c>
    </row>
    <row r="6187" spans="4:4">
      <c r="D6187" s="941" t="s">
        <v>6610</v>
      </c>
    </row>
    <row r="6188" spans="4:4">
      <c r="D6188" s="941" t="s">
        <v>6611</v>
      </c>
    </row>
    <row r="6189" spans="4:4">
      <c r="D6189" s="941" t="s">
        <v>6612</v>
      </c>
    </row>
    <row r="6190" spans="4:4">
      <c r="D6190" s="941" t="s">
        <v>6613</v>
      </c>
    </row>
    <row r="6191" spans="4:4">
      <c r="D6191" s="941" t="s">
        <v>9558</v>
      </c>
    </row>
    <row r="6192" spans="4:4">
      <c r="D6192" s="941" t="s">
        <v>6614</v>
      </c>
    </row>
    <row r="6193" spans="4:4">
      <c r="D6193" s="941" t="s">
        <v>6615</v>
      </c>
    </row>
    <row r="6194" spans="4:4">
      <c r="D6194" s="941" t="s">
        <v>6616</v>
      </c>
    </row>
    <row r="6195" spans="4:4">
      <c r="D6195" s="941" t="s">
        <v>6617</v>
      </c>
    </row>
    <row r="6196" spans="4:4">
      <c r="D6196" s="941" t="s">
        <v>6618</v>
      </c>
    </row>
    <row r="6197" spans="4:4">
      <c r="D6197" s="941" t="s">
        <v>6619</v>
      </c>
    </row>
    <row r="6198" spans="4:4">
      <c r="D6198" s="941" t="s">
        <v>6620</v>
      </c>
    </row>
    <row r="6199" spans="4:4">
      <c r="D6199" s="941" t="s">
        <v>6621</v>
      </c>
    </row>
    <row r="6200" spans="4:4">
      <c r="D6200" s="941" t="s">
        <v>6622</v>
      </c>
    </row>
    <row r="6201" spans="4:4">
      <c r="D6201" s="941" t="s">
        <v>6623</v>
      </c>
    </row>
    <row r="6202" spans="4:4">
      <c r="D6202" s="941" t="s">
        <v>6624</v>
      </c>
    </row>
    <row r="6203" spans="4:4">
      <c r="D6203" s="941" t="s">
        <v>6625</v>
      </c>
    </row>
    <row r="6204" spans="4:4">
      <c r="D6204" s="941" t="s">
        <v>6626</v>
      </c>
    </row>
    <row r="6205" spans="4:4">
      <c r="D6205" s="941" t="s">
        <v>6627</v>
      </c>
    </row>
    <row r="6206" spans="4:4">
      <c r="D6206" s="941" t="s">
        <v>6628</v>
      </c>
    </row>
    <row r="6207" spans="4:4">
      <c r="D6207" s="941" t="s">
        <v>6629</v>
      </c>
    </row>
    <row r="6208" spans="4:4">
      <c r="D6208" s="941" t="s">
        <v>6630</v>
      </c>
    </row>
    <row r="6209" spans="4:4">
      <c r="D6209" s="941" t="s">
        <v>6631</v>
      </c>
    </row>
    <row r="6210" spans="4:4">
      <c r="D6210" s="941" t="s">
        <v>6632</v>
      </c>
    </row>
    <row r="6211" spans="4:4">
      <c r="D6211" s="941" t="s">
        <v>6633</v>
      </c>
    </row>
    <row r="6212" spans="4:4">
      <c r="D6212" s="941" t="s">
        <v>6634</v>
      </c>
    </row>
    <row r="6213" spans="4:4">
      <c r="D6213" s="941" t="s">
        <v>6635</v>
      </c>
    </row>
    <row r="6214" spans="4:4">
      <c r="D6214" s="941" t="s">
        <v>6636</v>
      </c>
    </row>
    <row r="6215" spans="4:4">
      <c r="D6215" s="941" t="s">
        <v>6637</v>
      </c>
    </row>
    <row r="6216" spans="4:4">
      <c r="D6216" s="941" t="s">
        <v>6638</v>
      </c>
    </row>
    <row r="6217" spans="4:4">
      <c r="D6217" s="941" t="s">
        <v>6639</v>
      </c>
    </row>
    <row r="6218" spans="4:4">
      <c r="D6218" s="941" t="s">
        <v>6640</v>
      </c>
    </row>
    <row r="6219" spans="4:4">
      <c r="D6219" s="941" t="s">
        <v>6641</v>
      </c>
    </row>
    <row r="6220" spans="4:4">
      <c r="D6220" s="941" t="s">
        <v>6642</v>
      </c>
    </row>
    <row r="6221" spans="4:4">
      <c r="D6221" s="941" t="s">
        <v>6643</v>
      </c>
    </row>
    <row r="6222" spans="4:4">
      <c r="D6222" s="941" t="s">
        <v>6644</v>
      </c>
    </row>
    <row r="6223" spans="4:4">
      <c r="D6223" s="941" t="s">
        <v>6645</v>
      </c>
    </row>
    <row r="6224" spans="4:4">
      <c r="D6224" s="941" t="s">
        <v>10226</v>
      </c>
    </row>
    <row r="6225" spans="4:4">
      <c r="D6225" s="941" t="s">
        <v>6646</v>
      </c>
    </row>
    <row r="6226" spans="4:4">
      <c r="D6226" s="941" t="s">
        <v>6647</v>
      </c>
    </row>
    <row r="6227" spans="4:4">
      <c r="D6227" s="941" t="s">
        <v>6648</v>
      </c>
    </row>
    <row r="6228" spans="4:4">
      <c r="D6228" s="941" t="s">
        <v>6649</v>
      </c>
    </row>
    <row r="6229" spans="4:4">
      <c r="D6229" s="941" t="s">
        <v>6650</v>
      </c>
    </row>
    <row r="6230" spans="4:4">
      <c r="D6230" s="941" t="s">
        <v>6651</v>
      </c>
    </row>
    <row r="6231" spans="4:4">
      <c r="D6231" s="941" t="s">
        <v>6652</v>
      </c>
    </row>
    <row r="6232" spans="4:4">
      <c r="D6232" s="941" t="s">
        <v>6653</v>
      </c>
    </row>
    <row r="6233" spans="4:4">
      <c r="D6233" s="941" t="s">
        <v>6654</v>
      </c>
    </row>
    <row r="6234" spans="4:4">
      <c r="D6234" s="941" t="s">
        <v>6655</v>
      </c>
    </row>
    <row r="6235" spans="4:4">
      <c r="D6235" s="941" t="s">
        <v>6656</v>
      </c>
    </row>
    <row r="6236" spans="4:4">
      <c r="D6236" s="941" t="s">
        <v>6657</v>
      </c>
    </row>
    <row r="6237" spans="4:4">
      <c r="D6237" s="941" t="s">
        <v>6658</v>
      </c>
    </row>
    <row r="6238" spans="4:4">
      <c r="D6238" s="941" t="s">
        <v>6659</v>
      </c>
    </row>
    <row r="6239" spans="4:4">
      <c r="D6239" s="941" t="s">
        <v>1020</v>
      </c>
    </row>
    <row r="6240" spans="4:4">
      <c r="D6240" s="941" t="s">
        <v>6660</v>
      </c>
    </row>
    <row r="6241" spans="4:4">
      <c r="D6241" s="941" t="s">
        <v>6661</v>
      </c>
    </row>
    <row r="6242" spans="4:4">
      <c r="D6242" s="941" t="s">
        <v>6662</v>
      </c>
    </row>
    <row r="6243" spans="4:4">
      <c r="D6243" s="941" t="s">
        <v>6663</v>
      </c>
    </row>
    <row r="6244" spans="4:4">
      <c r="D6244" s="941" t="s">
        <v>6664</v>
      </c>
    </row>
    <row r="6245" spans="4:4">
      <c r="D6245" s="941" t="s">
        <v>6665</v>
      </c>
    </row>
    <row r="6246" spans="4:4">
      <c r="D6246" s="941" t="s">
        <v>10401</v>
      </c>
    </row>
    <row r="6247" spans="4:4">
      <c r="D6247" s="941" t="s">
        <v>6666</v>
      </c>
    </row>
    <row r="6248" spans="4:4">
      <c r="D6248" s="941" t="s">
        <v>6667</v>
      </c>
    </row>
    <row r="6249" spans="4:4">
      <c r="D6249" s="941" t="s">
        <v>6668</v>
      </c>
    </row>
    <row r="6250" spans="4:4">
      <c r="D6250" s="941" t="s">
        <v>6669</v>
      </c>
    </row>
    <row r="6251" spans="4:4">
      <c r="D6251" s="941" t="s">
        <v>9780</v>
      </c>
    </row>
    <row r="6252" spans="4:4">
      <c r="D6252" s="941" t="s">
        <v>6670</v>
      </c>
    </row>
    <row r="6253" spans="4:4">
      <c r="D6253" s="941" t="s">
        <v>9559</v>
      </c>
    </row>
    <row r="6254" spans="4:4">
      <c r="D6254" s="941" t="s">
        <v>6671</v>
      </c>
    </row>
    <row r="6255" spans="4:4">
      <c r="D6255" s="941" t="s">
        <v>6672</v>
      </c>
    </row>
    <row r="6256" spans="4:4">
      <c r="D6256" s="941" t="s">
        <v>6673</v>
      </c>
    </row>
    <row r="6257" spans="4:4">
      <c r="D6257" s="941" t="s">
        <v>6674</v>
      </c>
    </row>
    <row r="6258" spans="4:4">
      <c r="D6258" s="941" t="s">
        <v>6675</v>
      </c>
    </row>
    <row r="6259" spans="4:4">
      <c r="D6259" s="941" t="s">
        <v>6676</v>
      </c>
    </row>
    <row r="6260" spans="4:4">
      <c r="D6260" s="941" t="s">
        <v>6677</v>
      </c>
    </row>
    <row r="6261" spans="4:4">
      <c r="D6261" s="941" t="s">
        <v>6678</v>
      </c>
    </row>
    <row r="6262" spans="4:4">
      <c r="D6262" s="941" t="s">
        <v>6679</v>
      </c>
    </row>
    <row r="6263" spans="4:4">
      <c r="D6263" s="941" t="s">
        <v>6680</v>
      </c>
    </row>
    <row r="6264" spans="4:4">
      <c r="D6264" s="941" t="s">
        <v>6681</v>
      </c>
    </row>
    <row r="6265" spans="4:4">
      <c r="D6265" s="941" t="s">
        <v>6682</v>
      </c>
    </row>
    <row r="6266" spans="4:4">
      <c r="D6266" s="941" t="s">
        <v>6683</v>
      </c>
    </row>
    <row r="6267" spans="4:4">
      <c r="D6267" s="941" t="s">
        <v>6684</v>
      </c>
    </row>
    <row r="6268" spans="4:4">
      <c r="D6268" s="941" t="s">
        <v>6685</v>
      </c>
    </row>
    <row r="6269" spans="4:4">
      <c r="D6269" s="941" t="s">
        <v>6686</v>
      </c>
    </row>
    <row r="6270" spans="4:4">
      <c r="D6270" s="941" t="s">
        <v>6687</v>
      </c>
    </row>
    <row r="6271" spans="4:4">
      <c r="D6271" s="941" t="s">
        <v>6688</v>
      </c>
    </row>
    <row r="6272" spans="4:4">
      <c r="D6272" s="941" t="s">
        <v>6689</v>
      </c>
    </row>
    <row r="6273" spans="4:4">
      <c r="D6273" s="941" t="s">
        <v>6690</v>
      </c>
    </row>
    <row r="6274" spans="4:4">
      <c r="D6274" s="941" t="s">
        <v>6691</v>
      </c>
    </row>
    <row r="6275" spans="4:4">
      <c r="D6275" s="941" t="s">
        <v>6692</v>
      </c>
    </row>
    <row r="6276" spans="4:4">
      <c r="D6276" s="941" t="s">
        <v>6693</v>
      </c>
    </row>
    <row r="6277" spans="4:4">
      <c r="D6277" s="941" t="s">
        <v>6694</v>
      </c>
    </row>
    <row r="6278" spans="4:4">
      <c r="D6278" s="941" t="s">
        <v>6695</v>
      </c>
    </row>
    <row r="6279" spans="4:4">
      <c r="D6279" s="941" t="s">
        <v>6696</v>
      </c>
    </row>
    <row r="6280" spans="4:4">
      <c r="D6280" s="941" t="s">
        <v>6697</v>
      </c>
    </row>
    <row r="6281" spans="4:4">
      <c r="D6281" s="941" t="s">
        <v>6698</v>
      </c>
    </row>
    <row r="6282" spans="4:4">
      <c r="D6282" s="941" t="s">
        <v>6699</v>
      </c>
    </row>
    <row r="6283" spans="4:4">
      <c r="D6283" s="941" t="s">
        <v>6700</v>
      </c>
    </row>
    <row r="6284" spans="4:4">
      <c r="D6284" s="941" t="s">
        <v>6701</v>
      </c>
    </row>
    <row r="6285" spans="4:4">
      <c r="D6285" s="941" t="s">
        <v>9560</v>
      </c>
    </row>
    <row r="6286" spans="4:4">
      <c r="D6286" s="941" t="s">
        <v>6702</v>
      </c>
    </row>
    <row r="6287" spans="4:4">
      <c r="D6287" s="941" t="s">
        <v>6703</v>
      </c>
    </row>
    <row r="6288" spans="4:4">
      <c r="D6288" s="941" t="s">
        <v>6704</v>
      </c>
    </row>
    <row r="6289" spans="4:4">
      <c r="D6289" s="941" t="s">
        <v>6705</v>
      </c>
    </row>
    <row r="6290" spans="4:4">
      <c r="D6290" s="941" t="s">
        <v>6706</v>
      </c>
    </row>
    <row r="6291" spans="4:4">
      <c r="D6291" s="941" t="s">
        <v>6707</v>
      </c>
    </row>
    <row r="6292" spans="4:4">
      <c r="D6292" s="941" t="s">
        <v>6708</v>
      </c>
    </row>
    <row r="6293" spans="4:4">
      <c r="D6293" s="941" t="s">
        <v>6709</v>
      </c>
    </row>
    <row r="6294" spans="4:4">
      <c r="D6294" s="941" t="s">
        <v>6710</v>
      </c>
    </row>
    <row r="6295" spans="4:4">
      <c r="D6295" s="941" t="s">
        <v>9561</v>
      </c>
    </row>
    <row r="6296" spans="4:4">
      <c r="D6296" s="941" t="s">
        <v>6711</v>
      </c>
    </row>
    <row r="6297" spans="4:4">
      <c r="D6297" s="941" t="s">
        <v>6712</v>
      </c>
    </row>
    <row r="6298" spans="4:4">
      <c r="D6298" s="941" t="s">
        <v>6713</v>
      </c>
    </row>
    <row r="6299" spans="4:4">
      <c r="D6299" s="941" t="s">
        <v>6714</v>
      </c>
    </row>
    <row r="6300" spans="4:4">
      <c r="D6300" s="941" t="s">
        <v>6715</v>
      </c>
    </row>
    <row r="6301" spans="4:4">
      <c r="D6301" s="941" t="s">
        <v>6716</v>
      </c>
    </row>
    <row r="6302" spans="4:4">
      <c r="D6302" s="941" t="s">
        <v>6717</v>
      </c>
    </row>
    <row r="6303" spans="4:4">
      <c r="D6303" s="941" t="s">
        <v>6718</v>
      </c>
    </row>
    <row r="6304" spans="4:4">
      <c r="D6304" s="941" t="s">
        <v>6719</v>
      </c>
    </row>
    <row r="6305" spans="4:4">
      <c r="D6305" s="941" t="s">
        <v>6720</v>
      </c>
    </row>
    <row r="6306" spans="4:4">
      <c r="D6306" s="941" t="s">
        <v>6721</v>
      </c>
    </row>
    <row r="6307" spans="4:4">
      <c r="D6307" s="941" t="s">
        <v>6722</v>
      </c>
    </row>
    <row r="6308" spans="4:4">
      <c r="D6308" s="941" t="s">
        <v>6723</v>
      </c>
    </row>
    <row r="6309" spans="4:4">
      <c r="D6309" s="941" t="s">
        <v>6724</v>
      </c>
    </row>
    <row r="6310" spans="4:4">
      <c r="D6310" s="941" t="s">
        <v>6725</v>
      </c>
    </row>
    <row r="6311" spans="4:4">
      <c r="D6311" s="941" t="s">
        <v>6726</v>
      </c>
    </row>
    <row r="6312" spans="4:4">
      <c r="D6312" s="941" t="s">
        <v>6727</v>
      </c>
    </row>
    <row r="6313" spans="4:4">
      <c r="D6313" s="941" t="s">
        <v>6728</v>
      </c>
    </row>
    <row r="6314" spans="4:4">
      <c r="D6314" s="941" t="s">
        <v>6729</v>
      </c>
    </row>
    <row r="6315" spans="4:4">
      <c r="D6315" s="941" t="s">
        <v>6730</v>
      </c>
    </row>
    <row r="6316" spans="4:4">
      <c r="D6316" s="941" t="s">
        <v>6731</v>
      </c>
    </row>
    <row r="6317" spans="4:4">
      <c r="D6317" s="941" t="s">
        <v>6732</v>
      </c>
    </row>
    <row r="6318" spans="4:4">
      <c r="D6318" s="941" t="s">
        <v>9562</v>
      </c>
    </row>
    <row r="6319" spans="4:4">
      <c r="D6319" s="941" t="s">
        <v>6733</v>
      </c>
    </row>
    <row r="6320" spans="4:4">
      <c r="D6320" s="941" t="s">
        <v>9563</v>
      </c>
    </row>
    <row r="6321" spans="4:4">
      <c r="D6321" s="941" t="s">
        <v>6734</v>
      </c>
    </row>
    <row r="6322" spans="4:4">
      <c r="D6322" s="941" t="s">
        <v>6735</v>
      </c>
    </row>
    <row r="6323" spans="4:4">
      <c r="D6323" s="941" t="s">
        <v>6736</v>
      </c>
    </row>
    <row r="6324" spans="4:4">
      <c r="D6324" s="941" t="s">
        <v>6737</v>
      </c>
    </row>
    <row r="6325" spans="4:4">
      <c r="D6325" s="941" t="s">
        <v>6738</v>
      </c>
    </row>
    <row r="6326" spans="4:4">
      <c r="D6326" s="941" t="s">
        <v>6739</v>
      </c>
    </row>
    <row r="6327" spans="4:4">
      <c r="D6327" s="941" t="s">
        <v>6740</v>
      </c>
    </row>
    <row r="6328" spans="4:4">
      <c r="D6328" s="941" t="s">
        <v>11206</v>
      </c>
    </row>
    <row r="6329" spans="4:4">
      <c r="D6329" s="941" t="s">
        <v>6741</v>
      </c>
    </row>
    <row r="6330" spans="4:4">
      <c r="D6330" s="941" t="s">
        <v>6742</v>
      </c>
    </row>
    <row r="6331" spans="4:4">
      <c r="D6331" s="941" t="s">
        <v>6743</v>
      </c>
    </row>
    <row r="6332" spans="4:4">
      <c r="D6332" s="941" t="s">
        <v>6744</v>
      </c>
    </row>
    <row r="6333" spans="4:4">
      <c r="D6333" s="941" t="s">
        <v>6745</v>
      </c>
    </row>
    <row r="6334" spans="4:4">
      <c r="D6334" s="941" t="s">
        <v>6746</v>
      </c>
    </row>
    <row r="6335" spans="4:4">
      <c r="D6335" s="941" t="s">
        <v>6747</v>
      </c>
    </row>
    <row r="6336" spans="4:4">
      <c r="D6336" s="941" t="s">
        <v>6748</v>
      </c>
    </row>
    <row r="6337" spans="4:4">
      <c r="D6337" s="941" t="s">
        <v>6749</v>
      </c>
    </row>
    <row r="6338" spans="4:4">
      <c r="D6338" s="941" t="s">
        <v>6750</v>
      </c>
    </row>
    <row r="6339" spans="4:4">
      <c r="D6339" s="941" t="s">
        <v>6751</v>
      </c>
    </row>
    <row r="6340" spans="4:4">
      <c r="D6340" s="941" t="s">
        <v>6752</v>
      </c>
    </row>
    <row r="6341" spans="4:4">
      <c r="D6341" s="941" t="s">
        <v>6753</v>
      </c>
    </row>
    <row r="6342" spans="4:4">
      <c r="D6342" s="941" t="s">
        <v>6754</v>
      </c>
    </row>
    <row r="6343" spans="4:4">
      <c r="D6343" s="941" t="s">
        <v>6755</v>
      </c>
    </row>
    <row r="6344" spans="4:4">
      <c r="D6344" s="941" t="s">
        <v>6756</v>
      </c>
    </row>
    <row r="6345" spans="4:4">
      <c r="D6345" s="941" t="s">
        <v>6757</v>
      </c>
    </row>
    <row r="6346" spans="4:4">
      <c r="D6346" s="941" t="s">
        <v>6758</v>
      </c>
    </row>
    <row r="6347" spans="4:4">
      <c r="D6347" s="941" t="s">
        <v>6759</v>
      </c>
    </row>
    <row r="6348" spans="4:4">
      <c r="D6348" s="941" t="s">
        <v>6760</v>
      </c>
    </row>
    <row r="6349" spans="4:4">
      <c r="D6349" s="941" t="s">
        <v>6761</v>
      </c>
    </row>
    <row r="6350" spans="4:4">
      <c r="D6350" s="941" t="s">
        <v>6762</v>
      </c>
    </row>
    <row r="6351" spans="4:4">
      <c r="D6351" s="941" t="s">
        <v>6763</v>
      </c>
    </row>
    <row r="6352" spans="4:4">
      <c r="D6352" s="941" t="s">
        <v>6764</v>
      </c>
    </row>
    <row r="6353" spans="4:4">
      <c r="D6353" s="941" t="s">
        <v>6765</v>
      </c>
    </row>
    <row r="6354" spans="4:4">
      <c r="D6354" s="941" t="s">
        <v>6766</v>
      </c>
    </row>
    <row r="6355" spans="4:4">
      <c r="D6355" s="941" t="s">
        <v>6767</v>
      </c>
    </row>
    <row r="6356" spans="4:4">
      <c r="D6356" s="941" t="s">
        <v>6768</v>
      </c>
    </row>
    <row r="6357" spans="4:4">
      <c r="D6357" s="941" t="s">
        <v>6769</v>
      </c>
    </row>
    <row r="6358" spans="4:4">
      <c r="D6358" s="941" t="s">
        <v>6770</v>
      </c>
    </row>
    <row r="6359" spans="4:4">
      <c r="D6359" s="941" t="s">
        <v>6771</v>
      </c>
    </row>
    <row r="6360" spans="4:4">
      <c r="D6360" s="941" t="s">
        <v>6772</v>
      </c>
    </row>
    <row r="6361" spans="4:4">
      <c r="D6361" s="941" t="s">
        <v>10558</v>
      </c>
    </row>
    <row r="6362" spans="4:4">
      <c r="D6362" s="941" t="s">
        <v>6773</v>
      </c>
    </row>
    <row r="6363" spans="4:4">
      <c r="D6363" s="941" t="s">
        <v>6774</v>
      </c>
    </row>
    <row r="6364" spans="4:4">
      <c r="D6364" s="941" t="s">
        <v>6775</v>
      </c>
    </row>
    <row r="6365" spans="4:4">
      <c r="D6365" s="941" t="s">
        <v>6776</v>
      </c>
    </row>
    <row r="6366" spans="4:4">
      <c r="D6366" s="941" t="s">
        <v>6777</v>
      </c>
    </row>
    <row r="6367" spans="4:4">
      <c r="D6367" s="941" t="s">
        <v>10258</v>
      </c>
    </row>
    <row r="6368" spans="4:4">
      <c r="D6368" s="941" t="s">
        <v>6778</v>
      </c>
    </row>
    <row r="6369" spans="4:4">
      <c r="D6369" s="941" t="s">
        <v>6779</v>
      </c>
    </row>
    <row r="6370" spans="4:4">
      <c r="D6370" s="941" t="s">
        <v>6780</v>
      </c>
    </row>
    <row r="6371" spans="4:4">
      <c r="D6371" s="941" t="s">
        <v>6781</v>
      </c>
    </row>
    <row r="6372" spans="4:4">
      <c r="D6372" s="941" t="s">
        <v>6782</v>
      </c>
    </row>
    <row r="6373" spans="4:4">
      <c r="D6373" s="941" t="s">
        <v>6783</v>
      </c>
    </row>
    <row r="6374" spans="4:4">
      <c r="D6374" s="941" t="s">
        <v>6784</v>
      </c>
    </row>
    <row r="6375" spans="4:4">
      <c r="D6375" s="941" t="s">
        <v>6785</v>
      </c>
    </row>
    <row r="6376" spans="4:4">
      <c r="D6376" s="941" t="s">
        <v>6786</v>
      </c>
    </row>
    <row r="6377" spans="4:4">
      <c r="D6377" s="941" t="s">
        <v>6787</v>
      </c>
    </row>
    <row r="6378" spans="4:4">
      <c r="D6378" s="941" t="s">
        <v>6788</v>
      </c>
    </row>
    <row r="6379" spans="4:4">
      <c r="D6379" s="941" t="s">
        <v>6789</v>
      </c>
    </row>
    <row r="6380" spans="4:4">
      <c r="D6380" s="941" t="s">
        <v>6790</v>
      </c>
    </row>
    <row r="6381" spans="4:4">
      <c r="D6381" s="941" t="s">
        <v>6791</v>
      </c>
    </row>
    <row r="6382" spans="4:4">
      <c r="D6382" s="941" t="s">
        <v>6792</v>
      </c>
    </row>
    <row r="6383" spans="4:4">
      <c r="D6383" s="941" t="s">
        <v>6793</v>
      </c>
    </row>
    <row r="6384" spans="4:4">
      <c r="D6384" s="941" t="s">
        <v>6794</v>
      </c>
    </row>
    <row r="6385" spans="4:4">
      <c r="D6385" s="941" t="s">
        <v>6795</v>
      </c>
    </row>
    <row r="6386" spans="4:4">
      <c r="D6386" s="941" t="s">
        <v>6796</v>
      </c>
    </row>
    <row r="6387" spans="4:4">
      <c r="D6387" s="941" t="s">
        <v>6797</v>
      </c>
    </row>
    <row r="6388" spans="4:4">
      <c r="D6388" s="941" t="s">
        <v>6798</v>
      </c>
    </row>
    <row r="6389" spans="4:4">
      <c r="D6389" s="941" t="s">
        <v>6799</v>
      </c>
    </row>
    <row r="6390" spans="4:4">
      <c r="D6390" s="941" t="s">
        <v>6800</v>
      </c>
    </row>
    <row r="6391" spans="4:4">
      <c r="D6391" s="941" t="s">
        <v>6801</v>
      </c>
    </row>
    <row r="6392" spans="4:4">
      <c r="D6392" s="941" t="s">
        <v>6802</v>
      </c>
    </row>
    <row r="6393" spans="4:4">
      <c r="D6393" s="941" t="s">
        <v>6803</v>
      </c>
    </row>
    <row r="6394" spans="4:4">
      <c r="D6394" s="941" t="s">
        <v>6804</v>
      </c>
    </row>
    <row r="6395" spans="4:4">
      <c r="D6395" s="941" t="s">
        <v>6805</v>
      </c>
    </row>
    <row r="6396" spans="4:4">
      <c r="D6396" s="941" t="s">
        <v>6806</v>
      </c>
    </row>
    <row r="6397" spans="4:4">
      <c r="D6397" s="941" t="s">
        <v>6807</v>
      </c>
    </row>
    <row r="6398" spans="4:4">
      <c r="D6398" s="941" t="s">
        <v>6808</v>
      </c>
    </row>
    <row r="6399" spans="4:4">
      <c r="D6399" s="941" t="s">
        <v>11101</v>
      </c>
    </row>
    <row r="6400" spans="4:4">
      <c r="D6400" s="941" t="s">
        <v>6809</v>
      </c>
    </row>
    <row r="6401" spans="4:4">
      <c r="D6401" s="941" t="s">
        <v>6810</v>
      </c>
    </row>
    <row r="6402" spans="4:4">
      <c r="D6402" s="941" t="s">
        <v>6811</v>
      </c>
    </row>
    <row r="6403" spans="4:4">
      <c r="D6403" s="941" t="s">
        <v>6812</v>
      </c>
    </row>
    <row r="6404" spans="4:4">
      <c r="D6404" s="941" t="s">
        <v>6813</v>
      </c>
    </row>
    <row r="6405" spans="4:4">
      <c r="D6405" s="941" t="s">
        <v>6814</v>
      </c>
    </row>
    <row r="6406" spans="4:4">
      <c r="D6406" s="941" t="s">
        <v>9564</v>
      </c>
    </row>
    <row r="6407" spans="4:4">
      <c r="D6407" s="941" t="s">
        <v>6815</v>
      </c>
    </row>
    <row r="6408" spans="4:4">
      <c r="D6408" s="941" t="s">
        <v>6816</v>
      </c>
    </row>
    <row r="6409" spans="4:4">
      <c r="D6409" s="941" t="s">
        <v>6817</v>
      </c>
    </row>
    <row r="6410" spans="4:4">
      <c r="D6410" s="941" t="s">
        <v>6818</v>
      </c>
    </row>
    <row r="6411" spans="4:4">
      <c r="D6411" s="941" t="s">
        <v>6819</v>
      </c>
    </row>
    <row r="6412" spans="4:4">
      <c r="D6412" s="941" t="s">
        <v>6820</v>
      </c>
    </row>
    <row r="6413" spans="4:4">
      <c r="D6413" s="941" t="s">
        <v>6821</v>
      </c>
    </row>
    <row r="6414" spans="4:4">
      <c r="D6414" s="941" t="s">
        <v>11024</v>
      </c>
    </row>
    <row r="6415" spans="4:4">
      <c r="D6415" s="941" t="s">
        <v>6822</v>
      </c>
    </row>
    <row r="6416" spans="4:4">
      <c r="D6416" s="941" t="s">
        <v>6823</v>
      </c>
    </row>
    <row r="6417" spans="4:4">
      <c r="D6417" s="941" t="s">
        <v>6824</v>
      </c>
    </row>
    <row r="6418" spans="4:4">
      <c r="D6418" s="941" t="s">
        <v>6825</v>
      </c>
    </row>
    <row r="6419" spans="4:4">
      <c r="D6419" s="941" t="s">
        <v>9781</v>
      </c>
    </row>
    <row r="6420" spans="4:4">
      <c r="D6420" s="941" t="s">
        <v>6826</v>
      </c>
    </row>
    <row r="6421" spans="4:4">
      <c r="D6421" s="941" t="s">
        <v>10431</v>
      </c>
    </row>
    <row r="6422" spans="4:4">
      <c r="D6422" s="941" t="s">
        <v>6827</v>
      </c>
    </row>
    <row r="6423" spans="4:4">
      <c r="D6423" s="941" t="s">
        <v>6828</v>
      </c>
    </row>
    <row r="6424" spans="4:4">
      <c r="D6424" s="941" t="s">
        <v>6829</v>
      </c>
    </row>
    <row r="6425" spans="4:4">
      <c r="D6425" s="941" t="s">
        <v>6830</v>
      </c>
    </row>
    <row r="6426" spans="4:4">
      <c r="D6426" s="941" t="s">
        <v>6831</v>
      </c>
    </row>
    <row r="6427" spans="4:4">
      <c r="D6427" s="941" t="s">
        <v>6832</v>
      </c>
    </row>
    <row r="6428" spans="4:4">
      <c r="D6428" s="941" t="s">
        <v>6833</v>
      </c>
    </row>
    <row r="6429" spans="4:4">
      <c r="D6429" s="941" t="s">
        <v>6834</v>
      </c>
    </row>
    <row r="6430" spans="4:4">
      <c r="D6430" s="941" t="s">
        <v>6835</v>
      </c>
    </row>
    <row r="6431" spans="4:4">
      <c r="D6431" s="941" t="s">
        <v>6836</v>
      </c>
    </row>
    <row r="6432" spans="4:4">
      <c r="D6432" s="941" t="s">
        <v>6837</v>
      </c>
    </row>
    <row r="6433" spans="4:4">
      <c r="D6433" s="941" t="s">
        <v>6838</v>
      </c>
    </row>
    <row r="6434" spans="4:4">
      <c r="D6434" s="941" t="s">
        <v>6839</v>
      </c>
    </row>
    <row r="6435" spans="4:4">
      <c r="D6435" s="941" t="s">
        <v>6840</v>
      </c>
    </row>
    <row r="6436" spans="4:4">
      <c r="D6436" s="941" t="s">
        <v>6841</v>
      </c>
    </row>
    <row r="6437" spans="4:4">
      <c r="D6437" s="941" t="s">
        <v>6842</v>
      </c>
    </row>
    <row r="6438" spans="4:4">
      <c r="D6438" s="941" t="s">
        <v>9565</v>
      </c>
    </row>
    <row r="6439" spans="4:4">
      <c r="D6439" s="941" t="s">
        <v>6843</v>
      </c>
    </row>
    <row r="6440" spans="4:4">
      <c r="D6440" s="941" t="s">
        <v>6844</v>
      </c>
    </row>
    <row r="6441" spans="4:4">
      <c r="D6441" s="941" t="s">
        <v>6845</v>
      </c>
    </row>
    <row r="6442" spans="4:4">
      <c r="D6442" s="941" t="s">
        <v>6846</v>
      </c>
    </row>
    <row r="6443" spans="4:4">
      <c r="D6443" s="941" t="s">
        <v>189</v>
      </c>
    </row>
    <row r="6444" spans="4:4">
      <c r="D6444" s="941" t="s">
        <v>6847</v>
      </c>
    </row>
    <row r="6445" spans="4:4">
      <c r="D6445" s="941" t="s">
        <v>6848</v>
      </c>
    </row>
    <row r="6446" spans="4:4">
      <c r="D6446" s="941" t="s">
        <v>6849</v>
      </c>
    </row>
    <row r="6447" spans="4:4">
      <c r="D6447" s="941" t="s">
        <v>6850</v>
      </c>
    </row>
    <row r="6448" spans="4:4">
      <c r="D6448" s="941" t="s">
        <v>6851</v>
      </c>
    </row>
    <row r="6449" spans="4:4">
      <c r="D6449" s="941" t="s">
        <v>6852</v>
      </c>
    </row>
    <row r="6450" spans="4:4">
      <c r="D6450" s="941" t="s">
        <v>6853</v>
      </c>
    </row>
    <row r="6451" spans="4:4">
      <c r="D6451" s="941" t="s">
        <v>6854</v>
      </c>
    </row>
    <row r="6452" spans="4:4">
      <c r="D6452" s="941" t="s">
        <v>6855</v>
      </c>
    </row>
    <row r="6453" spans="4:4">
      <c r="D6453" s="941" t="s">
        <v>6856</v>
      </c>
    </row>
    <row r="6454" spans="4:4">
      <c r="D6454" s="941" t="s">
        <v>6857</v>
      </c>
    </row>
    <row r="6455" spans="4:4">
      <c r="D6455" s="941" t="s">
        <v>6858</v>
      </c>
    </row>
    <row r="6456" spans="4:4">
      <c r="D6456" s="941" t="s">
        <v>6859</v>
      </c>
    </row>
    <row r="6457" spans="4:4">
      <c r="D6457" s="941" t="s">
        <v>6860</v>
      </c>
    </row>
    <row r="6458" spans="4:4">
      <c r="D6458" s="941" t="s">
        <v>6861</v>
      </c>
    </row>
    <row r="6459" spans="4:4">
      <c r="D6459" s="941" t="s">
        <v>6862</v>
      </c>
    </row>
    <row r="6460" spans="4:4">
      <c r="D6460" s="941" t="s">
        <v>6863</v>
      </c>
    </row>
    <row r="6461" spans="4:4">
      <c r="D6461" s="941" t="s">
        <v>6864</v>
      </c>
    </row>
    <row r="6462" spans="4:4">
      <c r="D6462" s="941" t="s">
        <v>6865</v>
      </c>
    </row>
    <row r="6463" spans="4:4">
      <c r="D6463" s="941" t="s">
        <v>6866</v>
      </c>
    </row>
    <row r="6464" spans="4:4">
      <c r="D6464" s="941" t="s">
        <v>6867</v>
      </c>
    </row>
    <row r="6465" spans="4:4">
      <c r="D6465" s="941" t="s">
        <v>6868</v>
      </c>
    </row>
    <row r="6466" spans="4:4">
      <c r="D6466" s="941" t="s">
        <v>6869</v>
      </c>
    </row>
    <row r="6467" spans="4:4">
      <c r="D6467" s="941" t="s">
        <v>6870</v>
      </c>
    </row>
    <row r="6468" spans="4:4">
      <c r="D6468" s="941" t="s">
        <v>6871</v>
      </c>
    </row>
    <row r="6469" spans="4:4">
      <c r="D6469" s="941" t="s">
        <v>6872</v>
      </c>
    </row>
    <row r="6470" spans="4:4">
      <c r="D6470" s="941" t="s">
        <v>6873</v>
      </c>
    </row>
    <row r="6471" spans="4:4">
      <c r="D6471" s="941" t="s">
        <v>6874</v>
      </c>
    </row>
    <row r="6472" spans="4:4">
      <c r="D6472" s="941" t="s">
        <v>6875</v>
      </c>
    </row>
    <row r="6473" spans="4:4">
      <c r="D6473" s="941" t="s">
        <v>6876</v>
      </c>
    </row>
    <row r="6474" spans="4:4">
      <c r="D6474" s="941" t="s">
        <v>6877</v>
      </c>
    </row>
    <row r="6475" spans="4:4">
      <c r="D6475" s="941" t="s">
        <v>6878</v>
      </c>
    </row>
    <row r="6476" spans="4:4">
      <c r="D6476" s="941" t="s">
        <v>6879</v>
      </c>
    </row>
    <row r="6477" spans="4:4">
      <c r="D6477" s="941" t="s">
        <v>6880</v>
      </c>
    </row>
    <row r="6478" spans="4:4">
      <c r="D6478" s="941" t="s">
        <v>6881</v>
      </c>
    </row>
    <row r="6479" spans="4:4">
      <c r="D6479" s="941" t="s">
        <v>6882</v>
      </c>
    </row>
    <row r="6480" spans="4:4">
      <c r="D6480" s="941" t="s">
        <v>6883</v>
      </c>
    </row>
    <row r="6481" spans="4:4">
      <c r="D6481" s="941" t="s">
        <v>6884</v>
      </c>
    </row>
    <row r="6482" spans="4:4">
      <c r="D6482" s="941" t="s">
        <v>6885</v>
      </c>
    </row>
    <row r="6483" spans="4:4">
      <c r="D6483" s="941" t="s">
        <v>6886</v>
      </c>
    </row>
    <row r="6484" spans="4:4">
      <c r="D6484" s="941" t="s">
        <v>6887</v>
      </c>
    </row>
    <row r="6485" spans="4:4">
      <c r="D6485" s="941" t="s">
        <v>10432</v>
      </c>
    </row>
    <row r="6486" spans="4:4">
      <c r="D6486" s="941" t="s">
        <v>6888</v>
      </c>
    </row>
    <row r="6487" spans="4:4">
      <c r="D6487" s="941" t="s">
        <v>6889</v>
      </c>
    </row>
    <row r="6488" spans="4:4">
      <c r="D6488" s="941" t="s">
        <v>6890</v>
      </c>
    </row>
    <row r="6489" spans="4:4">
      <c r="D6489" s="941" t="s">
        <v>9566</v>
      </c>
    </row>
    <row r="6490" spans="4:4">
      <c r="D6490" s="941" t="s">
        <v>6891</v>
      </c>
    </row>
    <row r="6491" spans="4:4">
      <c r="D6491" s="941" t="s">
        <v>6892</v>
      </c>
    </row>
    <row r="6492" spans="4:4">
      <c r="D6492" s="941" t="s">
        <v>6893</v>
      </c>
    </row>
    <row r="6493" spans="4:4">
      <c r="D6493" s="941" t="s">
        <v>6894</v>
      </c>
    </row>
    <row r="6494" spans="4:4">
      <c r="D6494" s="941" t="s">
        <v>9567</v>
      </c>
    </row>
    <row r="6495" spans="4:4">
      <c r="D6495" s="941" t="s">
        <v>6895</v>
      </c>
    </row>
    <row r="6496" spans="4:4">
      <c r="D6496" s="941" t="s">
        <v>6896</v>
      </c>
    </row>
    <row r="6497" spans="4:4">
      <c r="D6497" s="941" t="s">
        <v>6897</v>
      </c>
    </row>
    <row r="6498" spans="4:4">
      <c r="D6498" s="941" t="s">
        <v>6898</v>
      </c>
    </row>
    <row r="6499" spans="4:4">
      <c r="D6499" s="941" t="s">
        <v>6899</v>
      </c>
    </row>
    <row r="6500" spans="4:4">
      <c r="D6500" s="941" t="s">
        <v>6900</v>
      </c>
    </row>
    <row r="6501" spans="4:4">
      <c r="D6501" s="941" t="s">
        <v>6901</v>
      </c>
    </row>
    <row r="6502" spans="4:4">
      <c r="D6502" s="941" t="s">
        <v>9568</v>
      </c>
    </row>
    <row r="6503" spans="4:4">
      <c r="D6503" s="941" t="s">
        <v>6902</v>
      </c>
    </row>
    <row r="6504" spans="4:4">
      <c r="D6504" s="941" t="s">
        <v>6903</v>
      </c>
    </row>
    <row r="6505" spans="4:4">
      <c r="D6505" s="941" t="s">
        <v>6904</v>
      </c>
    </row>
    <row r="6506" spans="4:4">
      <c r="D6506" s="941" t="s">
        <v>6905</v>
      </c>
    </row>
    <row r="6507" spans="4:4">
      <c r="D6507" s="941" t="s">
        <v>10238</v>
      </c>
    </row>
    <row r="6508" spans="4:4">
      <c r="D6508" s="941" t="s">
        <v>6906</v>
      </c>
    </row>
    <row r="6509" spans="4:4">
      <c r="D6509" s="941" t="s">
        <v>6907</v>
      </c>
    </row>
    <row r="6510" spans="4:4">
      <c r="D6510" s="941" t="s">
        <v>6908</v>
      </c>
    </row>
    <row r="6511" spans="4:4">
      <c r="D6511" s="941" t="s">
        <v>6909</v>
      </c>
    </row>
    <row r="6512" spans="4:4">
      <c r="D6512" s="941" t="s">
        <v>6910</v>
      </c>
    </row>
    <row r="6513" spans="4:4">
      <c r="D6513" s="941" t="s">
        <v>6911</v>
      </c>
    </row>
    <row r="6514" spans="4:4">
      <c r="D6514" s="941" t="s">
        <v>6912</v>
      </c>
    </row>
    <row r="6515" spans="4:4">
      <c r="D6515" s="941" t="s">
        <v>6913</v>
      </c>
    </row>
    <row r="6516" spans="4:4">
      <c r="D6516" s="941" t="s">
        <v>11104</v>
      </c>
    </row>
    <row r="6517" spans="4:4">
      <c r="D6517" s="941" t="s">
        <v>6914</v>
      </c>
    </row>
    <row r="6518" spans="4:4">
      <c r="D6518" s="941" t="s">
        <v>6915</v>
      </c>
    </row>
    <row r="6519" spans="4:4">
      <c r="D6519" s="941" t="s">
        <v>6916</v>
      </c>
    </row>
    <row r="6520" spans="4:4">
      <c r="D6520" s="941" t="s">
        <v>6917</v>
      </c>
    </row>
    <row r="6521" spans="4:4">
      <c r="D6521" s="941" t="s">
        <v>6918</v>
      </c>
    </row>
    <row r="6522" spans="4:4">
      <c r="D6522" s="941" t="s">
        <v>6919</v>
      </c>
    </row>
    <row r="6523" spans="4:4">
      <c r="D6523" s="941" t="s">
        <v>6920</v>
      </c>
    </row>
    <row r="6524" spans="4:4">
      <c r="D6524" s="941" t="s">
        <v>6921</v>
      </c>
    </row>
    <row r="6525" spans="4:4">
      <c r="D6525" s="941" t="s">
        <v>6922</v>
      </c>
    </row>
    <row r="6526" spans="4:4">
      <c r="D6526" s="941" t="s">
        <v>6923</v>
      </c>
    </row>
    <row r="6527" spans="4:4">
      <c r="D6527" s="941" t="s">
        <v>6924</v>
      </c>
    </row>
    <row r="6528" spans="4:4">
      <c r="D6528" s="941" t="s">
        <v>6925</v>
      </c>
    </row>
    <row r="6529" spans="4:4">
      <c r="D6529" s="941" t="s">
        <v>6926</v>
      </c>
    </row>
    <row r="6530" spans="4:4">
      <c r="D6530" s="941" t="s">
        <v>10588</v>
      </c>
    </row>
    <row r="6531" spans="4:4">
      <c r="D6531" s="941" t="s">
        <v>6927</v>
      </c>
    </row>
    <row r="6532" spans="4:4">
      <c r="D6532" s="941" t="s">
        <v>6928</v>
      </c>
    </row>
    <row r="6533" spans="4:4">
      <c r="D6533" s="941" t="s">
        <v>6929</v>
      </c>
    </row>
    <row r="6534" spans="4:4">
      <c r="D6534" s="941" t="s">
        <v>6930</v>
      </c>
    </row>
    <row r="6535" spans="4:4">
      <c r="D6535" s="941" t="s">
        <v>6931</v>
      </c>
    </row>
    <row r="6536" spans="4:4">
      <c r="D6536" s="941" t="s">
        <v>6932</v>
      </c>
    </row>
    <row r="6537" spans="4:4">
      <c r="D6537" s="941" t="s">
        <v>6933</v>
      </c>
    </row>
    <row r="6538" spans="4:4">
      <c r="D6538" s="941" t="s">
        <v>9569</v>
      </c>
    </row>
    <row r="6539" spans="4:4">
      <c r="D6539" s="941" t="s">
        <v>6934</v>
      </c>
    </row>
    <row r="6540" spans="4:4">
      <c r="D6540" s="941" t="s">
        <v>6935</v>
      </c>
    </row>
    <row r="6541" spans="4:4">
      <c r="D6541" s="941" t="s">
        <v>6936</v>
      </c>
    </row>
    <row r="6542" spans="4:4">
      <c r="D6542" s="941" t="s">
        <v>6937</v>
      </c>
    </row>
    <row r="6543" spans="4:4">
      <c r="D6543" s="941" t="s">
        <v>6938</v>
      </c>
    </row>
    <row r="6544" spans="4:4">
      <c r="D6544" s="941" t="s">
        <v>6939</v>
      </c>
    </row>
    <row r="6545" spans="4:4">
      <c r="D6545" s="941" t="s">
        <v>6940</v>
      </c>
    </row>
    <row r="6546" spans="4:4">
      <c r="D6546" s="941" t="s">
        <v>6941</v>
      </c>
    </row>
    <row r="6547" spans="4:4">
      <c r="D6547" s="941" t="s">
        <v>6942</v>
      </c>
    </row>
    <row r="6548" spans="4:4">
      <c r="D6548" s="941" t="s">
        <v>6943</v>
      </c>
    </row>
    <row r="6549" spans="4:4">
      <c r="D6549" s="941" t="s">
        <v>6944</v>
      </c>
    </row>
    <row r="6550" spans="4:4">
      <c r="D6550" s="941" t="s">
        <v>9880</v>
      </c>
    </row>
    <row r="6551" spans="4:4">
      <c r="D6551" s="941" t="s">
        <v>9570</v>
      </c>
    </row>
    <row r="6552" spans="4:4">
      <c r="D6552" s="941" t="s">
        <v>6945</v>
      </c>
    </row>
    <row r="6553" spans="4:4">
      <c r="D6553" s="941" t="s">
        <v>6946</v>
      </c>
    </row>
    <row r="6554" spans="4:4">
      <c r="D6554" s="941" t="s">
        <v>6947</v>
      </c>
    </row>
    <row r="6555" spans="4:4">
      <c r="D6555" s="941" t="s">
        <v>6948</v>
      </c>
    </row>
    <row r="6556" spans="4:4">
      <c r="D6556" s="941" t="s">
        <v>11025</v>
      </c>
    </row>
    <row r="6557" spans="4:4">
      <c r="D6557" s="941" t="s">
        <v>6949</v>
      </c>
    </row>
    <row r="6558" spans="4:4">
      <c r="D6558" s="941" t="s">
        <v>6950</v>
      </c>
    </row>
    <row r="6559" spans="4:4">
      <c r="D6559" s="941" t="s">
        <v>6951</v>
      </c>
    </row>
    <row r="6560" spans="4:4">
      <c r="D6560" s="941" t="s">
        <v>6952</v>
      </c>
    </row>
    <row r="6561" spans="4:4">
      <c r="D6561" s="941" t="s">
        <v>6953</v>
      </c>
    </row>
    <row r="6562" spans="4:4">
      <c r="D6562" s="941" t="s">
        <v>6954</v>
      </c>
    </row>
    <row r="6563" spans="4:4">
      <c r="D6563" s="941" t="s">
        <v>6955</v>
      </c>
    </row>
    <row r="6564" spans="4:4">
      <c r="D6564" s="941" t="s">
        <v>6956</v>
      </c>
    </row>
    <row r="6565" spans="4:4">
      <c r="D6565" s="941" t="s">
        <v>6957</v>
      </c>
    </row>
    <row r="6566" spans="4:4">
      <c r="D6566" s="941" t="s">
        <v>6958</v>
      </c>
    </row>
    <row r="6567" spans="4:4">
      <c r="D6567" s="941" t="s">
        <v>6959</v>
      </c>
    </row>
    <row r="6568" spans="4:4">
      <c r="D6568" s="941" t="s">
        <v>6960</v>
      </c>
    </row>
    <row r="6569" spans="4:4">
      <c r="D6569" s="941" t="s">
        <v>6961</v>
      </c>
    </row>
    <row r="6570" spans="4:4">
      <c r="D6570" s="941" t="s">
        <v>6962</v>
      </c>
    </row>
    <row r="6571" spans="4:4">
      <c r="D6571" s="941" t="s">
        <v>6963</v>
      </c>
    </row>
    <row r="6572" spans="4:4">
      <c r="D6572" s="941" t="s">
        <v>9571</v>
      </c>
    </row>
    <row r="6573" spans="4:4">
      <c r="D6573" s="941" t="s">
        <v>6964</v>
      </c>
    </row>
    <row r="6574" spans="4:4">
      <c r="D6574" s="941" t="s">
        <v>6965</v>
      </c>
    </row>
    <row r="6575" spans="4:4">
      <c r="D6575" s="941" t="s">
        <v>6966</v>
      </c>
    </row>
    <row r="6576" spans="4:4">
      <c r="D6576" s="941" t="s">
        <v>6967</v>
      </c>
    </row>
    <row r="6577" spans="4:4">
      <c r="D6577" s="941" t="s">
        <v>6968</v>
      </c>
    </row>
    <row r="6578" spans="4:4">
      <c r="D6578" s="941" t="s">
        <v>6969</v>
      </c>
    </row>
    <row r="6579" spans="4:4">
      <c r="D6579" s="941" t="s">
        <v>6970</v>
      </c>
    </row>
    <row r="6580" spans="4:4">
      <c r="D6580" s="941" t="s">
        <v>9572</v>
      </c>
    </row>
    <row r="6581" spans="4:4">
      <c r="D6581" s="941" t="s">
        <v>6971</v>
      </c>
    </row>
    <row r="6582" spans="4:4">
      <c r="D6582" s="941" t="s">
        <v>6972</v>
      </c>
    </row>
    <row r="6583" spans="4:4">
      <c r="D6583" s="941" t="s">
        <v>6973</v>
      </c>
    </row>
    <row r="6584" spans="4:4">
      <c r="D6584" s="941" t="s">
        <v>6974</v>
      </c>
    </row>
    <row r="6585" spans="4:4">
      <c r="D6585" s="941" t="s">
        <v>6975</v>
      </c>
    </row>
    <row r="6586" spans="4:4">
      <c r="D6586" s="941" t="s">
        <v>6976</v>
      </c>
    </row>
    <row r="6587" spans="4:4">
      <c r="D6587" s="941" t="s">
        <v>6977</v>
      </c>
    </row>
    <row r="6588" spans="4:4">
      <c r="D6588" s="941" t="s">
        <v>6978</v>
      </c>
    </row>
    <row r="6589" spans="4:4">
      <c r="D6589" s="941" t="s">
        <v>6979</v>
      </c>
    </row>
    <row r="6590" spans="4:4">
      <c r="D6590" s="941" t="s">
        <v>6980</v>
      </c>
    </row>
    <row r="6591" spans="4:4">
      <c r="D6591" s="941" t="s">
        <v>6981</v>
      </c>
    </row>
    <row r="6592" spans="4:4">
      <c r="D6592" s="941" t="s">
        <v>6982</v>
      </c>
    </row>
    <row r="6593" spans="4:4">
      <c r="D6593" s="941" t="s">
        <v>6983</v>
      </c>
    </row>
    <row r="6594" spans="4:4">
      <c r="D6594" s="941" t="s">
        <v>6984</v>
      </c>
    </row>
    <row r="6595" spans="4:4">
      <c r="D6595" s="941" t="s">
        <v>6985</v>
      </c>
    </row>
    <row r="6596" spans="4:4">
      <c r="D6596" s="941" t="s">
        <v>6986</v>
      </c>
    </row>
    <row r="6597" spans="4:4">
      <c r="D6597" s="941" t="s">
        <v>6987</v>
      </c>
    </row>
    <row r="6598" spans="4:4">
      <c r="D6598" s="941" t="s">
        <v>6988</v>
      </c>
    </row>
    <row r="6599" spans="4:4">
      <c r="D6599" s="941" t="s">
        <v>6989</v>
      </c>
    </row>
    <row r="6600" spans="4:4">
      <c r="D6600" s="941" t="s">
        <v>6990</v>
      </c>
    </row>
    <row r="6601" spans="4:4">
      <c r="D6601" s="941" t="s">
        <v>6991</v>
      </c>
    </row>
    <row r="6602" spans="4:4">
      <c r="D6602" s="941" t="s">
        <v>6992</v>
      </c>
    </row>
    <row r="6603" spans="4:4">
      <c r="D6603" s="941" t="s">
        <v>6993</v>
      </c>
    </row>
    <row r="6604" spans="4:4">
      <c r="D6604" s="941" t="s">
        <v>6994</v>
      </c>
    </row>
    <row r="6605" spans="4:4">
      <c r="D6605" s="941" t="s">
        <v>6995</v>
      </c>
    </row>
    <row r="6606" spans="4:4">
      <c r="D6606" s="941" t="s">
        <v>6996</v>
      </c>
    </row>
    <row r="6607" spans="4:4">
      <c r="D6607" s="941" t="s">
        <v>6997</v>
      </c>
    </row>
    <row r="6608" spans="4:4">
      <c r="D6608" s="941" t="s">
        <v>9573</v>
      </c>
    </row>
    <row r="6609" spans="4:4">
      <c r="D6609" s="941" t="s">
        <v>10206</v>
      </c>
    </row>
    <row r="6610" spans="4:4">
      <c r="D6610" s="941" t="s">
        <v>6998</v>
      </c>
    </row>
    <row r="6611" spans="4:4">
      <c r="D6611" s="941" t="s">
        <v>6999</v>
      </c>
    </row>
    <row r="6612" spans="4:4">
      <c r="D6612" s="941" t="s">
        <v>9574</v>
      </c>
    </row>
    <row r="6613" spans="4:4">
      <c r="D6613" s="941" t="s">
        <v>7000</v>
      </c>
    </row>
    <row r="6614" spans="4:4">
      <c r="D6614" s="941" t="s">
        <v>7001</v>
      </c>
    </row>
    <row r="6615" spans="4:4">
      <c r="D6615" s="941" t="s">
        <v>7002</v>
      </c>
    </row>
    <row r="6616" spans="4:4">
      <c r="D6616" s="941" t="s">
        <v>10233</v>
      </c>
    </row>
    <row r="6617" spans="4:4">
      <c r="D6617" s="941" t="s">
        <v>7003</v>
      </c>
    </row>
    <row r="6618" spans="4:4">
      <c r="D6618" s="941" t="s">
        <v>9575</v>
      </c>
    </row>
    <row r="6619" spans="4:4">
      <c r="D6619" s="941" t="s">
        <v>7004</v>
      </c>
    </row>
    <row r="6620" spans="4:4">
      <c r="D6620" s="941" t="s">
        <v>7005</v>
      </c>
    </row>
    <row r="6621" spans="4:4">
      <c r="D6621" s="941" t="s">
        <v>7006</v>
      </c>
    </row>
    <row r="6622" spans="4:4">
      <c r="D6622" s="941" t="s">
        <v>10433</v>
      </c>
    </row>
    <row r="6623" spans="4:4">
      <c r="D6623" s="941" t="s">
        <v>9576</v>
      </c>
    </row>
    <row r="6624" spans="4:4">
      <c r="D6624" s="941" t="s">
        <v>7007</v>
      </c>
    </row>
    <row r="6625" spans="4:4">
      <c r="D6625" s="941" t="s">
        <v>7008</v>
      </c>
    </row>
    <row r="6626" spans="4:4">
      <c r="D6626" s="941" t="s">
        <v>7009</v>
      </c>
    </row>
    <row r="6627" spans="4:4">
      <c r="D6627" s="941" t="s">
        <v>7010</v>
      </c>
    </row>
    <row r="6628" spans="4:4">
      <c r="D6628" s="941" t="s">
        <v>7011</v>
      </c>
    </row>
    <row r="6629" spans="4:4">
      <c r="D6629" s="941" t="s">
        <v>7012</v>
      </c>
    </row>
    <row r="6630" spans="4:4">
      <c r="D6630" s="941" t="s">
        <v>7013</v>
      </c>
    </row>
    <row r="6631" spans="4:4">
      <c r="D6631" s="941" t="s">
        <v>7014</v>
      </c>
    </row>
    <row r="6632" spans="4:4">
      <c r="D6632" s="941" t="s">
        <v>7015</v>
      </c>
    </row>
    <row r="6633" spans="4:4">
      <c r="D6633" s="941" t="s">
        <v>7016</v>
      </c>
    </row>
    <row r="6634" spans="4:4">
      <c r="D6634" s="941" t="s">
        <v>10333</v>
      </c>
    </row>
    <row r="6635" spans="4:4">
      <c r="D6635" s="941" t="s">
        <v>7017</v>
      </c>
    </row>
    <row r="6636" spans="4:4">
      <c r="D6636" s="941" t="s">
        <v>3</v>
      </c>
    </row>
    <row r="6637" spans="4:4">
      <c r="D6637" s="941" t="s">
        <v>7018</v>
      </c>
    </row>
    <row r="6638" spans="4:4">
      <c r="D6638" s="941" t="s">
        <v>7019</v>
      </c>
    </row>
    <row r="6639" spans="4:4">
      <c r="D6639" s="941" t="s">
        <v>7020</v>
      </c>
    </row>
    <row r="6640" spans="4:4">
      <c r="D6640" s="941" t="s">
        <v>7021</v>
      </c>
    </row>
    <row r="6641" spans="4:4">
      <c r="D6641" s="941" t="s">
        <v>7022</v>
      </c>
    </row>
    <row r="6642" spans="4:4">
      <c r="D6642" s="941" t="s">
        <v>10559</v>
      </c>
    </row>
    <row r="6643" spans="4:4">
      <c r="D6643" s="941" t="s">
        <v>10714</v>
      </c>
    </row>
    <row r="6644" spans="4:4">
      <c r="D6644" s="941" t="s">
        <v>7023</v>
      </c>
    </row>
    <row r="6645" spans="4:4">
      <c r="D6645" s="941" t="s">
        <v>7024</v>
      </c>
    </row>
    <row r="6646" spans="4:4">
      <c r="D6646" s="941" t="s">
        <v>7025</v>
      </c>
    </row>
    <row r="6647" spans="4:4">
      <c r="D6647" s="941" t="s">
        <v>7026</v>
      </c>
    </row>
    <row r="6648" spans="4:4">
      <c r="D6648" s="941" t="s">
        <v>9577</v>
      </c>
    </row>
    <row r="6649" spans="4:4">
      <c r="D6649" s="941" t="s">
        <v>7027</v>
      </c>
    </row>
    <row r="6650" spans="4:4">
      <c r="D6650" s="941" t="s">
        <v>7028</v>
      </c>
    </row>
    <row r="6651" spans="4:4">
      <c r="D6651" s="941" t="s">
        <v>10560</v>
      </c>
    </row>
    <row r="6652" spans="4:4">
      <c r="D6652" s="941" t="s">
        <v>7029</v>
      </c>
    </row>
    <row r="6653" spans="4:4">
      <c r="D6653" s="941" t="s">
        <v>7030</v>
      </c>
    </row>
    <row r="6654" spans="4:4">
      <c r="D6654" s="941" t="s">
        <v>7031</v>
      </c>
    </row>
    <row r="6655" spans="4:4">
      <c r="D6655" s="941" t="s">
        <v>7032</v>
      </c>
    </row>
    <row r="6656" spans="4:4">
      <c r="D6656" s="941" t="s">
        <v>7033</v>
      </c>
    </row>
    <row r="6657" spans="4:4">
      <c r="D6657" s="941" t="s">
        <v>10673</v>
      </c>
    </row>
    <row r="6658" spans="4:4">
      <c r="D6658" s="941" t="s">
        <v>7034</v>
      </c>
    </row>
    <row r="6659" spans="4:4">
      <c r="D6659" s="941" t="s">
        <v>7035</v>
      </c>
    </row>
    <row r="6660" spans="4:4">
      <c r="D6660" s="941" t="s">
        <v>7036</v>
      </c>
    </row>
    <row r="6661" spans="4:4">
      <c r="D6661" s="941" t="s">
        <v>7037</v>
      </c>
    </row>
    <row r="6662" spans="4:4">
      <c r="D6662" s="941" t="s">
        <v>7038</v>
      </c>
    </row>
    <row r="6663" spans="4:4">
      <c r="D6663" s="941" t="s">
        <v>7039</v>
      </c>
    </row>
    <row r="6664" spans="4:4">
      <c r="D6664" s="941" t="s">
        <v>7040</v>
      </c>
    </row>
    <row r="6665" spans="4:4">
      <c r="D6665" s="941" t="s">
        <v>7041</v>
      </c>
    </row>
    <row r="6666" spans="4:4">
      <c r="D6666" s="941" t="s">
        <v>7042</v>
      </c>
    </row>
    <row r="6667" spans="4:4">
      <c r="D6667" s="941" t="s">
        <v>1021</v>
      </c>
    </row>
    <row r="6668" spans="4:4">
      <c r="D6668" s="941" t="s">
        <v>7043</v>
      </c>
    </row>
    <row r="6669" spans="4:4">
      <c r="D6669" s="941" t="s">
        <v>7044</v>
      </c>
    </row>
    <row r="6670" spans="4:4">
      <c r="D6670" s="941" t="s">
        <v>7045</v>
      </c>
    </row>
    <row r="6671" spans="4:4">
      <c r="D6671" s="941" t="s">
        <v>7046</v>
      </c>
    </row>
    <row r="6672" spans="4:4">
      <c r="D6672" s="941" t="s">
        <v>7047</v>
      </c>
    </row>
    <row r="6673" spans="4:4">
      <c r="D6673" s="941" t="s">
        <v>7048</v>
      </c>
    </row>
    <row r="6674" spans="4:4">
      <c r="D6674" s="941" t="s">
        <v>7049</v>
      </c>
    </row>
    <row r="6675" spans="4:4">
      <c r="D6675" s="941" t="s">
        <v>7050</v>
      </c>
    </row>
    <row r="6676" spans="4:4">
      <c r="D6676" s="941" t="s">
        <v>7051</v>
      </c>
    </row>
    <row r="6677" spans="4:4">
      <c r="D6677" s="941" t="s">
        <v>7052</v>
      </c>
    </row>
    <row r="6678" spans="4:4">
      <c r="D6678" s="941" t="s">
        <v>7053</v>
      </c>
    </row>
    <row r="6679" spans="4:4">
      <c r="D6679" s="941" t="s">
        <v>7054</v>
      </c>
    </row>
    <row r="6680" spans="4:4">
      <c r="D6680" s="941" t="s">
        <v>7055</v>
      </c>
    </row>
    <row r="6681" spans="4:4">
      <c r="D6681" s="941" t="s">
        <v>7056</v>
      </c>
    </row>
    <row r="6682" spans="4:4">
      <c r="D6682" s="941" t="s">
        <v>7057</v>
      </c>
    </row>
    <row r="6683" spans="4:4">
      <c r="D6683" s="941" t="s">
        <v>7058</v>
      </c>
    </row>
    <row r="6684" spans="4:4">
      <c r="D6684" s="941" t="s">
        <v>7059</v>
      </c>
    </row>
    <row r="6685" spans="4:4">
      <c r="D6685" s="941" t="s">
        <v>7060</v>
      </c>
    </row>
    <row r="6686" spans="4:4">
      <c r="D6686" s="941" t="s">
        <v>7061</v>
      </c>
    </row>
    <row r="6687" spans="4:4">
      <c r="D6687" s="941" t="s">
        <v>7062</v>
      </c>
    </row>
    <row r="6688" spans="4:4">
      <c r="D6688" s="941" t="s">
        <v>7063</v>
      </c>
    </row>
    <row r="6689" spans="4:4">
      <c r="D6689" s="941" t="s">
        <v>7995</v>
      </c>
    </row>
    <row r="6690" spans="4:4">
      <c r="D6690" s="941" t="s">
        <v>10904</v>
      </c>
    </row>
    <row r="6691" spans="4:4">
      <c r="D6691" s="941" t="s">
        <v>7064</v>
      </c>
    </row>
    <row r="6692" spans="4:4">
      <c r="D6692" s="941" t="s">
        <v>7065</v>
      </c>
    </row>
    <row r="6693" spans="4:4">
      <c r="D6693" s="941" t="s">
        <v>7066</v>
      </c>
    </row>
    <row r="6694" spans="4:4">
      <c r="D6694" s="941" t="s">
        <v>7067</v>
      </c>
    </row>
    <row r="6695" spans="4:4">
      <c r="D6695" s="941" t="s">
        <v>7068</v>
      </c>
    </row>
    <row r="6696" spans="4:4">
      <c r="D6696" s="941" t="s">
        <v>7069</v>
      </c>
    </row>
    <row r="6697" spans="4:4">
      <c r="D6697" s="941" t="s">
        <v>7070</v>
      </c>
    </row>
    <row r="6698" spans="4:4">
      <c r="D6698" s="941" t="s">
        <v>7071</v>
      </c>
    </row>
    <row r="6699" spans="4:4">
      <c r="D6699" s="941" t="s">
        <v>7072</v>
      </c>
    </row>
    <row r="6700" spans="4:4">
      <c r="D6700" s="941" t="s">
        <v>10606</v>
      </c>
    </row>
    <row r="6701" spans="4:4">
      <c r="D6701" s="941" t="s">
        <v>7073</v>
      </c>
    </row>
    <row r="6702" spans="4:4">
      <c r="D6702" s="941" t="s">
        <v>7074</v>
      </c>
    </row>
    <row r="6703" spans="4:4">
      <c r="D6703" s="941" t="s">
        <v>7075</v>
      </c>
    </row>
    <row r="6704" spans="4:4">
      <c r="D6704" s="941" t="s">
        <v>7076</v>
      </c>
    </row>
    <row r="6705" spans="4:4">
      <c r="D6705" s="941" t="s">
        <v>7077</v>
      </c>
    </row>
    <row r="6706" spans="4:4">
      <c r="D6706" s="941" t="s">
        <v>7078</v>
      </c>
    </row>
    <row r="6707" spans="4:4">
      <c r="D6707" s="941" t="s">
        <v>7079</v>
      </c>
    </row>
    <row r="6708" spans="4:4">
      <c r="D6708" s="941" t="s">
        <v>7080</v>
      </c>
    </row>
    <row r="6709" spans="4:4">
      <c r="D6709" s="941" t="s">
        <v>7081</v>
      </c>
    </row>
    <row r="6710" spans="4:4">
      <c r="D6710" s="941" t="s">
        <v>7082</v>
      </c>
    </row>
    <row r="6711" spans="4:4">
      <c r="D6711" s="941" t="s">
        <v>7083</v>
      </c>
    </row>
    <row r="6712" spans="4:4">
      <c r="D6712" s="941" t="s">
        <v>7084</v>
      </c>
    </row>
    <row r="6713" spans="4:4">
      <c r="D6713" s="941" t="s">
        <v>7085</v>
      </c>
    </row>
    <row r="6714" spans="4:4">
      <c r="D6714" s="941" t="s">
        <v>7086</v>
      </c>
    </row>
    <row r="6715" spans="4:4">
      <c r="D6715" s="941" t="s">
        <v>7087</v>
      </c>
    </row>
    <row r="6716" spans="4:4">
      <c r="D6716" s="941" t="s">
        <v>7088</v>
      </c>
    </row>
    <row r="6717" spans="4:4">
      <c r="D6717" s="941" t="s">
        <v>7089</v>
      </c>
    </row>
    <row r="6718" spans="4:4">
      <c r="D6718" s="941" t="s">
        <v>7090</v>
      </c>
    </row>
    <row r="6719" spans="4:4">
      <c r="D6719" s="941" t="s">
        <v>7091</v>
      </c>
    </row>
    <row r="6720" spans="4:4">
      <c r="D6720" s="941" t="s">
        <v>7092</v>
      </c>
    </row>
    <row r="6721" spans="4:4">
      <c r="D6721" s="941" t="s">
        <v>7093</v>
      </c>
    </row>
    <row r="6722" spans="4:4">
      <c r="D6722" s="941" t="s">
        <v>7094</v>
      </c>
    </row>
    <row r="6723" spans="4:4">
      <c r="D6723" s="941" t="s">
        <v>7095</v>
      </c>
    </row>
    <row r="6724" spans="4:4">
      <c r="D6724" s="941" t="s">
        <v>7096</v>
      </c>
    </row>
    <row r="6725" spans="4:4">
      <c r="D6725" s="941" t="s">
        <v>7097</v>
      </c>
    </row>
    <row r="6726" spans="4:4">
      <c r="D6726" s="941" t="s">
        <v>7098</v>
      </c>
    </row>
    <row r="6727" spans="4:4">
      <c r="D6727" s="941" t="s">
        <v>7099</v>
      </c>
    </row>
    <row r="6728" spans="4:4">
      <c r="D6728" s="941" t="s">
        <v>7100</v>
      </c>
    </row>
    <row r="6729" spans="4:4">
      <c r="D6729" s="941" t="s">
        <v>7101</v>
      </c>
    </row>
    <row r="6730" spans="4:4">
      <c r="D6730" s="941" t="s">
        <v>7102</v>
      </c>
    </row>
    <row r="6731" spans="4:4">
      <c r="D6731" s="941" t="s">
        <v>7103</v>
      </c>
    </row>
    <row r="6732" spans="4:4">
      <c r="D6732" s="941" t="s">
        <v>10889</v>
      </c>
    </row>
    <row r="6733" spans="4:4">
      <c r="D6733" s="941" t="s">
        <v>7104</v>
      </c>
    </row>
    <row r="6734" spans="4:4">
      <c r="D6734" s="941" t="s">
        <v>7105</v>
      </c>
    </row>
    <row r="6735" spans="4:4">
      <c r="D6735" s="941" t="s">
        <v>7106</v>
      </c>
    </row>
    <row r="6736" spans="4:4">
      <c r="D6736" s="941" t="s">
        <v>7107</v>
      </c>
    </row>
    <row r="6737" spans="4:4">
      <c r="D6737" s="941" t="s">
        <v>7108</v>
      </c>
    </row>
    <row r="6738" spans="4:4">
      <c r="D6738" s="941" t="s">
        <v>7109</v>
      </c>
    </row>
    <row r="6739" spans="4:4">
      <c r="D6739" s="941" t="s">
        <v>7110</v>
      </c>
    </row>
    <row r="6740" spans="4:4">
      <c r="D6740" s="941" t="s">
        <v>7111</v>
      </c>
    </row>
    <row r="6741" spans="4:4">
      <c r="D6741" s="941" t="s">
        <v>7112</v>
      </c>
    </row>
    <row r="6742" spans="4:4">
      <c r="D6742" s="941" t="s">
        <v>7113</v>
      </c>
    </row>
    <row r="6743" spans="4:4">
      <c r="D6743" s="941" t="s">
        <v>7114</v>
      </c>
    </row>
    <row r="6744" spans="4:4">
      <c r="D6744" s="941" t="s">
        <v>7115</v>
      </c>
    </row>
    <row r="6745" spans="4:4">
      <c r="D6745" s="941" t="s">
        <v>7116</v>
      </c>
    </row>
    <row r="6746" spans="4:4">
      <c r="D6746" s="941" t="s">
        <v>7117</v>
      </c>
    </row>
    <row r="6747" spans="4:4">
      <c r="D6747" s="941" t="s">
        <v>7118</v>
      </c>
    </row>
    <row r="6748" spans="4:4">
      <c r="D6748" s="941" t="s">
        <v>7996</v>
      </c>
    </row>
    <row r="6749" spans="4:4">
      <c r="D6749" s="941" t="s">
        <v>7119</v>
      </c>
    </row>
    <row r="6750" spans="4:4">
      <c r="D6750" s="941" t="s">
        <v>7120</v>
      </c>
    </row>
    <row r="6751" spans="4:4">
      <c r="D6751" s="941" t="s">
        <v>7121</v>
      </c>
    </row>
    <row r="6752" spans="4:4">
      <c r="D6752" s="941" t="s">
        <v>7122</v>
      </c>
    </row>
    <row r="6753" spans="4:4">
      <c r="D6753" s="941" t="s">
        <v>7123</v>
      </c>
    </row>
    <row r="6754" spans="4:4">
      <c r="D6754" s="941" t="s">
        <v>7124</v>
      </c>
    </row>
    <row r="6755" spans="4:4">
      <c r="D6755" s="941" t="s">
        <v>7125</v>
      </c>
    </row>
    <row r="6756" spans="4:4">
      <c r="D6756" s="941" t="s">
        <v>7126</v>
      </c>
    </row>
    <row r="6757" spans="4:4">
      <c r="D6757" s="941" t="s">
        <v>7127</v>
      </c>
    </row>
    <row r="6758" spans="4:4">
      <c r="D6758" s="941" t="s">
        <v>7128</v>
      </c>
    </row>
    <row r="6759" spans="4:4">
      <c r="D6759" s="941" t="s">
        <v>7129</v>
      </c>
    </row>
    <row r="6760" spans="4:4">
      <c r="D6760" s="941" t="s">
        <v>10207</v>
      </c>
    </row>
    <row r="6761" spans="4:4">
      <c r="D6761" s="941" t="s">
        <v>7130</v>
      </c>
    </row>
    <row r="6762" spans="4:4">
      <c r="D6762" s="941" t="s">
        <v>7131</v>
      </c>
    </row>
    <row r="6763" spans="4:4">
      <c r="D6763" s="941" t="s">
        <v>7132</v>
      </c>
    </row>
    <row r="6764" spans="4:4">
      <c r="D6764" s="941" t="s">
        <v>7133</v>
      </c>
    </row>
    <row r="6765" spans="4:4">
      <c r="D6765" s="941" t="s">
        <v>7134</v>
      </c>
    </row>
    <row r="6766" spans="4:4">
      <c r="D6766" s="941" t="s">
        <v>9578</v>
      </c>
    </row>
    <row r="6767" spans="4:4">
      <c r="D6767" s="941" t="s">
        <v>7135</v>
      </c>
    </row>
    <row r="6768" spans="4:4">
      <c r="D6768" s="941" t="s">
        <v>10208</v>
      </c>
    </row>
    <row r="6769" spans="4:4">
      <c r="D6769" s="941" t="s">
        <v>7136</v>
      </c>
    </row>
    <row r="6770" spans="4:4">
      <c r="D6770" s="941" t="s">
        <v>7137</v>
      </c>
    </row>
    <row r="6771" spans="4:4">
      <c r="D6771" s="941" t="s">
        <v>7138</v>
      </c>
    </row>
    <row r="6772" spans="4:4">
      <c r="D6772" s="941" t="s">
        <v>7139</v>
      </c>
    </row>
    <row r="6773" spans="4:4">
      <c r="D6773" s="941" t="s">
        <v>7140</v>
      </c>
    </row>
    <row r="6774" spans="4:4">
      <c r="D6774" s="941" t="s">
        <v>7141</v>
      </c>
    </row>
    <row r="6775" spans="4:4">
      <c r="D6775" s="941" t="s">
        <v>7142</v>
      </c>
    </row>
    <row r="6776" spans="4:4">
      <c r="D6776" s="941" t="s">
        <v>7143</v>
      </c>
    </row>
    <row r="6777" spans="4:4">
      <c r="D6777" s="941" t="s">
        <v>7144</v>
      </c>
    </row>
    <row r="6778" spans="4:4">
      <c r="D6778" s="941" t="s">
        <v>7145</v>
      </c>
    </row>
    <row r="6779" spans="4:4">
      <c r="D6779" s="941" t="s">
        <v>7146</v>
      </c>
    </row>
    <row r="6780" spans="4:4">
      <c r="D6780" s="941" t="s">
        <v>7147</v>
      </c>
    </row>
    <row r="6781" spans="4:4">
      <c r="D6781" s="941" t="s">
        <v>9579</v>
      </c>
    </row>
    <row r="6782" spans="4:4">
      <c r="D6782" s="941" t="s">
        <v>192</v>
      </c>
    </row>
    <row r="6783" spans="4:4">
      <c r="D6783" s="941" t="s">
        <v>7148</v>
      </c>
    </row>
    <row r="6784" spans="4:4">
      <c r="D6784" s="941" t="s">
        <v>7149</v>
      </c>
    </row>
    <row r="6785" spans="4:4">
      <c r="D6785" s="941" t="s">
        <v>7150</v>
      </c>
    </row>
    <row r="6786" spans="4:4">
      <c r="D6786" s="941" t="s">
        <v>7151</v>
      </c>
    </row>
    <row r="6787" spans="4:4">
      <c r="D6787" s="941" t="s">
        <v>7152</v>
      </c>
    </row>
    <row r="6788" spans="4:4">
      <c r="D6788" s="941" t="s">
        <v>7153</v>
      </c>
    </row>
    <row r="6789" spans="4:4">
      <c r="D6789" s="941" t="s">
        <v>7154</v>
      </c>
    </row>
    <row r="6790" spans="4:4">
      <c r="D6790" s="941" t="s">
        <v>7155</v>
      </c>
    </row>
    <row r="6791" spans="4:4">
      <c r="D6791" s="941" t="s">
        <v>7156</v>
      </c>
    </row>
    <row r="6792" spans="4:4">
      <c r="D6792" s="941" t="s">
        <v>7997</v>
      </c>
    </row>
    <row r="6793" spans="4:4">
      <c r="D6793" s="941" t="s">
        <v>7157</v>
      </c>
    </row>
    <row r="6794" spans="4:4">
      <c r="D6794" s="941" t="s">
        <v>7158</v>
      </c>
    </row>
    <row r="6795" spans="4:4">
      <c r="D6795" s="941" t="s">
        <v>7159</v>
      </c>
    </row>
    <row r="6796" spans="4:4">
      <c r="D6796" s="941" t="s">
        <v>10334</v>
      </c>
    </row>
    <row r="6797" spans="4:4">
      <c r="D6797" s="941" t="s">
        <v>7160</v>
      </c>
    </row>
    <row r="6798" spans="4:4">
      <c r="D6798" s="941" t="s">
        <v>7161</v>
      </c>
    </row>
    <row r="6799" spans="4:4">
      <c r="D6799" s="941" t="s">
        <v>9580</v>
      </c>
    </row>
    <row r="6800" spans="4:4">
      <c r="D6800" s="941" t="s">
        <v>7162</v>
      </c>
    </row>
    <row r="6801" spans="4:4">
      <c r="D6801" s="941" t="s">
        <v>7163</v>
      </c>
    </row>
    <row r="6802" spans="4:4">
      <c r="D6802" s="941" t="s">
        <v>7164</v>
      </c>
    </row>
    <row r="6803" spans="4:4">
      <c r="D6803" s="941" t="s">
        <v>7165</v>
      </c>
    </row>
    <row r="6804" spans="4:4">
      <c r="D6804" s="941" t="s">
        <v>7166</v>
      </c>
    </row>
    <row r="6805" spans="4:4">
      <c r="D6805" s="941" t="s">
        <v>9581</v>
      </c>
    </row>
    <row r="6806" spans="4:4">
      <c r="D6806" s="941" t="s">
        <v>7167</v>
      </c>
    </row>
    <row r="6807" spans="4:4">
      <c r="D6807" s="941" t="s">
        <v>7168</v>
      </c>
    </row>
    <row r="6808" spans="4:4">
      <c r="D6808" s="941" t="s">
        <v>7169</v>
      </c>
    </row>
    <row r="6809" spans="4:4">
      <c r="D6809" s="941" t="s">
        <v>7170</v>
      </c>
    </row>
    <row r="6810" spans="4:4">
      <c r="D6810" s="941" t="s">
        <v>7171</v>
      </c>
    </row>
    <row r="6811" spans="4:4">
      <c r="D6811" s="941" t="s">
        <v>7172</v>
      </c>
    </row>
    <row r="6812" spans="4:4">
      <c r="D6812" s="941" t="s">
        <v>7173</v>
      </c>
    </row>
    <row r="6813" spans="4:4">
      <c r="D6813" s="941" t="s">
        <v>7174</v>
      </c>
    </row>
    <row r="6814" spans="4:4">
      <c r="D6814" s="941" t="s">
        <v>7175</v>
      </c>
    </row>
    <row r="6815" spans="4:4">
      <c r="D6815" s="941" t="s">
        <v>7176</v>
      </c>
    </row>
    <row r="6816" spans="4:4">
      <c r="D6816" s="941" t="s">
        <v>7998</v>
      </c>
    </row>
    <row r="6817" spans="4:4">
      <c r="D6817" s="941" t="s">
        <v>7177</v>
      </c>
    </row>
    <row r="6818" spans="4:4">
      <c r="D6818" s="941" t="s">
        <v>7178</v>
      </c>
    </row>
    <row r="6819" spans="4:4">
      <c r="D6819" s="941" t="s">
        <v>7179</v>
      </c>
    </row>
    <row r="6820" spans="4:4">
      <c r="D6820" s="941" t="s">
        <v>7180</v>
      </c>
    </row>
    <row r="6821" spans="4:4">
      <c r="D6821" s="941" t="s">
        <v>7181</v>
      </c>
    </row>
    <row r="6822" spans="4:4">
      <c r="D6822" s="941" t="s">
        <v>7182</v>
      </c>
    </row>
    <row r="6823" spans="4:4">
      <c r="D6823" s="941" t="s">
        <v>7183</v>
      </c>
    </row>
    <row r="6824" spans="4:4">
      <c r="D6824" s="941" t="s">
        <v>7184</v>
      </c>
    </row>
    <row r="6825" spans="4:4">
      <c r="D6825" s="941" t="s">
        <v>7185</v>
      </c>
    </row>
    <row r="6826" spans="4:4">
      <c r="D6826" s="941" t="s">
        <v>7186</v>
      </c>
    </row>
    <row r="6827" spans="4:4">
      <c r="D6827" s="941" t="s">
        <v>7187</v>
      </c>
    </row>
    <row r="6828" spans="4:4">
      <c r="D6828" s="941" t="s">
        <v>7188</v>
      </c>
    </row>
    <row r="6829" spans="4:4">
      <c r="D6829" s="941" t="s">
        <v>7189</v>
      </c>
    </row>
    <row r="6830" spans="4:4">
      <c r="D6830" s="941" t="s">
        <v>7190</v>
      </c>
    </row>
    <row r="6831" spans="4:4">
      <c r="D6831" s="941" t="s">
        <v>7191</v>
      </c>
    </row>
    <row r="6832" spans="4:4">
      <c r="D6832" s="941" t="s">
        <v>7192</v>
      </c>
    </row>
    <row r="6833" spans="4:4">
      <c r="D6833" s="941" t="s">
        <v>7193</v>
      </c>
    </row>
    <row r="6834" spans="4:4">
      <c r="D6834" s="941" t="s">
        <v>7194</v>
      </c>
    </row>
    <row r="6835" spans="4:4">
      <c r="D6835" s="941" t="s">
        <v>9782</v>
      </c>
    </row>
    <row r="6836" spans="4:4">
      <c r="D6836" s="941" t="s">
        <v>7195</v>
      </c>
    </row>
    <row r="6837" spans="4:4">
      <c r="D6837" s="941" t="s">
        <v>7196</v>
      </c>
    </row>
    <row r="6838" spans="4:4">
      <c r="D6838" s="941" t="s">
        <v>7197</v>
      </c>
    </row>
    <row r="6839" spans="4:4">
      <c r="D6839" s="941" t="s">
        <v>7198</v>
      </c>
    </row>
    <row r="6840" spans="4:4">
      <c r="D6840" s="941" t="s">
        <v>7199</v>
      </c>
    </row>
    <row r="6841" spans="4:4">
      <c r="D6841" s="941" t="s">
        <v>7200</v>
      </c>
    </row>
    <row r="6842" spans="4:4">
      <c r="D6842" s="941" t="s">
        <v>7201</v>
      </c>
    </row>
    <row r="6843" spans="4:4">
      <c r="D6843" s="941" t="s">
        <v>7202</v>
      </c>
    </row>
    <row r="6844" spans="4:4">
      <c r="D6844" s="941" t="s">
        <v>7203</v>
      </c>
    </row>
    <row r="6845" spans="4:4">
      <c r="D6845" s="941" t="s">
        <v>7204</v>
      </c>
    </row>
    <row r="6846" spans="4:4">
      <c r="D6846" s="941" t="s">
        <v>7205</v>
      </c>
    </row>
    <row r="6847" spans="4:4">
      <c r="D6847" s="941" t="s">
        <v>9582</v>
      </c>
    </row>
    <row r="6848" spans="4:4">
      <c r="D6848" s="941" t="s">
        <v>7206</v>
      </c>
    </row>
    <row r="6849" spans="4:4">
      <c r="D6849" s="941" t="s">
        <v>7207</v>
      </c>
    </row>
    <row r="6850" spans="4:4">
      <c r="D6850" s="941" t="s">
        <v>7208</v>
      </c>
    </row>
    <row r="6851" spans="4:4">
      <c r="D6851" s="941" t="s">
        <v>7209</v>
      </c>
    </row>
    <row r="6852" spans="4:4">
      <c r="D6852" s="941" t="s">
        <v>7210</v>
      </c>
    </row>
    <row r="6853" spans="4:4">
      <c r="D6853" s="941" t="s">
        <v>7211</v>
      </c>
    </row>
    <row r="6854" spans="4:4">
      <c r="D6854" s="941" t="s">
        <v>7212</v>
      </c>
    </row>
    <row r="6855" spans="4:4">
      <c r="D6855" s="941" t="s">
        <v>7213</v>
      </c>
    </row>
    <row r="6856" spans="4:4">
      <c r="D6856" s="941" t="s">
        <v>7214</v>
      </c>
    </row>
    <row r="6857" spans="4:4">
      <c r="D6857" s="941" t="s">
        <v>7215</v>
      </c>
    </row>
    <row r="6858" spans="4:4">
      <c r="D6858" s="941" t="s">
        <v>7216</v>
      </c>
    </row>
    <row r="6859" spans="4:4">
      <c r="D6859" s="941" t="s">
        <v>7217</v>
      </c>
    </row>
    <row r="6860" spans="4:4">
      <c r="D6860" s="941" t="s">
        <v>7218</v>
      </c>
    </row>
    <row r="6861" spans="4:4">
      <c r="D6861" s="941" t="s">
        <v>7219</v>
      </c>
    </row>
    <row r="6862" spans="4:4">
      <c r="D6862" s="941" t="s">
        <v>9287</v>
      </c>
    </row>
    <row r="6863" spans="4:4">
      <c r="D6863" s="941" t="s">
        <v>7220</v>
      </c>
    </row>
    <row r="6864" spans="4:4">
      <c r="D6864" s="941" t="s">
        <v>7221</v>
      </c>
    </row>
    <row r="6865" spans="4:4">
      <c r="D6865" s="941" t="s">
        <v>7222</v>
      </c>
    </row>
    <row r="6866" spans="4:4">
      <c r="D6866" s="941" t="s">
        <v>7223</v>
      </c>
    </row>
    <row r="6867" spans="4:4">
      <c r="D6867" s="941" t="s">
        <v>7224</v>
      </c>
    </row>
    <row r="6868" spans="4:4">
      <c r="D6868" s="941" t="s">
        <v>7225</v>
      </c>
    </row>
    <row r="6869" spans="4:4">
      <c r="D6869" s="941" t="s">
        <v>7226</v>
      </c>
    </row>
    <row r="6870" spans="4:4">
      <c r="D6870" s="941" t="s">
        <v>7227</v>
      </c>
    </row>
    <row r="6871" spans="4:4">
      <c r="D6871" s="941" t="s">
        <v>7228</v>
      </c>
    </row>
    <row r="6872" spans="4:4">
      <c r="D6872" s="941" t="s">
        <v>7229</v>
      </c>
    </row>
    <row r="6873" spans="4:4">
      <c r="D6873" s="941" t="s">
        <v>7230</v>
      </c>
    </row>
    <row r="6874" spans="4:4">
      <c r="D6874" s="941" t="s">
        <v>11026</v>
      </c>
    </row>
    <row r="6875" spans="4:4">
      <c r="D6875" s="941" t="s">
        <v>7231</v>
      </c>
    </row>
    <row r="6876" spans="4:4">
      <c r="D6876" s="941" t="s">
        <v>490</v>
      </c>
    </row>
    <row r="6877" spans="4:4">
      <c r="D6877" s="941" t="s">
        <v>7232</v>
      </c>
    </row>
    <row r="6878" spans="4:4">
      <c r="D6878" s="941" t="s">
        <v>7233</v>
      </c>
    </row>
    <row r="6879" spans="4:4">
      <c r="D6879" s="941" t="s">
        <v>7234</v>
      </c>
    </row>
    <row r="6880" spans="4:4">
      <c r="D6880" s="941" t="s">
        <v>7235</v>
      </c>
    </row>
    <row r="6881" spans="4:4">
      <c r="D6881" s="941" t="s">
        <v>7236</v>
      </c>
    </row>
    <row r="6882" spans="4:4">
      <c r="D6882" s="941" t="s">
        <v>7237</v>
      </c>
    </row>
    <row r="6883" spans="4:4">
      <c r="D6883" s="941" t="s">
        <v>7238</v>
      </c>
    </row>
    <row r="6884" spans="4:4">
      <c r="D6884" s="941" t="s">
        <v>10402</v>
      </c>
    </row>
    <row r="6885" spans="4:4">
      <c r="D6885" s="941" t="s">
        <v>7239</v>
      </c>
    </row>
    <row r="6886" spans="4:4">
      <c r="D6886" s="941" t="s">
        <v>9583</v>
      </c>
    </row>
    <row r="6887" spans="4:4">
      <c r="D6887" s="941" t="s">
        <v>7240</v>
      </c>
    </row>
    <row r="6888" spans="4:4">
      <c r="D6888" s="941" t="s">
        <v>7241</v>
      </c>
    </row>
    <row r="6889" spans="4:4">
      <c r="D6889" s="941" t="s">
        <v>7242</v>
      </c>
    </row>
    <row r="6890" spans="4:4">
      <c r="D6890" s="941" t="s">
        <v>7243</v>
      </c>
    </row>
    <row r="6891" spans="4:4">
      <c r="D6891" s="941" t="s">
        <v>7244</v>
      </c>
    </row>
    <row r="6892" spans="4:4">
      <c r="D6892" s="941" t="s">
        <v>7245</v>
      </c>
    </row>
    <row r="6893" spans="4:4">
      <c r="D6893" s="941" t="s">
        <v>7246</v>
      </c>
    </row>
    <row r="6894" spans="4:4">
      <c r="D6894" s="941" t="s">
        <v>10907</v>
      </c>
    </row>
    <row r="6895" spans="4:4">
      <c r="D6895" s="941" t="s">
        <v>7247</v>
      </c>
    </row>
    <row r="6896" spans="4:4">
      <c r="D6896" s="941" t="s">
        <v>7248</v>
      </c>
    </row>
    <row r="6897" spans="4:4">
      <c r="D6897" s="941" t="s">
        <v>7249</v>
      </c>
    </row>
    <row r="6898" spans="4:4">
      <c r="D6898" s="941" t="s">
        <v>7250</v>
      </c>
    </row>
    <row r="6899" spans="4:4">
      <c r="D6899" s="941" t="s">
        <v>7251</v>
      </c>
    </row>
    <row r="6900" spans="4:4">
      <c r="D6900" s="941" t="s">
        <v>7252</v>
      </c>
    </row>
    <row r="6901" spans="4:4">
      <c r="D6901" s="941" t="s">
        <v>7253</v>
      </c>
    </row>
    <row r="6902" spans="4:4">
      <c r="D6902" s="941" t="s">
        <v>7254</v>
      </c>
    </row>
    <row r="6903" spans="4:4">
      <c r="D6903" s="941" t="s">
        <v>7255</v>
      </c>
    </row>
    <row r="6904" spans="4:4">
      <c r="D6904" s="941" t="s">
        <v>7256</v>
      </c>
    </row>
    <row r="6905" spans="4:4">
      <c r="D6905" s="941" t="s">
        <v>7257</v>
      </c>
    </row>
    <row r="6906" spans="4:4">
      <c r="D6906" s="941" t="s">
        <v>7258</v>
      </c>
    </row>
    <row r="6907" spans="4:4">
      <c r="D6907" s="941" t="s">
        <v>7259</v>
      </c>
    </row>
    <row r="6908" spans="4:4">
      <c r="D6908" s="941" t="s">
        <v>7260</v>
      </c>
    </row>
    <row r="6909" spans="4:4">
      <c r="D6909" s="941" t="s">
        <v>7261</v>
      </c>
    </row>
    <row r="6910" spans="4:4">
      <c r="D6910" s="941" t="s">
        <v>7262</v>
      </c>
    </row>
    <row r="6911" spans="4:4">
      <c r="D6911" s="941" t="s">
        <v>10209</v>
      </c>
    </row>
    <row r="6912" spans="4:4">
      <c r="D6912" s="941" t="s">
        <v>7263</v>
      </c>
    </row>
    <row r="6913" spans="4:4">
      <c r="D6913" s="941" t="s">
        <v>7264</v>
      </c>
    </row>
    <row r="6914" spans="4:4">
      <c r="D6914" s="941" t="s">
        <v>7265</v>
      </c>
    </row>
    <row r="6915" spans="4:4">
      <c r="D6915" s="941" t="s">
        <v>7266</v>
      </c>
    </row>
    <row r="6916" spans="4:4">
      <c r="D6916" s="941" t="s">
        <v>7267</v>
      </c>
    </row>
    <row r="6917" spans="4:4">
      <c r="D6917" s="941" t="s">
        <v>7268</v>
      </c>
    </row>
    <row r="6918" spans="4:4">
      <c r="D6918" s="941" t="s">
        <v>7269</v>
      </c>
    </row>
    <row r="6919" spans="4:4">
      <c r="D6919" s="941" t="s">
        <v>7270</v>
      </c>
    </row>
    <row r="6920" spans="4:4">
      <c r="D6920" s="941" t="s">
        <v>10674</v>
      </c>
    </row>
    <row r="6921" spans="4:4">
      <c r="D6921" s="941" t="s">
        <v>7271</v>
      </c>
    </row>
    <row r="6922" spans="4:4">
      <c r="D6922" s="941" t="s">
        <v>10434</v>
      </c>
    </row>
    <row r="6923" spans="4:4">
      <c r="D6923" s="941" t="s">
        <v>7272</v>
      </c>
    </row>
    <row r="6924" spans="4:4">
      <c r="D6924" s="941" t="s">
        <v>7999</v>
      </c>
    </row>
    <row r="6925" spans="4:4">
      <c r="D6925" s="941" t="s">
        <v>7273</v>
      </c>
    </row>
    <row r="6926" spans="4:4">
      <c r="D6926" s="941" t="s">
        <v>7274</v>
      </c>
    </row>
    <row r="6927" spans="4:4">
      <c r="D6927" s="941" t="s">
        <v>7275</v>
      </c>
    </row>
    <row r="6928" spans="4:4">
      <c r="D6928" s="941" t="s">
        <v>7276</v>
      </c>
    </row>
    <row r="6929" spans="4:4">
      <c r="D6929" s="941" t="s">
        <v>7277</v>
      </c>
    </row>
    <row r="6930" spans="4:4">
      <c r="D6930" s="941" t="s">
        <v>7278</v>
      </c>
    </row>
    <row r="6931" spans="4:4">
      <c r="D6931" s="941" t="s">
        <v>464</v>
      </c>
    </row>
    <row r="6932" spans="4:4">
      <c r="D6932" s="941" t="s">
        <v>7279</v>
      </c>
    </row>
    <row r="6933" spans="4:4">
      <c r="D6933" s="941" t="s">
        <v>7280</v>
      </c>
    </row>
    <row r="6934" spans="4:4">
      <c r="D6934" s="941" t="s">
        <v>7281</v>
      </c>
    </row>
    <row r="6935" spans="4:4">
      <c r="D6935" s="941" t="s">
        <v>7282</v>
      </c>
    </row>
    <row r="6936" spans="4:4">
      <c r="D6936" s="941" t="s">
        <v>7283</v>
      </c>
    </row>
    <row r="6937" spans="4:4">
      <c r="D6937" s="941" t="s">
        <v>7284</v>
      </c>
    </row>
    <row r="6938" spans="4:4">
      <c r="D6938" s="941" t="s">
        <v>7285</v>
      </c>
    </row>
    <row r="6939" spans="4:4">
      <c r="D6939" s="941" t="s">
        <v>11105</v>
      </c>
    </row>
    <row r="6940" spans="4:4">
      <c r="D6940" s="941" t="s">
        <v>7286</v>
      </c>
    </row>
    <row r="6941" spans="4:4">
      <c r="D6941" s="941" t="s">
        <v>7287</v>
      </c>
    </row>
    <row r="6942" spans="4:4">
      <c r="D6942" s="941" t="s">
        <v>7288</v>
      </c>
    </row>
    <row r="6943" spans="4:4">
      <c r="D6943" s="941" t="s">
        <v>7289</v>
      </c>
    </row>
    <row r="6944" spans="4:4">
      <c r="D6944" s="941" t="s">
        <v>7290</v>
      </c>
    </row>
    <row r="6945" spans="4:4">
      <c r="D6945" s="941" t="s">
        <v>10435</v>
      </c>
    </row>
    <row r="6946" spans="4:4">
      <c r="D6946" s="941" t="s">
        <v>7291</v>
      </c>
    </row>
    <row r="6947" spans="4:4">
      <c r="D6947" s="941" t="s">
        <v>9584</v>
      </c>
    </row>
    <row r="6948" spans="4:4">
      <c r="D6948" s="941" t="s">
        <v>7292</v>
      </c>
    </row>
    <row r="6949" spans="4:4">
      <c r="D6949" s="941" t="s">
        <v>7293</v>
      </c>
    </row>
    <row r="6950" spans="4:4">
      <c r="D6950" s="941" t="s">
        <v>7294</v>
      </c>
    </row>
    <row r="6951" spans="4:4">
      <c r="D6951" s="941" t="s">
        <v>7295</v>
      </c>
    </row>
    <row r="6952" spans="4:4">
      <c r="D6952" s="941" t="s">
        <v>7296</v>
      </c>
    </row>
    <row r="6953" spans="4:4">
      <c r="D6953" s="941" t="s">
        <v>7297</v>
      </c>
    </row>
    <row r="6954" spans="4:4">
      <c r="D6954" s="941" t="s">
        <v>7298</v>
      </c>
    </row>
    <row r="6955" spans="4:4">
      <c r="D6955" s="941" t="s">
        <v>7299</v>
      </c>
    </row>
    <row r="6956" spans="4:4">
      <c r="D6956" s="941" t="s">
        <v>7300</v>
      </c>
    </row>
    <row r="6957" spans="4:4">
      <c r="D6957" s="941" t="s">
        <v>7301</v>
      </c>
    </row>
    <row r="6958" spans="4:4">
      <c r="D6958" s="941" t="s">
        <v>7302</v>
      </c>
    </row>
    <row r="6959" spans="4:4">
      <c r="D6959" s="941" t="s">
        <v>7303</v>
      </c>
    </row>
    <row r="6960" spans="4:4">
      <c r="D6960" s="941" t="s">
        <v>9783</v>
      </c>
    </row>
    <row r="6961" spans="4:4">
      <c r="D6961" s="941" t="s">
        <v>7304</v>
      </c>
    </row>
    <row r="6962" spans="4:4">
      <c r="D6962" s="941" t="s">
        <v>7305</v>
      </c>
    </row>
    <row r="6963" spans="4:4">
      <c r="D6963" s="941" t="s">
        <v>7306</v>
      </c>
    </row>
    <row r="6964" spans="4:4">
      <c r="D6964" s="941" t="s">
        <v>7307</v>
      </c>
    </row>
    <row r="6965" spans="4:4">
      <c r="D6965" s="941" t="s">
        <v>7308</v>
      </c>
    </row>
    <row r="6966" spans="4:4">
      <c r="D6966" s="941" t="s">
        <v>7309</v>
      </c>
    </row>
    <row r="6967" spans="4:4">
      <c r="D6967" s="941" t="s">
        <v>8000</v>
      </c>
    </row>
    <row r="6968" spans="4:4">
      <c r="D6968" s="941" t="s">
        <v>7310</v>
      </c>
    </row>
    <row r="6969" spans="4:4">
      <c r="D6969" s="941" t="s">
        <v>7311</v>
      </c>
    </row>
    <row r="6970" spans="4:4">
      <c r="D6970" s="941" t="s">
        <v>7312</v>
      </c>
    </row>
    <row r="6971" spans="4:4">
      <c r="D6971" s="941" t="s">
        <v>7313</v>
      </c>
    </row>
    <row r="6972" spans="4:4">
      <c r="D6972" s="941" t="s">
        <v>7314</v>
      </c>
    </row>
    <row r="6973" spans="4:4">
      <c r="D6973" s="941" t="s">
        <v>7315</v>
      </c>
    </row>
    <row r="6974" spans="4:4">
      <c r="D6974" s="941" t="s">
        <v>7316</v>
      </c>
    </row>
    <row r="6975" spans="4:4">
      <c r="D6975" s="941" t="s">
        <v>10117</v>
      </c>
    </row>
    <row r="6976" spans="4:4">
      <c r="D6976" s="941" t="s">
        <v>7317</v>
      </c>
    </row>
    <row r="6977" spans="4:4">
      <c r="D6977" s="941" t="s">
        <v>7318</v>
      </c>
    </row>
    <row r="6978" spans="4:4">
      <c r="D6978" s="941" t="s">
        <v>7319</v>
      </c>
    </row>
    <row r="6979" spans="4:4">
      <c r="D6979" s="941" t="s">
        <v>7320</v>
      </c>
    </row>
    <row r="6980" spans="4:4">
      <c r="D6980" s="941" t="s">
        <v>7321</v>
      </c>
    </row>
    <row r="6981" spans="4:4">
      <c r="D6981" s="941" t="s">
        <v>7322</v>
      </c>
    </row>
    <row r="6982" spans="4:4">
      <c r="D6982" s="941" t="s">
        <v>7323</v>
      </c>
    </row>
    <row r="6983" spans="4:4">
      <c r="D6983" s="941" t="s">
        <v>7324</v>
      </c>
    </row>
    <row r="6984" spans="4:4">
      <c r="D6984" s="941" t="s">
        <v>7325</v>
      </c>
    </row>
    <row r="6985" spans="4:4">
      <c r="D6985" s="941" t="s">
        <v>7326</v>
      </c>
    </row>
    <row r="6986" spans="4:4">
      <c r="D6986" s="941" t="s">
        <v>7327</v>
      </c>
    </row>
    <row r="6987" spans="4:4">
      <c r="D6987" s="941" t="s">
        <v>7328</v>
      </c>
    </row>
    <row r="6988" spans="4:4">
      <c r="D6988" s="941" t="s">
        <v>7329</v>
      </c>
    </row>
    <row r="6989" spans="4:4">
      <c r="D6989" s="941" t="s">
        <v>7330</v>
      </c>
    </row>
    <row r="6990" spans="4:4">
      <c r="D6990" s="941" t="s">
        <v>7331</v>
      </c>
    </row>
    <row r="6991" spans="4:4">
      <c r="D6991" s="941" t="s">
        <v>7332</v>
      </c>
    </row>
    <row r="6992" spans="4:4">
      <c r="D6992" s="941" t="s">
        <v>9585</v>
      </c>
    </row>
    <row r="6993" spans="4:4">
      <c r="D6993" s="941" t="s">
        <v>7333</v>
      </c>
    </row>
    <row r="6994" spans="4:4">
      <c r="D6994" s="941" t="s">
        <v>7334</v>
      </c>
    </row>
    <row r="6995" spans="4:4">
      <c r="D6995" s="941" t="s">
        <v>7335</v>
      </c>
    </row>
    <row r="6996" spans="4:4">
      <c r="D6996" s="941" t="s">
        <v>7336</v>
      </c>
    </row>
    <row r="6997" spans="4:4">
      <c r="D6997" s="941" t="s">
        <v>7337</v>
      </c>
    </row>
    <row r="6998" spans="4:4">
      <c r="D6998" s="941" t="s">
        <v>7338</v>
      </c>
    </row>
    <row r="6999" spans="4:4">
      <c r="D6999" s="941" t="s">
        <v>9586</v>
      </c>
    </row>
    <row r="7000" spans="4:4">
      <c r="D7000" s="941" t="s">
        <v>7339</v>
      </c>
    </row>
    <row r="7001" spans="4:4">
      <c r="D7001" s="941" t="s">
        <v>7340</v>
      </c>
    </row>
    <row r="7002" spans="4:4">
      <c r="D7002" s="941" t="s">
        <v>7341</v>
      </c>
    </row>
    <row r="7003" spans="4:4">
      <c r="D7003" s="941" t="s">
        <v>7342</v>
      </c>
    </row>
    <row r="7004" spans="4:4">
      <c r="D7004" s="941" t="s">
        <v>7343</v>
      </c>
    </row>
    <row r="7005" spans="4:4">
      <c r="D7005" s="941" t="s">
        <v>7344</v>
      </c>
    </row>
    <row r="7006" spans="4:4">
      <c r="D7006" s="941" t="s">
        <v>12328</v>
      </c>
    </row>
    <row r="7007" spans="4:4">
      <c r="D7007" s="941" t="s">
        <v>248</v>
      </c>
    </row>
    <row r="7008" spans="4:4">
      <c r="D7008" s="941" t="s">
        <v>7345</v>
      </c>
    </row>
    <row r="7009" spans="4:4">
      <c r="D7009" s="941" t="s">
        <v>7346</v>
      </c>
    </row>
    <row r="7010" spans="4:4">
      <c r="D7010" s="941" t="s">
        <v>7347</v>
      </c>
    </row>
    <row r="7011" spans="4:4">
      <c r="D7011" s="941" t="s">
        <v>10561</v>
      </c>
    </row>
    <row r="7012" spans="4:4">
      <c r="D7012" s="941" t="s">
        <v>7348</v>
      </c>
    </row>
    <row r="7013" spans="4:4">
      <c r="D7013" s="941" t="s">
        <v>7349</v>
      </c>
    </row>
    <row r="7014" spans="4:4">
      <c r="D7014" s="941" t="s">
        <v>7350</v>
      </c>
    </row>
    <row r="7015" spans="4:4">
      <c r="D7015" s="941" t="s">
        <v>7351</v>
      </c>
    </row>
    <row r="7016" spans="4:4">
      <c r="D7016" s="941" t="s">
        <v>7352</v>
      </c>
    </row>
    <row r="7017" spans="4:4">
      <c r="D7017" s="941" t="s">
        <v>7353</v>
      </c>
    </row>
    <row r="7018" spans="4:4">
      <c r="D7018" s="941" t="s">
        <v>7354</v>
      </c>
    </row>
    <row r="7019" spans="4:4">
      <c r="D7019" s="941" t="s">
        <v>7355</v>
      </c>
    </row>
    <row r="7020" spans="4:4">
      <c r="D7020" s="941" t="s">
        <v>7356</v>
      </c>
    </row>
    <row r="7021" spans="4:4">
      <c r="D7021" s="941" t="s">
        <v>7357</v>
      </c>
    </row>
    <row r="7022" spans="4:4">
      <c r="D7022" s="941" t="s">
        <v>7358</v>
      </c>
    </row>
    <row r="7023" spans="4:4">
      <c r="D7023" s="941" t="s">
        <v>7359</v>
      </c>
    </row>
    <row r="7024" spans="4:4">
      <c r="D7024" s="941" t="s">
        <v>7360</v>
      </c>
    </row>
    <row r="7025" spans="4:4">
      <c r="D7025" s="941" t="s">
        <v>7361</v>
      </c>
    </row>
    <row r="7026" spans="4:4">
      <c r="D7026" s="941" t="s">
        <v>7362</v>
      </c>
    </row>
    <row r="7027" spans="4:4">
      <c r="D7027" s="941" t="s">
        <v>7363</v>
      </c>
    </row>
    <row r="7028" spans="4:4">
      <c r="D7028" s="941" t="s">
        <v>7364</v>
      </c>
    </row>
    <row r="7029" spans="4:4">
      <c r="D7029" s="941" t="s">
        <v>394</v>
      </c>
    </row>
    <row r="7030" spans="4:4">
      <c r="D7030" s="941" t="s">
        <v>7365</v>
      </c>
    </row>
    <row r="7031" spans="4:4">
      <c r="D7031" s="941" t="s">
        <v>7366</v>
      </c>
    </row>
    <row r="7032" spans="4:4">
      <c r="D7032" s="941" t="s">
        <v>7367</v>
      </c>
    </row>
    <row r="7033" spans="4:4">
      <c r="D7033" s="941" t="s">
        <v>7368</v>
      </c>
    </row>
    <row r="7034" spans="4:4">
      <c r="D7034" s="941" t="s">
        <v>7369</v>
      </c>
    </row>
    <row r="7035" spans="4:4">
      <c r="D7035" s="941" t="s">
        <v>7370</v>
      </c>
    </row>
    <row r="7036" spans="4:4">
      <c r="D7036" s="941" t="s">
        <v>7371</v>
      </c>
    </row>
    <row r="7037" spans="4:4">
      <c r="D7037" s="941" t="s">
        <v>7372</v>
      </c>
    </row>
    <row r="7038" spans="4:4">
      <c r="D7038" s="941" t="s">
        <v>7373</v>
      </c>
    </row>
    <row r="7039" spans="4:4">
      <c r="D7039" s="941" t="s">
        <v>7374</v>
      </c>
    </row>
    <row r="7040" spans="4:4">
      <c r="D7040" s="941" t="s">
        <v>7375</v>
      </c>
    </row>
    <row r="7041" spans="4:4">
      <c r="D7041" s="941" t="s">
        <v>7376</v>
      </c>
    </row>
    <row r="7042" spans="4:4">
      <c r="D7042" s="941" t="s">
        <v>7377</v>
      </c>
    </row>
    <row r="7043" spans="4:4">
      <c r="D7043" s="941" t="s">
        <v>7378</v>
      </c>
    </row>
    <row r="7044" spans="4:4">
      <c r="D7044" s="941" t="s">
        <v>7379</v>
      </c>
    </row>
    <row r="7045" spans="4:4">
      <c r="D7045" s="941" t="s">
        <v>7380</v>
      </c>
    </row>
    <row r="7046" spans="4:4">
      <c r="D7046" s="941" t="s">
        <v>7381</v>
      </c>
    </row>
    <row r="7047" spans="4:4">
      <c r="D7047" s="941" t="s">
        <v>7382</v>
      </c>
    </row>
    <row r="7048" spans="4:4">
      <c r="D7048" s="941" t="s">
        <v>7383</v>
      </c>
    </row>
    <row r="7049" spans="4:4">
      <c r="D7049" s="941" t="s">
        <v>7384</v>
      </c>
    </row>
    <row r="7050" spans="4:4">
      <c r="D7050" s="941" t="s">
        <v>7385</v>
      </c>
    </row>
    <row r="7051" spans="4:4">
      <c r="D7051" s="941" t="s">
        <v>7386</v>
      </c>
    </row>
    <row r="7052" spans="4:4">
      <c r="D7052" s="941" t="s">
        <v>7387</v>
      </c>
    </row>
    <row r="7053" spans="4:4">
      <c r="D7053" s="941" t="s">
        <v>7388</v>
      </c>
    </row>
    <row r="7054" spans="4:4">
      <c r="D7054" s="941" t="s">
        <v>7389</v>
      </c>
    </row>
    <row r="7055" spans="4:4">
      <c r="D7055" s="941" t="s">
        <v>9587</v>
      </c>
    </row>
    <row r="7056" spans="4:4">
      <c r="D7056" s="941" t="s">
        <v>7390</v>
      </c>
    </row>
    <row r="7057" spans="4:4">
      <c r="D7057" s="941" t="s">
        <v>7391</v>
      </c>
    </row>
    <row r="7058" spans="4:4">
      <c r="D7058" s="941" t="s">
        <v>7392</v>
      </c>
    </row>
    <row r="7059" spans="4:4">
      <c r="D7059" s="941" t="s">
        <v>7393</v>
      </c>
    </row>
    <row r="7060" spans="4:4">
      <c r="D7060" s="941" t="s">
        <v>7394</v>
      </c>
    </row>
    <row r="7061" spans="4:4">
      <c r="D7061" s="941" t="s">
        <v>25</v>
      </c>
    </row>
    <row r="7062" spans="4:4">
      <c r="D7062" s="941" t="s">
        <v>7395</v>
      </c>
    </row>
    <row r="7063" spans="4:4">
      <c r="D7063" s="941" t="s">
        <v>10436</v>
      </c>
    </row>
    <row r="7064" spans="4:4">
      <c r="D7064" s="941" t="s">
        <v>7396</v>
      </c>
    </row>
    <row r="7065" spans="4:4">
      <c r="D7065" s="941" t="s">
        <v>9588</v>
      </c>
    </row>
    <row r="7066" spans="4:4">
      <c r="D7066" s="941" t="s">
        <v>10448</v>
      </c>
    </row>
    <row r="7067" spans="4:4">
      <c r="D7067" s="941" t="s">
        <v>7397</v>
      </c>
    </row>
    <row r="7068" spans="4:4">
      <c r="D7068" s="941" t="s">
        <v>7398</v>
      </c>
    </row>
    <row r="7069" spans="4:4">
      <c r="D7069" s="941" t="s">
        <v>9589</v>
      </c>
    </row>
    <row r="7070" spans="4:4">
      <c r="D7070" s="941" t="s">
        <v>7399</v>
      </c>
    </row>
    <row r="7071" spans="4:4">
      <c r="D7071" s="941" t="s">
        <v>7400</v>
      </c>
    </row>
    <row r="7072" spans="4:4">
      <c r="D7072" s="941" t="s">
        <v>7401</v>
      </c>
    </row>
    <row r="7073" spans="4:4">
      <c r="D7073" s="941" t="s">
        <v>7402</v>
      </c>
    </row>
    <row r="7074" spans="4:4">
      <c r="D7074" s="941" t="s">
        <v>10562</v>
      </c>
    </row>
    <row r="7075" spans="4:4">
      <c r="D7075" s="941" t="s">
        <v>7403</v>
      </c>
    </row>
    <row r="7076" spans="4:4">
      <c r="D7076" s="941" t="s">
        <v>11027</v>
      </c>
    </row>
    <row r="7077" spans="4:4">
      <c r="D7077" s="941" t="s">
        <v>7404</v>
      </c>
    </row>
    <row r="7078" spans="4:4">
      <c r="D7078" s="941" t="s">
        <v>7405</v>
      </c>
    </row>
    <row r="7079" spans="4:4">
      <c r="D7079" s="941" t="s">
        <v>7406</v>
      </c>
    </row>
    <row r="7080" spans="4:4">
      <c r="D7080" s="941" t="s">
        <v>7407</v>
      </c>
    </row>
    <row r="7081" spans="4:4">
      <c r="D7081" s="941" t="s">
        <v>7408</v>
      </c>
    </row>
    <row r="7082" spans="4:4">
      <c r="D7082" s="941" t="s">
        <v>7409</v>
      </c>
    </row>
    <row r="7083" spans="4:4">
      <c r="D7083" s="941" t="s">
        <v>7410</v>
      </c>
    </row>
    <row r="7084" spans="4:4">
      <c r="D7084" s="941" t="s">
        <v>7411</v>
      </c>
    </row>
    <row r="7085" spans="4:4">
      <c r="D7085" s="941" t="s">
        <v>7412</v>
      </c>
    </row>
    <row r="7086" spans="4:4">
      <c r="D7086" s="941" t="s">
        <v>7413</v>
      </c>
    </row>
    <row r="7087" spans="4:4">
      <c r="D7087" s="941" t="s">
        <v>7414</v>
      </c>
    </row>
    <row r="7088" spans="4:4">
      <c r="D7088" s="941" t="s">
        <v>7415</v>
      </c>
    </row>
    <row r="7089" spans="4:4">
      <c r="D7089" s="941" t="s">
        <v>7416</v>
      </c>
    </row>
    <row r="7090" spans="4:4">
      <c r="D7090" s="941" t="s">
        <v>9784</v>
      </c>
    </row>
    <row r="7091" spans="4:4">
      <c r="D7091" s="941" t="s">
        <v>7417</v>
      </c>
    </row>
    <row r="7092" spans="4:4">
      <c r="D7092" s="941" t="s">
        <v>7418</v>
      </c>
    </row>
    <row r="7093" spans="4:4">
      <c r="D7093" s="941" t="s">
        <v>7419</v>
      </c>
    </row>
    <row r="7094" spans="4:4">
      <c r="D7094" s="941" t="s">
        <v>7420</v>
      </c>
    </row>
    <row r="7095" spans="4:4">
      <c r="D7095" s="941" t="s">
        <v>7421</v>
      </c>
    </row>
    <row r="7096" spans="4:4">
      <c r="D7096" s="941" t="s">
        <v>7422</v>
      </c>
    </row>
    <row r="7097" spans="4:4">
      <c r="D7097" s="941" t="s">
        <v>7423</v>
      </c>
    </row>
    <row r="7098" spans="4:4">
      <c r="D7098" s="941" t="s">
        <v>7424</v>
      </c>
    </row>
    <row r="7099" spans="4:4">
      <c r="D7099" s="941" t="s">
        <v>7425</v>
      </c>
    </row>
    <row r="7100" spans="4:4">
      <c r="D7100" s="941" t="s">
        <v>7426</v>
      </c>
    </row>
    <row r="7101" spans="4:4">
      <c r="D7101" s="941" t="s">
        <v>7427</v>
      </c>
    </row>
    <row r="7102" spans="4:4">
      <c r="D7102" s="941" t="s">
        <v>7428</v>
      </c>
    </row>
    <row r="7103" spans="4:4">
      <c r="D7103" s="941" t="s">
        <v>7429</v>
      </c>
    </row>
    <row r="7104" spans="4:4">
      <c r="D7104" s="941" t="s">
        <v>7430</v>
      </c>
    </row>
    <row r="7105" spans="4:4">
      <c r="D7105" s="941" t="s">
        <v>7431</v>
      </c>
    </row>
    <row r="7106" spans="4:4">
      <c r="D7106" s="941" t="s">
        <v>7432</v>
      </c>
    </row>
    <row r="7107" spans="4:4">
      <c r="D7107" s="941" t="s">
        <v>7433</v>
      </c>
    </row>
    <row r="7108" spans="4:4">
      <c r="D7108" s="941" t="s">
        <v>7434</v>
      </c>
    </row>
    <row r="7109" spans="4:4">
      <c r="D7109" s="941" t="s">
        <v>7435</v>
      </c>
    </row>
    <row r="7110" spans="4:4">
      <c r="D7110" s="941" t="s">
        <v>7436</v>
      </c>
    </row>
    <row r="7111" spans="4:4">
      <c r="D7111" s="941" t="s">
        <v>7437</v>
      </c>
    </row>
    <row r="7112" spans="4:4">
      <c r="D7112" s="941" t="s">
        <v>7438</v>
      </c>
    </row>
    <row r="7113" spans="4:4">
      <c r="D7113" s="941" t="s">
        <v>7439</v>
      </c>
    </row>
    <row r="7114" spans="4:4">
      <c r="D7114" s="941" t="s">
        <v>7440</v>
      </c>
    </row>
    <row r="7115" spans="4:4">
      <c r="D7115" s="941" t="s">
        <v>7441</v>
      </c>
    </row>
    <row r="7116" spans="4:4">
      <c r="D7116" s="941" t="s">
        <v>7442</v>
      </c>
    </row>
    <row r="7117" spans="4:4">
      <c r="D7117" s="941" t="s">
        <v>7443</v>
      </c>
    </row>
    <row r="7118" spans="4:4">
      <c r="D7118" s="941" t="s">
        <v>7444</v>
      </c>
    </row>
    <row r="7119" spans="4:4">
      <c r="D7119" s="941" t="s">
        <v>7445</v>
      </c>
    </row>
    <row r="7120" spans="4:4">
      <c r="D7120" s="941" t="s">
        <v>7446</v>
      </c>
    </row>
    <row r="7121" spans="4:4">
      <c r="D7121" s="941" t="s">
        <v>7447</v>
      </c>
    </row>
    <row r="7122" spans="4:4">
      <c r="D7122" s="941" t="s">
        <v>7448</v>
      </c>
    </row>
    <row r="7123" spans="4:4">
      <c r="D7123" s="941" t="s">
        <v>7449</v>
      </c>
    </row>
    <row r="7124" spans="4:4">
      <c r="D7124" s="941" t="s">
        <v>7450</v>
      </c>
    </row>
    <row r="7125" spans="4:4">
      <c r="D7125" s="941" t="s">
        <v>7451</v>
      </c>
    </row>
    <row r="7126" spans="4:4">
      <c r="D7126" s="941" t="s">
        <v>7452</v>
      </c>
    </row>
    <row r="7127" spans="4:4">
      <c r="D7127" s="941" t="s">
        <v>7453</v>
      </c>
    </row>
    <row r="7128" spans="4:4">
      <c r="D7128" s="941" t="s">
        <v>7454</v>
      </c>
    </row>
    <row r="7129" spans="4:4">
      <c r="D7129" s="941" t="s">
        <v>7455</v>
      </c>
    </row>
    <row r="7130" spans="4:4">
      <c r="D7130" s="941" t="s">
        <v>7456</v>
      </c>
    </row>
    <row r="7131" spans="4:4">
      <c r="D7131" s="941" t="s">
        <v>7457</v>
      </c>
    </row>
    <row r="7132" spans="4:4">
      <c r="D7132" s="941" t="s">
        <v>7458</v>
      </c>
    </row>
    <row r="7133" spans="4:4">
      <c r="D7133" s="941" t="s">
        <v>7459</v>
      </c>
    </row>
    <row r="7134" spans="4:4">
      <c r="D7134" s="941" t="s">
        <v>7460</v>
      </c>
    </row>
    <row r="7135" spans="4:4">
      <c r="D7135" s="941" t="s">
        <v>7461</v>
      </c>
    </row>
    <row r="7136" spans="4:4">
      <c r="D7136" s="941" t="s">
        <v>7462</v>
      </c>
    </row>
    <row r="7137" spans="4:4">
      <c r="D7137" s="941" t="s">
        <v>7463</v>
      </c>
    </row>
    <row r="7138" spans="4:4">
      <c r="D7138" s="941" t="s">
        <v>7464</v>
      </c>
    </row>
    <row r="7139" spans="4:4">
      <c r="D7139" s="941" t="s">
        <v>7465</v>
      </c>
    </row>
    <row r="7140" spans="4:4">
      <c r="D7140" s="941" t="s">
        <v>7466</v>
      </c>
    </row>
    <row r="7141" spans="4:4">
      <c r="D7141" s="941" t="s">
        <v>10569</v>
      </c>
    </row>
    <row r="7142" spans="4:4">
      <c r="D7142" s="941" t="s">
        <v>7467</v>
      </c>
    </row>
    <row r="7143" spans="4:4">
      <c r="D7143" s="941" t="s">
        <v>7468</v>
      </c>
    </row>
    <row r="7144" spans="4:4">
      <c r="D7144" s="941" t="s">
        <v>7469</v>
      </c>
    </row>
    <row r="7145" spans="4:4">
      <c r="D7145" s="941" t="s">
        <v>7470</v>
      </c>
    </row>
    <row r="7146" spans="4:4">
      <c r="D7146" s="941" t="s">
        <v>9590</v>
      </c>
    </row>
    <row r="7147" spans="4:4">
      <c r="D7147" s="941" t="s">
        <v>7471</v>
      </c>
    </row>
    <row r="7148" spans="4:4">
      <c r="D7148" s="941" t="s">
        <v>7472</v>
      </c>
    </row>
    <row r="7149" spans="4:4">
      <c r="D7149" s="941" t="s">
        <v>7473</v>
      </c>
    </row>
    <row r="7150" spans="4:4">
      <c r="D7150" s="941" t="s">
        <v>7474</v>
      </c>
    </row>
    <row r="7151" spans="4:4">
      <c r="D7151" s="941" t="s">
        <v>7475</v>
      </c>
    </row>
    <row r="7152" spans="4:4">
      <c r="D7152" s="941" t="s">
        <v>7476</v>
      </c>
    </row>
    <row r="7153" spans="4:4">
      <c r="D7153" s="941" t="s">
        <v>7477</v>
      </c>
    </row>
    <row r="7154" spans="4:4">
      <c r="D7154" s="941" t="s">
        <v>7478</v>
      </c>
    </row>
    <row r="7155" spans="4:4">
      <c r="D7155" s="941" t="s">
        <v>7479</v>
      </c>
    </row>
    <row r="7156" spans="4:4">
      <c r="D7156" s="941" t="s">
        <v>7480</v>
      </c>
    </row>
    <row r="7157" spans="4:4">
      <c r="D7157" s="941" t="s">
        <v>7481</v>
      </c>
    </row>
    <row r="7158" spans="4:4">
      <c r="D7158" s="941" t="s">
        <v>10732</v>
      </c>
    </row>
    <row r="7159" spans="4:4">
      <c r="D7159" s="941" t="s">
        <v>7482</v>
      </c>
    </row>
    <row r="7160" spans="4:4">
      <c r="D7160" s="941" t="s">
        <v>7483</v>
      </c>
    </row>
    <row r="7161" spans="4:4">
      <c r="D7161" s="941" t="s">
        <v>8001</v>
      </c>
    </row>
    <row r="7162" spans="4:4">
      <c r="D7162" s="941" t="s">
        <v>7484</v>
      </c>
    </row>
    <row r="7163" spans="4:4">
      <c r="D7163" s="941" t="s">
        <v>7485</v>
      </c>
    </row>
    <row r="7164" spans="4:4">
      <c r="D7164" s="941" t="s">
        <v>7486</v>
      </c>
    </row>
    <row r="7165" spans="4:4">
      <c r="D7165" s="941" t="s">
        <v>7487</v>
      </c>
    </row>
    <row r="7166" spans="4:4">
      <c r="D7166" s="941" t="s">
        <v>7488</v>
      </c>
    </row>
    <row r="7167" spans="4:4">
      <c r="D7167" s="941" t="s">
        <v>7489</v>
      </c>
    </row>
    <row r="7168" spans="4:4">
      <c r="D7168" s="941" t="s">
        <v>7490</v>
      </c>
    </row>
    <row r="7169" spans="4:4">
      <c r="D7169" s="941" t="s">
        <v>7491</v>
      </c>
    </row>
    <row r="7170" spans="4:4">
      <c r="D7170" s="941" t="s">
        <v>7492</v>
      </c>
    </row>
    <row r="7171" spans="4:4">
      <c r="D7171" s="941" t="s">
        <v>7493</v>
      </c>
    </row>
    <row r="7172" spans="4:4">
      <c r="D7172" s="941" t="s">
        <v>7494</v>
      </c>
    </row>
    <row r="7173" spans="4:4">
      <c r="D7173" s="941" t="s">
        <v>7495</v>
      </c>
    </row>
    <row r="7174" spans="4:4">
      <c r="D7174" s="941" t="s">
        <v>7496</v>
      </c>
    </row>
    <row r="7175" spans="4:4">
      <c r="D7175" s="941" t="s">
        <v>7497</v>
      </c>
    </row>
    <row r="7176" spans="4:4">
      <c r="D7176" s="941" t="s">
        <v>8002</v>
      </c>
    </row>
    <row r="7177" spans="4:4">
      <c r="D7177" s="941" t="s">
        <v>216</v>
      </c>
    </row>
    <row r="7178" spans="4:4">
      <c r="D7178" s="941" t="s">
        <v>7498</v>
      </c>
    </row>
    <row r="7179" spans="4:4">
      <c r="D7179" s="941" t="s">
        <v>7499</v>
      </c>
    </row>
    <row r="7180" spans="4:4">
      <c r="D7180" s="941" t="s">
        <v>7500</v>
      </c>
    </row>
    <row r="7181" spans="4:4">
      <c r="D7181" s="941" t="s">
        <v>7501</v>
      </c>
    </row>
    <row r="7182" spans="4:4">
      <c r="D7182" s="941" t="s">
        <v>7502</v>
      </c>
    </row>
    <row r="7183" spans="4:4">
      <c r="D7183" s="941" t="s">
        <v>7503</v>
      </c>
    </row>
    <row r="7184" spans="4:4">
      <c r="D7184" s="941" t="s">
        <v>7504</v>
      </c>
    </row>
    <row r="7185" spans="4:4">
      <c r="D7185" s="941" t="s">
        <v>9591</v>
      </c>
    </row>
    <row r="7186" spans="4:4">
      <c r="D7186" s="941" t="s">
        <v>7505</v>
      </c>
    </row>
    <row r="7187" spans="4:4">
      <c r="D7187" s="941" t="s">
        <v>7506</v>
      </c>
    </row>
    <row r="7188" spans="4:4">
      <c r="D7188" s="941" t="s">
        <v>7507</v>
      </c>
    </row>
    <row r="7189" spans="4:4">
      <c r="D7189" s="941" t="s">
        <v>7508</v>
      </c>
    </row>
    <row r="7190" spans="4:4">
      <c r="D7190" s="941" t="s">
        <v>7509</v>
      </c>
    </row>
    <row r="7191" spans="4:4">
      <c r="D7191" s="941" t="s">
        <v>7510</v>
      </c>
    </row>
    <row r="7192" spans="4:4">
      <c r="D7192" s="941" t="s">
        <v>7511</v>
      </c>
    </row>
    <row r="7193" spans="4:4">
      <c r="D7193" s="941" t="s">
        <v>7512</v>
      </c>
    </row>
    <row r="7194" spans="4:4">
      <c r="D7194" s="941" t="s">
        <v>7513</v>
      </c>
    </row>
    <row r="7195" spans="4:4">
      <c r="D7195" s="941" t="s">
        <v>7514</v>
      </c>
    </row>
    <row r="7196" spans="4:4">
      <c r="D7196" s="941" t="s">
        <v>7515</v>
      </c>
    </row>
    <row r="7197" spans="4:4">
      <c r="D7197" s="941" t="s">
        <v>7516</v>
      </c>
    </row>
    <row r="7198" spans="4:4">
      <c r="D7198" s="941" t="s">
        <v>7517</v>
      </c>
    </row>
    <row r="7199" spans="4:4">
      <c r="D7199" s="941" t="s">
        <v>7518</v>
      </c>
    </row>
    <row r="7200" spans="4:4">
      <c r="D7200" s="941" t="s">
        <v>7519</v>
      </c>
    </row>
    <row r="7201" spans="4:4">
      <c r="D7201" s="941" t="s">
        <v>7520</v>
      </c>
    </row>
    <row r="7202" spans="4:4">
      <c r="D7202" s="941" t="s">
        <v>7521</v>
      </c>
    </row>
    <row r="7203" spans="4:4">
      <c r="D7203" s="941" t="s">
        <v>7522</v>
      </c>
    </row>
    <row r="7204" spans="4:4">
      <c r="D7204" s="941" t="s">
        <v>7523</v>
      </c>
    </row>
    <row r="7205" spans="4:4">
      <c r="D7205" s="941" t="s">
        <v>7524</v>
      </c>
    </row>
    <row r="7206" spans="4:4">
      <c r="D7206" s="941" t="s">
        <v>7525</v>
      </c>
    </row>
    <row r="7207" spans="4:4">
      <c r="D7207" s="941" t="s">
        <v>7526</v>
      </c>
    </row>
    <row r="7208" spans="4:4">
      <c r="D7208" s="941" t="s">
        <v>7527</v>
      </c>
    </row>
    <row r="7209" spans="4:4">
      <c r="D7209" s="941" t="s">
        <v>7528</v>
      </c>
    </row>
    <row r="7210" spans="4:4">
      <c r="D7210" s="941" t="s">
        <v>1022</v>
      </c>
    </row>
    <row r="7211" spans="4:4">
      <c r="D7211" s="941" t="s">
        <v>7529</v>
      </c>
    </row>
    <row r="7212" spans="4:4">
      <c r="D7212" s="941" t="s">
        <v>7530</v>
      </c>
    </row>
    <row r="7213" spans="4:4">
      <c r="D7213" s="941" t="s">
        <v>7531</v>
      </c>
    </row>
    <row r="7214" spans="4:4">
      <c r="D7214" s="941" t="s">
        <v>9592</v>
      </c>
    </row>
    <row r="7215" spans="4:4">
      <c r="D7215" s="941" t="s">
        <v>7532</v>
      </c>
    </row>
    <row r="7216" spans="4:4">
      <c r="D7216" s="941" t="s">
        <v>7533</v>
      </c>
    </row>
    <row r="7217" spans="4:4">
      <c r="D7217" s="941" t="s">
        <v>7534</v>
      </c>
    </row>
    <row r="7218" spans="4:4">
      <c r="D7218" s="941" t="s">
        <v>7535</v>
      </c>
    </row>
    <row r="7219" spans="4:4">
      <c r="D7219" s="941" t="s">
        <v>7536</v>
      </c>
    </row>
    <row r="7220" spans="4:4">
      <c r="D7220" s="941" t="s">
        <v>7537</v>
      </c>
    </row>
    <row r="7221" spans="4:4">
      <c r="D7221" s="941" t="s">
        <v>7538</v>
      </c>
    </row>
    <row r="7222" spans="4:4">
      <c r="D7222" s="941" t="s">
        <v>7539</v>
      </c>
    </row>
    <row r="7223" spans="4:4">
      <c r="D7223" s="941" t="s">
        <v>10563</v>
      </c>
    </row>
    <row r="7224" spans="4:4">
      <c r="D7224" s="941" t="s">
        <v>7540</v>
      </c>
    </row>
    <row r="7225" spans="4:4">
      <c r="D7225" s="941" t="s">
        <v>7541</v>
      </c>
    </row>
    <row r="7226" spans="4:4">
      <c r="D7226" s="941" t="s">
        <v>7542</v>
      </c>
    </row>
    <row r="7227" spans="4:4">
      <c r="D7227" s="941" t="s">
        <v>7543</v>
      </c>
    </row>
    <row r="7228" spans="4:4">
      <c r="D7228" s="941" t="s">
        <v>7544</v>
      </c>
    </row>
    <row r="7229" spans="4:4">
      <c r="D7229" s="941" t="s">
        <v>7545</v>
      </c>
    </row>
    <row r="7230" spans="4:4">
      <c r="D7230" s="941" t="s">
        <v>7546</v>
      </c>
    </row>
    <row r="7231" spans="4:4">
      <c r="D7231" s="941" t="s">
        <v>7547</v>
      </c>
    </row>
    <row r="7232" spans="4:4">
      <c r="D7232" s="941" t="s">
        <v>7548</v>
      </c>
    </row>
    <row r="7233" spans="4:4">
      <c r="D7233" s="941" t="s">
        <v>7549</v>
      </c>
    </row>
    <row r="7234" spans="4:4">
      <c r="D7234" s="941" t="s">
        <v>7550</v>
      </c>
    </row>
    <row r="7235" spans="4:4">
      <c r="D7235" s="941" t="s">
        <v>7551</v>
      </c>
    </row>
    <row r="7236" spans="4:4">
      <c r="D7236" s="941" t="s">
        <v>7552</v>
      </c>
    </row>
    <row r="7237" spans="4:4">
      <c r="D7237" s="941" t="s">
        <v>7553</v>
      </c>
    </row>
    <row r="7238" spans="4:4">
      <c r="D7238" s="941" t="s">
        <v>7554</v>
      </c>
    </row>
    <row r="7239" spans="4:4">
      <c r="D7239" s="941" t="s">
        <v>7555</v>
      </c>
    </row>
    <row r="7240" spans="4:4">
      <c r="D7240" s="941" t="s">
        <v>7556</v>
      </c>
    </row>
    <row r="7241" spans="4:4">
      <c r="D7241" s="941" t="s">
        <v>7557</v>
      </c>
    </row>
    <row r="7242" spans="4:4">
      <c r="D7242" s="941" t="s">
        <v>9593</v>
      </c>
    </row>
    <row r="7243" spans="4:4">
      <c r="D7243" s="941" t="s">
        <v>7558</v>
      </c>
    </row>
    <row r="7244" spans="4:4">
      <c r="D7244" s="941" t="s">
        <v>7559</v>
      </c>
    </row>
    <row r="7245" spans="4:4">
      <c r="D7245" t="s">
        <v>7560</v>
      </c>
    </row>
    <row r="7246" spans="4:4">
      <c r="D7246" t="s">
        <v>7561</v>
      </c>
    </row>
    <row r="7247" spans="4:4">
      <c r="D7247" t="s">
        <v>7562</v>
      </c>
    </row>
    <row r="7248" spans="4:4">
      <c r="D7248" t="s">
        <v>7563</v>
      </c>
    </row>
    <row r="7249" spans="4:4">
      <c r="D7249" t="s">
        <v>7564</v>
      </c>
    </row>
    <row r="7250" spans="4:4">
      <c r="D7250" t="s">
        <v>7565</v>
      </c>
    </row>
    <row r="7251" spans="4:4">
      <c r="D7251" t="s">
        <v>7566</v>
      </c>
    </row>
    <row r="7252" spans="4:4">
      <c r="D7252" t="s">
        <v>7567</v>
      </c>
    </row>
  </sheetData>
  <sheetProtection formatColumns="0" formatRows="0"/>
  <phoneticPr fontId="3" type="noConversion"/>
  <dataValidations count="2">
    <dataValidation type="list" allowBlank="1" showInputMessage="1" showErrorMessage="1" sqref="AA10" xr:uid="{00000000-0002-0000-1200-000000000000}">
      <formula1>kvlSegments</formula1>
    </dataValidation>
    <dataValidation type="list" allowBlank="1" showInputMessage="1" showErrorMessage="1" sqref="AS27:AS28" xr:uid="{00000000-0002-0000-1200-000001000000}">
      <formula1>"True,False"</formula1>
    </dataValidation>
  </dataValidations>
  <hyperlinks>
    <hyperlink ref="BA5" r:id="rId1" xr:uid="{00000000-0004-0000-1200-000000000000}"/>
    <hyperlink ref="BA4" r:id="rId2" xr:uid="{00000000-0004-0000-1200-000001000000}"/>
    <hyperlink ref="BA7" r:id="rId3" xr:uid="{00000000-0004-0000-1200-000002000000}"/>
  </hyperlinks>
  <pageMargins left="0.75" right="0.75" top="1" bottom="1" header="0.5" footer="0.5"/>
  <pageSetup orientation="portrait" r:id="rId4"/>
  <headerFooter alignWithMargins="0">
    <oddFooter>&amp;CAT&amp;&amp;T Proprietary (Internal Use Only)</oddFooter>
  </headerFooter>
  <legacyDrawing r:id="rId5"/>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wsASEoDProduct0"/>
  <dimension ref="A1:GY29"/>
  <sheetViews>
    <sheetView showGridLines="0" topLeftCell="A2" zoomScaleNormal="100" workbookViewId="0">
      <selection activeCell="A2" sqref="A2"/>
    </sheetView>
  </sheetViews>
  <sheetFormatPr defaultColWidth="9.140625" defaultRowHeight="10.5" customHeight="1"/>
  <cols>
    <col min="1" max="2" width="3.85546875" style="941" customWidth="1"/>
    <col min="3" max="10" width="10.7109375" style="941" customWidth="1"/>
    <col min="11" max="11" width="10.7109375" style="941" hidden="1" customWidth="1"/>
    <col min="12" max="63" width="10.7109375" style="941" customWidth="1"/>
    <col min="64" max="72" width="9.140625" style="941"/>
    <col min="73" max="91" width="9.140625" style="849"/>
    <col min="92" max="107" width="9.140625" style="941"/>
    <col min="108" max="121" width="9.140625" style="849"/>
    <col min="122" max="128" width="9.140625" style="941"/>
    <col min="129" max="129" width="12.42578125" style="941" customWidth="1"/>
    <col min="130" max="16384" width="9.140625" style="941"/>
  </cols>
  <sheetData>
    <row r="1" spans="1:207" ht="33.75" hidden="1">
      <c r="A1" s="1065">
        <v>1</v>
      </c>
      <c r="B1" s="42" t="s">
        <v>442</v>
      </c>
      <c r="C1" s="675" t="s">
        <v>10183</v>
      </c>
      <c r="D1" s="1047"/>
      <c r="E1" s="675" t="s">
        <v>443</v>
      </c>
      <c r="F1" s="676"/>
      <c r="G1" s="45"/>
      <c r="H1" s="675" t="s">
        <v>374</v>
      </c>
      <c r="I1" s="676"/>
      <c r="J1" s="676"/>
      <c r="K1" s="676"/>
      <c r="L1" s="676"/>
      <c r="M1" s="677"/>
      <c r="N1" s="677"/>
      <c r="O1" s="677"/>
      <c r="P1" s="677"/>
      <c r="Q1" s="676"/>
      <c r="R1" s="676"/>
      <c r="T1" s="659" t="s">
        <v>8073</v>
      </c>
      <c r="U1" s="676"/>
      <c r="W1" s="149" t="s">
        <v>8038</v>
      </c>
      <c r="X1" s="676"/>
      <c r="Y1" s="677"/>
      <c r="Z1" s="677"/>
      <c r="AA1" s="677"/>
      <c r="AB1" s="677"/>
      <c r="AC1" s="676"/>
      <c r="AD1" s="676"/>
      <c r="AE1" s="676"/>
      <c r="AF1" s="676"/>
      <c r="AG1" s="676"/>
      <c r="AJ1" s="941" t="s">
        <v>7977</v>
      </c>
      <c r="AK1" s="676"/>
      <c r="AL1" s="676"/>
      <c r="AM1" s="676"/>
      <c r="AO1" s="849" t="s">
        <v>8036</v>
      </c>
      <c r="AP1" s="676" t="str">
        <f ca="1">IF(OFFSET(term1Start,prodNum,0)="","",OFFSET(term1Start,prodNum,0))</f>
        <v/>
      </c>
      <c r="AQ1" s="676" t="str">
        <f ca="1">IF(OFFSET(term1Start,prodNum,1)="","",OFFSET(term1Start,prodNum,1))</f>
        <v/>
      </c>
      <c r="AR1" s="676" t="str">
        <f ca="1">IF(OFFSET(term1Start,prodNum,2)="","",OFFSET(term1Start,prodNum,2))</f>
        <v/>
      </c>
      <c r="AT1" s="849" t="s">
        <v>8037</v>
      </c>
      <c r="AU1" s="676">
        <f ca="1">IF(AP1="",0,INDEX(stdTermOffsets,MATCH(AP1,StdTerms,1)))</f>
        <v>0</v>
      </c>
      <c r="AV1" s="676">
        <f ca="1">IF(AQ1="",0,INDEX(stdTermOffsets,MATCH(AQ1,StdTerms,1)))</f>
        <v>0</v>
      </c>
      <c r="AW1" s="676">
        <f ca="1">IF(AR1="",0,INDEX(stdTermOffsets,MATCH(AR1,StdTerms,1)))</f>
        <v>0</v>
      </c>
      <c r="AY1" s="675" t="s">
        <v>9197</v>
      </c>
      <c r="AZ1" s="676"/>
      <c r="BA1" s="676"/>
      <c r="BB1" s="676"/>
      <c r="BC1" s="676"/>
      <c r="BD1" s="677"/>
      <c r="BE1" s="677"/>
      <c r="BF1" s="677"/>
      <c r="BG1" s="677"/>
      <c r="BH1" s="676"/>
      <c r="BI1" s="676"/>
      <c r="BK1" s="1046" t="s">
        <v>9960</v>
      </c>
      <c r="BL1" s="676"/>
      <c r="BM1" s="1047"/>
      <c r="BO1" s="849" t="s">
        <v>10168</v>
      </c>
      <c r="BP1" s="676"/>
      <c r="BR1" s="849" t="s">
        <v>10227</v>
      </c>
      <c r="BS1" s="676"/>
      <c r="BU1" s="1046" t="s">
        <v>10255</v>
      </c>
      <c r="BV1" s="676"/>
      <c r="BW1" s="676"/>
      <c r="BX1" s="676"/>
      <c r="BY1" s="676"/>
      <c r="BZ1" s="676"/>
      <c r="CA1" s="676"/>
      <c r="CB1" s="676"/>
      <c r="CC1" s="676"/>
      <c r="CD1" s="676"/>
      <c r="CE1" s="676"/>
      <c r="CG1" s="1046" t="s">
        <v>10304</v>
      </c>
      <c r="CH1" s="676"/>
      <c r="CI1" s="676"/>
      <c r="CJ1" s="676"/>
      <c r="CK1" s="676"/>
      <c r="CL1" s="676"/>
      <c r="CM1" s="676"/>
      <c r="CN1" s="676"/>
      <c r="CO1" s="676"/>
      <c r="CP1" s="676"/>
      <c r="CQ1" s="676"/>
      <c r="CR1" s="849"/>
      <c r="CS1" s="1551" t="s">
        <v>11139</v>
      </c>
      <c r="CT1" s="676" t="b">
        <f ca="1">IFERROR(INDIRECT("'Prod"&amp;prodNum&amp;"-01-ais2'!D4"),"")&lt;&gt;""</f>
        <v>0</v>
      </c>
      <c r="CU1" s="1551" t="s">
        <v>11140</v>
      </c>
      <c r="CV1" s="676" t="b">
        <f ca="1">OR(IFERROR(INDIRECT("'NSS ASE "&amp;prodNum&amp;"'!B14"),"")&lt;&gt;"",TopProdID=577)</f>
        <v>0</v>
      </c>
      <c r="CW1" s="1551" t="s">
        <v>11543</v>
      </c>
      <c r="CX1" s="676"/>
      <c r="CY1" s="1551" t="s">
        <v>11555</v>
      </c>
      <c r="CZ1" s="676"/>
      <c r="DA1" s="1551" t="s">
        <v>11565</v>
      </c>
      <c r="DB1" s="676"/>
      <c r="DC1" s="1551" t="s">
        <v>11648</v>
      </c>
      <c r="DD1" s="1047"/>
      <c r="DE1" s="941"/>
      <c r="DF1" s="941"/>
      <c r="DG1" s="941"/>
      <c r="DH1" s="941"/>
      <c r="DI1" s="941"/>
      <c r="DR1" s="849"/>
      <c r="DS1" s="849"/>
      <c r="DT1" s="849"/>
      <c r="DU1" s="849"/>
      <c r="DV1" s="849"/>
      <c r="DW1" s="849"/>
    </row>
    <row r="2" spans="1:207" ht="15">
      <c r="I2" s="1649" t="s">
        <v>11669</v>
      </c>
      <c r="L2"/>
      <c r="M2"/>
      <c r="O2" s="1623" t="s">
        <v>11651</v>
      </c>
      <c r="P2" s="1623" t="s">
        <v>11652</v>
      </c>
    </row>
    <row r="3" spans="1:207" ht="12.75">
      <c r="L3"/>
      <c r="M3"/>
      <c r="O3" s="1624" t="s">
        <v>11672</v>
      </c>
      <c r="P3" s="1624" t="s">
        <v>11656</v>
      </c>
    </row>
    <row r="4" spans="1:207" ht="12.75">
      <c r="L4"/>
      <c r="M4"/>
      <c r="N4" s="1066"/>
      <c r="O4" s="1625" t="s">
        <v>11673</v>
      </c>
      <c r="P4" s="1625" t="s">
        <v>11657</v>
      </c>
    </row>
    <row r="5" spans="1:207" ht="12.75">
      <c r="L5"/>
      <c r="M5"/>
      <c r="N5" s="1647"/>
      <c r="O5" s="1619"/>
      <c r="P5" s="1620"/>
    </row>
    <row r="6" spans="1:207" ht="12.75" customHeight="1">
      <c r="C6" s="47" t="s">
        <v>11604</v>
      </c>
      <c r="F6" s="1648" t="s">
        <v>11670</v>
      </c>
      <c r="G6" s="330"/>
      <c r="L6"/>
      <c r="M6"/>
      <c r="N6" s="1647"/>
      <c r="O6" s="1619"/>
      <c r="P6" s="1620"/>
      <c r="Q6" s="147"/>
      <c r="R6" s="147"/>
      <c r="S6" s="147"/>
    </row>
    <row r="7" spans="1:207" ht="12.75">
      <c r="C7" s="52" t="s">
        <v>246</v>
      </c>
      <c r="D7" s="42">
        <f ca="1">OFFSET(ProdStart,$A$1,2)</f>
        <v>0</v>
      </c>
      <c r="E7" s="1238"/>
      <c r="L7"/>
      <c r="M7"/>
      <c r="N7" s="1042"/>
      <c r="O7" s="1621"/>
      <c r="P7" s="1622"/>
    </row>
    <row r="8" spans="1:207" ht="10.5" customHeight="1">
      <c r="C8" s="52" t="s">
        <v>441</v>
      </c>
      <c r="D8" s="42">
        <f ca="1">OFFSET(ProdStart,$A$1,3)</f>
        <v>0</v>
      </c>
      <c r="E8" s="849"/>
      <c r="CN8" s="849"/>
      <c r="CO8" s="849"/>
    </row>
    <row r="9" spans="1:207" ht="15.75" customHeight="1">
      <c r="B9" s="1081"/>
      <c r="C9" s="1166"/>
      <c r="P9" s="849" t="str">
        <f ca="1">IF(MIN(FP$11:FQ$11)&lt;0,"Requested Rate too low","")</f>
        <v/>
      </c>
      <c r="V9" s="941" t="str">
        <f ca="1">IF(MIN(FV$11:FW$11)&lt;0,"Requested Rate too low","")</f>
        <v/>
      </c>
      <c r="AB9" s="941" t="str">
        <f ca="1">IF(MIN(GB$11:GC$11)&lt;0,"Requested Rate too low","")</f>
        <v/>
      </c>
      <c r="CN9" s="849"/>
      <c r="CO9" s="849"/>
      <c r="ED9" s="849"/>
    </row>
    <row r="10" spans="1:207" ht="15">
      <c r="B10" s="1081"/>
      <c r="C10" s="330" t="s">
        <v>11658</v>
      </c>
      <c r="N10"/>
      <c r="O10"/>
      <c r="P10" t="str">
        <f ca="1">IF(FU11&lt;0,"Requested Rate Too High","")</f>
        <v/>
      </c>
      <c r="Q10"/>
      <c r="V10" s="941" t="str">
        <f ca="1">IF(GA11&lt;0,"Requested Rate Too High","")</f>
        <v/>
      </c>
      <c r="AB10" s="941" t="str">
        <f ca="1">IF(GG11&lt;0,"Requested Rate Too High","")</f>
        <v/>
      </c>
      <c r="AT10" s="1438"/>
      <c r="AX10" s="1065"/>
      <c r="AY10" s="1065"/>
      <c r="BD10" s="1065"/>
      <c r="BE10" s="1065"/>
      <c r="BJ10" s="1065"/>
      <c r="BK10" s="1065"/>
      <c r="BU10" s="941"/>
      <c r="BV10" s="941"/>
      <c r="BW10" s="941"/>
      <c r="BX10" s="941"/>
      <c r="BY10" s="941"/>
      <c r="BZ10" s="941"/>
      <c r="CA10" s="941"/>
      <c r="CB10" s="941"/>
      <c r="CC10" s="941"/>
      <c r="CD10" s="849" t="s">
        <v>11609</v>
      </c>
      <c r="CE10" s="941"/>
      <c r="CF10" s="941"/>
      <c r="CG10" s="941"/>
      <c r="CH10" s="941"/>
      <c r="CI10" s="941"/>
      <c r="CJ10" s="941"/>
      <c r="CK10" s="941"/>
      <c r="CL10" s="941"/>
      <c r="CM10" s="941"/>
      <c r="DD10" s="941"/>
      <c r="DE10" s="941"/>
      <c r="DF10" s="941"/>
      <c r="DG10" s="941"/>
      <c r="DH10" s="941"/>
      <c r="DI10" s="941"/>
      <c r="DJ10" s="941"/>
      <c r="DK10" s="849" t="s">
        <v>11610</v>
      </c>
      <c r="DL10" s="941"/>
      <c r="DM10" s="941"/>
      <c r="DN10" s="941"/>
      <c r="DO10" s="941"/>
      <c r="DP10" s="941"/>
      <c r="DQ10" s="941"/>
      <c r="ED10" s="849" t="s">
        <v>11608</v>
      </c>
      <c r="EW10" s="849" t="s">
        <v>11607</v>
      </c>
      <c r="FP10" s="1604" t="s">
        <v>11611</v>
      </c>
      <c r="FQ10" s="1604"/>
      <c r="FR10" s="1605"/>
      <c r="FS10" s="1605" t="s">
        <v>11616</v>
      </c>
      <c r="FT10" s="1605"/>
      <c r="FU10" s="1611" t="s">
        <v>10254</v>
      </c>
      <c r="FV10" s="1604" t="s">
        <v>11611</v>
      </c>
      <c r="FW10" s="1604"/>
      <c r="FX10" s="1605"/>
      <c r="FY10" s="1605" t="s">
        <v>11616</v>
      </c>
      <c r="FZ10" s="1605"/>
      <c r="GA10" s="1611" t="s">
        <v>10254</v>
      </c>
      <c r="GB10" s="1604" t="s">
        <v>11611</v>
      </c>
      <c r="GC10" s="1604"/>
      <c r="GD10" s="1605"/>
      <c r="GE10" s="1605" t="s">
        <v>11616</v>
      </c>
      <c r="GF10" s="1605"/>
      <c r="GG10" s="1611" t="s">
        <v>10254</v>
      </c>
      <c r="GH10" s="941" t="b">
        <f t="array" ref="GH10">OR(GH14:GH15)</f>
        <v>0</v>
      </c>
      <c r="GI10" s="941" t="b">
        <f t="array" ref="GI10">OR(GI14:GI15)</f>
        <v>0</v>
      </c>
      <c r="GJ10" s="941" t="b">
        <f t="array" ref="GJ10">OR(GJ14:GJ15)</f>
        <v>0</v>
      </c>
      <c r="GK10" s="941" t="b">
        <f t="array" ref="GK10">OR(GK14:GK15)</f>
        <v>0</v>
      </c>
      <c r="GL10" s="941" t="b">
        <f t="array" ref="GL10">OR(GL14:GL15)</f>
        <v>0</v>
      </c>
      <c r="GM10" s="1660" t="b">
        <f t="array" ref="GM10">OR(GM14:GM15)</f>
        <v>0</v>
      </c>
      <c r="GN10" s="849" t="s">
        <v>11676</v>
      </c>
    </row>
    <row r="11" spans="1:207" ht="14.25" customHeight="1">
      <c r="B11" s="1081"/>
      <c r="C11" s="1439" t="str">
        <f ca="1">IF(LEFT(OFFSET(extSrcStart,prodNum,21),8)="Freemium","FIRST 6 MONTHS FREE","")</f>
        <v/>
      </c>
      <c r="L11" s="331" t="str">
        <f ca="1">IF(N11="","","Scenario 1")</f>
        <v/>
      </c>
      <c r="M11" s="332"/>
      <c r="N11" s="333" t="str">
        <f ca="1">IF(OFFSET('Step 1'!$G$21,$A$1,0)=0,"",OFFSET('Step 1'!$G$21,$A$1,0)&amp;" months term")</f>
        <v/>
      </c>
      <c r="O11" s="332"/>
      <c r="P11" s="88" t="str">
        <f ca="1">IF(L11="","","Std Pricing: "&amp;OFFSET(CB11,0,$AU$1))</f>
        <v/>
      </c>
      <c r="Q11" s="88"/>
      <c r="R11" s="334" t="str">
        <f ca="1">IF(T11="","","Scenario 2")</f>
        <v/>
      </c>
      <c r="S11" s="335"/>
      <c r="T11" s="336" t="str">
        <f ca="1">IF(OFFSET('Step 1'!$G$21,$A$1,1)=0,"",OFFSET('Step 1'!$G$21,$A$1,1)&amp;" months term")</f>
        <v/>
      </c>
      <c r="U11" s="337"/>
      <c r="V11" s="85" t="str">
        <f ca="1">IF(R11="","","Std Pricing: "&amp;OFFSET(CB11,0,$AV$1))</f>
        <v/>
      </c>
      <c r="W11" s="85"/>
      <c r="X11" s="331" t="str">
        <f ca="1">IF(Z11="","","Scenario 3")</f>
        <v/>
      </c>
      <c r="Y11" s="338"/>
      <c r="Z11" s="333" t="str">
        <f ca="1">IF(OFFSET('Step 1'!$G$21,$A$1,2)=0,"",OFFSET('Step 1'!$G$21,$A$1,2)&amp;" months term")</f>
        <v/>
      </c>
      <c r="AA11" s="332"/>
      <c r="AB11" s="88" t="str">
        <f ca="1">IF(X11="","","Std Pricing: "&amp;OFFSET(CB11,0,$AW$1))</f>
        <v/>
      </c>
      <c r="AC11" s="99"/>
      <c r="AD11" s="1081"/>
      <c r="BU11" s="941"/>
      <c r="BV11" s="941"/>
      <c r="BW11" s="941"/>
      <c r="BX11" s="941"/>
      <c r="BY11" s="941"/>
      <c r="BZ11" s="941"/>
      <c r="CA11" s="941"/>
      <c r="CB11" s="941"/>
      <c r="CC11" s="941"/>
      <c r="CD11" s="339" t="s">
        <v>8</v>
      </c>
      <c r="CE11" s="339"/>
      <c r="CF11" s="339" t="s">
        <v>9</v>
      </c>
      <c r="CG11" s="339"/>
      <c r="CH11" s="339" t="s">
        <v>10</v>
      </c>
      <c r="CI11" s="339"/>
      <c r="CJ11" s="339" t="s">
        <v>11</v>
      </c>
      <c r="CK11" s="339"/>
      <c r="CL11" s="339" t="s">
        <v>12</v>
      </c>
      <c r="CM11" s="339"/>
      <c r="CN11" s="339" t="s">
        <v>13</v>
      </c>
      <c r="CO11" s="339"/>
      <c r="CP11" s="339" t="s">
        <v>261</v>
      </c>
      <c r="CQ11" s="340"/>
      <c r="CR11" s="341"/>
      <c r="CS11" s="339" t="s">
        <v>211</v>
      </c>
      <c r="CT11" s="339"/>
      <c r="CU11" s="339" t="s">
        <v>214</v>
      </c>
      <c r="CV11" s="340"/>
      <c r="CW11" s="339" t="s">
        <v>10228</v>
      </c>
      <c r="CX11" s="340"/>
      <c r="CY11" s="340" t="s">
        <v>10598</v>
      </c>
      <c r="CZ11" s="340" t="s">
        <v>10983</v>
      </c>
      <c r="DA11" s="342"/>
      <c r="DB11" s="342"/>
      <c r="DC11" s="342"/>
      <c r="DD11" s="342"/>
      <c r="DE11" s="342"/>
      <c r="DF11" s="342"/>
      <c r="DG11" s="342"/>
      <c r="DH11" s="941"/>
      <c r="DI11" s="941"/>
      <c r="DJ11" s="941"/>
      <c r="DK11" s="339" t="s">
        <v>8</v>
      </c>
      <c r="DL11" s="339"/>
      <c r="DM11" s="339" t="s">
        <v>9</v>
      </c>
      <c r="DN11" s="339"/>
      <c r="DO11" s="339" t="s">
        <v>10</v>
      </c>
      <c r="DP11" s="339"/>
      <c r="DQ11" s="339" t="s">
        <v>11</v>
      </c>
      <c r="DR11" s="339"/>
      <c r="DS11" s="339" t="s">
        <v>12</v>
      </c>
      <c r="DT11" s="339"/>
      <c r="DU11" s="339" t="s">
        <v>13</v>
      </c>
      <c r="DV11" s="339"/>
      <c r="DW11" s="339"/>
      <c r="DX11" s="339"/>
      <c r="DY11" s="339"/>
      <c r="DZ11" s="339" t="s">
        <v>211</v>
      </c>
      <c r="EA11" s="339"/>
      <c r="ED11" s="339" t="s">
        <v>8</v>
      </c>
      <c r="EE11" s="339"/>
      <c r="EF11" s="339" t="s">
        <v>9</v>
      </c>
      <c r="EG11" s="339"/>
      <c r="EH11" s="339" t="s">
        <v>10</v>
      </c>
      <c r="EI11" s="339"/>
      <c r="EJ11" s="339" t="s">
        <v>11</v>
      </c>
      <c r="EK11" s="339"/>
      <c r="EL11" s="339" t="s">
        <v>12</v>
      </c>
      <c r="EM11" s="339"/>
      <c r="EN11" s="339" t="s">
        <v>13</v>
      </c>
      <c r="EO11" s="339"/>
      <c r="EP11" s="339"/>
      <c r="EQ11" s="339"/>
      <c r="ER11" s="339"/>
      <c r="ES11" s="339" t="s">
        <v>211</v>
      </c>
      <c r="ET11" s="339"/>
      <c r="EW11" s="339" t="s">
        <v>8</v>
      </c>
      <c r="EX11" s="339"/>
      <c r="EY11" s="339" t="s">
        <v>9</v>
      </c>
      <c r="EZ11" s="339"/>
      <c r="FA11" s="339" t="s">
        <v>10</v>
      </c>
      <c r="FB11" s="339"/>
      <c r="FC11" s="339" t="s">
        <v>11</v>
      </c>
      <c r="FD11" s="339"/>
      <c r="FE11" s="339" t="s">
        <v>12</v>
      </c>
      <c r="FF11" s="339"/>
      <c r="FG11" s="339" t="s">
        <v>13</v>
      </c>
      <c r="FH11" s="339"/>
      <c r="FI11" s="339"/>
      <c r="FJ11" s="339"/>
      <c r="FK11" s="339"/>
      <c r="FL11" s="339" t="s">
        <v>211</v>
      </c>
      <c r="FM11" s="339"/>
      <c r="FP11" s="1604">
        <f ca="1">MIN(FP14:FP15)</f>
        <v>0</v>
      </c>
      <c r="FQ11" s="1604">
        <f ca="1">MIN(FQ14:FQ15)</f>
        <v>0</v>
      </c>
      <c r="FR11" s="1605"/>
      <c r="FS11" s="1605"/>
      <c r="FT11" s="1605"/>
      <c r="FU11" s="1612">
        <f ca="1">MIN(FU14:FU15)</f>
        <v>0</v>
      </c>
      <c r="FV11" s="1604">
        <f ca="1">MIN(FV14:FV15)</f>
        <v>0</v>
      </c>
      <c r="FW11" s="1604">
        <f ca="1">MIN(FW14:FW15)</f>
        <v>0</v>
      </c>
      <c r="FX11" s="1605"/>
      <c r="FY11" s="1605"/>
      <c r="FZ11" s="1605"/>
      <c r="GA11" s="1612">
        <f ca="1">MIN(GA14:GA15)</f>
        <v>0</v>
      </c>
      <c r="GB11" s="1604">
        <f ca="1">MIN(GB14:GB15)</f>
        <v>0</v>
      </c>
      <c r="GC11" s="1604">
        <f ca="1">MIN(GC14:GC15)</f>
        <v>0</v>
      </c>
      <c r="GD11" s="1605"/>
      <c r="GE11" s="1605"/>
      <c r="GF11" s="1605"/>
      <c r="GG11" s="1612">
        <f ca="1">MIN(GG14:GG15)</f>
        <v>0</v>
      </c>
      <c r="GM11" s="1660"/>
    </row>
    <row r="12" spans="1:207" ht="45" customHeight="1">
      <c r="B12" s="1081"/>
      <c r="C12" s="1444" t="s">
        <v>11605</v>
      </c>
      <c r="D12" s="662" t="s">
        <v>11583</v>
      </c>
      <c r="E12" s="1444" t="s">
        <v>11606</v>
      </c>
      <c r="F12" s="662" t="s">
        <v>11583</v>
      </c>
      <c r="G12" s="662" t="s">
        <v>11584</v>
      </c>
      <c r="H12" s="662" t="s">
        <v>11585</v>
      </c>
      <c r="I12" s="1444" t="s">
        <v>11613</v>
      </c>
      <c r="J12" s="1444" t="s">
        <v>11614</v>
      </c>
      <c r="K12" s="1444" t="s">
        <v>11615</v>
      </c>
      <c r="L12" s="72" t="s">
        <v>11586</v>
      </c>
      <c r="M12" s="51" t="s">
        <v>11587</v>
      </c>
      <c r="N12" s="51" t="s">
        <v>11588</v>
      </c>
      <c r="O12" s="51" t="s">
        <v>11589</v>
      </c>
      <c r="P12" s="51" t="s">
        <v>11590</v>
      </c>
      <c r="Q12" s="66" t="s">
        <v>11591</v>
      </c>
      <c r="R12" s="77" t="s">
        <v>11592</v>
      </c>
      <c r="S12" s="51" t="s">
        <v>11593</v>
      </c>
      <c r="T12" s="51" t="s">
        <v>11594</v>
      </c>
      <c r="U12" s="51" t="s">
        <v>11595</v>
      </c>
      <c r="V12" s="51" t="s">
        <v>11596</v>
      </c>
      <c r="W12" s="66" t="s">
        <v>11597</v>
      </c>
      <c r="X12" s="72" t="s">
        <v>11598</v>
      </c>
      <c r="Y12" s="51" t="s">
        <v>11599</v>
      </c>
      <c r="Z12" s="51" t="s">
        <v>11600</v>
      </c>
      <c r="AA12" s="51" t="s">
        <v>11601</v>
      </c>
      <c r="AB12" s="51" t="s">
        <v>11602</v>
      </c>
      <c r="AC12" s="100" t="s">
        <v>11603</v>
      </c>
      <c r="AD12" s="1081"/>
      <c r="BU12" s="941"/>
      <c r="BV12" s="941"/>
      <c r="BW12" s="941"/>
      <c r="BX12" s="941"/>
      <c r="BY12" s="941"/>
      <c r="BZ12" s="941"/>
      <c r="CA12" s="941"/>
      <c r="CB12" s="941"/>
      <c r="CC12" s="941"/>
      <c r="CD12" s="941"/>
      <c r="CE12" s="941"/>
      <c r="CF12" s="941"/>
      <c r="CG12" s="941"/>
      <c r="CH12" s="941"/>
      <c r="CI12" s="941"/>
      <c r="CJ12" s="941"/>
      <c r="CK12" s="941"/>
      <c r="CL12" s="941"/>
      <c r="CM12" s="941"/>
      <c r="CQ12" s="1081"/>
      <c r="CR12" s="1081"/>
      <c r="CV12" s="1081"/>
      <c r="CX12" s="1081"/>
      <c r="CY12" s="1081"/>
      <c r="CZ12" s="1081"/>
      <c r="DA12" s="1081"/>
      <c r="DB12" s="1081"/>
      <c r="DC12" s="1081"/>
      <c r="DD12" s="1081"/>
      <c r="DE12" s="1081"/>
      <c r="DF12" s="1081"/>
      <c r="DG12" s="1081"/>
      <c r="DH12" s="941"/>
      <c r="DI12" s="941"/>
      <c r="DJ12" s="941"/>
      <c r="DK12" s="941"/>
      <c r="DL12" s="941"/>
      <c r="DM12" s="941"/>
      <c r="DN12" s="941"/>
      <c r="DO12" s="941"/>
      <c r="DP12" s="941"/>
      <c r="DQ12" s="941"/>
      <c r="FP12" s="1605"/>
      <c r="FQ12" s="1606"/>
      <c r="FR12" s="1606"/>
      <c r="FS12" s="1606"/>
      <c r="FT12" s="1606"/>
      <c r="FU12" s="1613"/>
      <c r="FV12" s="1606"/>
      <c r="FW12" s="1606"/>
      <c r="FX12" s="1606"/>
      <c r="FY12" s="1606"/>
      <c r="FZ12" s="1606"/>
      <c r="GA12" s="1613"/>
      <c r="GB12" s="1606"/>
      <c r="GC12" s="1606"/>
      <c r="GD12" s="1606"/>
      <c r="GE12" s="1606"/>
      <c r="GF12" s="1606"/>
      <c r="GG12" s="1614"/>
      <c r="GH12" s="1240" t="s">
        <v>11653</v>
      </c>
      <c r="GI12" s="1239"/>
      <c r="GJ12" s="1240" t="s">
        <v>11650</v>
      </c>
      <c r="GK12" s="1239"/>
      <c r="GL12" s="1240" t="s">
        <v>11654</v>
      </c>
      <c r="GM12" s="1614"/>
      <c r="GN12" s="1239"/>
      <c r="GO12" s="1239"/>
      <c r="GP12" s="1239"/>
      <c r="GQ12" s="1239"/>
      <c r="GR12" s="1239"/>
      <c r="GS12" s="1239"/>
      <c r="GT12" s="1239"/>
      <c r="GU12" s="1239"/>
      <c r="GV12" s="1239"/>
      <c r="GW12" s="1239"/>
      <c r="GX12" s="1239"/>
      <c r="GY12" s="1239"/>
    </row>
    <row r="13" spans="1:207" ht="10.5" customHeight="1">
      <c r="B13" s="1081"/>
      <c r="C13" s="343"/>
      <c r="D13" s="343"/>
      <c r="E13" s="343"/>
      <c r="F13" s="343"/>
      <c r="G13" s="343"/>
      <c r="H13" s="343"/>
      <c r="I13" s="343"/>
      <c r="J13" s="343"/>
      <c r="K13" s="343"/>
      <c r="L13" s="345"/>
      <c r="M13" s="343"/>
      <c r="N13" s="1596"/>
      <c r="O13" s="1596"/>
      <c r="P13" s="1597"/>
      <c r="Q13" s="1597"/>
      <c r="R13" s="346"/>
      <c r="S13" s="343"/>
      <c r="T13" s="53"/>
      <c r="U13" s="53"/>
      <c r="V13" s="54"/>
      <c r="W13" s="54"/>
      <c r="X13" s="345"/>
      <c r="Y13" s="343"/>
      <c r="Z13" s="1596"/>
      <c r="AA13" s="1596"/>
      <c r="AB13" s="1597"/>
      <c r="AC13" s="1598"/>
      <c r="AD13" s="1081"/>
      <c r="BU13" s="941"/>
      <c r="BV13" s="941"/>
      <c r="BW13" s="941"/>
      <c r="BX13" s="941"/>
      <c r="BY13" s="941"/>
      <c r="BZ13" s="339" t="s">
        <v>631</v>
      </c>
      <c r="CA13" s="339" t="s">
        <v>632</v>
      </c>
      <c r="CB13" s="339" t="s">
        <v>379</v>
      </c>
      <c r="CC13" s="339" t="s">
        <v>575</v>
      </c>
      <c r="CD13" s="339" t="s">
        <v>380</v>
      </c>
      <c r="CE13" s="339" t="s">
        <v>381</v>
      </c>
      <c r="CF13" s="339" t="s">
        <v>382</v>
      </c>
      <c r="CG13" s="339" t="s">
        <v>383</v>
      </c>
      <c r="CH13" s="339" t="s">
        <v>384</v>
      </c>
      <c r="CI13" s="339" t="s">
        <v>385</v>
      </c>
      <c r="CJ13" s="339" t="s">
        <v>386</v>
      </c>
      <c r="CK13" s="339" t="s">
        <v>387</v>
      </c>
      <c r="CL13" s="339" t="s">
        <v>390</v>
      </c>
      <c r="CM13" s="339" t="s">
        <v>391</v>
      </c>
      <c r="CN13" s="339" t="s">
        <v>392</v>
      </c>
      <c r="CO13" s="339" t="s">
        <v>393</v>
      </c>
      <c r="CP13" s="339" t="s">
        <v>197</v>
      </c>
      <c r="CQ13" s="339" t="s">
        <v>262</v>
      </c>
      <c r="CR13" s="339" t="s">
        <v>263</v>
      </c>
      <c r="CS13" s="339" t="s">
        <v>212</v>
      </c>
      <c r="CT13" s="339" t="s">
        <v>213</v>
      </c>
      <c r="CU13" s="339" t="s">
        <v>215</v>
      </c>
      <c r="CV13" s="339" t="s">
        <v>14</v>
      </c>
      <c r="CW13" s="339" t="s">
        <v>8005</v>
      </c>
      <c r="CX13" s="339" t="s">
        <v>10229</v>
      </c>
      <c r="CY13" s="339"/>
      <c r="CZ13" s="339"/>
      <c r="DA13" s="342"/>
      <c r="DB13" s="342"/>
      <c r="DC13" s="342"/>
      <c r="DD13" s="342"/>
      <c r="DE13" s="342"/>
      <c r="DF13" s="342"/>
      <c r="DG13" s="342"/>
      <c r="DH13" s="941"/>
      <c r="DI13" s="339" t="s">
        <v>379</v>
      </c>
      <c r="DJ13" s="339" t="s">
        <v>575</v>
      </c>
      <c r="DK13" s="339" t="s">
        <v>380</v>
      </c>
      <c r="DL13" s="339" t="s">
        <v>381</v>
      </c>
      <c r="DM13" s="339" t="s">
        <v>382</v>
      </c>
      <c r="DN13" s="339" t="s">
        <v>383</v>
      </c>
      <c r="DO13" s="339" t="s">
        <v>384</v>
      </c>
      <c r="DP13" s="339" t="s">
        <v>385</v>
      </c>
      <c r="DQ13" s="339" t="s">
        <v>386</v>
      </c>
      <c r="DR13" s="339" t="s">
        <v>387</v>
      </c>
      <c r="DS13" s="339" t="s">
        <v>390</v>
      </c>
      <c r="DT13" s="339" t="s">
        <v>391</v>
      </c>
      <c r="DU13" s="339" t="s">
        <v>392</v>
      </c>
      <c r="DV13" s="339" t="s">
        <v>393</v>
      </c>
      <c r="DW13" s="339"/>
      <c r="DX13" s="339"/>
      <c r="DY13" s="339"/>
      <c r="DZ13" s="339" t="s">
        <v>212</v>
      </c>
      <c r="EA13" s="339" t="s">
        <v>213</v>
      </c>
      <c r="ED13" s="339" t="s">
        <v>380</v>
      </c>
      <c r="EE13" s="339" t="s">
        <v>381</v>
      </c>
      <c r="EF13" s="339" t="s">
        <v>382</v>
      </c>
      <c r="EG13" s="339" t="s">
        <v>383</v>
      </c>
      <c r="EH13" s="339" t="s">
        <v>384</v>
      </c>
      <c r="EI13" s="339" t="s">
        <v>385</v>
      </c>
      <c r="EJ13" s="339" t="s">
        <v>386</v>
      </c>
      <c r="EK13" s="339" t="s">
        <v>387</v>
      </c>
      <c r="EL13" s="339" t="s">
        <v>390</v>
      </c>
      <c r="EM13" s="339" t="s">
        <v>391</v>
      </c>
      <c r="EN13" s="339" t="s">
        <v>392</v>
      </c>
      <c r="EO13" s="339" t="s">
        <v>393</v>
      </c>
      <c r="EP13" s="339"/>
      <c r="EQ13" s="339"/>
      <c r="ER13" s="339"/>
      <c r="ES13" s="339" t="s">
        <v>212</v>
      </c>
      <c r="ET13" s="339" t="s">
        <v>213</v>
      </c>
      <c r="EW13" s="339" t="s">
        <v>380</v>
      </c>
      <c r="EX13" s="339" t="s">
        <v>381</v>
      </c>
      <c r="EY13" s="339" t="s">
        <v>382</v>
      </c>
      <c r="EZ13" s="339" t="s">
        <v>383</v>
      </c>
      <c r="FA13" s="339" t="s">
        <v>384</v>
      </c>
      <c r="FB13" s="339" t="s">
        <v>385</v>
      </c>
      <c r="FC13" s="339" t="s">
        <v>386</v>
      </c>
      <c r="FD13" s="339" t="s">
        <v>387</v>
      </c>
      <c r="FE13" s="339" t="s">
        <v>390</v>
      </c>
      <c r="FF13" s="339" t="s">
        <v>391</v>
      </c>
      <c r="FG13" s="339" t="s">
        <v>392</v>
      </c>
      <c r="FH13" s="339" t="s">
        <v>393</v>
      </c>
      <c r="FI13" s="339"/>
      <c r="FJ13" s="339"/>
      <c r="FK13" s="339"/>
      <c r="FL13" s="339" t="s">
        <v>212</v>
      </c>
      <c r="FM13" s="339" t="s">
        <v>213</v>
      </c>
      <c r="FP13" s="1607" t="s">
        <v>380</v>
      </c>
      <c r="FQ13" s="1607" t="s">
        <v>381</v>
      </c>
      <c r="FR13" s="1608"/>
      <c r="FS13" s="1608"/>
      <c r="FT13" s="1608"/>
      <c r="FU13" s="1608"/>
      <c r="FV13" s="1607" t="s">
        <v>382</v>
      </c>
      <c r="FW13" s="1607" t="s">
        <v>383</v>
      </c>
      <c r="FX13" s="1608"/>
      <c r="FY13" s="1608"/>
      <c r="FZ13" s="1608"/>
      <c r="GA13" s="1608"/>
      <c r="GB13" s="1607" t="s">
        <v>384</v>
      </c>
      <c r="GC13" s="1607" t="s">
        <v>385</v>
      </c>
      <c r="GD13" s="1607" t="s">
        <v>386</v>
      </c>
      <c r="GE13" s="1607" t="s">
        <v>387</v>
      </c>
      <c r="GF13" s="1607" t="s">
        <v>390</v>
      </c>
      <c r="GG13" s="339" t="s">
        <v>391</v>
      </c>
      <c r="GH13" s="339" t="s">
        <v>20</v>
      </c>
      <c r="GI13" s="339" t="s">
        <v>11655</v>
      </c>
      <c r="GJ13" s="339" t="s">
        <v>20</v>
      </c>
      <c r="GK13" s="339" t="s">
        <v>11655</v>
      </c>
      <c r="GL13" s="339" t="s">
        <v>20</v>
      </c>
      <c r="GM13" s="339" t="s">
        <v>11655</v>
      </c>
      <c r="GN13" s="339"/>
      <c r="GO13" s="339"/>
      <c r="GP13" s="339"/>
      <c r="GQ13" s="339"/>
      <c r="GR13" s="339"/>
      <c r="GS13" s="339"/>
      <c r="GT13" s="339"/>
      <c r="GU13" s="339"/>
      <c r="GV13" s="339"/>
      <c r="GW13" s="339"/>
      <c r="GX13" s="339"/>
      <c r="GY13" s="339"/>
    </row>
    <row r="14" spans="1:207" s="1082" customFormat="1" ht="12.75">
      <c r="C14" s="120"/>
      <c r="D14" s="120"/>
      <c r="E14" s="120"/>
      <c r="F14" s="120"/>
      <c r="G14" s="60"/>
      <c r="H14" s="60"/>
      <c r="I14" s="1591"/>
      <c r="J14" s="1591"/>
      <c r="K14" s="1600"/>
      <c r="L14" s="1590"/>
      <c r="M14" s="1592"/>
      <c r="N14" s="1593"/>
      <c r="O14" s="1593"/>
      <c r="P14" s="1589"/>
      <c r="Q14" s="1589"/>
      <c r="R14" s="1595"/>
      <c r="S14" s="1592"/>
      <c r="T14" s="1593"/>
      <c r="U14" s="1593"/>
      <c r="V14" s="1589"/>
      <c r="W14" s="1594"/>
      <c r="X14" s="1590"/>
      <c r="Y14" s="1592"/>
      <c r="Z14" s="1593"/>
      <c r="AA14" s="1593"/>
      <c r="AB14" s="1589"/>
      <c r="AC14" s="1599"/>
      <c r="AN14" s="1065"/>
      <c r="AO14" s="1065"/>
      <c r="AP14" s="1065"/>
      <c r="AQ14" s="1065"/>
      <c r="AR14" s="1065"/>
      <c r="AS14" s="1065"/>
      <c r="BZ14" s="1601"/>
      <c r="CA14" s="1601"/>
      <c r="CB14" s="1601"/>
      <c r="CC14" s="1601"/>
      <c r="CD14" s="1602"/>
      <c r="CE14" s="1602"/>
      <c r="CF14" s="1602"/>
      <c r="CG14" s="1602"/>
      <c r="CH14" s="1602"/>
      <c r="CI14" s="1602"/>
      <c r="CJ14" s="1602"/>
      <c r="CK14" s="1602"/>
      <c r="CL14" s="1602"/>
      <c r="CM14" s="1602"/>
      <c r="CN14" s="1602"/>
      <c r="CO14" s="1602"/>
      <c r="CP14" s="1603"/>
      <c r="CQ14" s="1603"/>
      <c r="CR14" s="1603"/>
      <c r="CS14" s="1602"/>
      <c r="CT14" s="1602"/>
      <c r="CU14" s="1603"/>
      <c r="CV14" s="1603"/>
      <c r="CW14" s="1603"/>
      <c r="CX14" s="1603"/>
      <c r="CY14" s="1603"/>
      <c r="CZ14" s="1603"/>
      <c r="DA14" s="119"/>
      <c r="DB14" s="119"/>
      <c r="DC14" s="119"/>
      <c r="DD14" s="119"/>
      <c r="DE14" s="119"/>
      <c r="DF14" s="119"/>
      <c r="DG14" s="119"/>
      <c r="DI14" s="1601"/>
      <c r="DJ14" s="1601"/>
      <c r="DK14" s="1602"/>
      <c r="DL14" s="1602"/>
      <c r="DM14" s="1602"/>
      <c r="DN14" s="1602"/>
      <c r="DO14" s="1602"/>
      <c r="DP14" s="1602"/>
      <c r="DQ14" s="1602"/>
      <c r="DR14" s="1602"/>
      <c r="DS14" s="1602"/>
      <c r="DT14" s="1602"/>
      <c r="DU14" s="1602"/>
      <c r="DV14" s="1602"/>
      <c r="DW14" s="1602"/>
      <c r="DX14" s="1602"/>
      <c r="DY14" s="1602"/>
      <c r="DZ14" s="1602"/>
      <c r="EA14" s="1602"/>
      <c r="ED14" s="1602"/>
      <c r="EE14" s="1602"/>
      <c r="EF14" s="1602"/>
      <c r="EG14" s="1602"/>
      <c r="EH14" s="1602"/>
      <c r="EI14" s="1602"/>
      <c r="EJ14" s="1602"/>
      <c r="EK14" s="1602"/>
      <c r="EL14" s="1602"/>
      <c r="EM14" s="1602"/>
      <c r="EN14" s="1602"/>
      <c r="EO14" s="1602"/>
      <c r="EP14" s="1602"/>
      <c r="EQ14" s="1602"/>
      <c r="ER14" s="1602"/>
      <c r="ES14" s="1602"/>
      <c r="ET14" s="1602"/>
      <c r="EU14" s="1065"/>
      <c r="EV14" s="1065"/>
      <c r="EW14" s="1602"/>
      <c r="EX14" s="1602"/>
      <c r="EY14" s="1602"/>
      <c r="EZ14" s="1602"/>
      <c r="FA14" s="1602"/>
      <c r="FB14" s="1602"/>
      <c r="FC14" s="1602"/>
      <c r="FD14" s="1602"/>
      <c r="FE14" s="1602"/>
      <c r="FF14" s="1602"/>
      <c r="FG14" s="1602"/>
      <c r="FH14" s="1602"/>
      <c r="FI14" s="1602"/>
      <c r="FJ14" s="1602"/>
      <c r="FK14" s="1602"/>
      <c r="FL14" s="1602"/>
      <c r="FM14" s="1602"/>
      <c r="FP14" s="1609">
        <f ca="1">IF(P14="",0,P14-IF(I14&lt;&gt;"",MIN(I14,OFFSET($EB14,0,$AU$1)),OFFSET($EB14,0,$AU$1)))</f>
        <v>0</v>
      </c>
      <c r="FQ14" s="1609">
        <f ca="1">IF(Q14="",0,Q14-OFFSET($EC14,0,$AU$1))</f>
        <v>0</v>
      </c>
      <c r="FR14" s="1609"/>
      <c r="FS14" s="1609">
        <f ca="1">IF(P14="",0,IF(I14&lt;&gt;"",MIN(I14,OFFSET($EB14,0,$AU$1)),OFFSET($EB14,0,$AU$1))+OFFSET($DI14,0,$AU$1))</f>
        <v>0</v>
      </c>
      <c r="FT14" s="1609">
        <f ca="1">IF(Q14="",0,OFFSET($EC14,0,$AU$1)+OFFSET($DJ14,0,$AU$1))</f>
        <v>0</v>
      </c>
      <c r="FU14" s="1609">
        <f ca="1">MIN(FS14-P14,FT14-Q14)</f>
        <v>0</v>
      </c>
      <c r="FV14" s="1609">
        <f ca="1">IF(V14="",0,V14-IF(I14&lt;&gt;"",MIN(I14,OFFSET($EB14,0,$AV$1)),OFFSET($EB14,0,$AV$1)))</f>
        <v>0</v>
      </c>
      <c r="FW14" s="1609">
        <f ca="1">IF(W14="",0,W14-OFFSET($EC14,0,$AV$1))</f>
        <v>0</v>
      </c>
      <c r="FX14" s="1609"/>
      <c r="FY14" s="1609">
        <f ca="1">IF(V14="",0,IF(I14&lt;&gt;"",MIN(I14,OFFSET($EB14,0,$AV$1)),OFFSET($EB14,0,$AV$1))+OFFSET($DI14,0,$AV$1))</f>
        <v>0</v>
      </c>
      <c r="FZ14" s="1609">
        <f ca="1">IF(W14="",0,OFFSET($EC14,0,$AV$1)+OFFSET($DJ14,0,$AV$1))</f>
        <v>0</v>
      </c>
      <c r="GA14" s="1609">
        <f ca="1">MIN(FY14-V14,FZ14-W14)</f>
        <v>0</v>
      </c>
      <c r="GB14" s="1609">
        <f ca="1">IF(AB14="",0,AB14-IF(I14&lt;&gt;"",MIN(I14,OFFSET($EB14,0,$AW$1)),OFFSET($EB14,0,$AW$1)))</f>
        <v>0</v>
      </c>
      <c r="GC14" s="1609">
        <f ca="1">IF(AC14="",0,AC14-OFFSET($EC14,0,$AW$1))</f>
        <v>0</v>
      </c>
      <c r="GD14" s="1610"/>
      <c r="GE14" s="1609">
        <f ca="1">IF(AB14="",0,IF(I14&lt;&gt;"",MIN(I14,OFFSET($EB14,0,$AW$1)),OFFSET($EB14,0,$AW$1))+OFFSET($DI14,0,$AW$1))</f>
        <v>0</v>
      </c>
      <c r="GF14" s="1609">
        <f ca="1">IF(AC14="",0,OFFSET($EC14,0,$AV$1)+OFFSET($DJ14,0,$AV$1))</f>
        <v>0</v>
      </c>
      <c r="GG14" s="1609">
        <f ca="1">MIN(GE14-AB14,GF14-AC14)</f>
        <v>0</v>
      </c>
      <c r="GH14" s="1603" t="b">
        <f>AND(G14&gt;0,OR(CU14=1,CU14=2))</f>
        <v>0</v>
      </c>
      <c r="GI14" s="1603" t="b">
        <f>AND(H14&gt;0,OR(CU14=1,CU14=2))</f>
        <v>0</v>
      </c>
      <c r="GJ14" s="1603" t="b">
        <f>AND(G14&gt;0,CU14=4)</f>
        <v>0</v>
      </c>
      <c r="GK14" s="1603" t="b">
        <f>AND(H14&gt;0,CU14=4)</f>
        <v>0</v>
      </c>
      <c r="GL14" s="1603" t="b">
        <f>AND(G14&gt;0,CU14=8)</f>
        <v>0</v>
      </c>
      <c r="GM14" s="1603" t="b">
        <f>AND(H14&gt;0,CU14=8)</f>
        <v>0</v>
      </c>
      <c r="GN14" s="1603" t="b">
        <f>OR(AND(OR(CU14=1,CU14=2),OR($N$5&lt;&gt;"",$O$5&lt;&gt;"")),AND(CU14=4,OR($N$6&lt;&gt;"",$O$6&lt;&gt;"")),AND(CU14=8,OR($N$7&lt;&gt;"",$O$7&lt;&gt;"")))</f>
        <v>0</v>
      </c>
      <c r="GO14" s="1603"/>
      <c r="GP14" s="1603"/>
      <c r="GQ14" s="1603"/>
      <c r="GR14" s="1603"/>
      <c r="GS14" s="1603"/>
      <c r="GT14" s="1603"/>
      <c r="GU14" s="1603"/>
      <c r="GV14" s="1603"/>
      <c r="GW14" s="1603"/>
      <c r="GX14" s="1603"/>
      <c r="GY14" s="1603"/>
    </row>
    <row r="15" spans="1:207" s="1082" customFormat="1" ht="12.75">
      <c r="C15" s="120"/>
      <c r="D15" s="120"/>
      <c r="E15" s="120"/>
      <c r="F15" s="120"/>
      <c r="G15" s="60"/>
      <c r="H15" s="60"/>
      <c r="I15" s="1591"/>
      <c r="J15" s="1591"/>
      <c r="K15" s="1600"/>
      <c r="L15" s="1590"/>
      <c r="M15" s="1592"/>
      <c r="N15" s="1593"/>
      <c r="O15" s="1593"/>
      <c r="P15" s="1589"/>
      <c r="Q15" s="1589"/>
      <c r="R15" s="1595"/>
      <c r="S15" s="1592"/>
      <c r="T15" s="1593"/>
      <c r="U15" s="1593"/>
      <c r="V15" s="1589"/>
      <c r="W15" s="1594"/>
      <c r="X15" s="1590"/>
      <c r="Y15" s="1592"/>
      <c r="Z15" s="1593"/>
      <c r="AA15" s="1593"/>
      <c r="AB15" s="1589"/>
      <c r="AC15" s="1599"/>
      <c r="AP15" s="1065"/>
      <c r="AQ15" s="1065"/>
      <c r="AR15" s="1065"/>
      <c r="AS15" s="1065"/>
      <c r="BZ15" s="347"/>
      <c r="CA15" s="347"/>
      <c r="CB15" s="347"/>
      <c r="CC15" s="347"/>
      <c r="CD15" s="96"/>
      <c r="CE15" s="96"/>
      <c r="CF15" s="96"/>
      <c r="CG15" s="96"/>
      <c r="CH15" s="96"/>
      <c r="CI15" s="96"/>
      <c r="CJ15" s="96"/>
      <c r="CK15" s="96"/>
      <c r="CL15" s="96"/>
      <c r="CM15" s="96"/>
      <c r="CN15" s="96"/>
      <c r="CO15" s="96"/>
      <c r="CP15" s="113"/>
      <c r="CQ15" s="113"/>
      <c r="CR15" s="113"/>
      <c r="CS15" s="96"/>
      <c r="CT15" s="96"/>
      <c r="CU15" s="113"/>
      <c r="CV15" s="113"/>
      <c r="CW15" s="113"/>
      <c r="CX15" s="113"/>
      <c r="CY15" s="113"/>
      <c r="CZ15" s="113"/>
      <c r="DA15" s="119"/>
      <c r="DB15" s="119"/>
      <c r="DC15" s="119"/>
      <c r="DD15" s="119"/>
      <c r="DE15" s="119"/>
      <c r="DF15" s="119"/>
      <c r="DG15" s="119"/>
      <c r="DI15" s="347"/>
      <c r="DJ15" s="347"/>
      <c r="DK15" s="96"/>
      <c r="DL15" s="96"/>
      <c r="DM15" s="96"/>
      <c r="DN15" s="96"/>
      <c r="DO15" s="96"/>
      <c r="DP15" s="96"/>
      <c r="DQ15" s="96"/>
      <c r="DR15" s="96"/>
      <c r="DS15" s="96"/>
      <c r="DT15" s="96"/>
      <c r="DU15" s="96"/>
      <c r="DV15" s="96"/>
      <c r="DW15" s="96"/>
      <c r="DX15" s="96"/>
      <c r="DY15" s="96"/>
      <c r="DZ15" s="96"/>
      <c r="EA15" s="96"/>
      <c r="ED15" s="96"/>
      <c r="EE15" s="96"/>
      <c r="EF15" s="96"/>
      <c r="EG15" s="96"/>
      <c r="EH15" s="96"/>
      <c r="EI15" s="96"/>
      <c r="EJ15" s="96"/>
      <c r="EK15" s="96"/>
      <c r="EL15" s="96"/>
      <c r="EM15" s="96"/>
      <c r="EN15" s="96"/>
      <c r="EO15" s="96"/>
      <c r="EP15" s="96"/>
      <c r="EQ15" s="96"/>
      <c r="ER15" s="96"/>
      <c r="ES15" s="96"/>
      <c r="ET15" s="96"/>
      <c r="EU15" s="1065"/>
      <c r="EV15" s="1065"/>
      <c r="EW15" s="96"/>
      <c r="EX15" s="96"/>
      <c r="EY15" s="96"/>
      <c r="EZ15" s="96"/>
      <c r="FA15" s="96"/>
      <c r="FB15" s="96"/>
      <c r="FC15" s="96"/>
      <c r="FD15" s="96"/>
      <c r="FE15" s="96"/>
      <c r="FF15" s="96"/>
      <c r="FG15" s="96"/>
      <c r="FH15" s="96"/>
      <c r="FI15" s="96"/>
      <c r="FJ15" s="96"/>
      <c r="FK15" s="96"/>
      <c r="FL15" s="96"/>
      <c r="FM15" s="96"/>
      <c r="FP15" s="1609">
        <f ca="1">IF(P15="",0,P15-IF(I15&lt;&gt;"",MIN(I15,OFFSET($EB15,0,$AU$1)),OFFSET($EB15,0,$AU$1)))</f>
        <v>0</v>
      </c>
      <c r="FQ15" s="1609">
        <f ca="1">IF(Q15="",0,Q15-OFFSET($EC15,0,$AU$1))</f>
        <v>0</v>
      </c>
      <c r="FR15" s="1609"/>
      <c r="FS15" s="1609">
        <f ca="1">IF(P15="",0,IF(I15&lt;&gt;"",MIN(I15,OFFSET($EB15,0,$AU$1)),OFFSET($EB15,0,$AU$1))+OFFSET($DI15,0,$AU$1))</f>
        <v>0</v>
      </c>
      <c r="FT15" s="1609">
        <f ca="1">IF(Q15="",0,OFFSET($EC15,0,$AU$1)+OFFSET($DJ15,0,$AU$1))</f>
        <v>0</v>
      </c>
      <c r="FU15" s="1609">
        <f ca="1">MIN(FS15-P15,FT15-Q15)</f>
        <v>0</v>
      </c>
      <c r="FV15" s="1609">
        <f ca="1">IF(V15="",0,V15-IF(I15&lt;&gt;"",MIN(I15,OFFSET($EB15,0,$AV$1)),OFFSET($EB15,0,$AV$1)))</f>
        <v>0</v>
      </c>
      <c r="FW15" s="1609">
        <f ca="1">IF(W15="",0,W15-OFFSET($EC15,0,$AV$1))</f>
        <v>0</v>
      </c>
      <c r="FX15" s="1609"/>
      <c r="FY15" s="1609">
        <f ca="1">IF(V15="",0,IF(I15&lt;&gt;"",MIN(I15,OFFSET($EB15,0,$AV$1)),OFFSET($EB15,0,$AV$1))+OFFSET($DI15,0,$AV$1))</f>
        <v>0</v>
      </c>
      <c r="FZ15" s="1609">
        <f ca="1">IF(W15="",0,OFFSET($EC15,0,$AV$1)+OFFSET($DJ15,0,$AV$1))</f>
        <v>0</v>
      </c>
      <c r="GA15" s="1609">
        <f ca="1">MIN(FY15-V15,FZ15-W15)</f>
        <v>0</v>
      </c>
      <c r="GB15" s="1609">
        <f ca="1">IF(AB15="",0,AB15-IF(I15&lt;&gt;"",MIN(I15,OFFSET($EB15,0,$AW$1)),OFFSET($EB15,0,$AW$1)))</f>
        <v>0</v>
      </c>
      <c r="GC15" s="1609">
        <f ca="1">IF(AC15="",0,AC15-OFFSET($EC15,0,$AW$1))</f>
        <v>0</v>
      </c>
      <c r="GD15" s="1610"/>
      <c r="GE15" s="1609">
        <f ca="1">IF(AB15="",0,IF(I15&lt;&gt;"",MIN(I15,OFFSET($EB15,0,$AW$1)),OFFSET($EB15,0,$AW$1))+OFFSET($DI15,0,$AW$1))</f>
        <v>0</v>
      </c>
      <c r="GF15" s="1609">
        <f ca="1">IF(AC15="",0,OFFSET($EC15,0,$AV$1)+OFFSET($DJ15,0,$AV$1))</f>
        <v>0</v>
      </c>
      <c r="GG15" s="1609">
        <f ca="1">MIN(GE15-AB15,GF15-AC15)</f>
        <v>0</v>
      </c>
      <c r="GH15" s="1603" t="b">
        <f>AND(G15&gt;0,OR(CU15=1,CU15=2))</f>
        <v>0</v>
      </c>
      <c r="GI15" s="1603" t="b">
        <f>AND(H15&gt;0,OR(CU15=1,CU15=2))</f>
        <v>0</v>
      </c>
      <c r="GJ15" s="1603" t="b">
        <f>AND(G15&gt;0,CU15=4)</f>
        <v>0</v>
      </c>
      <c r="GK15" s="1603" t="b">
        <f>AND(H15&gt;0,CU15=4)</f>
        <v>0</v>
      </c>
      <c r="GL15" s="1603" t="b">
        <f>AND(G15&gt;0,CU15=8)</f>
        <v>0</v>
      </c>
      <c r="GM15" s="1603" t="b">
        <f>AND(H15&gt;0,CU15=8)</f>
        <v>0</v>
      </c>
      <c r="GN15" s="1603" t="b">
        <f>OR(AND(OR(CU15=1,CU15=2),OR($N$5&lt;&gt;"",$O$5&lt;&gt;"")),AND(CU15=4,OR($N$6&lt;&gt;"",$O$6&lt;&gt;"")),AND(CU15=8,OR($N$7&lt;&gt;"",$O$7&lt;&gt;"")))</f>
        <v>0</v>
      </c>
      <c r="GO15" s="113"/>
      <c r="GP15" s="113"/>
      <c r="GQ15" s="113"/>
      <c r="GR15" s="113"/>
      <c r="GS15" s="113"/>
      <c r="GT15" s="113"/>
      <c r="GU15" s="113"/>
      <c r="GV15" s="113"/>
      <c r="GW15" s="113"/>
      <c r="GX15" s="113"/>
      <c r="GY15" s="113"/>
    </row>
    <row r="16" spans="1:207" ht="12" customHeight="1">
      <c r="B16" s="1081"/>
      <c r="C16" s="348"/>
      <c r="D16" s="348"/>
      <c r="E16" s="348"/>
      <c r="F16" s="348" t="s">
        <v>253</v>
      </c>
      <c r="G16" s="55">
        <f>SUM(G14:G15)</f>
        <v>0</v>
      </c>
      <c r="H16" s="56">
        <f>SUM(H14:H15)</f>
        <v>0</v>
      </c>
      <c r="I16" s="58">
        <f>SUMPRODUCT(G14:G15,I14:I15)+SUMPRODUCT(H14:H15,I14:I15)</f>
        <v>0</v>
      </c>
      <c r="J16" s="58">
        <f>SUMPRODUCT(G14:G15,J14:J15)+SUMPRODUCT(H14:H15,J14:J15)</f>
        <v>0</v>
      </c>
      <c r="K16" s="58"/>
      <c r="L16" s="76">
        <f t="array" ref="L16">SUM((IF(ISNUMBER(G14:G15),G14:G15,0)+H14:H15)*IF(ISNUMBER(L14:L15),L14:L15,0)*IF(CR14:CR15="",1,CR14:CR15))</f>
        <v>0</v>
      </c>
      <c r="M16" s="58">
        <f t="array" ref="M16">SUM(IF(ISNUMBER(G14:G15),G14:G15,0)*IF(ISNUMBER(M14:M15),M14:M15,0)*IF(CR14:CR15="",1,CR14:CR15))</f>
        <v>0</v>
      </c>
      <c r="N16" s="57">
        <f>IF(L16=0,0,(L16-P16)/L16)</f>
        <v>0</v>
      </c>
      <c r="O16" s="57">
        <f>IF(M16=0,0,(M16-Q16)/M16)</f>
        <v>0</v>
      </c>
      <c r="P16" s="58">
        <f t="array" ref="P16">SUM((IF(ISNUMBER(G14:G15),G14:G15,0)+H14:H15)*IF(ISNUMBER(P14:P15),P14:P15,0)*IF(CR14:CR15="",1,CR14:CR15))</f>
        <v>0</v>
      </c>
      <c r="Q16" s="69">
        <f t="array" ref="Q16">SUM(IF(ISNUMBER(G14:G15),G14:G15,0)*IF(ISNUMBER(Q14:Q15),Q14:Q15,0)*IF(CR14:CR15="",1,CR14:CR15))</f>
        <v>0</v>
      </c>
      <c r="R16" s="81">
        <f t="array" ref="R16">SUM((IF(ISNUMBER(G14:G15),G14:G15,0)+H14:H15)*IF(ISNUMBER(R14:R15),R14:R15,0)*IF(CR14:CR15="",1,CR14:CR15))</f>
        <v>0</v>
      </c>
      <c r="S16" s="58">
        <f t="array" ref="S16">SUM(IF(ISNUMBER(G14:G15),G14:G15,0)*IF(ISNUMBER(S14:S15),S14:S15,0)*IF(CR14:CR15="",1,CR14:CR15))</f>
        <v>0</v>
      </c>
      <c r="T16" s="57">
        <f>IF(R16=0,0,(R16-V16)/R16)</f>
        <v>0</v>
      </c>
      <c r="U16" s="57">
        <f>IF(S16=0,0,(S16-W16)/S16)</f>
        <v>0</v>
      </c>
      <c r="V16" s="58">
        <f t="array" ref="V16">SUM((IF(ISNUMBER(G14:G15),G14:G15,0)+H14:H15)*IF(ISNUMBER(V14:V15),V14:V15,0)*IF(CR14:CR15="",1,CR14:CR15))</f>
        <v>0</v>
      </c>
      <c r="W16" s="69">
        <f t="array" ref="W16">SUM(IF(ISNUMBER(G14:G15),G14:G15,0)*IF(ISNUMBER(W14:W15),W14:W15,0)*IF(CR14:CR15="",1,CR14:CR15))</f>
        <v>0</v>
      </c>
      <c r="X16" s="76">
        <f t="array" ref="X16">SUM((IF(ISNUMBER(G14:G15),G14:G15,0)+H14:H15)*IF(ISNUMBER(X14:X15),X14:X15,0)*IF(CR14:CR15="",1,CR14:CR15))</f>
        <v>0</v>
      </c>
      <c r="Y16" s="58">
        <f t="array" ref="Y16">SUM(IF(ISNUMBER(G14:G15),G14:G15,0)*IF(ISNUMBER(Y14:Y15),Y14:Y15,0)*IF(CR14:CR15="",1,CR14:CR15))</f>
        <v>0</v>
      </c>
      <c r="Z16" s="57">
        <f>IF(X16=0,0,(X16-AB16)/X16)</f>
        <v>0</v>
      </c>
      <c r="AA16" s="57">
        <f>IF(Y16=0,0,(Y16-AC16)/Y16)</f>
        <v>0</v>
      </c>
      <c r="AB16" s="58">
        <f t="array" ref="AB16">SUM((IF(ISNUMBER(G14:G15),G14:G15,0)+H14:H15)*IF(ISNUMBER(AB14:AB15),AB14:AB15,0)*IF(CR14:CR15="",1,CR14:CR15))</f>
        <v>0</v>
      </c>
      <c r="AC16" s="104">
        <f t="array" ref="AC16">SUM(IF(ISNUMBER(G14:G15),G14:G15,0)*IF(ISNUMBER(AC14:AC15),AC14:AC15,0)*IF(CR14:CR15="",1,CR14:CR15))</f>
        <v>0</v>
      </c>
      <c r="AD16" s="1081"/>
      <c r="BU16" s="941"/>
      <c r="BV16" s="941"/>
      <c r="BW16" s="941"/>
      <c r="BX16" s="941"/>
      <c r="BY16" s="941"/>
      <c r="BZ16" s="941"/>
      <c r="CA16" s="941"/>
      <c r="CB16" s="941"/>
      <c r="CC16" s="941"/>
      <c r="CD16" s="941"/>
      <c r="CE16" s="941"/>
      <c r="CF16" s="941"/>
      <c r="CG16" s="941"/>
      <c r="CH16" s="941"/>
      <c r="CI16" s="941"/>
      <c r="CJ16" s="941"/>
      <c r="CK16" s="941"/>
      <c r="CL16" s="941"/>
      <c r="CM16" s="941"/>
      <c r="DD16" s="941"/>
      <c r="DE16" s="941"/>
      <c r="DF16" s="941"/>
      <c r="DG16" s="941"/>
      <c r="DH16" s="941"/>
      <c r="DI16" s="941"/>
      <c r="DJ16" s="941"/>
      <c r="DK16" s="941"/>
      <c r="DL16" s="941"/>
      <c r="DM16" s="941"/>
      <c r="DN16" s="941"/>
      <c r="DO16" s="941"/>
      <c r="DP16" s="941"/>
      <c r="DQ16" s="941"/>
      <c r="FP16" s="1239"/>
      <c r="FQ16" s="1239"/>
      <c r="FR16" s="1239"/>
      <c r="FS16" s="1239"/>
      <c r="FT16" s="1239"/>
      <c r="FU16" s="1239"/>
      <c r="FV16" s="1239"/>
      <c r="FW16" s="1239"/>
      <c r="FX16" s="1239"/>
      <c r="FY16" s="1239"/>
      <c r="FZ16" s="1239"/>
      <c r="GA16" s="1239"/>
      <c r="GB16" s="1239"/>
      <c r="GC16" s="1239"/>
      <c r="GD16" s="1239"/>
      <c r="GE16" s="1239"/>
      <c r="GF16" s="1239"/>
      <c r="GG16" s="1239"/>
      <c r="GH16" s="1239"/>
      <c r="GI16" s="1239"/>
      <c r="GJ16" s="1239"/>
      <c r="GK16" s="1239"/>
      <c r="GL16" s="1239"/>
      <c r="GM16" s="1239"/>
      <c r="GN16" s="1239"/>
      <c r="GO16" s="1239"/>
      <c r="GP16" s="1239"/>
      <c r="GQ16" s="1239"/>
      <c r="GR16" s="1239"/>
      <c r="GS16" s="1239"/>
      <c r="GT16" s="1239"/>
      <c r="GU16" s="1239"/>
      <c r="GV16" s="1239"/>
      <c r="GW16" s="1239"/>
      <c r="GX16" s="1239"/>
      <c r="GY16" s="1239"/>
    </row>
    <row r="17" spans="39:207" ht="10.5" customHeight="1">
      <c r="AM17" s="849"/>
      <c r="AN17" s="849"/>
      <c r="AO17" s="849"/>
      <c r="AP17" s="849"/>
      <c r="AQ17" s="849"/>
      <c r="AR17" s="849"/>
      <c r="AS17" s="849"/>
      <c r="AT17" s="849"/>
      <c r="AU17" s="849"/>
      <c r="AV17" s="849"/>
      <c r="AW17" s="849"/>
      <c r="AX17" s="849"/>
      <c r="AY17" s="849"/>
      <c r="AZ17" s="849"/>
      <c r="BA17" s="849"/>
      <c r="BB17" s="849"/>
      <c r="BC17" s="849"/>
      <c r="BD17" s="849"/>
      <c r="BE17" s="849"/>
      <c r="BU17" s="941"/>
      <c r="CJ17" s="941"/>
      <c r="CK17" s="941"/>
      <c r="CL17" s="941"/>
      <c r="CM17" s="941"/>
      <c r="DD17" s="941"/>
      <c r="DE17" s="941"/>
      <c r="DF17" s="941"/>
      <c r="DG17" s="941"/>
      <c r="DH17" s="941"/>
      <c r="DI17" s="941"/>
      <c r="DJ17" s="941"/>
      <c r="DK17" s="941"/>
      <c r="DL17" s="941"/>
      <c r="DM17" s="941"/>
      <c r="DN17" s="941"/>
      <c r="DO17" s="941"/>
      <c r="DP17" s="941"/>
      <c r="DQ17" s="941"/>
      <c r="ED17" s="849"/>
      <c r="EE17" s="849"/>
      <c r="EF17" s="849"/>
      <c r="EG17" s="849"/>
      <c r="EH17" s="849"/>
      <c r="EI17" s="849"/>
      <c r="ET17" s="849"/>
      <c r="EW17" s="849"/>
      <c r="EX17" s="849"/>
      <c r="EY17" s="849"/>
      <c r="EZ17" s="849"/>
      <c r="FA17" s="849"/>
      <c r="FB17" s="849"/>
      <c r="FP17" s="1239"/>
      <c r="FQ17" s="1239"/>
      <c r="FR17" s="1239"/>
      <c r="FS17" s="1239"/>
      <c r="FT17" s="1239"/>
      <c r="FU17" s="1239"/>
      <c r="FV17" s="1239"/>
      <c r="FW17" s="1239"/>
      <c r="FX17" s="1239"/>
      <c r="FY17" s="1239"/>
      <c r="FZ17" s="1239"/>
      <c r="GA17" s="1239"/>
      <c r="GB17" s="1239"/>
      <c r="GC17" s="1239"/>
      <c r="GD17" s="1239"/>
      <c r="GE17" s="1239"/>
      <c r="GF17" s="1239"/>
      <c r="GG17" s="1239"/>
      <c r="GH17" s="1239"/>
      <c r="GI17" s="1239"/>
      <c r="GJ17" s="1239"/>
      <c r="GK17" s="1239"/>
      <c r="GL17" s="1239"/>
      <c r="GM17" s="1239"/>
      <c r="GN17" s="1239"/>
      <c r="GO17" s="1239"/>
      <c r="GP17" s="1239"/>
      <c r="GQ17" s="1239"/>
      <c r="GR17" s="1239"/>
      <c r="GS17" s="1239"/>
      <c r="GT17" s="1239"/>
      <c r="GU17" s="1239"/>
      <c r="GV17" s="1239"/>
      <c r="GW17" s="1239"/>
      <c r="GX17" s="1239"/>
      <c r="GY17" s="1239"/>
    </row>
    <row r="18" spans="39:207" ht="10.5" customHeight="1">
      <c r="BS18" s="849"/>
      <c r="BT18" s="849"/>
      <c r="CL18" s="941"/>
      <c r="CM18" s="941"/>
      <c r="DB18" s="849"/>
      <c r="DC18" s="849"/>
      <c r="DP18" s="941"/>
      <c r="DQ18" s="941"/>
      <c r="FD18" s="849"/>
      <c r="FE18" s="849"/>
      <c r="FF18" s="849"/>
      <c r="FG18" s="849"/>
      <c r="FH18" s="849"/>
      <c r="FI18" s="849"/>
      <c r="FJ18" s="849"/>
      <c r="FK18" s="849"/>
      <c r="FL18" s="849"/>
      <c r="FM18" s="849"/>
      <c r="GG18" s="849"/>
      <c r="GH18" s="849"/>
      <c r="GI18" s="849"/>
      <c r="GJ18" s="849"/>
      <c r="GK18" s="849"/>
      <c r="GL18" s="849"/>
      <c r="GM18" s="849"/>
      <c r="GN18" s="849"/>
      <c r="GO18" s="849"/>
      <c r="GP18" s="849"/>
    </row>
    <row r="19" spans="39:207" ht="10.5" customHeight="1">
      <c r="FF19" s="849"/>
      <c r="FG19" s="849"/>
      <c r="FH19" s="849"/>
      <c r="FI19" s="849"/>
      <c r="FJ19" s="849"/>
      <c r="FK19" s="849"/>
      <c r="FL19" s="849"/>
      <c r="FM19" s="849"/>
      <c r="FN19" s="849"/>
      <c r="FO19" s="849"/>
      <c r="GI19" s="849"/>
      <c r="GJ19" s="849"/>
      <c r="GK19" s="849"/>
      <c r="GL19" s="849"/>
      <c r="GM19" s="849"/>
      <c r="GN19" s="849"/>
      <c r="GO19" s="849"/>
      <c r="GP19" s="849"/>
      <c r="GQ19" s="849"/>
      <c r="GR19" s="849"/>
    </row>
    <row r="20" spans="39:207" ht="10.5" customHeight="1">
      <c r="FF20" s="849"/>
      <c r="FG20" s="849"/>
      <c r="FH20" s="849"/>
      <c r="FI20" s="849"/>
      <c r="FJ20" s="849"/>
      <c r="FK20" s="849"/>
      <c r="FL20" s="849"/>
      <c r="FM20" s="849"/>
      <c r="FN20" s="849"/>
      <c r="FO20" s="849"/>
      <c r="GI20" s="849"/>
      <c r="GJ20" s="849"/>
      <c r="GK20" s="849"/>
      <c r="GL20" s="849"/>
      <c r="GM20" s="849"/>
      <c r="GN20" s="849"/>
      <c r="GO20" s="849"/>
      <c r="GP20" s="849"/>
      <c r="GQ20" s="849"/>
      <c r="GR20" s="849"/>
    </row>
    <row r="21" spans="39:207" ht="10.5" customHeight="1">
      <c r="FF21" s="849"/>
      <c r="FG21" s="849"/>
      <c r="FH21" s="849"/>
      <c r="FI21" s="849"/>
      <c r="FJ21" s="849"/>
      <c r="FK21" s="849"/>
      <c r="FL21" s="849"/>
      <c r="FM21" s="849"/>
      <c r="FN21" s="849"/>
      <c r="FO21" s="849"/>
      <c r="GI21" s="849"/>
      <c r="GJ21" s="849"/>
      <c r="GK21" s="849"/>
      <c r="GL21" s="849"/>
      <c r="GM21" s="849"/>
      <c r="GN21" s="849"/>
      <c r="GO21" s="849"/>
      <c r="GP21" s="849"/>
      <c r="GQ21" s="849"/>
      <c r="GR21" s="849"/>
    </row>
    <row r="22" spans="39:207" ht="10.5" customHeight="1">
      <c r="FF22" s="849"/>
      <c r="FG22" s="849"/>
      <c r="FH22" s="849"/>
      <c r="FI22" s="849"/>
      <c r="FJ22" s="849"/>
      <c r="FK22" s="849"/>
      <c r="FL22" s="849"/>
      <c r="FM22" s="849"/>
      <c r="FN22" s="849"/>
      <c r="FO22" s="849"/>
      <c r="GI22" s="849"/>
      <c r="GJ22" s="849"/>
      <c r="GK22" s="849"/>
      <c r="GL22" s="849"/>
      <c r="GM22" s="849"/>
      <c r="GN22" s="849"/>
      <c r="GO22" s="849"/>
      <c r="GP22" s="849"/>
      <c r="GQ22" s="849"/>
      <c r="GR22" s="849"/>
    </row>
    <row r="23" spans="39:207" ht="10.5" customHeight="1">
      <c r="FF23" s="849"/>
      <c r="FG23" s="849"/>
      <c r="FH23" s="849"/>
      <c r="FI23" s="849"/>
      <c r="FJ23" s="849"/>
      <c r="FK23" s="849"/>
      <c r="FL23" s="849"/>
      <c r="FM23" s="849"/>
      <c r="FN23" s="849"/>
      <c r="FO23" s="849"/>
      <c r="GI23" s="849"/>
      <c r="GJ23" s="849"/>
      <c r="GK23" s="849"/>
      <c r="GL23" s="849"/>
      <c r="GM23" s="849"/>
      <c r="GN23" s="849"/>
      <c r="GO23" s="849"/>
      <c r="GP23" s="849"/>
      <c r="GQ23" s="849"/>
      <c r="GR23" s="849"/>
    </row>
    <row r="24" spans="39:207" ht="10.5" customHeight="1">
      <c r="BS24" s="849"/>
      <c r="BT24" s="849"/>
      <c r="CL24" s="941"/>
      <c r="CM24" s="941"/>
      <c r="DB24" s="849"/>
      <c r="DC24" s="849"/>
      <c r="DP24" s="941"/>
      <c r="DQ24" s="941"/>
      <c r="FD24" s="849"/>
      <c r="FE24" s="849"/>
      <c r="FF24" s="849"/>
      <c r="FG24" s="849"/>
      <c r="FH24" s="849"/>
      <c r="FI24" s="849"/>
      <c r="FJ24" s="849"/>
      <c r="FK24" s="849"/>
      <c r="FL24" s="849"/>
      <c r="FM24" s="849"/>
      <c r="GG24" s="849"/>
      <c r="GH24" s="849"/>
      <c r="GI24" s="849"/>
      <c r="GJ24" s="849"/>
      <c r="GK24" s="849"/>
      <c r="GL24" s="849"/>
      <c r="GM24" s="849"/>
      <c r="GN24" s="849"/>
      <c r="GO24" s="849"/>
      <c r="GP24" s="849"/>
    </row>
    <row r="25" spans="39:207" ht="10.5" customHeight="1">
      <c r="BT25" s="849"/>
      <c r="CM25" s="941"/>
      <c r="DC25" s="849"/>
      <c r="DQ25" s="941"/>
      <c r="FE25" s="849"/>
      <c r="FF25" s="849"/>
      <c r="FG25" s="849"/>
      <c r="FH25" s="849"/>
      <c r="FI25" s="849"/>
      <c r="FJ25" s="849"/>
      <c r="FK25" s="849"/>
      <c r="FL25" s="849"/>
      <c r="FM25" s="849"/>
      <c r="FN25" s="849"/>
      <c r="GH25" s="849"/>
      <c r="GI25" s="849"/>
      <c r="GJ25" s="849"/>
      <c r="GK25" s="849"/>
      <c r="GL25" s="849"/>
      <c r="GM25" s="849"/>
      <c r="GN25" s="849"/>
      <c r="GO25" s="849"/>
      <c r="GP25" s="849"/>
      <c r="GQ25" s="849"/>
    </row>
    <row r="26" spans="39:207" ht="10.5" customHeight="1">
      <c r="BT26" s="849"/>
      <c r="CM26" s="941"/>
      <c r="DC26" s="849"/>
      <c r="DQ26" s="941"/>
      <c r="FE26" s="849"/>
      <c r="FF26" s="849"/>
      <c r="FG26" s="849"/>
      <c r="FH26" s="849"/>
      <c r="FI26" s="849"/>
      <c r="FJ26" s="849"/>
      <c r="FK26" s="849"/>
      <c r="FL26" s="849"/>
      <c r="FM26" s="849"/>
      <c r="FN26" s="849"/>
      <c r="GH26" s="849"/>
      <c r="GI26" s="849"/>
      <c r="GJ26" s="849"/>
      <c r="GK26" s="849"/>
      <c r="GL26" s="849"/>
      <c r="GM26" s="849"/>
      <c r="GN26" s="849"/>
      <c r="GO26" s="849"/>
      <c r="GP26" s="849"/>
      <c r="GQ26" s="849"/>
    </row>
    <row r="27" spans="39:207" ht="10.5" customHeight="1">
      <c r="FF27" s="849"/>
      <c r="FG27" s="849"/>
      <c r="FH27" s="849"/>
      <c r="FI27" s="849"/>
      <c r="FJ27" s="849"/>
      <c r="FK27" s="849"/>
      <c r="FL27" s="849"/>
      <c r="FM27" s="849"/>
      <c r="FN27" s="849"/>
      <c r="FO27" s="849"/>
      <c r="GI27" s="849"/>
      <c r="GJ27" s="849"/>
      <c r="GK27" s="849"/>
      <c r="GL27" s="849"/>
      <c r="GM27" s="849"/>
      <c r="GN27" s="849"/>
      <c r="GO27" s="849"/>
      <c r="GP27" s="849"/>
      <c r="GQ27" s="849"/>
      <c r="GR27" s="849"/>
    </row>
    <row r="28" spans="39:207" ht="10.5" customHeight="1">
      <c r="FF28" s="849"/>
      <c r="FG28" s="849"/>
      <c r="FH28" s="849"/>
      <c r="FI28" s="849"/>
      <c r="FJ28" s="849"/>
      <c r="FK28" s="849"/>
      <c r="FL28" s="849"/>
      <c r="FM28" s="849"/>
      <c r="FN28" s="849"/>
      <c r="FO28" s="849"/>
      <c r="GI28" s="849"/>
      <c r="GJ28" s="849"/>
      <c r="GK28" s="849"/>
      <c r="GL28" s="849"/>
      <c r="GM28" s="849"/>
      <c r="GN28" s="849"/>
      <c r="GO28" s="849"/>
      <c r="GP28" s="849"/>
      <c r="GQ28" s="849"/>
      <c r="GR28" s="849"/>
    </row>
    <row r="29" spans="39:207" ht="10.5" customHeight="1">
      <c r="FF29" s="849"/>
      <c r="FG29" s="849"/>
      <c r="FH29" s="849"/>
      <c r="FI29" s="849"/>
      <c r="FJ29" s="849"/>
      <c r="FK29" s="849"/>
      <c r="FL29" s="849"/>
      <c r="FM29" s="849"/>
      <c r="FN29" s="849"/>
      <c r="FO29" s="849"/>
      <c r="GI29" s="849"/>
      <c r="GJ29" s="849"/>
      <c r="GK29" s="849"/>
      <c r="GL29" s="849"/>
      <c r="GM29" s="849"/>
      <c r="GN29" s="849"/>
      <c r="GO29" s="849"/>
      <c r="GP29" s="849"/>
      <c r="GQ29" s="849"/>
      <c r="GR29" s="849"/>
    </row>
  </sheetData>
  <sheetProtection formatCells="0" formatColumns="0" formatRows="0" deleteRows="0"/>
  <dataConsolidate/>
  <conditionalFormatting sqref="I16:J16 I14:K15 L11:Q16">
    <cfRule type="expression" dxfId="40" priority="41">
      <formula>$AP$1=""</formula>
    </cfRule>
  </conditionalFormatting>
  <conditionalFormatting sqref="R11:W16">
    <cfRule type="expression" dxfId="39" priority="40">
      <formula>$AQ$1=""</formula>
    </cfRule>
  </conditionalFormatting>
  <conditionalFormatting sqref="X11:AC16">
    <cfRule type="expression" dxfId="38" priority="39">
      <formula>$AR$1=""</formula>
    </cfRule>
  </conditionalFormatting>
  <conditionalFormatting sqref="V14:W15 AB14:AB15 P14:Q15">
    <cfRule type="expression" dxfId="37" priority="38">
      <formula>FP14&lt;0</formula>
    </cfRule>
  </conditionalFormatting>
  <conditionalFormatting sqref="AC14:AC15">
    <cfRule type="expression" priority="33">
      <formula>GC14&lt;0</formula>
    </cfRule>
  </conditionalFormatting>
  <conditionalFormatting sqref="P9:Q9">
    <cfRule type="expression" dxfId="36" priority="32">
      <formula>$P$9&lt;&gt;""</formula>
    </cfRule>
  </conditionalFormatting>
  <conditionalFormatting sqref="V14:W15 AB14:AC15 P14:Q15">
    <cfRule type="expression" dxfId="35" priority="31">
      <formula>P14&gt;FS14</formula>
    </cfRule>
  </conditionalFormatting>
  <conditionalFormatting sqref="P10:Q10">
    <cfRule type="expression" dxfId="34" priority="22">
      <formula>$P$10&lt;&gt;""</formula>
    </cfRule>
  </conditionalFormatting>
  <conditionalFormatting sqref="V9:W9">
    <cfRule type="expression" dxfId="33" priority="21">
      <formula>$V$9&lt;&gt;""</formula>
    </cfRule>
  </conditionalFormatting>
  <conditionalFormatting sqref="AB9:AC9">
    <cfRule type="expression" dxfId="32" priority="20">
      <formula>$AB$9&lt;&gt;""</formula>
    </cfRule>
  </conditionalFormatting>
  <conditionalFormatting sqref="AB10:AC10">
    <cfRule type="expression" dxfId="31" priority="19">
      <formula>$AB$10&lt;&gt;""</formula>
    </cfRule>
  </conditionalFormatting>
  <conditionalFormatting sqref="V10:W10">
    <cfRule type="expression" dxfId="30" priority="18">
      <formula>$V$10&lt;&gt;""</formula>
    </cfRule>
  </conditionalFormatting>
  <conditionalFormatting sqref="I14:J15">
    <cfRule type="expression" dxfId="29" priority="14">
      <formula>$GN14=FALSE</formula>
    </cfRule>
  </conditionalFormatting>
  <conditionalFormatting sqref="O5">
    <cfRule type="expression" dxfId="28" priority="12">
      <formula>AND($O$5&lt;&gt;"",$GI$10=FALSE)</formula>
    </cfRule>
    <cfRule type="expression" dxfId="27" priority="13">
      <formula>AND($O$5&lt;&gt;"",$GI$10=TRUE)</formula>
    </cfRule>
  </conditionalFormatting>
  <conditionalFormatting sqref="O6">
    <cfRule type="expression" dxfId="26" priority="10">
      <formula>AND($O$6&lt;&gt;"",$GK$10=FALSE)</formula>
    </cfRule>
    <cfRule type="expression" dxfId="25" priority="11">
      <formula>AND($O$6&lt;&gt;"",$GK$10=TRUE)</formula>
    </cfRule>
  </conditionalFormatting>
  <conditionalFormatting sqref="O7">
    <cfRule type="expression" dxfId="24" priority="8">
      <formula>AND($O$7&lt;&gt;"",$GM$10=FALSE)</formula>
    </cfRule>
    <cfRule type="expression" dxfId="23" priority="9">
      <formula>AND($O$7&lt;&gt;"",$GM$10=TRUE)</formula>
    </cfRule>
  </conditionalFormatting>
  <conditionalFormatting sqref="P5">
    <cfRule type="expression" dxfId="22" priority="6">
      <formula>AND($P$5&lt;&gt;"",$GH$10=FALSE)</formula>
    </cfRule>
    <cfRule type="expression" dxfId="21" priority="7">
      <formula>AND($P$5&lt;&gt;"",$GH$10=TRUE)</formula>
    </cfRule>
  </conditionalFormatting>
  <conditionalFormatting sqref="P6">
    <cfRule type="expression" dxfId="20" priority="4">
      <formula>AND($P$6&lt;&gt;"",$GJ$10=FALSE)</formula>
    </cfRule>
    <cfRule type="expression" dxfId="19" priority="5">
      <formula>AND($P$6&lt;&gt;"",$GJ$10=TRUE)</formula>
    </cfRule>
  </conditionalFormatting>
  <conditionalFormatting sqref="P7">
    <cfRule type="expression" dxfId="18" priority="2">
      <formula>AND($P$7&lt;&gt;"",$GL$10=FALSE)</formula>
    </cfRule>
    <cfRule type="expression" dxfId="17" priority="3">
      <formula>AND($P$7&lt;&gt;"",$GL$10=TRUE)</formula>
    </cfRule>
  </conditionalFormatting>
  <conditionalFormatting sqref="H14:H15">
    <cfRule type="expression" dxfId="16" priority="1">
      <formula>$DD$1=1</formula>
    </cfRule>
  </conditionalFormatting>
  <dataValidations count="4">
    <dataValidation type="list" allowBlank="1" showInputMessage="1" showErrorMessage="1" sqref="C14:F15" xr:uid="{00000000-0002-0000-1300-000000000000}">
      <formula1>OFFSET(ScratchStart,0,0,MAX(1,Scratch_ValueCount),1)</formula1>
    </dataValidation>
    <dataValidation type="whole" operator="greaterThanOrEqual" allowBlank="1" showErrorMessage="1" errorTitle="ERROR" error="Quantity must be a numeric value" sqref="G14:H15" xr:uid="{00000000-0002-0000-1300-000001000000}">
      <formula1>0</formula1>
    </dataValidation>
    <dataValidation type="decimal" operator="greaterThanOrEqual" allowBlank="1" showInputMessage="1" showErrorMessage="1" errorTitle="ERROR" error="Current MRC must be a numeric value" sqref="I14:J15" xr:uid="{00000000-0002-0000-1300-000002000000}">
      <formula1>0</formula1>
    </dataValidation>
    <dataValidation type="decimal" operator="greaterThanOrEqual" allowBlank="1" showErrorMessage="1" errorTitle="ERROR" error="All Pricing must be numeric" sqref="L13:AC15" xr:uid="{00000000-0002-0000-1300-000003000000}">
      <formula1>0</formula1>
    </dataValidation>
  </dataValidations>
  <pageMargins left="0.75" right="0.75" top="1" bottom="1" header="0.5" footer="0.5"/>
  <pageSetup orientation="portrait" verticalDpi="300" r:id="rId1"/>
  <headerFooter alignWithMargins="0">
    <oddFooter>&amp;CAT&amp;&amp;T Proprietary (Internal Use Only)</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30787" r:id="rId4" name="btn.reset">
              <controlPr defaultSize="0" autoFill="0" autoPict="0" macro="[0]!ThisWorkbook.reset">
                <anchor moveWithCells="1">
                  <from>
                    <xdr:col>2</xdr:col>
                    <xdr:colOff>76200</xdr:colOff>
                    <xdr:row>1</xdr:row>
                    <xdr:rowOff>66675</xdr:rowOff>
                  </from>
                  <to>
                    <xdr:col>3</xdr:col>
                    <xdr:colOff>638175</xdr:colOff>
                    <xdr:row>2</xdr:row>
                    <xdr:rowOff>104775</xdr:rowOff>
                  </to>
                </anchor>
              </controlPr>
            </control>
          </mc:Choice>
        </mc:AlternateContent>
        <mc:AlternateContent xmlns:mc="http://schemas.openxmlformats.org/markup-compatibility/2006">
          <mc:Choice Requires="x14">
            <control shapeId="630790" r:id="rId5" name="ButtonAIS">
              <controlPr defaultSize="0" print="0" autoFill="0" autoPict="0" macro="[0]!AddAIS">
                <anchor moveWithCells="1">
                  <from>
                    <xdr:col>14</xdr:col>
                    <xdr:colOff>628650</xdr:colOff>
                    <xdr:row>8</xdr:row>
                    <xdr:rowOff>9525</xdr:rowOff>
                  </from>
                  <to>
                    <xdr:col>15</xdr:col>
                    <xdr:colOff>523875</xdr:colOff>
                    <xdr:row>9</xdr:row>
                    <xdr:rowOff>85725</xdr:rowOff>
                  </to>
                </anchor>
              </controlPr>
            </control>
          </mc:Choice>
        </mc:AlternateContent>
        <mc:AlternateContent xmlns:mc="http://schemas.openxmlformats.org/markup-compatibility/2006">
          <mc:Choice Requires="x14">
            <control shapeId="630792" r:id="rId6" name="btn.condense">
              <controlPr defaultSize="0" autoFill="0" autoPict="0" macro="[0]!collapseProductASEoD">
                <anchor moveWithCells="1">
                  <from>
                    <xdr:col>4</xdr:col>
                    <xdr:colOff>38100</xdr:colOff>
                    <xdr:row>1</xdr:row>
                    <xdr:rowOff>66675</xdr:rowOff>
                  </from>
                  <to>
                    <xdr:col>5</xdr:col>
                    <xdr:colOff>342900</xdr:colOff>
                    <xdr:row>2</xdr:row>
                    <xdr:rowOff>104775</xdr:rowOff>
                  </to>
                </anchor>
              </controlPr>
            </control>
          </mc:Choice>
        </mc:AlternateContent>
        <mc:AlternateContent xmlns:mc="http://schemas.openxmlformats.org/markup-compatibility/2006">
          <mc:Choice Requires="x14">
            <control shapeId="630803" r:id="rId7" name="btn.clearAll">
              <controlPr defaultSize="0" autoFill="0" autoPict="0" macro="[0]!cleanProductASEoD">
                <anchor moveWithCells="1">
                  <from>
                    <xdr:col>5</xdr:col>
                    <xdr:colOff>438150</xdr:colOff>
                    <xdr:row>1</xdr:row>
                    <xdr:rowOff>66675</xdr:rowOff>
                  </from>
                  <to>
                    <xdr:col>7</xdr:col>
                    <xdr:colOff>28575</xdr:colOff>
                    <xdr:row>2</xdr:row>
                    <xdr:rowOff>104775</xdr:rowOff>
                  </to>
                </anchor>
              </controlPr>
            </control>
          </mc:Choice>
        </mc:AlternateContent>
        <mc:AlternateContent xmlns:mc="http://schemas.openxmlformats.org/markup-compatibility/2006">
          <mc:Choice Requires="x14">
            <control shapeId="630804" r:id="rId8" name="btn.copyExpand">
              <controlPr defaultSize="0" autoFill="0" autoPict="0" macro="[0]!CopyExpandASEoD">
                <anchor moveWithCells="1">
                  <from>
                    <xdr:col>5</xdr:col>
                    <xdr:colOff>152400</xdr:colOff>
                    <xdr:row>6</xdr:row>
                    <xdr:rowOff>9525</xdr:rowOff>
                  </from>
                  <to>
                    <xdr:col>7</xdr:col>
                    <xdr:colOff>47625</xdr:colOff>
                    <xdr:row>8</xdr:row>
                    <xdr:rowOff>123825</xdr:rowOff>
                  </to>
                </anchor>
              </controlPr>
            </control>
          </mc:Choice>
        </mc:AlternateContent>
        <mc:AlternateContent xmlns:mc="http://schemas.openxmlformats.org/markup-compatibility/2006">
          <mc:Choice Requires="x14">
            <control shapeId="630805" r:id="rId9" name="Group Box 21">
              <controlPr defaultSize="0" autoFill="0" autoPict="0">
                <anchor moveWithCells="1">
                  <from>
                    <xdr:col>8</xdr:col>
                    <xdr:colOff>323850</xdr:colOff>
                    <xdr:row>1</xdr:row>
                    <xdr:rowOff>57150</xdr:rowOff>
                  </from>
                  <to>
                    <xdr:col>13</xdr:col>
                    <xdr:colOff>523875</xdr:colOff>
                    <xdr:row>7</xdr:row>
                    <xdr:rowOff>9525</xdr:rowOff>
                  </to>
                </anchor>
              </controlPr>
            </control>
          </mc:Choice>
        </mc:AlternateContent>
        <mc:AlternateContent xmlns:mc="http://schemas.openxmlformats.org/markup-compatibility/2006">
          <mc:Choice Requires="x14">
            <control shapeId="630806" r:id="rId10" name="Option Button 22">
              <controlPr defaultSize="0" autoFill="0" autoLine="0" autoPict="0" macro="[0]!ASEoDaddendumNew">
                <anchor moveWithCells="1">
                  <from>
                    <xdr:col>8</xdr:col>
                    <xdr:colOff>438150</xdr:colOff>
                    <xdr:row>2</xdr:row>
                    <xdr:rowOff>28575</xdr:rowOff>
                  </from>
                  <to>
                    <xdr:col>13</xdr:col>
                    <xdr:colOff>104775</xdr:colOff>
                    <xdr:row>3</xdr:row>
                    <xdr:rowOff>85725</xdr:rowOff>
                  </to>
                </anchor>
              </controlPr>
            </control>
          </mc:Choice>
        </mc:AlternateContent>
        <mc:AlternateContent xmlns:mc="http://schemas.openxmlformats.org/markup-compatibility/2006">
          <mc:Choice Requires="x14">
            <control shapeId="630808" r:id="rId11" name="Option Button 24">
              <controlPr defaultSize="0" autoFill="0" autoLine="0" autoPict="0" macro="[0]!ASEoDaddendumSamePrice">
                <anchor moveWithCells="1">
                  <from>
                    <xdr:col>8</xdr:col>
                    <xdr:colOff>438150</xdr:colOff>
                    <xdr:row>3</xdr:row>
                    <xdr:rowOff>114300</xdr:rowOff>
                  </from>
                  <to>
                    <xdr:col>13</xdr:col>
                    <xdr:colOff>133350</xdr:colOff>
                    <xdr:row>5</xdr:row>
                    <xdr:rowOff>9525</xdr:rowOff>
                  </to>
                </anchor>
              </controlPr>
            </control>
          </mc:Choice>
        </mc:AlternateContent>
        <mc:AlternateContent xmlns:mc="http://schemas.openxmlformats.org/markup-compatibility/2006">
          <mc:Choice Requires="x14">
            <control shapeId="630809" r:id="rId12" name="Option Button 25">
              <controlPr defaultSize="0" autoFill="0" autoLine="0" autoPict="0" macro="[0]!ASEoDaddendumReprice">
                <anchor moveWithCells="1">
                  <from>
                    <xdr:col>8</xdr:col>
                    <xdr:colOff>438150</xdr:colOff>
                    <xdr:row>5</xdr:row>
                    <xdr:rowOff>38100</xdr:rowOff>
                  </from>
                  <to>
                    <xdr:col>13</xdr:col>
                    <xdr:colOff>28575</xdr:colOff>
                    <xdr:row>6</xdr:row>
                    <xdr:rowOff>95250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wsMiscCalcs"/>
  <dimension ref="B1:C25"/>
  <sheetViews>
    <sheetView workbookViewId="0">
      <selection activeCell="M19" sqref="M19"/>
    </sheetView>
  </sheetViews>
  <sheetFormatPr defaultColWidth="9.140625" defaultRowHeight="15"/>
  <cols>
    <col min="1" max="1" width="1.85546875" style="1553" customWidth="1"/>
    <col min="2" max="2" width="12.85546875" style="1553" customWidth="1"/>
    <col min="3" max="3" width="13.42578125" style="1553" customWidth="1"/>
    <col min="4" max="16384" width="9.140625" style="1553"/>
  </cols>
  <sheetData>
    <row r="1" spans="2:3" ht="23.25">
      <c r="B1" s="1552" t="s">
        <v>11163</v>
      </c>
    </row>
    <row r="2" spans="2:3">
      <c r="B2" s="1554" t="s">
        <v>11164</v>
      </c>
    </row>
    <row r="4" spans="2:3">
      <c r="B4" s="1554" t="s">
        <v>11165</v>
      </c>
    </row>
    <row r="6" spans="2:3">
      <c r="B6" s="1555" t="s">
        <v>11196</v>
      </c>
      <c r="C6" s="1555" t="s">
        <v>11166</v>
      </c>
    </row>
    <row r="7" spans="2:3">
      <c r="B7" s="1556"/>
      <c r="C7" s="1557">
        <f>IF(B7&gt;0,B7/5.28,0)</f>
        <v>0</v>
      </c>
    </row>
    <row r="8" spans="2:3">
      <c r="B8" s="1556"/>
      <c r="C8" s="1557">
        <f t="shared" ref="C8:C25" si="0">IF(B8&gt;0,B8/5.28,0)</f>
        <v>0</v>
      </c>
    </row>
    <row r="9" spans="2:3">
      <c r="B9" s="1556"/>
      <c r="C9" s="1557">
        <f t="shared" si="0"/>
        <v>0</v>
      </c>
    </row>
    <row r="10" spans="2:3">
      <c r="B10" s="1556"/>
      <c r="C10" s="1557">
        <f t="shared" si="0"/>
        <v>0</v>
      </c>
    </row>
    <row r="11" spans="2:3">
      <c r="B11" s="1556"/>
      <c r="C11" s="1557">
        <f t="shared" si="0"/>
        <v>0</v>
      </c>
    </row>
    <row r="12" spans="2:3">
      <c r="B12" s="1556"/>
      <c r="C12" s="1557">
        <f t="shared" si="0"/>
        <v>0</v>
      </c>
    </row>
    <row r="13" spans="2:3">
      <c r="B13" s="1556"/>
      <c r="C13" s="1557">
        <f t="shared" si="0"/>
        <v>0</v>
      </c>
    </row>
    <row r="14" spans="2:3">
      <c r="B14" s="1556"/>
      <c r="C14" s="1557">
        <f t="shared" si="0"/>
        <v>0</v>
      </c>
    </row>
    <row r="15" spans="2:3">
      <c r="B15" s="1556"/>
      <c r="C15" s="1557">
        <f t="shared" si="0"/>
        <v>0</v>
      </c>
    </row>
    <row r="16" spans="2:3">
      <c r="B16" s="1556"/>
      <c r="C16" s="1557">
        <f t="shared" si="0"/>
        <v>0</v>
      </c>
    </row>
    <row r="17" spans="2:3">
      <c r="B17" s="1556"/>
      <c r="C17" s="1557">
        <f t="shared" si="0"/>
        <v>0</v>
      </c>
    </row>
    <row r="18" spans="2:3">
      <c r="B18" s="1556"/>
      <c r="C18" s="1557">
        <f t="shared" si="0"/>
        <v>0</v>
      </c>
    </row>
    <row r="19" spans="2:3">
      <c r="B19" s="1556"/>
      <c r="C19" s="1557">
        <f t="shared" si="0"/>
        <v>0</v>
      </c>
    </row>
    <row r="20" spans="2:3">
      <c r="B20" s="1556"/>
      <c r="C20" s="1557">
        <f t="shared" si="0"/>
        <v>0</v>
      </c>
    </row>
    <row r="21" spans="2:3">
      <c r="B21" s="1556"/>
      <c r="C21" s="1557">
        <f t="shared" si="0"/>
        <v>0</v>
      </c>
    </row>
    <row r="22" spans="2:3">
      <c r="B22" s="1556"/>
      <c r="C22" s="1557">
        <f t="shared" si="0"/>
        <v>0</v>
      </c>
    </row>
    <row r="23" spans="2:3">
      <c r="B23" s="1556"/>
      <c r="C23" s="1557">
        <f t="shared" si="0"/>
        <v>0</v>
      </c>
    </row>
    <row r="24" spans="2:3">
      <c r="B24" s="1556"/>
      <c r="C24" s="1557">
        <f t="shared" si="0"/>
        <v>0</v>
      </c>
    </row>
    <row r="25" spans="2:3">
      <c r="B25" s="1556"/>
      <c r="C25" s="1557">
        <f t="shared" si="0"/>
        <v>0</v>
      </c>
    </row>
  </sheetData>
  <pageMargins left="0.7" right="0.7" top="0.75" bottom="0.75" header="0.3" footer="0.3"/>
  <pageSetup orientation="portrait" r:id="rId1"/>
  <headerFooter>
    <oddFooter>&amp;CAT&amp;&amp;T Proprietary (Internal Use Only)</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wsSalesLinks">
    <tabColor rgb="FFFFFF00"/>
  </sheetPr>
  <dimension ref="A1:T41"/>
  <sheetViews>
    <sheetView workbookViewId="0"/>
  </sheetViews>
  <sheetFormatPr defaultRowHeight="12.75"/>
  <cols>
    <col min="3" max="3" width="119.28515625" customWidth="1"/>
  </cols>
  <sheetData>
    <row r="1" spans="1:20">
      <c r="A1" s="152"/>
      <c r="B1" s="152"/>
      <c r="C1" s="152"/>
      <c r="D1" s="152"/>
      <c r="E1" s="152"/>
      <c r="F1" s="152"/>
      <c r="G1" s="152"/>
      <c r="H1" s="152"/>
      <c r="I1" s="152"/>
      <c r="J1" s="152"/>
      <c r="K1" s="152"/>
      <c r="L1" s="152"/>
      <c r="M1" s="152"/>
      <c r="N1" s="152"/>
      <c r="O1" s="152"/>
      <c r="P1" s="152"/>
      <c r="Q1" s="152"/>
      <c r="R1" s="152"/>
      <c r="S1" s="152"/>
      <c r="T1" s="152"/>
    </row>
    <row r="2" spans="1:20">
      <c r="A2" s="152"/>
      <c r="B2" s="152"/>
      <c r="C2" s="152"/>
      <c r="D2" s="152"/>
      <c r="E2" s="152"/>
      <c r="F2" s="152"/>
      <c r="G2" s="152"/>
      <c r="H2" s="152"/>
      <c r="I2" s="152"/>
      <c r="J2" s="152"/>
      <c r="K2" s="152"/>
      <c r="L2" s="152"/>
      <c r="M2" s="152"/>
      <c r="N2" s="152"/>
      <c r="O2" s="152"/>
      <c r="P2" s="152"/>
      <c r="Q2" s="152"/>
      <c r="R2" s="152"/>
      <c r="S2" s="152"/>
      <c r="T2" s="152"/>
    </row>
    <row r="3" spans="1:20">
      <c r="A3" s="152"/>
      <c r="B3" s="938" t="s">
        <v>9715</v>
      </c>
      <c r="C3" s="152"/>
      <c r="D3" s="152"/>
      <c r="E3" s="152"/>
      <c r="F3" s="152"/>
      <c r="G3" s="152"/>
      <c r="H3" s="152"/>
      <c r="I3" s="152"/>
      <c r="J3" s="152"/>
      <c r="K3" s="152"/>
      <c r="L3" s="152"/>
      <c r="M3" s="152"/>
      <c r="N3" s="152"/>
      <c r="O3" s="152"/>
      <c r="P3" s="152"/>
      <c r="Q3" s="152"/>
      <c r="R3" s="152"/>
      <c r="S3" s="152"/>
      <c r="T3" s="152"/>
    </row>
    <row r="4" spans="1:20">
      <c r="A4" s="152"/>
      <c r="B4" s="152"/>
      <c r="C4" s="152"/>
      <c r="D4" s="152"/>
      <c r="E4" s="152"/>
      <c r="F4" s="152"/>
      <c r="G4" s="152"/>
      <c r="H4" s="152"/>
      <c r="I4" s="152"/>
      <c r="J4" s="152"/>
      <c r="K4" s="152"/>
      <c r="L4" s="152"/>
      <c r="M4" s="152"/>
      <c r="N4" s="152"/>
      <c r="O4" s="152"/>
      <c r="P4" s="152"/>
      <c r="Q4" s="152"/>
      <c r="R4" s="152"/>
      <c r="S4" s="152"/>
      <c r="T4" s="152"/>
    </row>
    <row r="5" spans="1:20">
      <c r="A5" s="152"/>
      <c r="B5" s="152"/>
      <c r="C5" s="939" t="s">
        <v>9716</v>
      </c>
      <c r="D5" s="152"/>
      <c r="E5" s="152"/>
      <c r="F5" s="152"/>
      <c r="G5" s="152"/>
      <c r="H5" s="152"/>
      <c r="I5" s="152"/>
      <c r="J5" s="152"/>
      <c r="K5" s="152"/>
      <c r="L5" s="152"/>
      <c r="M5" s="152"/>
      <c r="N5" s="152"/>
      <c r="O5" s="152"/>
      <c r="P5" s="152"/>
      <c r="Q5" s="152"/>
      <c r="R5" s="152"/>
      <c r="S5" s="152"/>
      <c r="T5" s="152"/>
    </row>
    <row r="6" spans="1:20">
      <c r="A6" s="152"/>
      <c r="B6" s="152"/>
      <c r="C6" s="152"/>
      <c r="D6" s="152"/>
      <c r="E6" s="152"/>
      <c r="F6" s="152"/>
      <c r="G6" s="152"/>
      <c r="H6" s="152"/>
      <c r="I6" s="152"/>
      <c r="J6" s="152"/>
      <c r="K6" s="152"/>
      <c r="L6" s="152"/>
      <c r="M6" s="152"/>
      <c r="N6" s="152"/>
      <c r="O6" s="152"/>
      <c r="P6" s="152"/>
      <c r="Q6" s="152"/>
      <c r="R6" s="152"/>
      <c r="S6" s="152"/>
      <c r="T6" s="152"/>
    </row>
    <row r="7" spans="1:20">
      <c r="A7" s="152"/>
      <c r="B7" s="152"/>
      <c r="C7" s="938" t="s">
        <v>9717</v>
      </c>
      <c r="D7" s="152"/>
      <c r="E7" s="152"/>
      <c r="F7" s="152"/>
      <c r="G7" s="152"/>
      <c r="H7" s="152"/>
      <c r="I7" s="152"/>
      <c r="J7" s="152"/>
      <c r="K7" s="152"/>
      <c r="L7" s="152"/>
      <c r="M7" s="152"/>
      <c r="N7" s="152"/>
      <c r="O7" s="152"/>
      <c r="P7" s="152"/>
      <c r="Q7" s="152"/>
      <c r="R7" s="152"/>
      <c r="S7" s="152"/>
      <c r="T7" s="152"/>
    </row>
    <row r="8" spans="1:20">
      <c r="A8" s="152"/>
      <c r="B8" s="152"/>
      <c r="C8" s="938"/>
      <c r="D8" s="152"/>
      <c r="E8" s="152"/>
      <c r="F8" s="152"/>
      <c r="G8" s="152"/>
      <c r="H8" s="152"/>
      <c r="I8" s="152"/>
      <c r="J8" s="152"/>
      <c r="K8" s="152"/>
      <c r="L8" s="152"/>
      <c r="M8" s="152"/>
      <c r="N8" s="152"/>
      <c r="O8" s="152"/>
      <c r="P8" s="152"/>
      <c r="Q8" s="152"/>
      <c r="R8" s="152"/>
      <c r="S8" s="152"/>
      <c r="T8" s="152"/>
    </row>
    <row r="9" spans="1:20">
      <c r="A9" s="152"/>
      <c r="B9" s="152"/>
      <c r="C9" s="152"/>
      <c r="D9" s="152"/>
      <c r="E9" s="152"/>
      <c r="F9" s="152"/>
      <c r="G9" s="152"/>
      <c r="H9" s="152"/>
      <c r="I9" s="152"/>
      <c r="J9" s="152"/>
      <c r="K9" s="152"/>
      <c r="L9" s="152"/>
      <c r="M9" s="152"/>
      <c r="N9" s="152"/>
      <c r="O9" s="152"/>
      <c r="P9" s="152"/>
      <c r="Q9" s="152"/>
      <c r="R9" s="152"/>
      <c r="S9" s="152"/>
      <c r="T9" s="152"/>
    </row>
    <row r="10" spans="1:20">
      <c r="A10" s="152"/>
      <c r="B10" s="938" t="s">
        <v>9718</v>
      </c>
      <c r="C10" s="152"/>
      <c r="D10" s="152"/>
      <c r="E10" s="152"/>
      <c r="F10" s="152"/>
      <c r="G10" s="152"/>
      <c r="H10" s="152"/>
      <c r="I10" s="152"/>
      <c r="J10" s="152"/>
      <c r="K10" s="152"/>
      <c r="L10" s="152"/>
      <c r="M10" s="152"/>
      <c r="N10" s="152"/>
      <c r="O10" s="152"/>
      <c r="P10" s="152"/>
      <c r="Q10" s="152"/>
      <c r="R10" s="152"/>
      <c r="S10" s="152"/>
      <c r="T10" s="152"/>
    </row>
    <row r="11" spans="1:20">
      <c r="A11" s="152"/>
      <c r="B11" s="152"/>
      <c r="C11" s="153" t="s">
        <v>9719</v>
      </c>
      <c r="D11" s="152"/>
      <c r="E11" s="152"/>
      <c r="F11" s="152"/>
      <c r="G11" s="152"/>
      <c r="H11" s="152"/>
      <c r="I11" s="152"/>
      <c r="J11" s="152"/>
      <c r="K11" s="152"/>
      <c r="L11" s="152"/>
      <c r="M11" s="152"/>
      <c r="N11" s="152"/>
      <c r="O11" s="152"/>
      <c r="P11" s="152"/>
      <c r="Q11" s="152"/>
      <c r="R11" s="152"/>
      <c r="S11" s="152"/>
      <c r="T11" s="152"/>
    </row>
    <row r="12" spans="1:20">
      <c r="A12" s="152"/>
      <c r="B12" s="152"/>
      <c r="C12" s="152"/>
      <c r="D12" s="152"/>
      <c r="E12" s="152"/>
      <c r="F12" s="152"/>
      <c r="G12" s="152"/>
      <c r="H12" s="152"/>
      <c r="I12" s="152"/>
      <c r="J12" s="152"/>
      <c r="K12" s="152"/>
      <c r="L12" s="152"/>
      <c r="M12" s="152"/>
      <c r="N12" s="152"/>
      <c r="O12" s="152"/>
      <c r="P12" s="152"/>
      <c r="Q12" s="152"/>
      <c r="R12" s="152"/>
      <c r="S12" s="152"/>
      <c r="T12" s="152"/>
    </row>
    <row r="13" spans="1:20">
      <c r="A13" s="152"/>
      <c r="B13" s="938"/>
      <c r="C13" s="938" t="s">
        <v>9720</v>
      </c>
      <c r="D13" s="152"/>
      <c r="E13" s="152"/>
      <c r="F13" s="152"/>
      <c r="G13" s="152"/>
      <c r="H13" s="152"/>
      <c r="I13" s="152"/>
      <c r="J13" s="152"/>
      <c r="K13" s="152"/>
      <c r="L13" s="152"/>
      <c r="M13" s="152"/>
      <c r="N13" s="152"/>
      <c r="O13" s="152"/>
      <c r="P13" s="152"/>
      <c r="Q13" s="152"/>
      <c r="R13" s="152"/>
      <c r="S13" s="152"/>
      <c r="T13" s="152"/>
    </row>
    <row r="14" spans="1:20">
      <c r="A14" s="152"/>
      <c r="B14" s="152"/>
      <c r="C14" s="938" t="s">
        <v>9721</v>
      </c>
      <c r="D14" s="152"/>
      <c r="E14" s="152"/>
      <c r="F14" s="152"/>
      <c r="G14" s="152"/>
      <c r="H14" s="152"/>
      <c r="I14" s="152"/>
      <c r="J14" s="152"/>
      <c r="K14" s="152"/>
      <c r="L14" s="152"/>
      <c r="M14" s="152"/>
      <c r="N14" s="152"/>
      <c r="O14" s="152"/>
      <c r="P14" s="152"/>
      <c r="Q14" s="152"/>
      <c r="R14" s="152"/>
      <c r="S14" s="152"/>
      <c r="T14" s="152"/>
    </row>
    <row r="15" spans="1:20">
      <c r="A15" s="152"/>
      <c r="B15" s="152"/>
      <c r="C15" s="153"/>
      <c r="D15" s="152"/>
      <c r="E15" s="152"/>
      <c r="F15" s="152"/>
      <c r="G15" s="152"/>
      <c r="H15" s="152"/>
      <c r="I15" s="152"/>
      <c r="J15" s="152"/>
      <c r="K15" s="152"/>
      <c r="L15" s="152"/>
      <c r="M15" s="152"/>
      <c r="N15" s="152"/>
      <c r="O15" s="152"/>
      <c r="P15" s="152"/>
      <c r="Q15" s="152"/>
      <c r="R15" s="152"/>
      <c r="S15" s="152"/>
      <c r="T15" s="152"/>
    </row>
    <row r="16" spans="1:20">
      <c r="A16" s="152"/>
      <c r="B16" s="152"/>
      <c r="C16" s="152"/>
      <c r="D16" s="152"/>
      <c r="E16" s="152"/>
      <c r="F16" s="152"/>
      <c r="G16" s="152"/>
      <c r="H16" s="152"/>
      <c r="I16" s="152"/>
      <c r="J16" s="152"/>
      <c r="K16" s="152"/>
      <c r="L16" s="152"/>
      <c r="M16" s="152"/>
      <c r="N16" s="152"/>
      <c r="O16" s="152"/>
      <c r="P16" s="152"/>
      <c r="Q16" s="152"/>
      <c r="R16" s="152"/>
      <c r="S16" s="152"/>
      <c r="T16" s="152"/>
    </row>
    <row r="17" spans="1:20">
      <c r="A17" s="152"/>
      <c r="B17" s="152"/>
      <c r="C17" s="152"/>
      <c r="D17" s="152"/>
      <c r="E17" s="152"/>
      <c r="F17" s="152"/>
      <c r="G17" s="152"/>
      <c r="H17" s="152"/>
      <c r="I17" s="152"/>
      <c r="J17" s="152"/>
      <c r="K17" s="152"/>
      <c r="L17" s="152"/>
      <c r="M17" s="152"/>
      <c r="N17" s="152"/>
      <c r="O17" s="152"/>
      <c r="P17" s="152"/>
      <c r="Q17" s="152"/>
      <c r="R17" s="152"/>
      <c r="S17" s="152"/>
      <c r="T17" s="152"/>
    </row>
    <row r="18" spans="1:20">
      <c r="A18" s="152"/>
      <c r="B18" s="152"/>
      <c r="C18" s="152"/>
      <c r="D18" s="152"/>
      <c r="E18" s="152"/>
      <c r="F18" s="152"/>
      <c r="G18" s="152"/>
      <c r="H18" s="152"/>
      <c r="I18" s="152"/>
      <c r="J18" s="152"/>
      <c r="K18" s="152"/>
      <c r="L18" s="152"/>
      <c r="M18" s="152"/>
      <c r="N18" s="152"/>
      <c r="O18" s="152"/>
      <c r="P18" s="152"/>
      <c r="Q18" s="152"/>
      <c r="R18" s="152"/>
      <c r="S18" s="152"/>
      <c r="T18" s="152"/>
    </row>
    <row r="19" spans="1:20">
      <c r="A19" s="152"/>
      <c r="B19" s="152"/>
      <c r="C19" s="153"/>
      <c r="D19" s="152"/>
      <c r="E19" s="152"/>
      <c r="F19" s="152"/>
      <c r="G19" s="152"/>
      <c r="H19" s="152"/>
      <c r="I19" s="152"/>
      <c r="J19" s="152"/>
      <c r="K19" s="152"/>
      <c r="L19" s="152"/>
      <c r="M19" s="152"/>
      <c r="N19" s="152"/>
      <c r="O19" s="152"/>
      <c r="P19" s="152"/>
      <c r="Q19" s="152"/>
      <c r="R19" s="152"/>
      <c r="S19" s="152"/>
      <c r="T19" s="152"/>
    </row>
    <row r="20" spans="1:20">
      <c r="A20" s="152"/>
      <c r="B20" s="152"/>
      <c r="C20" s="152"/>
      <c r="D20" s="152"/>
      <c r="E20" s="152"/>
      <c r="F20" s="152"/>
      <c r="G20" s="152"/>
      <c r="H20" s="152"/>
      <c r="I20" s="152"/>
      <c r="J20" s="152"/>
      <c r="K20" s="152"/>
      <c r="L20" s="152"/>
      <c r="M20" s="152"/>
      <c r="N20" s="152"/>
      <c r="O20" s="152"/>
      <c r="P20" s="152"/>
      <c r="Q20" s="152"/>
      <c r="R20" s="152"/>
      <c r="S20" s="152"/>
      <c r="T20" s="152"/>
    </row>
    <row r="21" spans="1:20">
      <c r="A21" s="152"/>
      <c r="B21" s="152"/>
      <c r="C21" s="152"/>
      <c r="D21" s="152"/>
      <c r="E21" s="152"/>
      <c r="F21" s="152"/>
      <c r="G21" s="152"/>
      <c r="H21" s="152"/>
      <c r="I21" s="152"/>
      <c r="J21" s="152"/>
      <c r="K21" s="152"/>
      <c r="L21" s="152"/>
      <c r="M21" s="152"/>
      <c r="N21" s="152"/>
      <c r="O21" s="152"/>
      <c r="P21" s="152"/>
      <c r="Q21" s="152"/>
      <c r="R21" s="152"/>
      <c r="S21" s="152"/>
      <c r="T21" s="152"/>
    </row>
    <row r="22" spans="1:20">
      <c r="A22" s="152"/>
      <c r="B22" s="152"/>
      <c r="C22" s="152"/>
      <c r="D22" s="152"/>
      <c r="E22" s="152"/>
      <c r="F22" s="152"/>
      <c r="G22" s="152"/>
      <c r="H22" s="152"/>
      <c r="I22" s="152"/>
      <c r="J22" s="152"/>
      <c r="K22" s="152"/>
      <c r="L22" s="152"/>
      <c r="M22" s="152"/>
      <c r="N22" s="152"/>
      <c r="O22" s="152"/>
      <c r="P22" s="152"/>
      <c r="Q22" s="152"/>
      <c r="R22" s="152"/>
      <c r="S22" s="152"/>
      <c r="T22" s="152"/>
    </row>
    <row r="23" spans="1:20">
      <c r="A23" s="152"/>
      <c r="B23" s="152"/>
      <c r="C23" s="153"/>
      <c r="D23" s="152"/>
      <c r="E23" s="152"/>
      <c r="F23" s="152"/>
      <c r="G23" s="152"/>
      <c r="H23" s="152"/>
      <c r="I23" s="152"/>
      <c r="J23" s="152"/>
      <c r="K23" s="152"/>
      <c r="L23" s="152"/>
      <c r="M23" s="152"/>
      <c r="N23" s="152"/>
      <c r="O23" s="152"/>
      <c r="P23" s="152"/>
      <c r="Q23" s="152"/>
      <c r="R23" s="152"/>
      <c r="S23" s="152"/>
      <c r="T23" s="152"/>
    </row>
    <row r="24" spans="1:20">
      <c r="A24" s="152"/>
      <c r="B24" s="152"/>
      <c r="C24" s="152"/>
      <c r="D24" s="152"/>
      <c r="E24" s="152"/>
      <c r="F24" s="152"/>
      <c r="G24" s="152"/>
      <c r="H24" s="152"/>
      <c r="I24" s="152"/>
      <c r="J24" s="152"/>
      <c r="K24" s="152"/>
      <c r="L24" s="152"/>
      <c r="M24" s="152"/>
      <c r="N24" s="152"/>
      <c r="O24" s="152"/>
      <c r="P24" s="152"/>
      <c r="Q24" s="152"/>
      <c r="R24" s="152"/>
      <c r="S24" s="152"/>
      <c r="T24" s="152"/>
    </row>
    <row r="25" spans="1:20">
      <c r="A25" s="152"/>
      <c r="B25" s="152"/>
      <c r="C25" s="152"/>
      <c r="D25" s="152"/>
      <c r="E25" s="152"/>
      <c r="F25" s="152"/>
      <c r="G25" s="152"/>
      <c r="H25" s="152"/>
      <c r="I25" s="152"/>
      <c r="J25" s="152"/>
      <c r="K25" s="152"/>
      <c r="L25" s="152"/>
      <c r="M25" s="152"/>
      <c r="N25" s="152"/>
      <c r="O25" s="152"/>
      <c r="P25" s="152"/>
      <c r="Q25" s="152"/>
      <c r="R25" s="152"/>
      <c r="S25" s="152"/>
      <c r="T25" s="152"/>
    </row>
    <row r="26" spans="1:20">
      <c r="A26" s="152"/>
      <c r="B26" s="152"/>
      <c r="C26" s="152"/>
      <c r="D26" s="152"/>
      <c r="E26" s="152"/>
      <c r="F26" s="152"/>
      <c r="G26" s="152"/>
      <c r="H26" s="152"/>
      <c r="I26" s="152"/>
      <c r="J26" s="152"/>
      <c r="K26" s="152"/>
      <c r="L26" s="152"/>
      <c r="M26" s="152"/>
      <c r="N26" s="152"/>
      <c r="O26" s="152"/>
      <c r="P26" s="152"/>
      <c r="Q26" s="152"/>
      <c r="R26" s="152"/>
      <c r="S26" s="152"/>
      <c r="T26" s="152"/>
    </row>
    <row r="27" spans="1:20">
      <c r="A27" s="152"/>
      <c r="B27" s="152"/>
      <c r="C27" s="152"/>
      <c r="D27" s="152"/>
      <c r="E27" s="152"/>
      <c r="F27" s="152"/>
      <c r="G27" s="152"/>
      <c r="H27" s="152"/>
      <c r="I27" s="152"/>
      <c r="J27" s="152"/>
      <c r="K27" s="152"/>
      <c r="L27" s="152"/>
      <c r="M27" s="152"/>
      <c r="N27" s="152"/>
      <c r="O27" s="152"/>
      <c r="P27" s="152"/>
      <c r="Q27" s="152"/>
      <c r="R27" s="152"/>
      <c r="S27" s="152"/>
      <c r="T27" s="152"/>
    </row>
    <row r="28" spans="1:20">
      <c r="A28" s="152"/>
      <c r="B28" s="152"/>
      <c r="C28" s="152"/>
      <c r="D28" s="152"/>
      <c r="E28" s="152"/>
      <c r="F28" s="152"/>
      <c r="G28" s="152"/>
      <c r="H28" s="152"/>
      <c r="I28" s="152"/>
      <c r="J28" s="152"/>
      <c r="K28" s="152"/>
      <c r="L28" s="152"/>
      <c r="M28" s="152"/>
      <c r="N28" s="152"/>
      <c r="O28" s="152"/>
      <c r="P28" s="152"/>
      <c r="Q28" s="152"/>
      <c r="R28" s="152"/>
      <c r="S28" s="152"/>
      <c r="T28" s="152"/>
    </row>
    <row r="29" spans="1:20">
      <c r="A29" s="152"/>
      <c r="B29" s="152"/>
      <c r="C29" s="152"/>
      <c r="D29" s="152"/>
      <c r="E29" s="152"/>
      <c r="F29" s="152"/>
      <c r="G29" s="152"/>
      <c r="H29" s="152"/>
      <c r="I29" s="152"/>
      <c r="J29" s="152"/>
      <c r="K29" s="152"/>
      <c r="L29" s="152"/>
      <c r="M29" s="152"/>
      <c r="N29" s="152"/>
      <c r="O29" s="152"/>
      <c r="P29" s="152"/>
      <c r="Q29" s="152"/>
      <c r="R29" s="152"/>
      <c r="S29" s="152"/>
      <c r="T29" s="152"/>
    </row>
    <row r="30" spans="1:20">
      <c r="A30" s="152"/>
      <c r="B30" s="152"/>
      <c r="C30" s="152"/>
      <c r="D30" s="152"/>
      <c r="E30" s="152"/>
      <c r="F30" s="152"/>
      <c r="G30" s="152"/>
      <c r="H30" s="152"/>
      <c r="I30" s="152"/>
      <c r="J30" s="152"/>
      <c r="K30" s="152"/>
      <c r="L30" s="152"/>
      <c r="M30" s="152"/>
      <c r="N30" s="152"/>
      <c r="O30" s="152"/>
      <c r="P30" s="152"/>
      <c r="Q30" s="152"/>
      <c r="R30" s="152"/>
      <c r="S30" s="152"/>
      <c r="T30" s="152"/>
    </row>
    <row r="31" spans="1:20">
      <c r="A31" s="152"/>
      <c r="B31" s="152"/>
      <c r="C31" s="152"/>
      <c r="D31" s="152"/>
      <c r="E31" s="152"/>
      <c r="F31" s="152"/>
      <c r="G31" s="152"/>
      <c r="H31" s="152"/>
      <c r="I31" s="152"/>
      <c r="J31" s="152"/>
      <c r="K31" s="152"/>
      <c r="L31" s="152"/>
      <c r="M31" s="152"/>
      <c r="N31" s="152"/>
      <c r="O31" s="152"/>
      <c r="P31" s="152"/>
      <c r="Q31" s="152"/>
      <c r="R31" s="152"/>
      <c r="S31" s="152"/>
      <c r="T31" s="152"/>
    </row>
    <row r="32" spans="1:20">
      <c r="A32" s="152"/>
      <c r="B32" s="152"/>
      <c r="C32" s="152"/>
      <c r="D32" s="152"/>
      <c r="E32" s="152"/>
      <c r="F32" s="152"/>
      <c r="G32" s="152"/>
      <c r="H32" s="152"/>
      <c r="I32" s="152"/>
      <c r="J32" s="152"/>
      <c r="K32" s="152"/>
      <c r="L32" s="152"/>
      <c r="M32" s="152"/>
      <c r="N32" s="152"/>
      <c r="O32" s="152"/>
      <c r="P32" s="152"/>
      <c r="Q32" s="152"/>
      <c r="R32" s="152"/>
      <c r="S32" s="152"/>
      <c r="T32" s="152"/>
    </row>
    <row r="33" spans="1:20">
      <c r="A33" s="152"/>
      <c r="B33" s="152"/>
      <c r="C33" s="152"/>
      <c r="D33" s="152"/>
      <c r="E33" s="152"/>
      <c r="F33" s="152"/>
      <c r="G33" s="152"/>
      <c r="H33" s="152"/>
      <c r="I33" s="152"/>
      <c r="J33" s="152"/>
      <c r="K33" s="152"/>
      <c r="L33" s="152"/>
      <c r="M33" s="152"/>
      <c r="N33" s="152"/>
      <c r="O33" s="152"/>
      <c r="P33" s="152"/>
      <c r="Q33" s="152"/>
      <c r="R33" s="152"/>
      <c r="S33" s="152"/>
      <c r="T33" s="152"/>
    </row>
    <row r="34" spans="1:20">
      <c r="A34" s="152"/>
      <c r="B34" s="152"/>
      <c r="C34" s="152"/>
      <c r="D34" s="152"/>
      <c r="E34" s="152"/>
      <c r="F34" s="152"/>
      <c r="G34" s="152"/>
      <c r="H34" s="152"/>
      <c r="I34" s="152"/>
      <c r="J34" s="152"/>
      <c r="K34" s="152"/>
      <c r="L34" s="152"/>
      <c r="M34" s="152"/>
      <c r="N34" s="152"/>
      <c r="O34" s="152"/>
      <c r="P34" s="152"/>
      <c r="Q34" s="152"/>
      <c r="R34" s="152"/>
      <c r="S34" s="152"/>
      <c r="T34" s="152"/>
    </row>
    <row r="35" spans="1:20">
      <c r="A35" s="152"/>
      <c r="B35" s="152"/>
      <c r="C35" s="152"/>
      <c r="D35" s="152"/>
      <c r="E35" s="152"/>
      <c r="F35" s="152"/>
      <c r="G35" s="152"/>
      <c r="H35" s="152"/>
      <c r="I35" s="152"/>
      <c r="J35" s="152"/>
      <c r="K35" s="152"/>
      <c r="L35" s="152"/>
      <c r="M35" s="152"/>
      <c r="N35" s="152"/>
      <c r="O35" s="152"/>
      <c r="P35" s="152"/>
      <c r="Q35" s="152"/>
      <c r="R35" s="152"/>
      <c r="S35" s="152"/>
      <c r="T35" s="152"/>
    </row>
    <row r="36" spans="1:20">
      <c r="A36" s="152"/>
      <c r="B36" s="152"/>
      <c r="C36" s="152"/>
      <c r="D36" s="152"/>
      <c r="E36" s="152"/>
      <c r="F36" s="152"/>
      <c r="G36" s="152"/>
      <c r="H36" s="152"/>
      <c r="I36" s="152"/>
      <c r="J36" s="152"/>
      <c r="K36" s="152"/>
      <c r="L36" s="152"/>
      <c r="M36" s="152"/>
      <c r="N36" s="152"/>
      <c r="O36" s="152"/>
      <c r="P36" s="152"/>
      <c r="Q36" s="152"/>
      <c r="R36" s="152"/>
      <c r="S36" s="152"/>
      <c r="T36" s="152"/>
    </row>
    <row r="37" spans="1:20">
      <c r="A37" s="152"/>
      <c r="B37" s="152"/>
      <c r="C37" s="152"/>
      <c r="D37" s="152"/>
      <c r="E37" s="152"/>
      <c r="F37" s="152"/>
      <c r="G37" s="152"/>
      <c r="H37" s="152"/>
      <c r="I37" s="152"/>
      <c r="J37" s="152"/>
      <c r="K37" s="152"/>
      <c r="L37" s="152"/>
      <c r="M37" s="152"/>
      <c r="N37" s="152"/>
      <c r="O37" s="152"/>
      <c r="P37" s="152"/>
      <c r="Q37" s="152"/>
      <c r="R37" s="152"/>
      <c r="S37" s="152"/>
      <c r="T37" s="152"/>
    </row>
    <row r="38" spans="1:20">
      <c r="A38" s="152"/>
      <c r="B38" s="152"/>
      <c r="C38" s="152"/>
      <c r="D38" s="152"/>
      <c r="E38" s="152"/>
      <c r="F38" s="152"/>
      <c r="G38" s="152"/>
      <c r="H38" s="152"/>
      <c r="I38" s="152"/>
      <c r="J38" s="152"/>
      <c r="K38" s="152"/>
      <c r="L38" s="152"/>
      <c r="M38" s="152"/>
      <c r="N38" s="152"/>
      <c r="O38" s="152"/>
      <c r="P38" s="152"/>
      <c r="Q38" s="152"/>
      <c r="R38" s="152"/>
      <c r="S38" s="152"/>
      <c r="T38" s="152"/>
    </row>
    <row r="39" spans="1:20">
      <c r="A39" s="152"/>
      <c r="B39" s="152"/>
      <c r="C39" s="152"/>
      <c r="D39" s="152"/>
      <c r="E39" s="152"/>
      <c r="F39" s="152"/>
      <c r="G39" s="152"/>
      <c r="H39" s="152"/>
      <c r="I39" s="152"/>
      <c r="J39" s="152"/>
      <c r="K39" s="152"/>
      <c r="L39" s="152"/>
      <c r="M39" s="152"/>
      <c r="N39" s="152"/>
      <c r="O39" s="152"/>
      <c r="P39" s="152"/>
      <c r="Q39" s="152"/>
      <c r="R39" s="152"/>
      <c r="S39" s="152"/>
      <c r="T39" s="152"/>
    </row>
    <row r="40" spans="1:20">
      <c r="A40" s="152"/>
      <c r="B40" s="152"/>
      <c r="C40" s="152"/>
      <c r="D40" s="152"/>
      <c r="E40" s="152"/>
      <c r="F40" s="152"/>
      <c r="G40" s="152"/>
      <c r="H40" s="152"/>
      <c r="I40" s="152"/>
      <c r="J40" s="152"/>
      <c r="K40" s="152"/>
      <c r="L40" s="152"/>
      <c r="M40" s="152"/>
      <c r="N40" s="152"/>
      <c r="O40" s="152"/>
      <c r="P40" s="152"/>
      <c r="Q40" s="152"/>
      <c r="R40" s="152"/>
      <c r="S40" s="152"/>
      <c r="T40" s="152"/>
    </row>
    <row r="41" spans="1:20">
      <c r="A41" s="152"/>
      <c r="B41" s="152"/>
      <c r="C41" s="152"/>
      <c r="D41" s="152"/>
      <c r="E41" s="152"/>
      <c r="F41" s="152"/>
      <c r="G41" s="152"/>
      <c r="H41" s="152"/>
      <c r="I41" s="152"/>
      <c r="J41" s="152"/>
      <c r="K41" s="152"/>
      <c r="L41" s="152"/>
      <c r="M41" s="152"/>
      <c r="N41" s="152"/>
      <c r="O41" s="152"/>
      <c r="P41" s="152"/>
      <c r="Q41" s="152"/>
      <c r="R41" s="152"/>
      <c r="S41" s="152"/>
      <c r="T41" s="152"/>
    </row>
  </sheetData>
  <sheetProtection formatColumns="0" formatRows="0"/>
  <hyperlinks>
    <hyperlink ref="C5" r:id="rId1" xr:uid="{00000000-0004-0000-1500-000000000000}"/>
    <hyperlink ref="C11" r:id="rId2" xr:uid="{00000000-0004-0000-1500-000001000000}"/>
  </hyperlinks>
  <pageMargins left="0.7" right="0.7" top="0.75" bottom="0.75" header="0.3" footer="0.3"/>
  <pageSetup orientation="portrait" r:id="rId3"/>
  <headerFooter>
    <oddFooter>&amp;CAT&amp;&amp;T Proprietary (Internal Use Only)</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wsPricerLinks">
    <tabColor rgb="FFFFFF00"/>
  </sheetPr>
  <dimension ref="A1:T41"/>
  <sheetViews>
    <sheetView workbookViewId="0">
      <selection activeCell="E2" sqref="E2"/>
    </sheetView>
  </sheetViews>
  <sheetFormatPr defaultRowHeight="12.75"/>
  <cols>
    <col min="3" max="3" width="119.5703125" customWidth="1"/>
  </cols>
  <sheetData>
    <row r="1" spans="1:20">
      <c r="A1" s="152"/>
      <c r="B1" s="152"/>
      <c r="C1" s="152"/>
      <c r="D1" s="152"/>
      <c r="E1" s="152"/>
      <c r="F1" s="152"/>
      <c r="G1" s="152"/>
      <c r="H1" s="152"/>
      <c r="I1" s="152"/>
      <c r="J1" s="152"/>
      <c r="K1" s="152"/>
      <c r="L1" s="152"/>
      <c r="M1" s="152"/>
      <c r="N1" s="152"/>
      <c r="O1" s="152"/>
      <c r="P1" s="152"/>
      <c r="Q1" s="152"/>
      <c r="R1" s="152"/>
      <c r="S1" s="152"/>
      <c r="T1" s="152"/>
    </row>
    <row r="2" spans="1:20">
      <c r="A2" s="152"/>
      <c r="B2" s="152"/>
      <c r="C2" s="152"/>
      <c r="D2" s="152"/>
      <c r="E2" s="152"/>
      <c r="F2" s="152"/>
      <c r="G2" s="152"/>
      <c r="H2" s="152"/>
      <c r="I2" s="152"/>
      <c r="J2" s="152"/>
      <c r="K2" s="152"/>
      <c r="L2" s="152"/>
      <c r="M2" s="152"/>
      <c r="N2" s="152"/>
      <c r="O2" s="152"/>
      <c r="P2" s="152"/>
      <c r="Q2" s="152"/>
      <c r="R2" s="152"/>
      <c r="S2" s="152"/>
      <c r="T2" s="152"/>
    </row>
    <row r="3" spans="1:20">
      <c r="A3" s="152"/>
      <c r="B3" s="938" t="s">
        <v>9722</v>
      </c>
      <c r="C3" s="152"/>
      <c r="D3" s="152"/>
      <c r="E3" s="152"/>
      <c r="F3" s="152"/>
      <c r="G3" s="152"/>
      <c r="H3" s="152"/>
      <c r="I3" s="152"/>
      <c r="J3" s="152"/>
      <c r="K3" s="152"/>
      <c r="L3" s="152"/>
      <c r="M3" s="152"/>
      <c r="N3" s="152"/>
      <c r="O3" s="152"/>
      <c r="P3" s="152"/>
      <c r="Q3" s="152"/>
      <c r="R3" s="152"/>
      <c r="S3" s="152"/>
      <c r="T3" s="152"/>
    </row>
    <row r="4" spans="1:20">
      <c r="A4" s="152"/>
      <c r="B4" s="152"/>
      <c r="C4" s="152"/>
      <c r="D4" s="152"/>
      <c r="E4" s="152"/>
      <c r="F4" s="152"/>
      <c r="G4" s="152"/>
      <c r="H4" s="152"/>
      <c r="I4" s="152"/>
      <c r="J4" s="152"/>
      <c r="K4" s="152"/>
      <c r="L4" s="152"/>
      <c r="M4" s="152"/>
      <c r="N4" s="152"/>
      <c r="O4" s="152"/>
      <c r="P4" s="152"/>
      <c r="Q4" s="152"/>
      <c r="R4" s="152"/>
      <c r="S4" s="152"/>
      <c r="T4" s="152"/>
    </row>
    <row r="5" spans="1:20">
      <c r="A5" s="152"/>
      <c r="B5" s="152"/>
      <c r="C5" s="153" t="s">
        <v>9723</v>
      </c>
      <c r="D5" s="152"/>
      <c r="E5" s="152"/>
      <c r="F5" s="152"/>
      <c r="G5" s="152"/>
      <c r="H5" s="152"/>
      <c r="I5" s="152"/>
      <c r="J5" s="152"/>
      <c r="K5" s="152"/>
      <c r="L5" s="152"/>
      <c r="M5" s="152"/>
      <c r="N5" s="152"/>
      <c r="O5" s="152"/>
      <c r="P5" s="152"/>
      <c r="Q5" s="152"/>
      <c r="R5" s="152"/>
      <c r="S5" s="152"/>
      <c r="T5" s="152"/>
    </row>
    <row r="6" spans="1:20">
      <c r="A6" s="152"/>
      <c r="B6" s="152"/>
      <c r="C6" s="152"/>
      <c r="D6" s="152"/>
      <c r="E6" s="152"/>
      <c r="F6" s="152"/>
      <c r="G6" s="152"/>
      <c r="H6" s="152"/>
      <c r="I6" s="152"/>
      <c r="J6" s="152"/>
      <c r="K6" s="152"/>
      <c r="L6" s="152"/>
      <c r="M6" s="152"/>
      <c r="N6" s="152"/>
      <c r="O6" s="152"/>
      <c r="P6" s="152"/>
      <c r="Q6" s="152"/>
      <c r="R6" s="152"/>
      <c r="S6" s="152"/>
      <c r="T6" s="152"/>
    </row>
    <row r="7" spans="1:20">
      <c r="A7" s="152"/>
      <c r="B7" s="152"/>
      <c r="C7" s="938" t="s">
        <v>9724</v>
      </c>
      <c r="D7" s="152"/>
      <c r="E7" s="152"/>
      <c r="F7" s="152"/>
      <c r="G7" s="152"/>
      <c r="H7" s="152"/>
      <c r="I7" s="152"/>
      <c r="J7" s="152"/>
      <c r="K7" s="152"/>
      <c r="L7" s="152"/>
      <c r="M7" s="152"/>
      <c r="N7" s="152"/>
      <c r="O7" s="152"/>
      <c r="P7" s="152"/>
      <c r="Q7" s="152"/>
      <c r="R7" s="152"/>
      <c r="S7" s="152"/>
      <c r="T7" s="152"/>
    </row>
    <row r="8" spans="1:20">
      <c r="A8" s="152"/>
      <c r="B8" s="152"/>
      <c r="C8" s="938"/>
      <c r="D8" s="152"/>
      <c r="E8" s="152"/>
      <c r="F8" s="152"/>
      <c r="G8" s="152"/>
      <c r="H8" s="152"/>
      <c r="I8" s="152"/>
      <c r="J8" s="152"/>
      <c r="K8" s="152"/>
      <c r="L8" s="152"/>
      <c r="M8" s="152"/>
      <c r="N8" s="152"/>
      <c r="O8" s="152"/>
      <c r="P8" s="152"/>
      <c r="Q8" s="152"/>
      <c r="R8" s="152"/>
      <c r="S8" s="152"/>
      <c r="T8" s="152"/>
    </row>
    <row r="9" spans="1:20">
      <c r="A9" s="152"/>
      <c r="B9" s="152"/>
      <c r="C9" s="152"/>
      <c r="D9" s="152"/>
      <c r="E9" s="152"/>
      <c r="F9" s="152"/>
      <c r="G9" s="152"/>
      <c r="H9" s="152"/>
      <c r="I9" s="152"/>
      <c r="J9" s="152"/>
      <c r="K9" s="152"/>
      <c r="L9" s="152"/>
      <c r="M9" s="152"/>
      <c r="N9" s="152"/>
      <c r="O9" s="152"/>
      <c r="P9" s="152"/>
      <c r="Q9" s="152"/>
      <c r="R9" s="152"/>
      <c r="S9" s="152"/>
      <c r="T9" s="152"/>
    </row>
    <row r="10" spans="1:20">
      <c r="A10" s="152"/>
      <c r="B10" s="938" t="s">
        <v>9725</v>
      </c>
      <c r="C10" s="153"/>
      <c r="D10" s="152"/>
      <c r="E10" s="152"/>
      <c r="F10" s="152"/>
      <c r="G10" s="152"/>
      <c r="H10" s="152"/>
      <c r="I10" s="152"/>
      <c r="J10" s="152"/>
      <c r="K10" s="152"/>
      <c r="L10" s="152"/>
      <c r="M10" s="152"/>
      <c r="N10" s="152"/>
      <c r="O10" s="152"/>
      <c r="P10" s="152"/>
      <c r="Q10" s="152"/>
      <c r="R10" s="152"/>
      <c r="S10" s="152"/>
      <c r="T10" s="152"/>
    </row>
    <row r="11" spans="1:20">
      <c r="A11" s="152"/>
      <c r="B11" s="152"/>
      <c r="C11" s="153" t="s">
        <v>9726</v>
      </c>
      <c r="D11" s="152"/>
      <c r="E11" s="152"/>
      <c r="F11" s="152"/>
      <c r="G11" s="152"/>
      <c r="H11" s="152"/>
      <c r="I11" s="152"/>
      <c r="J11" s="152"/>
      <c r="K11" s="152"/>
      <c r="L11" s="152"/>
      <c r="M11" s="152"/>
      <c r="N11" s="152"/>
      <c r="O11" s="152"/>
      <c r="P11" s="152"/>
      <c r="Q11" s="152"/>
      <c r="R11" s="152"/>
      <c r="S11" s="152"/>
      <c r="T11" s="152"/>
    </row>
    <row r="12" spans="1:20">
      <c r="A12" s="152"/>
      <c r="B12" s="152"/>
      <c r="C12" s="152"/>
      <c r="D12" s="152"/>
      <c r="E12" s="152"/>
      <c r="F12" s="152"/>
      <c r="G12" s="152"/>
      <c r="H12" s="152"/>
      <c r="I12" s="152"/>
      <c r="J12" s="152"/>
      <c r="K12" s="152"/>
      <c r="L12" s="152"/>
      <c r="M12" s="152"/>
      <c r="N12" s="152"/>
      <c r="O12" s="152"/>
      <c r="P12" s="152"/>
      <c r="Q12" s="152"/>
      <c r="R12" s="152"/>
      <c r="S12" s="152"/>
      <c r="T12" s="152"/>
    </row>
    <row r="13" spans="1:20">
      <c r="A13" s="152"/>
      <c r="B13" s="152"/>
      <c r="C13" s="938" t="s">
        <v>9727</v>
      </c>
      <c r="D13" s="152"/>
      <c r="E13" s="152"/>
      <c r="F13" s="152"/>
      <c r="G13" s="152"/>
      <c r="H13" s="152"/>
      <c r="I13" s="152"/>
      <c r="J13" s="152"/>
      <c r="K13" s="152"/>
      <c r="L13" s="152"/>
      <c r="M13" s="152"/>
      <c r="N13" s="152"/>
      <c r="O13" s="152"/>
      <c r="P13" s="152"/>
      <c r="Q13" s="152"/>
      <c r="R13" s="152"/>
      <c r="S13" s="152"/>
      <c r="T13" s="152"/>
    </row>
    <row r="14" spans="1:20">
      <c r="A14" s="152"/>
      <c r="B14" s="152"/>
      <c r="C14" s="938" t="s">
        <v>9721</v>
      </c>
      <c r="D14" s="152"/>
      <c r="E14" s="152"/>
      <c r="F14" s="152"/>
      <c r="G14" s="152"/>
      <c r="H14" s="152"/>
      <c r="I14" s="152"/>
      <c r="J14" s="152"/>
      <c r="K14" s="152"/>
      <c r="L14" s="152"/>
      <c r="M14" s="152"/>
      <c r="N14" s="152"/>
      <c r="O14" s="152"/>
      <c r="P14" s="152"/>
      <c r="Q14" s="152"/>
      <c r="R14" s="152"/>
      <c r="S14" s="152"/>
      <c r="T14" s="152"/>
    </row>
    <row r="15" spans="1:20">
      <c r="A15" s="152"/>
      <c r="B15" s="152"/>
      <c r="C15" s="152"/>
      <c r="D15" s="152"/>
      <c r="E15" s="152"/>
      <c r="F15" s="152"/>
      <c r="G15" s="152"/>
      <c r="H15" s="152"/>
      <c r="I15" s="152"/>
      <c r="J15" s="152"/>
      <c r="K15" s="152"/>
      <c r="L15" s="152"/>
      <c r="M15" s="152"/>
      <c r="N15" s="152"/>
      <c r="O15" s="152"/>
      <c r="P15" s="152"/>
      <c r="Q15" s="152"/>
      <c r="R15" s="152"/>
      <c r="S15" s="152"/>
      <c r="T15" s="152"/>
    </row>
    <row r="16" spans="1:20">
      <c r="A16" s="152"/>
      <c r="B16" s="152"/>
      <c r="C16" s="152"/>
      <c r="D16" s="152"/>
      <c r="E16" s="152"/>
      <c r="F16" s="152"/>
      <c r="G16" s="152"/>
      <c r="H16" s="152"/>
      <c r="I16" s="152"/>
      <c r="J16" s="152"/>
      <c r="K16" s="152"/>
      <c r="L16" s="152"/>
      <c r="M16" s="152"/>
      <c r="N16" s="152"/>
      <c r="O16" s="152"/>
      <c r="P16" s="152"/>
      <c r="Q16" s="152"/>
      <c r="R16" s="152"/>
      <c r="S16" s="152"/>
      <c r="T16" s="152"/>
    </row>
    <row r="17" spans="1:20">
      <c r="A17" s="152"/>
      <c r="B17" s="152"/>
      <c r="C17" s="152"/>
      <c r="D17" s="152"/>
      <c r="E17" s="152"/>
      <c r="F17" s="152"/>
      <c r="G17" s="152"/>
      <c r="H17" s="152"/>
      <c r="I17" s="152"/>
      <c r="J17" s="152"/>
      <c r="K17" s="152"/>
      <c r="L17" s="152"/>
      <c r="M17" s="152"/>
      <c r="N17" s="152"/>
      <c r="O17" s="152"/>
      <c r="P17" s="152"/>
      <c r="Q17" s="152"/>
      <c r="R17" s="152"/>
      <c r="S17" s="152"/>
      <c r="T17" s="152"/>
    </row>
    <row r="18" spans="1:20">
      <c r="A18" s="152"/>
      <c r="B18" s="152"/>
      <c r="C18" s="152"/>
      <c r="D18" s="152"/>
      <c r="E18" s="152"/>
      <c r="F18" s="152"/>
      <c r="G18" s="152"/>
      <c r="H18" s="152"/>
      <c r="I18" s="152"/>
      <c r="J18" s="152"/>
      <c r="K18" s="152"/>
      <c r="L18" s="152"/>
      <c r="M18" s="152"/>
      <c r="N18" s="152"/>
      <c r="O18" s="152"/>
      <c r="P18" s="152"/>
      <c r="Q18" s="152"/>
      <c r="R18" s="152"/>
      <c r="S18" s="152"/>
      <c r="T18" s="152"/>
    </row>
    <row r="19" spans="1:20">
      <c r="A19" s="152"/>
      <c r="B19" s="152"/>
      <c r="C19" s="152"/>
      <c r="D19" s="152"/>
      <c r="E19" s="152"/>
      <c r="F19" s="152"/>
      <c r="G19" s="152"/>
      <c r="H19" s="152"/>
      <c r="I19" s="152"/>
      <c r="J19" s="152"/>
      <c r="K19" s="152"/>
      <c r="L19" s="152"/>
      <c r="M19" s="152"/>
      <c r="N19" s="152"/>
      <c r="O19" s="152"/>
      <c r="P19" s="152"/>
      <c r="Q19" s="152"/>
      <c r="R19" s="152"/>
      <c r="S19" s="152"/>
      <c r="T19" s="152"/>
    </row>
    <row r="20" spans="1:20">
      <c r="A20" s="152"/>
      <c r="B20" s="152"/>
      <c r="C20" s="152"/>
      <c r="D20" s="152"/>
      <c r="E20" s="152"/>
      <c r="F20" s="152"/>
      <c r="G20" s="152"/>
      <c r="H20" s="152"/>
      <c r="I20" s="152"/>
      <c r="J20" s="152"/>
      <c r="K20" s="152"/>
      <c r="L20" s="152"/>
      <c r="M20" s="152"/>
      <c r="N20" s="152"/>
      <c r="O20" s="152"/>
      <c r="P20" s="152"/>
      <c r="Q20" s="152"/>
      <c r="R20" s="152"/>
      <c r="S20" s="152"/>
      <c r="T20" s="152"/>
    </row>
    <row r="21" spans="1:20">
      <c r="A21" s="152"/>
      <c r="B21" s="152"/>
      <c r="C21" s="152"/>
      <c r="D21" s="152"/>
      <c r="E21" s="152"/>
      <c r="F21" s="152"/>
      <c r="G21" s="152"/>
      <c r="H21" s="152"/>
      <c r="I21" s="152"/>
      <c r="J21" s="152"/>
      <c r="K21" s="152"/>
      <c r="L21" s="152"/>
      <c r="M21" s="152"/>
      <c r="N21" s="152"/>
      <c r="O21" s="152"/>
      <c r="P21" s="152"/>
      <c r="Q21" s="152"/>
      <c r="R21" s="152"/>
      <c r="S21" s="152"/>
      <c r="T21" s="152"/>
    </row>
    <row r="22" spans="1:20">
      <c r="A22" s="152"/>
      <c r="B22" s="152"/>
      <c r="C22" s="152"/>
      <c r="D22" s="152"/>
      <c r="E22" s="152"/>
      <c r="F22" s="152"/>
      <c r="G22" s="152"/>
      <c r="H22" s="152"/>
      <c r="I22" s="152"/>
      <c r="J22" s="152"/>
      <c r="K22" s="152"/>
      <c r="L22" s="152"/>
      <c r="M22" s="152"/>
      <c r="N22" s="152"/>
      <c r="O22" s="152"/>
      <c r="P22" s="152"/>
      <c r="Q22" s="152"/>
      <c r="R22" s="152"/>
      <c r="S22" s="152"/>
      <c r="T22" s="152"/>
    </row>
    <row r="23" spans="1:20">
      <c r="A23" s="152"/>
      <c r="B23" s="152"/>
      <c r="C23" s="152"/>
      <c r="D23" s="152"/>
      <c r="E23" s="152"/>
      <c r="F23" s="152"/>
      <c r="G23" s="152"/>
      <c r="H23" s="152"/>
      <c r="I23" s="152"/>
      <c r="J23" s="152"/>
      <c r="K23" s="152"/>
      <c r="L23" s="152"/>
      <c r="M23" s="152"/>
      <c r="N23" s="152"/>
      <c r="O23" s="152"/>
      <c r="P23" s="152"/>
      <c r="Q23" s="152"/>
      <c r="R23" s="152"/>
      <c r="S23" s="152"/>
      <c r="T23" s="152"/>
    </row>
    <row r="24" spans="1:20">
      <c r="A24" s="152"/>
      <c r="B24" s="152"/>
      <c r="C24" s="152"/>
      <c r="D24" s="152"/>
      <c r="E24" s="152"/>
      <c r="F24" s="152"/>
      <c r="G24" s="152"/>
      <c r="H24" s="152"/>
      <c r="I24" s="152"/>
      <c r="J24" s="152"/>
      <c r="K24" s="152"/>
      <c r="L24" s="152"/>
      <c r="M24" s="152"/>
      <c r="N24" s="152"/>
      <c r="O24" s="152"/>
      <c r="P24" s="152"/>
      <c r="Q24" s="152"/>
      <c r="R24" s="152"/>
      <c r="S24" s="152"/>
      <c r="T24" s="152"/>
    </row>
    <row r="25" spans="1:20">
      <c r="A25" s="152"/>
      <c r="B25" s="152"/>
      <c r="C25" s="152"/>
      <c r="D25" s="152"/>
      <c r="E25" s="152"/>
      <c r="F25" s="152"/>
      <c r="G25" s="152"/>
      <c r="H25" s="152"/>
      <c r="I25" s="152"/>
      <c r="J25" s="152"/>
      <c r="K25" s="152"/>
      <c r="L25" s="152"/>
      <c r="M25" s="152"/>
      <c r="N25" s="152"/>
      <c r="O25" s="152"/>
      <c r="P25" s="152"/>
      <c r="Q25" s="152"/>
      <c r="R25" s="152"/>
      <c r="S25" s="152"/>
      <c r="T25" s="152"/>
    </row>
    <row r="26" spans="1:20">
      <c r="A26" s="152"/>
      <c r="B26" s="152"/>
      <c r="C26" s="152"/>
      <c r="D26" s="152"/>
      <c r="E26" s="152"/>
      <c r="F26" s="152"/>
      <c r="G26" s="152"/>
      <c r="H26" s="152"/>
      <c r="I26" s="152"/>
      <c r="J26" s="152"/>
      <c r="K26" s="152"/>
      <c r="L26" s="152"/>
      <c r="M26" s="152"/>
      <c r="N26" s="152"/>
      <c r="O26" s="152"/>
      <c r="P26" s="152"/>
      <c r="Q26" s="152"/>
      <c r="R26" s="152"/>
      <c r="S26" s="152"/>
      <c r="T26" s="152"/>
    </row>
    <row r="27" spans="1:20">
      <c r="A27" s="152"/>
      <c r="B27" s="152"/>
      <c r="C27" s="152"/>
      <c r="D27" s="152"/>
      <c r="E27" s="152"/>
      <c r="F27" s="152"/>
      <c r="G27" s="152"/>
      <c r="H27" s="152"/>
      <c r="I27" s="152"/>
      <c r="J27" s="152"/>
      <c r="K27" s="152"/>
      <c r="L27" s="152"/>
      <c r="M27" s="152"/>
      <c r="N27" s="152"/>
      <c r="O27" s="152"/>
      <c r="P27" s="152"/>
      <c r="Q27" s="152"/>
      <c r="R27" s="152"/>
      <c r="S27" s="152"/>
      <c r="T27" s="152"/>
    </row>
    <row r="28" spans="1:20">
      <c r="A28" s="152"/>
      <c r="B28" s="152"/>
      <c r="C28" s="152"/>
      <c r="D28" s="152"/>
      <c r="E28" s="152"/>
      <c r="F28" s="152"/>
      <c r="G28" s="152"/>
      <c r="H28" s="152"/>
      <c r="I28" s="152"/>
      <c r="J28" s="152"/>
      <c r="K28" s="152"/>
      <c r="L28" s="152"/>
      <c r="M28" s="152"/>
      <c r="N28" s="152"/>
      <c r="O28" s="152"/>
      <c r="P28" s="152"/>
      <c r="Q28" s="152"/>
      <c r="R28" s="152"/>
      <c r="S28" s="152"/>
      <c r="T28" s="152"/>
    </row>
    <row r="29" spans="1:20">
      <c r="A29" s="152"/>
      <c r="B29" s="152"/>
      <c r="C29" s="152"/>
      <c r="D29" s="152"/>
      <c r="E29" s="152"/>
      <c r="F29" s="152"/>
      <c r="G29" s="152"/>
      <c r="H29" s="152"/>
      <c r="I29" s="152"/>
      <c r="J29" s="152"/>
      <c r="K29" s="152"/>
      <c r="L29" s="152"/>
      <c r="M29" s="152"/>
      <c r="N29" s="152"/>
      <c r="O29" s="152"/>
      <c r="P29" s="152"/>
      <c r="Q29" s="152"/>
      <c r="R29" s="152"/>
      <c r="S29" s="152"/>
      <c r="T29" s="152"/>
    </row>
    <row r="30" spans="1:20">
      <c r="A30" s="152"/>
      <c r="B30" s="152"/>
      <c r="C30" s="152"/>
      <c r="D30" s="152"/>
      <c r="E30" s="152"/>
      <c r="F30" s="152"/>
      <c r="G30" s="152"/>
      <c r="H30" s="152"/>
      <c r="I30" s="152"/>
      <c r="J30" s="152"/>
      <c r="K30" s="152"/>
      <c r="L30" s="152"/>
      <c r="M30" s="152"/>
      <c r="N30" s="152"/>
      <c r="O30" s="152"/>
      <c r="P30" s="152"/>
      <c r="Q30" s="152"/>
      <c r="R30" s="152"/>
      <c r="S30" s="152"/>
      <c r="T30" s="152"/>
    </row>
    <row r="31" spans="1:20">
      <c r="A31" s="152"/>
      <c r="B31" s="152"/>
      <c r="C31" s="152"/>
      <c r="D31" s="152"/>
      <c r="E31" s="152"/>
      <c r="F31" s="152"/>
      <c r="G31" s="152"/>
      <c r="H31" s="152"/>
      <c r="I31" s="152"/>
      <c r="J31" s="152"/>
      <c r="K31" s="152"/>
      <c r="L31" s="152"/>
      <c r="M31" s="152"/>
      <c r="N31" s="152"/>
      <c r="O31" s="152"/>
      <c r="P31" s="152"/>
      <c r="Q31" s="152"/>
      <c r="R31" s="152"/>
      <c r="S31" s="152"/>
      <c r="T31" s="152"/>
    </row>
    <row r="32" spans="1:20">
      <c r="A32" s="152"/>
      <c r="B32" s="152"/>
      <c r="C32" s="152"/>
      <c r="D32" s="152"/>
      <c r="E32" s="152"/>
      <c r="F32" s="152"/>
      <c r="G32" s="152"/>
      <c r="H32" s="152"/>
      <c r="I32" s="152"/>
      <c r="J32" s="152"/>
      <c r="K32" s="152"/>
      <c r="L32" s="152"/>
      <c r="M32" s="152"/>
      <c r="N32" s="152"/>
      <c r="O32" s="152"/>
      <c r="P32" s="152"/>
      <c r="Q32" s="152"/>
      <c r="R32" s="152"/>
      <c r="S32" s="152"/>
      <c r="T32" s="152"/>
    </row>
    <row r="33" spans="1:20">
      <c r="A33" s="152"/>
      <c r="B33" s="152"/>
      <c r="C33" s="152"/>
      <c r="D33" s="152"/>
      <c r="E33" s="152"/>
      <c r="F33" s="152"/>
      <c r="G33" s="152"/>
      <c r="H33" s="152"/>
      <c r="I33" s="152"/>
      <c r="J33" s="152"/>
      <c r="K33" s="152"/>
      <c r="L33" s="152"/>
      <c r="M33" s="152"/>
      <c r="N33" s="152"/>
      <c r="O33" s="152"/>
      <c r="P33" s="152"/>
      <c r="Q33" s="152"/>
      <c r="R33" s="152"/>
      <c r="S33" s="152"/>
      <c r="T33" s="152"/>
    </row>
    <row r="34" spans="1:20">
      <c r="A34" s="152"/>
      <c r="B34" s="152"/>
      <c r="C34" s="152"/>
      <c r="D34" s="152"/>
      <c r="E34" s="152"/>
      <c r="F34" s="152"/>
      <c r="G34" s="152"/>
      <c r="H34" s="152"/>
      <c r="I34" s="152"/>
      <c r="J34" s="152"/>
      <c r="K34" s="152"/>
      <c r="L34" s="152"/>
      <c r="M34" s="152"/>
      <c r="N34" s="152"/>
      <c r="O34" s="152"/>
      <c r="P34" s="152"/>
      <c r="Q34" s="152"/>
      <c r="R34" s="152"/>
      <c r="S34" s="152"/>
      <c r="T34" s="152"/>
    </row>
    <row r="35" spans="1:20">
      <c r="A35" s="152"/>
      <c r="B35" s="152"/>
      <c r="C35" s="152"/>
      <c r="D35" s="152"/>
      <c r="E35" s="152"/>
      <c r="F35" s="152"/>
      <c r="G35" s="152"/>
      <c r="H35" s="152"/>
      <c r="I35" s="152"/>
      <c r="J35" s="152"/>
      <c r="K35" s="152"/>
      <c r="L35" s="152"/>
      <c r="M35" s="152"/>
      <c r="N35" s="152"/>
      <c r="O35" s="152"/>
      <c r="P35" s="152"/>
      <c r="Q35" s="152"/>
      <c r="R35" s="152"/>
      <c r="S35" s="152"/>
      <c r="T35" s="152"/>
    </row>
    <row r="36" spans="1:20">
      <c r="A36" s="152"/>
      <c r="B36" s="152"/>
      <c r="C36" s="152"/>
      <c r="D36" s="152"/>
      <c r="E36" s="152"/>
      <c r="F36" s="152"/>
      <c r="G36" s="152"/>
      <c r="H36" s="152"/>
      <c r="I36" s="152"/>
      <c r="J36" s="152"/>
      <c r="K36" s="152"/>
      <c r="L36" s="152"/>
      <c r="M36" s="152"/>
      <c r="N36" s="152"/>
      <c r="O36" s="152"/>
      <c r="P36" s="152"/>
      <c r="Q36" s="152"/>
      <c r="R36" s="152"/>
      <c r="S36" s="152"/>
      <c r="T36" s="152"/>
    </row>
    <row r="37" spans="1:20">
      <c r="A37" s="152"/>
      <c r="B37" s="152"/>
      <c r="C37" s="152"/>
      <c r="D37" s="152"/>
      <c r="E37" s="152"/>
      <c r="F37" s="152"/>
      <c r="G37" s="152"/>
      <c r="H37" s="152"/>
      <c r="I37" s="152"/>
      <c r="J37" s="152"/>
      <c r="K37" s="152"/>
      <c r="L37" s="152"/>
      <c r="M37" s="152"/>
      <c r="N37" s="152"/>
      <c r="O37" s="152"/>
      <c r="P37" s="152"/>
      <c r="Q37" s="152"/>
      <c r="R37" s="152"/>
      <c r="S37" s="152"/>
      <c r="T37" s="152"/>
    </row>
    <row r="38" spans="1:20">
      <c r="A38" s="152"/>
      <c r="B38" s="152"/>
      <c r="C38" s="152"/>
      <c r="D38" s="152"/>
      <c r="E38" s="152"/>
      <c r="F38" s="152"/>
      <c r="G38" s="152"/>
      <c r="H38" s="152"/>
      <c r="I38" s="152"/>
      <c r="J38" s="152"/>
      <c r="K38" s="152"/>
      <c r="L38" s="152"/>
      <c r="M38" s="152"/>
      <c r="N38" s="152"/>
      <c r="O38" s="152"/>
      <c r="P38" s="152"/>
      <c r="Q38" s="152"/>
      <c r="R38" s="152"/>
      <c r="S38" s="152"/>
      <c r="T38" s="152"/>
    </row>
    <row r="39" spans="1:20">
      <c r="A39" s="152"/>
      <c r="B39" s="152"/>
      <c r="C39" s="152"/>
      <c r="D39" s="152"/>
      <c r="E39" s="152"/>
      <c r="F39" s="152"/>
      <c r="G39" s="152"/>
      <c r="H39" s="152"/>
      <c r="I39" s="152"/>
      <c r="J39" s="152"/>
      <c r="K39" s="152"/>
      <c r="L39" s="152"/>
      <c r="M39" s="152"/>
      <c r="N39" s="152"/>
      <c r="O39" s="152"/>
      <c r="P39" s="152"/>
      <c r="Q39" s="152"/>
      <c r="R39" s="152"/>
      <c r="S39" s="152"/>
      <c r="T39" s="152"/>
    </row>
    <row r="40" spans="1:20">
      <c r="A40" s="152"/>
      <c r="B40" s="152"/>
      <c r="C40" s="152"/>
      <c r="D40" s="152"/>
      <c r="E40" s="152"/>
      <c r="F40" s="152"/>
      <c r="G40" s="152"/>
      <c r="H40" s="152"/>
      <c r="I40" s="152"/>
      <c r="J40" s="152"/>
      <c r="K40" s="152"/>
      <c r="L40" s="152"/>
      <c r="M40" s="152"/>
      <c r="N40" s="152"/>
      <c r="O40" s="152"/>
      <c r="P40" s="152"/>
      <c r="Q40" s="152"/>
      <c r="R40" s="152"/>
      <c r="S40" s="152"/>
      <c r="T40" s="152"/>
    </row>
    <row r="41" spans="1:20">
      <c r="A41" s="152"/>
      <c r="B41" s="152"/>
      <c r="C41" s="152"/>
      <c r="D41" s="152"/>
      <c r="E41" s="152"/>
      <c r="F41" s="152"/>
      <c r="G41" s="152"/>
      <c r="H41" s="152"/>
      <c r="I41" s="152"/>
      <c r="J41" s="152"/>
      <c r="K41" s="152"/>
      <c r="L41" s="152"/>
      <c r="M41" s="152"/>
      <c r="N41" s="152"/>
      <c r="O41" s="152"/>
      <c r="P41" s="152"/>
      <c r="Q41" s="152"/>
      <c r="R41" s="152"/>
      <c r="S41" s="152"/>
      <c r="T41" s="152"/>
    </row>
  </sheetData>
  <sheetProtection formatColumns="0" formatRows="0"/>
  <hyperlinks>
    <hyperlink ref="C5" r:id="rId1" xr:uid="{00000000-0004-0000-1600-000000000000}"/>
    <hyperlink ref="C11" r:id="rId2" xr:uid="{00000000-0004-0000-1600-000001000000}"/>
  </hyperlinks>
  <pageMargins left="0.7" right="0.7" top="0.75" bottom="0.75" header="0.3" footer="0.3"/>
  <pageSetup orientation="portrait" r:id="rId3"/>
  <headerFooter>
    <oddFooter>&amp;CAT&amp;&amp;T Proprietary (Internal Use Only)</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wsBlankSheet"/>
  <dimension ref="C7"/>
  <sheetViews>
    <sheetView showGridLines="0" showRowColHeaders="0" workbookViewId="0">
      <selection activeCell="I24" sqref="I24"/>
    </sheetView>
  </sheetViews>
  <sheetFormatPr defaultRowHeight="12.75"/>
  <sheetData>
    <row r="7" spans="3:3" ht="20.25">
      <c r="C7" s="166" t="s">
        <v>7759</v>
      </c>
    </row>
  </sheetData>
  <sheetProtection formatColumns="0" formatRows="0"/>
  <pageMargins left="0.7" right="0.7" top="0.75" bottom="0.75" header="0.3" footer="0.3"/>
  <pageSetup orientation="portrait" r:id="rId1"/>
  <headerFooter>
    <oddFooter>&amp;CAT&amp;&amp;T Proprietary (Internal Use Only)</oddFooter>
  </headerFooter>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x_Mobility_PremCalc">
    <tabColor rgb="FFFF9900"/>
    <pageSetUpPr fitToPage="1"/>
  </sheetPr>
  <dimension ref="A1:Q140"/>
  <sheetViews>
    <sheetView zoomScale="85" zoomScaleNormal="85" workbookViewId="0">
      <selection activeCell="M11" sqref="M11"/>
    </sheetView>
  </sheetViews>
  <sheetFormatPr defaultColWidth="9.140625" defaultRowHeight="12.75"/>
  <cols>
    <col min="1" max="1" width="37.28515625" style="744" customWidth="1"/>
    <col min="2" max="2" width="12.5703125" style="744" customWidth="1"/>
    <col min="3" max="4" width="12.5703125" style="789" customWidth="1"/>
    <col min="5" max="5" width="12.5703125" style="809" customWidth="1"/>
    <col min="6" max="6" width="12.5703125" style="744" customWidth="1"/>
    <col min="7" max="7" width="13.5703125" style="744" customWidth="1"/>
    <col min="8" max="8" width="14.140625" style="744" customWidth="1"/>
    <col min="9" max="9" width="2.7109375" style="744" customWidth="1"/>
    <col min="10" max="10" width="25.42578125" style="744" customWidth="1"/>
    <col min="11" max="11" width="12.5703125" style="744" customWidth="1"/>
    <col min="12" max="13" width="12.5703125" style="789" customWidth="1"/>
    <col min="14" max="14" width="12.5703125" style="809" customWidth="1"/>
    <col min="15" max="16" width="12.5703125" style="789" customWidth="1"/>
    <col min="17" max="17" width="12.5703125" style="744" customWidth="1"/>
    <col min="18" max="18" width="9.140625" style="744" customWidth="1"/>
    <col min="19" max="37" width="11.42578125" style="744" customWidth="1"/>
    <col min="38" max="38" width="10" style="744" customWidth="1"/>
    <col min="39" max="43" width="9.140625" style="744" customWidth="1"/>
    <col min="44" max="16384" width="9.140625" style="744"/>
  </cols>
  <sheetData>
    <row r="1" spans="1:17" s="827" customFormat="1" ht="18" customHeight="1" thickBot="1">
      <c r="A1" s="824" t="s">
        <v>9899</v>
      </c>
      <c r="B1" s="825"/>
      <c r="C1" s="825"/>
      <c r="D1" s="825"/>
      <c r="E1" s="825"/>
      <c r="F1" s="825"/>
      <c r="G1" s="825"/>
      <c r="H1" s="826"/>
    </row>
    <row r="2" spans="1:17" s="762" customFormat="1">
      <c r="D2" s="788"/>
      <c r="E2" s="983"/>
      <c r="F2" s="983"/>
    </row>
    <row r="3" spans="1:17" s="762" customFormat="1" ht="13.5" thickBot="1">
      <c r="A3" s="808" t="s">
        <v>9901</v>
      </c>
      <c r="B3" s="1830" t="str">
        <f>IF(LEFT(oppty.RequestLabel,4)="Base",oppty.ICBPSnum,"Enter on Step 0")</f>
        <v>Enter on Step 0</v>
      </c>
      <c r="C3" s="1831"/>
      <c r="D3" s="788"/>
      <c r="E3" s="983" t="s">
        <v>9904</v>
      </c>
      <c r="F3" s="763"/>
      <c r="G3" s="1826"/>
      <c r="H3" s="1826"/>
    </row>
    <row r="4" spans="1:17" s="762" customFormat="1">
      <c r="A4" s="808" t="s">
        <v>9900</v>
      </c>
      <c r="B4" s="1830" t="str">
        <f>IF(ISBLANK(oppty.competitor),"Enter on Step 0",oppty.competitor)</f>
        <v>Enter on Step 0</v>
      </c>
      <c r="C4" s="1831"/>
      <c r="D4" s="788"/>
      <c r="E4" s="997" t="s">
        <v>9905</v>
      </c>
      <c r="F4" s="998"/>
      <c r="G4" s="1823"/>
      <c r="H4" s="1825"/>
      <c r="J4" s="982"/>
      <c r="K4" s="984"/>
      <c r="L4" s="985"/>
      <c r="M4" s="985"/>
      <c r="N4" s="986"/>
      <c r="O4" s="987"/>
      <c r="P4" s="988" t="s">
        <v>9239</v>
      </c>
      <c r="Q4" s="989">
        <f>(H50-Q50)</f>
        <v>0</v>
      </c>
    </row>
    <row r="5" spans="1:17" s="762" customFormat="1" ht="13.5" thickBot="1">
      <c r="A5" s="983" t="s">
        <v>9603</v>
      </c>
      <c r="B5" s="1827">
        <f>oppty.customerName</f>
        <v>0</v>
      </c>
      <c r="C5" s="1828"/>
      <c r="D5" s="788"/>
      <c r="E5" s="1002" t="s">
        <v>9906</v>
      </c>
      <c r="F5" s="1003"/>
      <c r="G5" s="1003"/>
      <c r="H5" s="1001"/>
      <c r="J5" s="776"/>
      <c r="K5" s="758"/>
      <c r="L5" s="799"/>
      <c r="M5" s="799"/>
      <c r="N5" s="821"/>
      <c r="O5" s="990"/>
      <c r="P5" s="991" t="s">
        <v>9240</v>
      </c>
      <c r="Q5" s="992">
        <f>IF(Q50,Q4/Q50,0)</f>
        <v>0</v>
      </c>
    </row>
    <row r="6" spans="1:17" s="762" customFormat="1" ht="13.5" thickBot="1">
      <c r="A6" s="983" t="s">
        <v>9902</v>
      </c>
      <c r="B6" s="1827">
        <f>oppty.segment</f>
        <v>0</v>
      </c>
      <c r="C6" s="1828"/>
      <c r="D6" s="788"/>
      <c r="E6" s="1003"/>
      <c r="F6" s="1004"/>
      <c r="G6" s="1003"/>
      <c r="H6" s="1003"/>
      <c r="J6" s="744"/>
      <c r="K6" s="744"/>
      <c r="L6" s="789"/>
      <c r="M6" s="789"/>
      <c r="N6" s="809"/>
      <c r="O6" s="744"/>
      <c r="P6" s="744"/>
      <c r="Q6" s="744"/>
    </row>
    <row r="7" spans="1:17" s="762" customFormat="1">
      <c r="A7" s="983" t="str">
        <f>'Step 0'!B23&amp;":"</f>
        <v>Sales Channel:</v>
      </c>
      <c r="B7" s="1827">
        <f>oppty.salesChannel</f>
        <v>0</v>
      </c>
      <c r="C7" s="1828"/>
      <c r="D7" s="788"/>
      <c r="E7" s="1002"/>
      <c r="F7" s="1005" t="s">
        <v>9907</v>
      </c>
      <c r="G7" s="1829" t="s">
        <v>9914</v>
      </c>
      <c r="H7" s="1829"/>
      <c r="J7" s="982"/>
      <c r="K7" s="984"/>
      <c r="L7" s="985"/>
      <c r="M7" s="985"/>
      <c r="N7" s="986"/>
      <c r="O7" s="984"/>
      <c r="P7" s="988" t="s">
        <v>9242</v>
      </c>
      <c r="Q7" s="993">
        <f>Q4/C48</f>
        <v>0</v>
      </c>
    </row>
    <row r="8" spans="1:17" s="762" customFormat="1">
      <c r="A8" s="983" t="str">
        <f>'Step 0'!B24&amp;":"</f>
        <v>BU:</v>
      </c>
      <c r="B8" s="1827">
        <f>oppty.BusinessUnit</f>
        <v>0</v>
      </c>
      <c r="C8" s="1828"/>
      <c r="D8" s="788"/>
      <c r="E8" s="1002"/>
      <c r="F8" s="1005" t="s">
        <v>9908</v>
      </c>
      <c r="G8" s="1829" t="s">
        <v>9914</v>
      </c>
      <c r="H8" s="1829"/>
      <c r="J8" s="772"/>
      <c r="K8" s="766"/>
      <c r="L8" s="795"/>
      <c r="M8" s="795"/>
      <c r="N8" s="817"/>
      <c r="O8" s="766"/>
      <c r="P8" s="745" t="s">
        <v>9243</v>
      </c>
      <c r="Q8" s="781">
        <f>(H50-(Q50*1.1))/C48</f>
        <v>0</v>
      </c>
    </row>
    <row r="9" spans="1:17" s="762" customFormat="1">
      <c r="A9" s="983" t="str">
        <f>'Step 0'!B25&amp;":"</f>
        <v>Sales Center VP/RVP:</v>
      </c>
      <c r="B9" s="1827">
        <f>oppty.salesVP</f>
        <v>0</v>
      </c>
      <c r="C9" s="1828"/>
      <c r="D9" s="788"/>
      <c r="E9" s="1000" t="s">
        <v>9909</v>
      </c>
      <c r="F9" s="999"/>
      <c r="G9" s="1832"/>
      <c r="H9" s="1832"/>
      <c r="J9" s="772"/>
      <c r="K9" s="766"/>
      <c r="L9" s="795"/>
      <c r="M9" s="795"/>
      <c r="N9" s="817"/>
      <c r="O9" s="766"/>
      <c r="P9" s="745" t="s">
        <v>9244</v>
      </c>
      <c r="Q9" s="781">
        <f>(H50-(Q50*1.15))/C48</f>
        <v>0</v>
      </c>
    </row>
    <row r="10" spans="1:17" s="762" customFormat="1">
      <c r="A10" s="983" t="str">
        <f>'Step 0'!B27&amp;":"</f>
        <v>Account Executive:</v>
      </c>
      <c r="B10" s="1827">
        <f>oppty.accountExecutive</f>
        <v>0</v>
      </c>
      <c r="C10" s="1828"/>
      <c r="E10" s="806" t="s">
        <v>9264</v>
      </c>
      <c r="J10" s="772"/>
      <c r="K10" s="766"/>
      <c r="L10" s="795"/>
      <c r="M10" s="795"/>
      <c r="N10" s="817"/>
      <c r="O10" s="766"/>
      <c r="P10" s="745" t="s">
        <v>9245</v>
      </c>
      <c r="Q10" s="781">
        <f>(H50-(Q50*1.2))/C48</f>
        <v>0</v>
      </c>
    </row>
    <row r="11" spans="1:17" s="762" customFormat="1" ht="13.5" thickBot="1">
      <c r="A11" s="983" t="s">
        <v>9903</v>
      </c>
      <c r="B11" s="1823" t="s">
        <v>9891</v>
      </c>
      <c r="C11" s="1824"/>
      <c r="E11" s="807" t="s">
        <v>9265</v>
      </c>
      <c r="H11" s="968"/>
      <c r="J11" s="776"/>
      <c r="K11" s="758"/>
      <c r="L11" s="799"/>
      <c r="M11" s="799"/>
      <c r="N11" s="821"/>
      <c r="O11" s="758"/>
      <c r="P11" s="991" t="s">
        <v>9246</v>
      </c>
      <c r="Q11" s="994">
        <f>(H50-(Q50*1.25))/C48</f>
        <v>0</v>
      </c>
    </row>
    <row r="12" spans="1:17" ht="13.5" thickBot="1"/>
    <row r="13" spans="1:17" ht="18" customHeight="1" thickBot="1">
      <c r="A13" s="768" t="s">
        <v>9209</v>
      </c>
      <c r="B13" s="1006">
        <f t="array" ref="B13">MAX(MAX(IF(C17:C18-D17:D18,F17:F18/(C17:C18-D17:D18),0)),MAX(IF(C23:C24-D23:D24,F23:F24/(C23:C24-D23:D24),0)))</f>
        <v>0</v>
      </c>
      <c r="C13" s="790" t="s">
        <v>9210</v>
      </c>
      <c r="D13" s="791"/>
      <c r="E13" s="810"/>
      <c r="F13" s="769"/>
      <c r="G13" s="769"/>
      <c r="H13" s="778"/>
      <c r="J13" s="842" t="s">
        <v>9893</v>
      </c>
      <c r="K13" s="843">
        <v>0</v>
      </c>
      <c r="L13" s="790" t="s">
        <v>9211</v>
      </c>
      <c r="M13" s="791"/>
      <c r="N13" s="810"/>
      <c r="O13" s="791"/>
      <c r="P13" s="791"/>
      <c r="Q13" s="778"/>
    </row>
    <row r="14" spans="1:17" ht="41.25" customHeight="1">
      <c r="A14" s="770" t="s">
        <v>9212</v>
      </c>
      <c r="B14" s="1007" t="s">
        <v>9912</v>
      </c>
      <c r="C14" s="792" t="s">
        <v>9214</v>
      </c>
      <c r="D14" s="792" t="s">
        <v>9216</v>
      </c>
      <c r="E14" s="811" t="s">
        <v>9266</v>
      </c>
      <c r="F14" s="746" t="s">
        <v>9217</v>
      </c>
      <c r="G14" s="746" t="s">
        <v>9267</v>
      </c>
      <c r="H14" s="779" t="s">
        <v>9219</v>
      </c>
      <c r="J14" s="770" t="s">
        <v>9212</v>
      </c>
      <c r="K14" s="1007" t="s">
        <v>9912</v>
      </c>
      <c r="L14" s="792" t="s">
        <v>9214</v>
      </c>
      <c r="M14" s="792" t="s">
        <v>9216</v>
      </c>
      <c r="N14" s="811" t="s">
        <v>9266</v>
      </c>
      <c r="O14" s="792" t="s">
        <v>9217</v>
      </c>
      <c r="P14" s="792" t="s">
        <v>9267</v>
      </c>
      <c r="Q14" s="779" t="s">
        <v>9219</v>
      </c>
    </row>
    <row r="15" spans="1:17" ht="4.7" customHeight="1">
      <c r="A15" s="771"/>
      <c r="B15" s="972"/>
      <c r="C15" s="793"/>
      <c r="D15" s="793"/>
      <c r="E15" s="812"/>
      <c r="F15" s="747"/>
      <c r="G15" s="747"/>
      <c r="H15" s="780"/>
      <c r="J15" s="771"/>
      <c r="K15" s="747"/>
      <c r="L15" s="793"/>
      <c r="M15" s="793"/>
      <c r="N15" s="812"/>
      <c r="O15" s="793"/>
      <c r="P15" s="793"/>
      <c r="Q15" s="780"/>
    </row>
    <row r="16" spans="1:17" ht="15.75" customHeight="1" thickBot="1">
      <c r="A16" s="755" t="s">
        <v>9220</v>
      </c>
      <c r="B16" s="973"/>
      <c r="C16" s="794"/>
      <c r="D16" s="794"/>
      <c r="E16" s="813"/>
      <c r="F16" s="794"/>
      <c r="G16" s="749"/>
      <c r="H16" s="777"/>
      <c r="J16" s="755" t="s">
        <v>9220</v>
      </c>
      <c r="K16" s="749"/>
      <c r="L16" s="794"/>
      <c r="M16" s="794"/>
      <c r="N16" s="818"/>
      <c r="O16" s="794"/>
      <c r="P16" s="794"/>
      <c r="Q16" s="777"/>
    </row>
    <row r="17" spans="1:17" s="762" customFormat="1" ht="13.5" thickBot="1">
      <c r="A17" s="801"/>
      <c r="B17" s="974"/>
      <c r="C17" s="798"/>
      <c r="D17" s="798"/>
      <c r="E17" s="814"/>
      <c r="F17" s="802"/>
      <c r="G17" s="802">
        <f>SUM(C17,-D17,-F17)</f>
        <v>0</v>
      </c>
      <c r="H17" s="803">
        <f>G17*24*B17</f>
        <v>0</v>
      </c>
      <c r="I17" s="788"/>
      <c r="J17" s="804"/>
      <c r="K17" s="804"/>
      <c r="L17" s="828"/>
      <c r="M17" s="828"/>
      <c r="N17" s="823"/>
      <c r="O17" s="805">
        <f>IF(RIGHT(J17,13)="(No Discount)",0,(L17-M17)*$K$13)</f>
        <v>0</v>
      </c>
      <c r="P17" s="805">
        <f>SUM(L17,-M17,-O17)</f>
        <v>0</v>
      </c>
      <c r="Q17" s="803">
        <f>P17*24*K17</f>
        <v>0</v>
      </c>
    </row>
    <row r="18" spans="1:17" s="762" customFormat="1" ht="13.5" thickBot="1">
      <c r="A18" s="801"/>
      <c r="B18" s="974"/>
      <c r="C18" s="798"/>
      <c r="D18" s="798"/>
      <c r="E18" s="814"/>
      <c r="F18" s="802"/>
      <c r="G18" s="802">
        <f>SUM(C18,-D18,-F18)</f>
        <v>0</v>
      </c>
      <c r="H18" s="803">
        <f>G18*24*B18</f>
        <v>0</v>
      </c>
      <c r="I18" s="788"/>
      <c r="J18" s="804"/>
      <c r="K18" s="804"/>
      <c r="L18" s="828"/>
      <c r="M18" s="828"/>
      <c r="N18" s="823"/>
      <c r="O18" s="805">
        <f>IF(RIGHT(J18,13)="(No Discount)",0,(L18-M18)*$K$13)</f>
        <v>0</v>
      </c>
      <c r="P18" s="805">
        <f>SUM(L18,-M18,-O18)</f>
        <v>0</v>
      </c>
      <c r="Q18" s="803">
        <f>P18*24*K18</f>
        <v>0</v>
      </c>
    </row>
    <row r="19" spans="1:17" ht="3.75" customHeight="1">
      <c r="A19" s="772"/>
      <c r="B19" s="975"/>
      <c r="C19" s="795"/>
      <c r="D19" s="795"/>
      <c r="E19" s="815"/>
      <c r="F19" s="767"/>
      <c r="G19" s="767"/>
      <c r="H19" s="781"/>
      <c r="J19" s="772"/>
      <c r="K19" s="766"/>
      <c r="L19" s="795"/>
      <c r="M19" s="795"/>
      <c r="N19" s="815"/>
      <c r="O19" s="795"/>
      <c r="P19" s="795"/>
      <c r="Q19" s="781"/>
    </row>
    <row r="20" spans="1:17">
      <c r="A20" s="995" t="s">
        <v>9221</v>
      </c>
      <c r="B20" s="773">
        <f>SUM(B17:B18)</f>
        <v>0</v>
      </c>
      <c r="C20" s="796">
        <f>SUMPRODUCT($B17:$B18,C17:C18)</f>
        <v>0</v>
      </c>
      <c r="D20" s="796">
        <f>SUMPRODUCT($B17:$B18,D17:D18)</f>
        <v>0</v>
      </c>
      <c r="E20" s="816">
        <f>SUMPRODUCT($B17:$B18,E17:E18)</f>
        <v>0</v>
      </c>
      <c r="F20" s="774">
        <f>SUMPRODUCT($B17:$B18,F17:F18)</f>
        <v>0</v>
      </c>
      <c r="G20" s="750">
        <f>IF(B20,H20/24/B20,0)</f>
        <v>0</v>
      </c>
      <c r="H20" s="782">
        <f>SUM(H17:H19)</f>
        <v>0</v>
      </c>
      <c r="J20" s="995" t="s">
        <v>9221</v>
      </c>
      <c r="K20" s="773">
        <f>SUM(K17:K18)</f>
        <v>0</v>
      </c>
      <c r="L20" s="796">
        <f>SUMPRODUCT($K17:$K18,L17:L18)</f>
        <v>0</v>
      </c>
      <c r="M20" s="796">
        <f>SUMPRODUCT($K17:$K18,M17:M18)</f>
        <v>0</v>
      </c>
      <c r="N20" s="816">
        <f>SUMPRODUCT($K17:$K18,N17:N18)</f>
        <v>0</v>
      </c>
      <c r="O20" s="796">
        <f>SUMPRODUCT($K17:$K18,O17:O18)</f>
        <v>0</v>
      </c>
      <c r="P20" s="829">
        <f>IF(K20,Q20/24/K20,0)</f>
        <v>0</v>
      </c>
      <c r="Q20" s="782">
        <f>SUM(Q17:Q19)</f>
        <v>0</v>
      </c>
    </row>
    <row r="21" spans="1:17" ht="5.25" customHeight="1">
      <c r="A21" s="748"/>
      <c r="B21" s="977"/>
      <c r="C21" s="795"/>
      <c r="D21" s="795"/>
      <c r="E21" s="817"/>
      <c r="F21" s="767"/>
      <c r="G21" s="751"/>
      <c r="H21" s="783"/>
      <c r="J21" s="748"/>
      <c r="K21" s="775"/>
      <c r="L21" s="795"/>
      <c r="M21" s="795"/>
      <c r="N21" s="817"/>
      <c r="O21" s="795"/>
      <c r="P21" s="830"/>
      <c r="Q21" s="783"/>
    </row>
    <row r="22" spans="1:17" ht="13.5" thickBot="1">
      <c r="A22" s="755" t="s">
        <v>9222</v>
      </c>
      <c r="B22" s="973"/>
      <c r="C22" s="794"/>
      <c r="D22" s="794"/>
      <c r="E22" s="818"/>
      <c r="F22" s="749"/>
      <c r="G22" s="749"/>
      <c r="H22" s="777"/>
      <c r="J22" s="755" t="s">
        <v>9222</v>
      </c>
      <c r="K22" s="749"/>
      <c r="L22" s="794"/>
      <c r="M22" s="794"/>
      <c r="N22" s="818"/>
      <c r="O22" s="794"/>
      <c r="P22" s="794"/>
      <c r="Q22" s="777"/>
    </row>
    <row r="23" spans="1:17" s="762" customFormat="1" ht="13.5" thickBot="1">
      <c r="A23" s="801"/>
      <c r="B23" s="974"/>
      <c r="C23" s="798"/>
      <c r="D23" s="798"/>
      <c r="E23" s="814"/>
      <c r="F23" s="802"/>
      <c r="G23" s="802">
        <f t="shared" ref="G23:G24" si="0">SUM(C23,-D23,-F23)</f>
        <v>0</v>
      </c>
      <c r="H23" s="803">
        <f>G23*24*B23</f>
        <v>0</v>
      </c>
      <c r="I23" s="788"/>
      <c r="J23" s="804"/>
      <c r="K23" s="804"/>
      <c r="L23" s="828"/>
      <c r="M23" s="828"/>
      <c r="N23" s="823"/>
      <c r="O23" s="805">
        <f>IF(RIGHT(J23,13)="(No Discount)",0,(L23-M23)*$K$13)</f>
        <v>0</v>
      </c>
      <c r="P23" s="805">
        <f>SUM(L23,-M23,-O23)</f>
        <v>0</v>
      </c>
      <c r="Q23" s="803">
        <f>P23*24*K23</f>
        <v>0</v>
      </c>
    </row>
    <row r="24" spans="1:17" s="762" customFormat="1" ht="13.5" thickBot="1">
      <c r="A24" s="801"/>
      <c r="B24" s="974"/>
      <c r="C24" s="798"/>
      <c r="D24" s="798"/>
      <c r="E24" s="814"/>
      <c r="F24" s="802"/>
      <c r="G24" s="802">
        <f t="shared" si="0"/>
        <v>0</v>
      </c>
      <c r="H24" s="803">
        <f>G24*24*B24</f>
        <v>0</v>
      </c>
      <c r="I24" s="788"/>
      <c r="J24" s="804"/>
      <c r="K24" s="804"/>
      <c r="L24" s="828"/>
      <c r="M24" s="828"/>
      <c r="N24" s="823"/>
      <c r="O24" s="805">
        <f>IF(RIGHT(J24,13)="(No Discount)",0,(L24-M24)*$K$13)</f>
        <v>0</v>
      </c>
      <c r="P24" s="805">
        <f>SUM(L24,-M24,-O24)</f>
        <v>0</v>
      </c>
      <c r="Q24" s="803">
        <f>P24*24*K24</f>
        <v>0</v>
      </c>
    </row>
    <row r="25" spans="1:17" ht="5.25" customHeight="1">
      <c r="A25" s="772"/>
      <c r="B25" s="975"/>
      <c r="C25" s="795"/>
      <c r="D25" s="795"/>
      <c r="E25" s="815"/>
      <c r="F25" s="767"/>
      <c r="G25" s="767"/>
      <c r="H25" s="781"/>
      <c r="J25" s="772"/>
      <c r="K25" s="766"/>
      <c r="L25" s="795"/>
      <c r="M25" s="795"/>
      <c r="N25" s="815"/>
      <c r="O25" s="795"/>
      <c r="P25" s="795"/>
      <c r="Q25" s="781"/>
    </row>
    <row r="26" spans="1:17">
      <c r="A26" s="995" t="s">
        <v>9223</v>
      </c>
      <c r="B26" s="773">
        <f>SUM(B23:B24)</f>
        <v>0</v>
      </c>
      <c r="C26" s="796">
        <f>SUMPRODUCT($B23:$B24,C23:C24)</f>
        <v>0</v>
      </c>
      <c r="D26" s="796">
        <f>SUMPRODUCT($B23:$B24,D23:D24)</f>
        <v>0</v>
      </c>
      <c r="E26" s="816">
        <f>SUMPRODUCT(B23:B24,E23:E24)</f>
        <v>0</v>
      </c>
      <c r="F26" s="774">
        <f>SUMPRODUCT(C23:C24,F23:F24)</f>
        <v>0</v>
      </c>
      <c r="G26" s="750">
        <f>IF(B26,H26/24/B26,0)</f>
        <v>0</v>
      </c>
      <c r="H26" s="782">
        <f>SUM(H23:H25)</f>
        <v>0</v>
      </c>
      <c r="J26" s="995" t="s">
        <v>9223</v>
      </c>
      <c r="K26" s="773">
        <f>SUM(K23:K24)</f>
        <v>0</v>
      </c>
      <c r="L26" s="796">
        <f>SUMPRODUCT($K23:$K24,L23:L24)</f>
        <v>0</v>
      </c>
      <c r="M26" s="796">
        <f>SUMPRODUCT($K23:$K24,M23:M24)</f>
        <v>0</v>
      </c>
      <c r="N26" s="816">
        <f>SUMPRODUCT($K23:$K24,N23:N24)</f>
        <v>0</v>
      </c>
      <c r="O26" s="796">
        <f>SUMPRODUCT($K23:$K24,O23:O24)</f>
        <v>0</v>
      </c>
      <c r="P26" s="829">
        <f>IF(K26,Q26/24/K26,0)</f>
        <v>0</v>
      </c>
      <c r="Q26" s="782">
        <f>SUM(Q23:Q25)</f>
        <v>0</v>
      </c>
    </row>
    <row r="27" spans="1:17" ht="6.75" customHeight="1">
      <c r="A27" s="748"/>
      <c r="B27" s="977"/>
      <c r="C27" s="795"/>
      <c r="D27" s="795"/>
      <c r="E27" s="817"/>
      <c r="F27" s="767"/>
      <c r="G27" s="751"/>
      <c r="H27" s="783"/>
      <c r="J27" s="748"/>
      <c r="K27" s="775"/>
      <c r="L27" s="795"/>
      <c r="M27" s="795"/>
      <c r="N27" s="817"/>
      <c r="O27" s="795"/>
      <c r="P27" s="830"/>
      <c r="Q27" s="783"/>
    </row>
    <row r="28" spans="1:17" ht="13.5" thickBot="1">
      <c r="A28" s="755" t="s">
        <v>9224</v>
      </c>
      <c r="B28" s="973"/>
      <c r="C28" s="794"/>
      <c r="D28" s="794"/>
      <c r="E28" s="818"/>
      <c r="F28" s="749"/>
      <c r="G28" s="749"/>
      <c r="H28" s="777"/>
      <c r="J28" s="755" t="s">
        <v>9224</v>
      </c>
      <c r="K28" s="749"/>
      <c r="L28" s="794"/>
      <c r="M28" s="794"/>
      <c r="N28" s="818"/>
      <c r="O28" s="794"/>
      <c r="P28" s="794"/>
      <c r="Q28" s="777"/>
    </row>
    <row r="29" spans="1:17" s="762" customFormat="1" ht="13.5" thickBot="1">
      <c r="A29" s="801"/>
      <c r="B29" s="974"/>
      <c r="C29" s="798"/>
      <c r="D29" s="798"/>
      <c r="E29" s="819"/>
      <c r="F29" s="802"/>
      <c r="G29" s="802">
        <f>SUM(C29,-D29,-F29)</f>
        <v>0</v>
      </c>
      <c r="H29" s="803">
        <f>G29*24*B29</f>
        <v>0</v>
      </c>
      <c r="J29" s="804"/>
      <c r="K29" s="804"/>
      <c r="L29" s="828"/>
      <c r="M29" s="805"/>
      <c r="N29" s="819"/>
      <c r="O29" s="805"/>
      <c r="P29" s="805">
        <f>L29</f>
        <v>0</v>
      </c>
      <c r="Q29" s="803">
        <f>P29*24*K29</f>
        <v>0</v>
      </c>
    </row>
    <row r="30" spans="1:17" s="762" customFormat="1" ht="13.5" thickBot="1">
      <c r="A30" s="801"/>
      <c r="B30" s="974"/>
      <c r="C30" s="798"/>
      <c r="D30" s="798"/>
      <c r="E30" s="819"/>
      <c r="F30" s="802"/>
      <c r="G30" s="802">
        <f>SUM(C30,-D30,-F30)</f>
        <v>0</v>
      </c>
      <c r="H30" s="803">
        <f>G30*24*B30</f>
        <v>0</v>
      </c>
      <c r="J30" s="804"/>
      <c r="K30" s="804"/>
      <c r="L30" s="828"/>
      <c r="M30" s="805"/>
      <c r="N30" s="819"/>
      <c r="O30" s="805"/>
      <c r="P30" s="805">
        <f t="shared" ref="P30" si="1">L30</f>
        <v>0</v>
      </c>
      <c r="Q30" s="803">
        <f>P30*24*K30</f>
        <v>0</v>
      </c>
    </row>
    <row r="31" spans="1:17" ht="6" customHeight="1">
      <c r="A31" s="752"/>
      <c r="B31" s="975"/>
      <c r="C31" s="795"/>
      <c r="D31" s="795"/>
      <c r="E31" s="815"/>
      <c r="F31" s="767"/>
      <c r="G31" s="767"/>
      <c r="H31" s="781"/>
      <c r="J31" s="752"/>
      <c r="K31" s="766"/>
      <c r="L31" s="795"/>
      <c r="M31" s="795"/>
      <c r="N31" s="815"/>
      <c r="O31" s="795"/>
      <c r="P31" s="795"/>
      <c r="Q31" s="781"/>
    </row>
    <row r="32" spans="1:17">
      <c r="A32" s="995" t="s">
        <v>9225</v>
      </c>
      <c r="B32" s="976">
        <f>SUM(B29:B30)</f>
        <v>0</v>
      </c>
      <c r="C32" s="796">
        <f>SUMPRODUCT($B29:$B30,C29:C30)</f>
        <v>0</v>
      </c>
      <c r="D32" s="796">
        <f>SUMPRODUCT($B29:$B30,D29:D30)</f>
        <v>0</v>
      </c>
      <c r="E32" s="816">
        <f>SUMPRODUCT($B29:$B30,E29:E30)</f>
        <v>0</v>
      </c>
      <c r="F32" s="774">
        <f>SUMPRODUCT($B29:$B30,F29:F30)</f>
        <v>0</v>
      </c>
      <c r="G32" s="750">
        <f>IF(B32,H32/24/B32,0)</f>
        <v>0</v>
      </c>
      <c r="H32" s="782">
        <f>SUM(H29:H31)</f>
        <v>0</v>
      </c>
      <c r="J32" s="995" t="s">
        <v>9225</v>
      </c>
      <c r="K32" s="773">
        <f>SUM(K29:K30)</f>
        <v>0</v>
      </c>
      <c r="L32" s="796">
        <f>SUMPRODUCT($K29:$K30,L29:L30)</f>
        <v>0</v>
      </c>
      <c r="M32" s="796">
        <f>SUMPRODUCT($K29:$K30,M29:M30)</f>
        <v>0</v>
      </c>
      <c r="N32" s="816">
        <f>SUMPRODUCT($K29:$K30,N29:N30)</f>
        <v>0</v>
      </c>
      <c r="O32" s="796">
        <f>SUMPRODUCT($K29:$K30,O29:O30)</f>
        <v>0</v>
      </c>
      <c r="P32" s="829">
        <f>IF(K32,Q32/24/K32,0)</f>
        <v>0</v>
      </c>
      <c r="Q32" s="782">
        <f>SUM(Q29:Q31)</f>
        <v>0</v>
      </c>
    </row>
    <row r="33" spans="1:17" ht="7.5" customHeight="1">
      <c r="A33" s="748"/>
      <c r="B33" s="775"/>
      <c r="C33" s="795"/>
      <c r="D33" s="795"/>
      <c r="E33" s="817"/>
      <c r="F33" s="767"/>
      <c r="G33" s="751"/>
      <c r="H33" s="783"/>
      <c r="J33" s="748"/>
      <c r="K33" s="775"/>
      <c r="L33" s="795"/>
      <c r="M33" s="795"/>
      <c r="N33" s="817"/>
      <c r="O33" s="795"/>
      <c r="P33" s="830"/>
      <c r="Q33" s="783"/>
    </row>
    <row r="34" spans="1:17" ht="13.5" thickBot="1">
      <c r="A34" s="1008" t="s">
        <v>9910</v>
      </c>
      <c r="B34" s="775"/>
      <c r="C34" s="795"/>
      <c r="D34" s="795"/>
      <c r="E34" s="817"/>
      <c r="F34" s="767"/>
      <c r="G34" s="751"/>
      <c r="H34" s="783"/>
      <c r="J34" s="1008" t="s">
        <v>9922</v>
      </c>
      <c r="K34" s="775"/>
      <c r="L34" s="795"/>
      <c r="M34" s="795"/>
      <c r="N34" s="817"/>
      <c r="O34" s="795"/>
      <c r="P34" s="830"/>
      <c r="Q34" s="783"/>
    </row>
    <row r="35" spans="1:17" s="762" customFormat="1" ht="13.5" thickBot="1">
      <c r="A35" s="804"/>
      <c r="B35" s="844"/>
      <c r="C35" s="845"/>
      <c r="D35" s="805"/>
      <c r="E35" s="819"/>
      <c r="F35" s="802"/>
      <c r="G35" s="764"/>
      <c r="H35" s="803">
        <f>C35*B35</f>
        <v>0</v>
      </c>
      <c r="J35" s="804"/>
      <c r="K35" s="804"/>
      <c r="L35" s="828"/>
      <c r="M35" s="805"/>
      <c r="N35" s="819"/>
      <c r="O35" s="805"/>
      <c r="P35" s="805"/>
      <c r="Q35" s="803">
        <f>L35*K35</f>
        <v>0</v>
      </c>
    </row>
    <row r="36" spans="1:17" s="762" customFormat="1" ht="13.5" thickBot="1">
      <c r="A36" s="804"/>
      <c r="B36" s="804"/>
      <c r="C36" s="828"/>
      <c r="D36" s="805"/>
      <c r="E36" s="819"/>
      <c r="F36" s="802"/>
      <c r="G36" s="764"/>
      <c r="H36" s="803">
        <f>C36*B36</f>
        <v>0</v>
      </c>
      <c r="J36" s="804"/>
      <c r="K36" s="804"/>
      <c r="L36" s="828"/>
      <c r="M36" s="805"/>
      <c r="N36" s="819"/>
      <c r="O36" s="805"/>
      <c r="P36" s="805"/>
      <c r="Q36" s="803">
        <f>L36*K36</f>
        <v>0</v>
      </c>
    </row>
    <row r="37" spans="1:17" ht="5.25" customHeight="1">
      <c r="A37" s="752"/>
      <c r="B37" s="775"/>
      <c r="C37" s="795"/>
      <c r="D37" s="795"/>
      <c r="E37" s="820"/>
      <c r="F37" s="767"/>
      <c r="G37" s="766"/>
      <c r="H37" s="784"/>
      <c r="J37" s="752"/>
      <c r="K37" s="775"/>
      <c r="L37" s="795"/>
      <c r="M37" s="795"/>
      <c r="N37" s="820"/>
      <c r="O37" s="795"/>
      <c r="P37" s="795"/>
      <c r="Q37" s="784"/>
    </row>
    <row r="38" spans="1:17">
      <c r="A38" s="995" t="s">
        <v>9898</v>
      </c>
      <c r="B38" s="773">
        <f>SUM(B33:B35)</f>
        <v>0</v>
      </c>
      <c r="C38" s="796"/>
      <c r="D38" s="796"/>
      <c r="E38" s="816"/>
      <c r="F38" s="774"/>
      <c r="G38" s="750"/>
      <c r="H38" s="782">
        <f>SUM(H35:H37)</f>
        <v>0</v>
      </c>
      <c r="J38" s="995" t="s">
        <v>9898</v>
      </c>
      <c r="K38" s="773">
        <f>SUM(K33:K35)</f>
        <v>0</v>
      </c>
      <c r="L38" s="796"/>
      <c r="M38" s="796"/>
      <c r="N38" s="816"/>
      <c r="O38" s="796"/>
      <c r="P38" s="829"/>
      <c r="Q38" s="782">
        <f>SUM(Q35:Q37)</f>
        <v>0</v>
      </c>
    </row>
    <row r="39" spans="1:17">
      <c r="A39" s="748"/>
      <c r="B39" s="775"/>
      <c r="C39" s="795"/>
      <c r="D39" s="795"/>
      <c r="E39" s="817"/>
      <c r="F39" s="767"/>
      <c r="G39" s="751"/>
      <c r="H39" s="783"/>
      <c r="J39" s="748"/>
      <c r="K39" s="775"/>
      <c r="L39" s="795"/>
      <c r="M39" s="795"/>
      <c r="N39" s="817"/>
      <c r="O39" s="795"/>
      <c r="P39" s="830"/>
      <c r="Q39" s="783"/>
    </row>
    <row r="40" spans="1:17">
      <c r="A40" s="755" t="s">
        <v>9226</v>
      </c>
      <c r="B40" s="977"/>
      <c r="C40" s="795"/>
      <c r="D40" s="795"/>
      <c r="E40" s="820"/>
      <c r="F40" s="767"/>
      <c r="G40" s="767"/>
      <c r="H40" s="781"/>
      <c r="J40" s="755" t="s">
        <v>9226</v>
      </c>
      <c r="K40" s="775"/>
      <c r="L40" s="795"/>
      <c r="M40" s="795"/>
      <c r="N40" s="817"/>
      <c r="O40" s="795"/>
      <c r="P40" s="830"/>
      <c r="Q40" s="783"/>
    </row>
    <row r="41" spans="1:17" ht="25.5">
      <c r="A41" s="755"/>
      <c r="B41" s="978" t="s">
        <v>9227</v>
      </c>
      <c r="C41" s="797" t="s">
        <v>9228</v>
      </c>
      <c r="D41" s="884"/>
      <c r="E41" s="885"/>
      <c r="F41" s="767"/>
      <c r="G41" s="767"/>
      <c r="H41" s="787" t="s">
        <v>9229</v>
      </c>
      <c r="J41" s="755"/>
      <c r="K41" s="753" t="s">
        <v>9227</v>
      </c>
      <c r="L41" s="797" t="s">
        <v>9228</v>
      </c>
      <c r="M41" s="795"/>
      <c r="N41" s="815"/>
      <c r="O41" s="795"/>
      <c r="P41" s="795"/>
      <c r="Q41" s="787" t="s">
        <v>9229</v>
      </c>
    </row>
    <row r="42" spans="1:17" ht="3.75" customHeight="1" thickBot="1">
      <c r="A42" s="772"/>
      <c r="B42" s="973"/>
      <c r="C42" s="794"/>
      <c r="D42" s="884"/>
      <c r="E42" s="885"/>
      <c r="F42" s="767"/>
      <c r="G42" s="767"/>
      <c r="H42" s="781"/>
      <c r="J42" s="772"/>
      <c r="K42" s="749"/>
      <c r="L42" s="794"/>
      <c r="M42" s="795"/>
      <c r="N42" s="815"/>
      <c r="O42" s="795"/>
      <c r="P42" s="795"/>
      <c r="Q42" s="781"/>
    </row>
    <row r="43" spans="1:17" s="762" customFormat="1" ht="13.5" thickBot="1">
      <c r="A43" s="801"/>
      <c r="B43" s="974"/>
      <c r="C43" s="798"/>
      <c r="D43" s="969"/>
      <c r="E43" s="970"/>
      <c r="F43" s="971"/>
      <c r="G43" s="971"/>
      <c r="H43" s="803">
        <f>C43*B43</f>
        <v>0</v>
      </c>
      <c r="J43" s="804"/>
      <c r="K43" s="804"/>
      <c r="L43" s="828"/>
      <c r="M43" s="805"/>
      <c r="N43" s="819"/>
      <c r="O43" s="805"/>
      <c r="P43" s="805"/>
      <c r="Q43" s="803">
        <f>L43*K43</f>
        <v>0</v>
      </c>
    </row>
    <row r="44" spans="1:17" s="762" customFormat="1" ht="13.5" thickBot="1">
      <c r="A44" s="801"/>
      <c r="B44" s="974"/>
      <c r="C44" s="798"/>
      <c r="D44" s="883"/>
      <c r="E44" s="886"/>
      <c r="F44" s="764"/>
      <c r="G44" s="764"/>
      <c r="H44" s="803">
        <f>C44*B44</f>
        <v>0</v>
      </c>
      <c r="J44" s="804"/>
      <c r="K44" s="804"/>
      <c r="L44" s="828"/>
      <c r="M44" s="805"/>
      <c r="N44" s="819"/>
      <c r="O44" s="805"/>
      <c r="P44" s="805"/>
      <c r="Q44" s="803">
        <f>L44*K44</f>
        <v>0</v>
      </c>
    </row>
    <row r="45" spans="1:17" ht="8.4499999999999993" customHeight="1">
      <c r="A45" s="772"/>
      <c r="B45" s="975"/>
      <c r="C45" s="795"/>
      <c r="D45" s="795"/>
      <c r="E45" s="815"/>
      <c r="F45" s="766"/>
      <c r="G45" s="766"/>
      <c r="H45" s="781"/>
      <c r="J45" s="772"/>
      <c r="K45" s="766"/>
      <c r="L45" s="795"/>
      <c r="M45" s="795"/>
      <c r="N45" s="815"/>
      <c r="O45" s="795"/>
      <c r="P45" s="795"/>
      <c r="Q45" s="781"/>
    </row>
    <row r="46" spans="1:17">
      <c r="A46" s="995" t="s">
        <v>9230</v>
      </c>
      <c r="B46" s="996">
        <f>SUM(B43:B44)</f>
        <v>0</v>
      </c>
      <c r="C46" s="796">
        <f>SUMPRODUCT(B43:B44,C43:C44)</f>
        <v>0</v>
      </c>
      <c r="D46" s="796"/>
      <c r="E46" s="816"/>
      <c r="F46" s="774"/>
      <c r="G46" s="754" t="s">
        <v>9231</v>
      </c>
      <c r="H46" s="782">
        <f>SUM(H43:H45)</f>
        <v>0</v>
      </c>
      <c r="J46" s="995" t="s">
        <v>9230</v>
      </c>
      <c r="K46" s="773">
        <f>SUM(K43:K44)</f>
        <v>0</v>
      </c>
      <c r="L46" s="796">
        <f>SUMPRODUCT(K43:K44,L43:L44)</f>
        <v>0</v>
      </c>
      <c r="M46" s="796"/>
      <c r="N46" s="816"/>
      <c r="O46" s="796"/>
      <c r="P46" s="831"/>
      <c r="Q46" s="782">
        <f>SUM(Q43:Q45)</f>
        <v>0</v>
      </c>
    </row>
    <row r="47" spans="1:17" ht="13.5" thickBot="1">
      <c r="A47" s="772"/>
      <c r="B47" s="766"/>
      <c r="C47" s="795"/>
      <c r="D47" s="795"/>
      <c r="E47" s="815"/>
      <c r="F47" s="766"/>
      <c r="G47" s="766"/>
      <c r="H47" s="781"/>
      <c r="J47" s="772"/>
      <c r="K47" s="766"/>
      <c r="L47" s="795"/>
      <c r="M47" s="795"/>
      <c r="N47" s="815"/>
      <c r="O47" s="795"/>
      <c r="P47" s="795"/>
      <c r="Q47" s="781"/>
    </row>
    <row r="48" spans="1:17" ht="13.5" thickBot="1">
      <c r="A48" s="755" t="s">
        <v>9232</v>
      </c>
      <c r="B48" s="766"/>
      <c r="C48" s="846">
        <v>1</v>
      </c>
      <c r="D48" s="795"/>
      <c r="E48" s="815"/>
      <c r="F48" s="766"/>
      <c r="G48" s="756" t="s">
        <v>9233</v>
      </c>
      <c r="H48" s="847"/>
      <c r="J48" s="755" t="s">
        <v>9232</v>
      </c>
      <c r="K48" s="766"/>
      <c r="L48" s="848">
        <v>1</v>
      </c>
      <c r="M48" s="795"/>
      <c r="N48" s="815"/>
      <c r="O48" s="795"/>
      <c r="P48" s="832" t="s">
        <v>9233</v>
      </c>
      <c r="Q48" s="847"/>
    </row>
    <row r="49" spans="1:17" ht="7.5" customHeight="1">
      <c r="A49" s="772"/>
      <c r="B49" s="766"/>
      <c r="C49" s="795"/>
      <c r="D49" s="795"/>
      <c r="E49" s="815"/>
      <c r="F49" s="766"/>
      <c r="G49" s="766"/>
      <c r="H49" s="781"/>
      <c r="J49" s="772"/>
      <c r="K49" s="766"/>
      <c r="L49" s="795"/>
      <c r="M49" s="795"/>
      <c r="N49" s="815"/>
      <c r="O49" s="795"/>
      <c r="P49" s="795"/>
      <c r="Q49" s="781"/>
    </row>
    <row r="50" spans="1:17">
      <c r="A50" s="772"/>
      <c r="B50" s="766"/>
      <c r="C50" s="795"/>
      <c r="D50" s="795"/>
      <c r="E50" s="815"/>
      <c r="F50" s="766"/>
      <c r="G50" s="756" t="s">
        <v>9234</v>
      </c>
      <c r="H50" s="783">
        <f>H20+H26+H32+H38+H46-(H48*C48)</f>
        <v>0</v>
      </c>
      <c r="J50" s="772"/>
      <c r="K50" s="766"/>
      <c r="L50" s="795"/>
      <c r="M50" s="795"/>
      <c r="N50" s="815"/>
      <c r="O50" s="795"/>
      <c r="P50" s="832" t="s">
        <v>9235</v>
      </c>
      <c r="Q50" s="783">
        <f>Q20+Q26+Q32+Q38+Q46-(Q48*L48)</f>
        <v>0</v>
      </c>
    </row>
    <row r="51" spans="1:17">
      <c r="A51" s="772"/>
      <c r="B51" s="766"/>
      <c r="C51" s="795"/>
      <c r="D51" s="795"/>
      <c r="E51" s="815"/>
      <c r="F51" s="766"/>
      <c r="G51" s="756" t="s">
        <v>9236</v>
      </c>
      <c r="H51" s="783">
        <f>H50/24</f>
        <v>0</v>
      </c>
      <c r="J51" s="772"/>
      <c r="K51" s="766"/>
      <c r="L51" s="795"/>
      <c r="M51" s="795"/>
      <c r="N51" s="815"/>
      <c r="O51" s="795"/>
      <c r="P51" s="832" t="s">
        <v>9236</v>
      </c>
      <c r="Q51" s="783">
        <f>Q50/24</f>
        <v>0</v>
      </c>
    </row>
    <row r="52" spans="1:17" ht="12.75" customHeight="1">
      <c r="A52" s="772"/>
      <c r="B52" s="766"/>
      <c r="C52" s="795"/>
      <c r="D52" s="795"/>
      <c r="E52" s="815"/>
      <c r="F52" s="766"/>
      <c r="G52" s="756" t="s">
        <v>9237</v>
      </c>
      <c r="H52" s="783">
        <f>(H20+H26+H32)/24</f>
        <v>0</v>
      </c>
      <c r="J52" s="772"/>
      <c r="K52" s="766"/>
      <c r="L52" s="795"/>
      <c r="M52" s="795"/>
      <c r="N52" s="815"/>
      <c r="O52" s="795"/>
      <c r="P52" s="832" t="s">
        <v>9237</v>
      </c>
      <c r="Q52" s="783">
        <f>(Q20+Q26+Q32)/24</f>
        <v>0</v>
      </c>
    </row>
    <row r="53" spans="1:17" ht="7.5" customHeight="1">
      <c r="A53" s="772"/>
      <c r="B53" s="766"/>
      <c r="C53" s="795"/>
      <c r="D53" s="795"/>
      <c r="E53" s="815"/>
      <c r="F53" s="766"/>
      <c r="G53" s="756"/>
      <c r="H53" s="783"/>
      <c r="J53" s="772"/>
      <c r="K53" s="766"/>
      <c r="L53" s="795"/>
      <c r="M53" s="795"/>
      <c r="N53" s="815"/>
      <c r="O53" s="795"/>
      <c r="P53" s="832"/>
      <c r="Q53" s="783"/>
    </row>
    <row r="54" spans="1:17">
      <c r="A54" s="772"/>
      <c r="B54" s="766"/>
      <c r="C54" s="795"/>
      <c r="D54" s="795"/>
      <c r="E54" s="815"/>
      <c r="F54" s="766"/>
      <c r="G54" s="756" t="s">
        <v>9238</v>
      </c>
      <c r="H54" s="785">
        <f>IF(B64,(H20+H26)/24/B64,0)</f>
        <v>0</v>
      </c>
      <c r="J54" s="1013" t="str">
        <f>IF(OR(B20&lt;&gt;K20,B26&lt;&gt;K26,B46&lt;&gt;K46),"!!! POSSIBLE ERROR: AT&amp;T Subs Count Does NOT Match Competitor Subs Count !!!","")</f>
        <v/>
      </c>
      <c r="K54" s="1014"/>
      <c r="L54" s="1015"/>
      <c r="M54" s="1015"/>
      <c r="N54" s="1016"/>
      <c r="O54" s="1015"/>
      <c r="P54" s="1017" t="s">
        <v>9238</v>
      </c>
      <c r="Q54" s="1018">
        <f>IF(B64,(Q20+Q26)/24/B64,0)</f>
        <v>0</v>
      </c>
    </row>
    <row r="55" spans="1:17" ht="6" customHeight="1" thickBot="1">
      <c r="A55" s="776"/>
      <c r="B55" s="758"/>
      <c r="C55" s="799"/>
      <c r="D55" s="799"/>
      <c r="E55" s="821"/>
      <c r="F55" s="758"/>
      <c r="G55" s="757"/>
      <c r="H55" s="786"/>
      <c r="J55" s="1011"/>
      <c r="K55" s="1019"/>
      <c r="L55" s="1020"/>
      <c r="M55" s="1020"/>
      <c r="N55" s="1021"/>
      <c r="O55" s="1020"/>
      <c r="P55" s="1022"/>
      <c r="Q55" s="1023"/>
    </row>
    <row r="56" spans="1:17" ht="8.4499999999999993" customHeight="1" thickBot="1">
      <c r="A56" s="766"/>
      <c r="B56" s="766"/>
      <c r="C56" s="795"/>
      <c r="D56" s="795"/>
      <c r="E56" s="815"/>
      <c r="F56" s="766"/>
      <c r="G56" s="745"/>
      <c r="H56" s="751"/>
      <c r="J56" s="1014"/>
      <c r="K56" s="1014"/>
      <c r="L56" s="1015"/>
      <c r="M56" s="1015"/>
      <c r="N56" s="1016"/>
      <c r="O56" s="1015"/>
      <c r="P56" s="1017"/>
      <c r="Q56" s="1024"/>
    </row>
    <row r="57" spans="1:17">
      <c r="A57" s="743" t="s">
        <v>9241</v>
      </c>
      <c r="B57" s="765"/>
      <c r="C57" s="800"/>
      <c r="D57" s="800"/>
      <c r="E57" s="822"/>
      <c r="J57" s="1009"/>
      <c r="K57" s="1025"/>
      <c r="L57" s="1026"/>
      <c r="M57" s="1026"/>
      <c r="N57" s="1027"/>
      <c r="O57" s="1028"/>
      <c r="P57" s="1029" t="s">
        <v>9239</v>
      </c>
      <c r="Q57" s="1030">
        <f>Q4</f>
        <v>0</v>
      </c>
    </row>
    <row r="58" spans="1:17" ht="13.5" thickBot="1">
      <c r="C58" s="744"/>
      <c r="D58" s="744"/>
      <c r="E58" s="744"/>
      <c r="J58" s="1011"/>
      <c r="K58" s="1019"/>
      <c r="L58" s="1020"/>
      <c r="M58" s="1020"/>
      <c r="N58" s="1021"/>
      <c r="O58" s="1031"/>
      <c r="P58" s="1032" t="s">
        <v>9240</v>
      </c>
      <c r="Q58" s="1033">
        <f t="shared" ref="Q58" si="2">Q5</f>
        <v>0</v>
      </c>
    </row>
    <row r="59" spans="1:17" ht="13.5" thickBot="1">
      <c r="J59" s="1034"/>
      <c r="K59" s="1034"/>
      <c r="L59" s="1035"/>
      <c r="M59" s="1035"/>
      <c r="N59" s="1036"/>
      <c r="O59" s="1034"/>
      <c r="P59" s="1034"/>
      <c r="Q59" s="1034"/>
    </row>
    <row r="60" spans="1:17">
      <c r="J60" s="1009"/>
      <c r="K60" s="1025"/>
      <c r="L60" s="1026"/>
      <c r="M60" s="1026"/>
      <c r="N60" s="1027"/>
      <c r="O60" s="1025"/>
      <c r="P60" s="1029" t="s">
        <v>9242</v>
      </c>
      <c r="Q60" s="1037">
        <f t="shared" ref="Q60:Q64" si="3">Q7</f>
        <v>0</v>
      </c>
    </row>
    <row r="61" spans="1:17">
      <c r="C61" s="744"/>
      <c r="D61" s="744"/>
      <c r="E61" s="744"/>
      <c r="J61" s="1038"/>
      <c r="K61" s="1014"/>
      <c r="L61" s="1015"/>
      <c r="M61" s="1015"/>
      <c r="N61" s="1016"/>
      <c r="O61" s="1014"/>
      <c r="P61" s="1039" t="s">
        <v>9243</v>
      </c>
      <c r="Q61" s="1040">
        <f t="shared" si="3"/>
        <v>0</v>
      </c>
    </row>
    <row r="62" spans="1:17" ht="13.5" thickBot="1">
      <c r="J62" s="1038"/>
      <c r="K62" s="1014"/>
      <c r="L62" s="1015"/>
      <c r="M62" s="1015"/>
      <c r="N62" s="1016"/>
      <c r="O62" s="1014"/>
      <c r="P62" s="1039" t="s">
        <v>9244</v>
      </c>
      <c r="Q62" s="1040">
        <f t="shared" si="3"/>
        <v>0</v>
      </c>
    </row>
    <row r="63" spans="1:17">
      <c r="A63" s="1009" t="s">
        <v>9913</v>
      </c>
      <c r="B63" s="1010">
        <f>IF(SUM(C20,C26),1-SUM(H20,H26)/SUM(C20,C26)/24,0)</f>
        <v>0</v>
      </c>
      <c r="J63" s="1038"/>
      <c r="K63" s="1014"/>
      <c r="L63" s="1015"/>
      <c r="M63" s="1015"/>
      <c r="N63" s="1016"/>
      <c r="O63" s="1014"/>
      <c r="P63" s="1039" t="s">
        <v>9245</v>
      </c>
      <c r="Q63" s="1040">
        <f t="shared" si="3"/>
        <v>0</v>
      </c>
    </row>
    <row r="64" spans="1:17" ht="13.5" thickBot="1">
      <c r="A64" s="1011" t="s">
        <v>9911</v>
      </c>
      <c r="B64" s="1012">
        <f t="array" ref="B64">B20+B26-SUM(IF(RIGHT(A16:A18,12)="(Integrated)",B16:B18,0))</f>
        <v>0</v>
      </c>
      <c r="J64" s="1011"/>
      <c r="K64" s="1019"/>
      <c r="L64" s="1020"/>
      <c r="M64" s="1020"/>
      <c r="N64" s="1021"/>
      <c r="O64" s="1019"/>
      <c r="P64" s="1032" t="s">
        <v>9246</v>
      </c>
      <c r="Q64" s="1041">
        <f t="shared" si="3"/>
        <v>0</v>
      </c>
    </row>
    <row r="65" spans="1:5">
      <c r="A65" s="981"/>
      <c r="B65" s="1044"/>
      <c r="C65" s="980"/>
      <c r="E65" s="789"/>
    </row>
    <row r="66" spans="1:5">
      <c r="A66" s="979"/>
      <c r="B66" s="1045"/>
      <c r="C66" s="980"/>
    </row>
    <row r="67" spans="1:5">
      <c r="A67" s="979"/>
      <c r="B67" s="1045"/>
      <c r="C67" s="980"/>
    </row>
    <row r="68" spans="1:5">
      <c r="A68" s="979"/>
      <c r="B68" s="1045"/>
      <c r="C68" s="980"/>
    </row>
    <row r="69" spans="1:5">
      <c r="A69" s="979"/>
      <c r="B69" s="1045"/>
      <c r="C69" s="980"/>
    </row>
    <row r="70" spans="1:5">
      <c r="A70" s="979"/>
      <c r="B70" s="1045"/>
      <c r="C70" s="980"/>
    </row>
    <row r="71" spans="1:5">
      <c r="A71" s="979"/>
      <c r="B71" s="1045"/>
      <c r="C71" s="980"/>
    </row>
    <row r="72" spans="1:5">
      <c r="A72" s="979"/>
      <c r="B72" s="1045"/>
      <c r="C72" s="980"/>
    </row>
    <row r="73" spans="1:5">
      <c r="A73" s="979"/>
      <c r="B73" s="1045"/>
      <c r="C73" s="980"/>
    </row>
    <row r="74" spans="1:5">
      <c r="A74" s="979"/>
      <c r="B74" s="1045"/>
      <c r="C74" s="980"/>
    </row>
    <row r="75" spans="1:5">
      <c r="A75" s="979"/>
      <c r="B75" s="1045"/>
      <c r="C75" s="980"/>
    </row>
    <row r="76" spans="1:5">
      <c r="A76" s="979"/>
      <c r="B76" s="1045"/>
      <c r="C76" s="980"/>
    </row>
    <row r="77" spans="1:5">
      <c r="A77" s="979"/>
      <c r="B77" s="1045"/>
      <c r="C77" s="980" t="s">
        <v>12077</v>
      </c>
    </row>
    <row r="130" spans="3:16">
      <c r="C130" s="744"/>
    </row>
    <row r="139" spans="3:16">
      <c r="D139" s="744"/>
      <c r="E139" s="744"/>
      <c r="I139" s="789"/>
      <c r="J139" s="789"/>
      <c r="K139" s="809"/>
      <c r="N139" s="744"/>
      <c r="O139" s="744"/>
      <c r="P139" s="744"/>
    </row>
    <row r="140" spans="3:16">
      <c r="D140" s="744"/>
      <c r="E140" s="744"/>
      <c r="L140" s="744"/>
      <c r="M140" s="744"/>
      <c r="N140" s="744"/>
      <c r="O140" s="744"/>
      <c r="P140" s="744"/>
    </row>
  </sheetData>
  <sheetProtection algorithmName="SHA-512" hashValue="pBozxsT/eOWLHM++0wZnqGoalfJIJZPX36jpKJV2PVKimuh8rutv8w37S/MUn15EjvygE8eGXcePO1jpPbxNYQ==" saltValue="Y98FDkOSf7wyCbMqXafdjQ==" spinCount="100000" sheet="1" objects="1" scenarios="1" formatColumns="0"/>
  <mergeCells count="14">
    <mergeCell ref="B11:C11"/>
    <mergeCell ref="G4:H4"/>
    <mergeCell ref="G3:H3"/>
    <mergeCell ref="B5:C5"/>
    <mergeCell ref="G7:H7"/>
    <mergeCell ref="B6:C6"/>
    <mergeCell ref="B7:C7"/>
    <mergeCell ref="B8:C8"/>
    <mergeCell ref="B3:C3"/>
    <mergeCell ref="G9:H9"/>
    <mergeCell ref="B4:C4"/>
    <mergeCell ref="B9:C9"/>
    <mergeCell ref="B10:C10"/>
    <mergeCell ref="G8:H8"/>
  </mergeCells>
  <conditionalFormatting sqref="D29:D30 D24">
    <cfRule type="expression" dxfId="15" priority="316" stopIfTrue="1">
      <formula>#REF!=2</formula>
    </cfRule>
    <cfRule type="expression" dxfId="14" priority="317" stopIfTrue="1">
      <formula>#REF!=3</formula>
    </cfRule>
  </conditionalFormatting>
  <conditionalFormatting sqref="K46">
    <cfRule type="expression" dxfId="13" priority="14">
      <formula>$K46&lt;&gt;$B46</formula>
    </cfRule>
  </conditionalFormatting>
  <conditionalFormatting sqref="B46">
    <cfRule type="expression" dxfId="12" priority="13">
      <formula>$K46&lt;&gt;$B46</formula>
    </cfRule>
  </conditionalFormatting>
  <conditionalFormatting sqref="B26">
    <cfRule type="expression" dxfId="11" priority="12">
      <formula>$K26&lt;&gt;$B26</formula>
    </cfRule>
  </conditionalFormatting>
  <conditionalFormatting sqref="B20">
    <cfRule type="expression" dxfId="10" priority="11">
      <formula>$K20&lt;&gt;$B20</formula>
    </cfRule>
  </conditionalFormatting>
  <conditionalFormatting sqref="K20">
    <cfRule type="expression" dxfId="9" priority="10">
      <formula>$K20&lt;&gt;$B20</formula>
    </cfRule>
  </conditionalFormatting>
  <conditionalFormatting sqref="K26">
    <cfRule type="expression" dxfId="8" priority="9">
      <formula>$K26&lt;&gt;$B26</formula>
    </cfRule>
  </conditionalFormatting>
  <dataValidations count="10">
    <dataValidation type="list" allowBlank="1" showInputMessage="1" showErrorMessage="1" sqref="J29:J30" xr:uid="{00000000-0002-0000-1800-000000000000}">
      <formula1>mobility_competitors_features_key</formula1>
    </dataValidation>
    <dataValidation type="list" allowBlank="1" showInputMessage="1" showErrorMessage="1" sqref="G3" xr:uid="{00000000-0002-0000-1800-000001000000}">
      <formula1>mobility_offertypes_key</formula1>
    </dataValidation>
    <dataValidation type="list" allowBlank="1" showInputMessage="1" showErrorMessage="1" sqref="G4" xr:uid="{00000000-0002-0000-1800-000002000000}">
      <formula1>mobility_contracttypes_key</formula1>
    </dataValidation>
    <dataValidation type="list" allowBlank="1" showInputMessage="1" showErrorMessage="1" sqref="H5" xr:uid="{00000000-0002-0000-1800-000003000000}">
      <formula1>IF(save.MscQc_Sales="AMB",mobility_attainment,mobility_MAC_Factors_key)</formula1>
    </dataValidation>
    <dataValidation type="list" allowBlank="1" showInputMessage="1" showErrorMessage="1" sqref="H11" xr:uid="{00000000-0002-0000-1800-000004000000}">
      <formula1>"Yes, No, N/A"</formula1>
    </dataValidation>
    <dataValidation type="list" allowBlank="1" showInputMessage="1" showErrorMessage="1" sqref="B11" xr:uid="{00000000-0002-0000-1800-000005000000}">
      <formula1>mobility_industry_key</formula1>
    </dataValidation>
    <dataValidation type="list" allowBlank="1" showInputMessage="1" showErrorMessage="1" sqref="J13" xr:uid="{00000000-0002-0000-1800-000006000000}">
      <formula1>mobility_competitors_key</formula1>
    </dataValidation>
    <dataValidation type="list" allowBlank="1" showInputMessage="1" showErrorMessage="1" sqref="J17:J18" xr:uid="{00000000-0002-0000-1800-000007000000}">
      <formula1>mobility_competitors_voiceplans_key</formula1>
    </dataValidation>
    <dataValidation type="list" allowBlank="1" showInputMessage="1" showErrorMessage="1" sqref="G7:H8" xr:uid="{00000000-0002-0000-1800-000008000000}">
      <formula1>"AT&amp;T, Verizon, Sprint, T-Mobile, Regional"</formula1>
    </dataValidation>
    <dataValidation type="list" allowBlank="1" showInputMessage="1" showErrorMessage="1" sqref="J23:J24" xr:uid="{00000000-0002-0000-1800-000009000000}">
      <formula1>mobility_competitors_dataplans_key</formula1>
    </dataValidation>
  </dataValidations>
  <pageMargins left="0.17" right="0.17" top="0.34" bottom="0.39" header="0.25" footer="0.26"/>
  <pageSetup scale="55" orientation="landscape" r:id="rId1"/>
  <headerFooter alignWithMargins="0">
    <oddFooter>&amp;CAT&amp;&amp;T Proprietary (Internal Use Only)</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43398" r:id="rId4" name="Button 6">
              <controlPr defaultSize="0" print="0" autoFill="0" autoPict="0" macro="[0]!Mobility_PremCalc.compressRowsButton">
                <anchor>
                  <from>
                    <xdr:col>8</xdr:col>
                    <xdr:colOff>104775</xdr:colOff>
                    <xdr:row>0</xdr:row>
                    <xdr:rowOff>85725</xdr:rowOff>
                  </from>
                  <to>
                    <xdr:col>9</xdr:col>
                    <xdr:colOff>1000125</xdr:colOff>
                    <xdr:row>2</xdr:row>
                    <xdr:rowOff>85725</xdr:rowOff>
                  </to>
                </anchor>
              </controlPr>
            </control>
          </mc:Choice>
        </mc:AlternateContent>
        <mc:AlternateContent xmlns:mc="http://schemas.openxmlformats.org/markup-compatibility/2006">
          <mc:Choice Requires="x14">
            <control shapeId="443415" r:id="rId5" name="Button 23">
              <controlPr defaultSize="0" print="0" autoFill="0" autoPict="0" macro="[0]!Mobility_PremCalc.clearPremCalcInputs">
                <anchor>
                  <from>
                    <xdr:col>15</xdr:col>
                    <xdr:colOff>85725</xdr:colOff>
                    <xdr:row>0</xdr:row>
                    <xdr:rowOff>104775</xdr:rowOff>
                  </from>
                  <to>
                    <xdr:col>16</xdr:col>
                    <xdr:colOff>342900</xdr:colOff>
                    <xdr:row>2</xdr:row>
                    <xdr:rowOff>85725</xdr:rowOff>
                  </to>
                </anchor>
              </controlPr>
            </control>
          </mc:Choice>
        </mc:AlternateContent>
        <mc:AlternateContent xmlns:mc="http://schemas.openxmlformats.org/markup-compatibility/2006">
          <mc:Choice Requires="x14">
            <control shapeId="443417" r:id="rId6" name="Button 25">
              <controlPr defaultSize="0" print="0" autoFill="0" autoPict="0" macro="[0]!Mobility_PremCalc.unlockTcoForPricingButton">
                <anchor moveWithCells="1">
                  <from>
                    <xdr:col>0</xdr:col>
                    <xdr:colOff>1104900</xdr:colOff>
                    <xdr:row>58</xdr:row>
                    <xdr:rowOff>9525</xdr:rowOff>
                  </from>
                  <to>
                    <xdr:col>0</xdr:col>
                    <xdr:colOff>2343150</xdr:colOff>
                    <xdr:row>61</xdr:row>
                    <xdr:rowOff>0</xdr:rowOff>
                  </to>
                </anchor>
              </controlPr>
            </control>
          </mc:Choice>
        </mc:AlternateContent>
        <mc:AlternateContent xmlns:mc="http://schemas.openxmlformats.org/markup-compatibility/2006">
          <mc:Choice Requires="x14">
            <control shapeId="443420" r:id="rId7" name="btnSaveDeal">
              <controlPr defaultSize="0" print="0" autoFill="0" autoPict="0" macro="[0]!saveDealButton">
                <anchor>
                  <from>
                    <xdr:col>9</xdr:col>
                    <xdr:colOff>1200150</xdr:colOff>
                    <xdr:row>0</xdr:row>
                    <xdr:rowOff>85725</xdr:rowOff>
                  </from>
                  <to>
                    <xdr:col>10</xdr:col>
                    <xdr:colOff>723900</xdr:colOff>
                    <xdr:row>2</xdr:row>
                    <xdr:rowOff>57150</xdr:rowOff>
                  </to>
                </anchor>
              </controlPr>
            </control>
          </mc:Choice>
        </mc:AlternateContent>
        <mc:AlternateContent xmlns:mc="http://schemas.openxmlformats.org/markup-compatibility/2006">
          <mc:Choice Requires="x14">
            <control shapeId="443423" r:id="rId8" name="Button 31">
              <controlPr defaultSize="0" print="0" autoFill="0" autoPict="0" macro="[0]!splitScreenButton">
                <anchor>
                  <from>
                    <xdr:col>11</xdr:col>
                    <xdr:colOff>104775</xdr:colOff>
                    <xdr:row>0</xdr:row>
                    <xdr:rowOff>104775</xdr:rowOff>
                  </from>
                  <to>
                    <xdr:col>12</xdr:col>
                    <xdr:colOff>466725</xdr:colOff>
                    <xdr:row>2</xdr:row>
                    <xdr:rowOff>66675</xdr:rowOff>
                  </to>
                </anchor>
              </controlPr>
            </control>
          </mc:Choice>
        </mc:AlternateContent>
        <mc:AlternateContent xmlns:mc="http://schemas.openxmlformats.org/markup-compatibility/2006">
          <mc:Choice Requires="x14">
            <control shapeId="443424" r:id="rId9" name="btn.reset">
              <controlPr defaultSize="0" autoFill="0" autoPict="0" macro="[0]!ThisWorkbook.reset">
                <anchor moveWithCells="1">
                  <from>
                    <xdr:col>13</xdr:col>
                    <xdr:colOff>152400</xdr:colOff>
                    <xdr:row>0</xdr:row>
                    <xdr:rowOff>85725</xdr:rowOff>
                  </from>
                  <to>
                    <xdr:col>14</xdr:col>
                    <xdr:colOff>676275</xdr:colOff>
                    <xdr:row>2</xdr:row>
                    <xdr:rowOff>57150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x_Mobility_WriteDown">
    <tabColor rgb="FFFF9900"/>
  </sheetPr>
  <dimension ref="A1:O40"/>
  <sheetViews>
    <sheetView zoomScale="85" zoomScaleNormal="85" workbookViewId="0">
      <selection activeCell="M11" sqref="M11"/>
    </sheetView>
  </sheetViews>
  <sheetFormatPr defaultColWidth="9.140625" defaultRowHeight="12.75"/>
  <cols>
    <col min="1" max="1" width="19.5703125" style="690" customWidth="1"/>
    <col min="2" max="2" width="13.42578125" style="690" customWidth="1"/>
    <col min="3" max="3" width="15.7109375" style="690" bestFit="1" customWidth="1"/>
    <col min="4" max="4" width="13.140625" style="691" customWidth="1"/>
    <col min="5" max="5" width="5.85546875" style="690" customWidth="1"/>
    <col min="6" max="6" width="5.85546875" style="689" customWidth="1"/>
    <col min="7" max="7" width="22.7109375" style="689" bestFit="1" customWidth="1"/>
    <col min="8" max="8" width="18.7109375" style="689" customWidth="1"/>
    <col min="9" max="15" width="12.7109375" style="689" customWidth="1"/>
    <col min="16" max="16384" width="9.140625" style="690"/>
  </cols>
  <sheetData>
    <row r="1" spans="1:15" ht="15">
      <c r="A1" s="867" t="s">
        <v>9247</v>
      </c>
      <c r="G1" s="692"/>
    </row>
    <row r="2" spans="1:15" ht="15">
      <c r="A2" s="693" t="s">
        <v>9248</v>
      </c>
      <c r="G2" s="692" t="s">
        <v>9249</v>
      </c>
    </row>
    <row r="3" spans="1:15" ht="13.5" thickBot="1">
      <c r="A3" s="866"/>
    </row>
    <row r="4" spans="1:15" ht="16.5" thickBot="1">
      <c r="G4" s="694" t="s">
        <v>9206</v>
      </c>
      <c r="H4" s="1559">
        <f>save.MscQc_Sales</f>
        <v>0</v>
      </c>
      <c r="I4" s="1075" t="str">
        <f>IF(OR(F4,F3&lt;&gt;"ACDA"),"","Attainment")</f>
        <v/>
      </c>
    </row>
    <row r="5" spans="1:15" ht="16.5" thickBot="1">
      <c r="G5" s="694" t="s">
        <v>9207</v>
      </c>
      <c r="H5" s="1560">
        <f>save.MobilityMAC_Sales</f>
        <v>0</v>
      </c>
      <c r="I5" s="1075" t="str">
        <f>IF(OR(F5,F4&lt;&gt;"ACDA"),"","Attainment")</f>
        <v/>
      </c>
      <c r="J5" s="1075" t="str">
        <f>IF(OR(G5,G4&lt;&gt;"ACDA"),"","Attainment")</f>
        <v/>
      </c>
      <c r="K5" s="689" t="str">
        <f>IF(OR(H5,H4&lt;&gt;"ACDA"),"","Attainment")</f>
        <v/>
      </c>
      <c r="N5" s="695"/>
      <c r="O5" s="696"/>
    </row>
    <row r="6" spans="1:15" ht="15.75" thickBot="1">
      <c r="A6" s="697" t="s">
        <v>9250</v>
      </c>
      <c r="B6" s="688"/>
      <c r="C6" s="688"/>
      <c r="D6" s="698"/>
      <c r="O6" s="696"/>
    </row>
    <row r="7" spans="1:15" ht="16.5" thickBot="1">
      <c r="A7" s="699"/>
      <c r="B7" s="700" t="s">
        <v>9251</v>
      </c>
      <c r="C7" s="701" t="s">
        <v>9252</v>
      </c>
      <c r="D7" s="702" t="s">
        <v>600</v>
      </c>
      <c r="G7" s="703" t="s">
        <v>9209</v>
      </c>
      <c r="H7" s="869">
        <v>0</v>
      </c>
      <c r="I7" s="1833" t="s">
        <v>9210</v>
      </c>
      <c r="J7" s="1834"/>
      <c r="K7" s="1834"/>
      <c r="L7" s="1834"/>
      <c r="M7" s="1834"/>
      <c r="N7" s="1835"/>
      <c r="O7" s="696"/>
    </row>
    <row r="8" spans="1:15" ht="38.25">
      <c r="A8" s="704" t="s">
        <v>9253</v>
      </c>
      <c r="B8" s="705">
        <f>H22</f>
        <v>0</v>
      </c>
      <c r="C8" s="706">
        <f>H36</f>
        <v>0</v>
      </c>
      <c r="D8" s="854">
        <f>SUM(B8:C8)</f>
        <v>0</v>
      </c>
      <c r="G8" s="707" t="s">
        <v>9212</v>
      </c>
      <c r="H8" s="708" t="s">
        <v>9213</v>
      </c>
      <c r="I8" s="708" t="s">
        <v>9214</v>
      </c>
      <c r="J8" s="708" t="s">
        <v>9215</v>
      </c>
      <c r="K8" s="708" t="s">
        <v>9216</v>
      </c>
      <c r="L8" s="708" t="s">
        <v>9217</v>
      </c>
      <c r="M8" s="708" t="s">
        <v>9218</v>
      </c>
      <c r="N8" s="709" t="s">
        <v>9219</v>
      </c>
      <c r="O8" s="690"/>
    </row>
    <row r="9" spans="1:15">
      <c r="A9" s="704" t="s">
        <v>9254</v>
      </c>
      <c r="B9" s="710">
        <f>M22</f>
        <v>0</v>
      </c>
      <c r="C9" s="711">
        <f>M36</f>
        <v>0</v>
      </c>
      <c r="D9" s="855">
        <f>IF(D8,D10/D8,0)</f>
        <v>0</v>
      </c>
      <c r="G9" s="712"/>
      <c r="H9" s="713"/>
      <c r="I9" s="713"/>
      <c r="J9" s="713"/>
      <c r="K9" s="713"/>
      <c r="L9" s="713"/>
      <c r="M9" s="713"/>
      <c r="N9" s="714"/>
      <c r="O9" s="690"/>
    </row>
    <row r="10" spans="1:15" ht="13.5" thickBot="1">
      <c r="A10" s="715" t="s">
        <v>9255</v>
      </c>
      <c r="B10" s="864">
        <f>B8*B9</f>
        <v>0</v>
      </c>
      <c r="C10" s="865">
        <f>C8*C9</f>
        <v>0</v>
      </c>
      <c r="D10" s="856">
        <f>SUM(B10:C10)</f>
        <v>0</v>
      </c>
      <c r="G10" s="716" t="s">
        <v>9220</v>
      </c>
      <c r="H10" s="718"/>
      <c r="I10" s="718"/>
      <c r="J10" s="718"/>
      <c r="K10" s="718"/>
      <c r="L10" s="718"/>
      <c r="M10" s="718"/>
      <c r="N10" s="719"/>
      <c r="O10" s="690"/>
    </row>
    <row r="11" spans="1:15" ht="13.5" thickBot="1">
      <c r="A11" s="688"/>
      <c r="B11" s="689"/>
      <c r="C11" s="688"/>
      <c r="D11" s="720"/>
      <c r="G11" s="868"/>
      <c r="H11" s="870"/>
      <c r="I11" s="871"/>
      <c r="J11" s="870"/>
      <c r="K11" s="871"/>
      <c r="L11" s="721">
        <f t="shared" ref="L11:L20" si="0">IF($H$4="ACDA",(I11-K11)*$H$7,IF(I11&lt;30,0,(I11-K11)*$H$7))</f>
        <v>0</v>
      </c>
      <c r="M11" s="721">
        <f t="shared" ref="M11:M20" si="1">I11-K11-L11</f>
        <v>0</v>
      </c>
      <c r="N11" s="722">
        <f t="shared" ref="N11:N20" si="2">M11*24*H11</f>
        <v>0</v>
      </c>
      <c r="O11" s="690"/>
    </row>
    <row r="12" spans="1:15" ht="13.5" thickBot="1">
      <c r="A12" s="688"/>
      <c r="B12" s="688"/>
      <c r="C12" s="878" t="s">
        <v>9270</v>
      </c>
      <c r="D12" s="857">
        <f>D10*12</f>
        <v>0</v>
      </c>
      <c r="G12" s="868"/>
      <c r="H12" s="870"/>
      <c r="I12" s="871"/>
      <c r="J12" s="870"/>
      <c r="K12" s="871"/>
      <c r="L12" s="721">
        <f>IF($H$4="ACDA",(I12-K12)*$H$7,IF(I12&lt;30,0,(I12-K12)*$H$7))</f>
        <v>0</v>
      </c>
      <c r="M12" s="721">
        <f t="shared" si="1"/>
        <v>0</v>
      </c>
      <c r="N12" s="722">
        <f t="shared" si="2"/>
        <v>0</v>
      </c>
      <c r="O12" s="690"/>
    </row>
    <row r="13" spans="1:15" ht="13.5" thickBot="1">
      <c r="A13" s="688"/>
      <c r="B13" s="688"/>
      <c r="C13" s="688"/>
      <c r="D13" s="720"/>
      <c r="G13" s="868"/>
      <c r="H13" s="870"/>
      <c r="I13" s="872"/>
      <c r="J13" s="870"/>
      <c r="K13" s="871"/>
      <c r="L13" s="721">
        <f t="shared" si="0"/>
        <v>0</v>
      </c>
      <c r="M13" s="721">
        <f t="shared" si="1"/>
        <v>0</v>
      </c>
      <c r="N13" s="722">
        <f t="shared" si="2"/>
        <v>0</v>
      </c>
      <c r="O13" s="690"/>
    </row>
    <row r="14" spans="1:15" ht="15.75" thickBot="1">
      <c r="A14" s="697" t="s">
        <v>9256</v>
      </c>
      <c r="B14" s="688"/>
      <c r="C14" s="688"/>
      <c r="D14" s="858"/>
      <c r="G14" s="868"/>
      <c r="H14" s="870"/>
      <c r="I14" s="872"/>
      <c r="J14" s="870"/>
      <c r="K14" s="871"/>
      <c r="L14" s="721">
        <f>IF($H$4="ACDA",(I14-K14)*$H$7,IF(I14&lt;30,0,(I14-K14)*$H$7))</f>
        <v>0</v>
      </c>
      <c r="M14" s="721">
        <f>I14-K14-L14</f>
        <v>0</v>
      </c>
      <c r="N14" s="722">
        <f>M14*24*H14</f>
        <v>0</v>
      </c>
      <c r="O14" s="690"/>
    </row>
    <row r="15" spans="1:15" ht="13.5" thickBot="1">
      <c r="A15" s="699"/>
      <c r="B15" s="700" t="s">
        <v>9251</v>
      </c>
      <c r="C15" s="701" t="s">
        <v>9252</v>
      </c>
      <c r="D15" s="702" t="s">
        <v>600</v>
      </c>
      <c r="G15" s="868"/>
      <c r="H15" s="870"/>
      <c r="I15" s="872"/>
      <c r="J15" s="870"/>
      <c r="K15" s="871"/>
      <c r="L15" s="721">
        <f>IF($H$4="ACDA",(I15-K15)*$H$7,IF(I15&lt;30,0,(I15-K15)*$H$7))</f>
        <v>0</v>
      </c>
      <c r="M15" s="721">
        <f>I15-K15-L15</f>
        <v>0</v>
      </c>
      <c r="N15" s="722">
        <f>M15*24*H15</f>
        <v>0</v>
      </c>
      <c r="O15" s="690"/>
    </row>
    <row r="16" spans="1:15" ht="13.5" thickBot="1">
      <c r="A16" s="704" t="s">
        <v>9257</v>
      </c>
      <c r="B16" s="862">
        <f>B8</f>
        <v>0</v>
      </c>
      <c r="C16" s="863">
        <f>C8</f>
        <v>0</v>
      </c>
      <c r="D16" s="854">
        <f>SUM(B16:C16)</f>
        <v>0</v>
      </c>
      <c r="G16" s="868"/>
      <c r="H16" s="870"/>
      <c r="I16" s="872"/>
      <c r="J16" s="870"/>
      <c r="K16" s="871"/>
      <c r="L16" s="721">
        <f>IF($H$4="ACDA",(I16-K16)*$H$7,IF(I16&lt;30,0,(I16-K16)*$H$7))</f>
        <v>0</v>
      </c>
      <c r="M16" s="721">
        <f>I16-K16-L16</f>
        <v>0</v>
      </c>
      <c r="N16" s="722">
        <f>M16*24*H16</f>
        <v>0</v>
      </c>
      <c r="O16" s="690"/>
    </row>
    <row r="17" spans="1:15" ht="13.5" thickBot="1">
      <c r="A17" s="704" t="s">
        <v>9254</v>
      </c>
      <c r="B17" s="710">
        <f>x_Mobility_Prem_Calc!G20</f>
        <v>0</v>
      </c>
      <c r="C17" s="711">
        <f>x_Mobility_Prem_Calc!G26</f>
        <v>0</v>
      </c>
      <c r="D17" s="855">
        <f>IF(D16,D18/D16,0)</f>
        <v>0</v>
      </c>
      <c r="G17" s="868"/>
      <c r="H17" s="870"/>
      <c r="I17" s="872"/>
      <c r="J17" s="870"/>
      <c r="K17" s="871"/>
      <c r="L17" s="721">
        <f>IF($H$4="ACDA",(I17-K17)*$H$7,IF(I17&lt;30,0,(I17-K17)*$H$7))</f>
        <v>0</v>
      </c>
      <c r="M17" s="721">
        <f>I17-K17-L17</f>
        <v>0</v>
      </c>
      <c r="N17" s="722">
        <f>M17*24*H17</f>
        <v>0</v>
      </c>
      <c r="O17" s="690"/>
    </row>
    <row r="18" spans="1:15" ht="13.5" thickBot="1">
      <c r="A18" s="715" t="s">
        <v>9255</v>
      </c>
      <c r="B18" s="864">
        <f>B16*B17</f>
        <v>0</v>
      </c>
      <c r="C18" s="865">
        <f>C16*C17</f>
        <v>0</v>
      </c>
      <c r="D18" s="856">
        <f>SUM(B18:C18)</f>
        <v>0</v>
      </c>
      <c r="G18" s="868"/>
      <c r="H18" s="870"/>
      <c r="I18" s="873"/>
      <c r="J18" s="870"/>
      <c r="K18" s="871"/>
      <c r="L18" s="721">
        <f t="shared" si="0"/>
        <v>0</v>
      </c>
      <c r="M18" s="721">
        <f t="shared" si="1"/>
        <v>0</v>
      </c>
      <c r="N18" s="722">
        <f t="shared" si="2"/>
        <v>0</v>
      </c>
      <c r="O18" s="690"/>
    </row>
    <row r="19" spans="1:15" ht="13.5" thickBot="1">
      <c r="A19" s="688"/>
      <c r="B19" s="688"/>
      <c r="C19" s="688"/>
      <c r="D19" s="720"/>
      <c r="G19" s="868"/>
      <c r="H19" s="874"/>
      <c r="I19" s="875"/>
      <c r="J19" s="874"/>
      <c r="K19" s="871"/>
      <c r="L19" s="721">
        <f t="shared" si="0"/>
        <v>0</v>
      </c>
      <c r="M19" s="721">
        <f t="shared" si="1"/>
        <v>0</v>
      </c>
      <c r="N19" s="722">
        <f t="shared" si="2"/>
        <v>0</v>
      </c>
      <c r="O19" s="690"/>
    </row>
    <row r="20" spans="1:15" ht="13.5" thickBot="1">
      <c r="A20" s="688"/>
      <c r="B20" s="688"/>
      <c r="C20" s="878" t="s">
        <v>9270</v>
      </c>
      <c r="D20" s="857">
        <f>D18*12</f>
        <v>0</v>
      </c>
      <c r="G20" s="868"/>
      <c r="H20" s="876"/>
      <c r="I20" s="875"/>
      <c r="J20" s="876"/>
      <c r="K20" s="877"/>
      <c r="L20" s="721">
        <f t="shared" si="0"/>
        <v>0</v>
      </c>
      <c r="M20" s="721">
        <f t="shared" si="1"/>
        <v>0</v>
      </c>
      <c r="N20" s="722">
        <f t="shared" si="2"/>
        <v>0</v>
      </c>
      <c r="O20" s="690"/>
    </row>
    <row r="21" spans="1:15">
      <c r="A21" s="688"/>
      <c r="B21" s="688"/>
      <c r="C21" s="688"/>
      <c r="D21" s="720"/>
      <c r="G21" s="723"/>
      <c r="H21" s="717"/>
      <c r="I21" s="717"/>
      <c r="J21" s="717"/>
      <c r="K21" s="721"/>
      <c r="L21" s="721"/>
      <c r="M21" s="721"/>
      <c r="N21" s="722"/>
      <c r="O21" s="690"/>
    </row>
    <row r="22" spans="1:15" ht="15.75" thickBot="1">
      <c r="A22" s="697" t="s">
        <v>9258</v>
      </c>
      <c r="B22" s="688"/>
      <c r="C22" s="688"/>
      <c r="D22" s="858"/>
      <c r="G22" s="724" t="s">
        <v>9221</v>
      </c>
      <c r="H22" s="725">
        <f>SUM(H11:H20)</f>
        <v>0</v>
      </c>
      <c r="I22" s="726"/>
      <c r="J22" s="727">
        <f>SUMPRODUCT(H11:H20,J11:J20)</f>
        <v>0</v>
      </c>
      <c r="K22" s="728"/>
      <c r="L22" s="728"/>
      <c r="M22" s="729">
        <f>IFERROR((N22/24/H22),0)</f>
        <v>0</v>
      </c>
      <c r="N22" s="730">
        <f>SUM(N11:N21)</f>
        <v>0</v>
      </c>
      <c r="O22" s="690"/>
    </row>
    <row r="23" spans="1:15">
      <c r="A23" s="699"/>
      <c r="B23" s="700" t="s">
        <v>9251</v>
      </c>
      <c r="C23" s="701" t="s">
        <v>9252</v>
      </c>
      <c r="D23" s="702" t="s">
        <v>600</v>
      </c>
      <c r="G23" s="716"/>
      <c r="H23" s="731"/>
      <c r="I23" s="717"/>
      <c r="J23" s="732"/>
      <c r="K23" s="721"/>
      <c r="L23" s="721"/>
      <c r="M23" s="733"/>
      <c r="N23" s="734"/>
      <c r="O23" s="690"/>
    </row>
    <row r="24" spans="1:15" ht="13.5" thickBot="1">
      <c r="A24" s="704" t="s">
        <v>9257</v>
      </c>
      <c r="B24" s="705">
        <f>x_Mobility_Prem_Calc!B20</f>
        <v>0</v>
      </c>
      <c r="C24" s="706">
        <f>x_Mobility_Prem_Calc!B26</f>
        <v>0</v>
      </c>
      <c r="D24" s="854">
        <f>SUM(B24:C24)</f>
        <v>0</v>
      </c>
      <c r="G24" s="716" t="s">
        <v>9222</v>
      </c>
      <c r="H24" s="718"/>
      <c r="I24" s="718"/>
      <c r="J24" s="718"/>
      <c r="K24" s="718"/>
      <c r="L24" s="718"/>
      <c r="M24" s="718"/>
      <c r="N24" s="719"/>
      <c r="O24" s="690"/>
    </row>
    <row r="25" spans="1:15" ht="13.5" thickBot="1">
      <c r="A25" s="704" t="s">
        <v>9254</v>
      </c>
      <c r="B25" s="710">
        <f>x_Mobility_Prem_Calc!G20</f>
        <v>0</v>
      </c>
      <c r="C25" s="711">
        <f>x_Mobility_Prem_Calc!G26</f>
        <v>0</v>
      </c>
      <c r="D25" s="855">
        <f>IF(D24,D26/D24,0)</f>
        <v>0</v>
      </c>
      <c r="G25" s="868"/>
      <c r="H25" s="870"/>
      <c r="I25" s="871"/>
      <c r="J25" s="870"/>
      <c r="K25" s="871"/>
      <c r="L25" s="721">
        <f t="shared" ref="L25:L34" si="3">IF($H$4="ACDA",(I25-K25)*$H$7,IF(I25&lt;30,0,(I25-K25)*$H$7))</f>
        <v>0</v>
      </c>
      <c r="M25" s="721">
        <f t="shared" ref="M25:M34" si="4">I25-K25-L25</f>
        <v>0</v>
      </c>
      <c r="N25" s="722">
        <f t="shared" ref="N25:N34" si="5">M25*24*H25</f>
        <v>0</v>
      </c>
      <c r="O25" s="690"/>
    </row>
    <row r="26" spans="1:15" ht="13.5" thickBot="1">
      <c r="A26" s="715" t="s">
        <v>9255</v>
      </c>
      <c r="B26" s="864">
        <f>B24*B25</f>
        <v>0</v>
      </c>
      <c r="C26" s="865">
        <f>C24*C25</f>
        <v>0</v>
      </c>
      <c r="D26" s="856">
        <f>SUM(B26:C26)</f>
        <v>0</v>
      </c>
      <c r="G26" s="868"/>
      <c r="H26" s="870"/>
      <c r="I26" s="871"/>
      <c r="J26" s="870"/>
      <c r="K26" s="871"/>
      <c r="L26" s="721">
        <f t="shared" si="3"/>
        <v>0</v>
      </c>
      <c r="M26" s="721">
        <f t="shared" si="4"/>
        <v>0</v>
      </c>
      <c r="N26" s="722">
        <f t="shared" si="5"/>
        <v>0</v>
      </c>
      <c r="O26" s="690"/>
    </row>
    <row r="27" spans="1:15" ht="13.5" thickBot="1">
      <c r="C27" s="689"/>
      <c r="D27" s="720"/>
      <c r="G27" s="868"/>
      <c r="H27" s="870"/>
      <c r="I27" s="871"/>
      <c r="J27" s="870"/>
      <c r="K27" s="871"/>
      <c r="L27" s="721">
        <f>IF($H$4="ACDA",(I27-K27)*$H$7,IF(I27&lt;30,0,(I27-K27)*$H$7))</f>
        <v>0</v>
      </c>
      <c r="M27" s="721">
        <f>I27-K27-L27</f>
        <v>0</v>
      </c>
      <c r="N27" s="722">
        <f>M27*24*H27</f>
        <v>0</v>
      </c>
      <c r="O27" s="690"/>
    </row>
    <row r="28" spans="1:15" ht="13.5" thickBot="1">
      <c r="A28" s="849"/>
      <c r="B28" s="849"/>
      <c r="C28" s="878" t="s">
        <v>9270</v>
      </c>
      <c r="D28" s="857">
        <f>D26*12</f>
        <v>0</v>
      </c>
      <c r="G28" s="868"/>
      <c r="H28" s="870"/>
      <c r="I28" s="871"/>
      <c r="J28" s="870"/>
      <c r="K28" s="871"/>
      <c r="L28" s="721">
        <f>IF($H$4="ACDA",(I28-K28)*$H$7,IF(I28&lt;30,0,(I28-K28)*$H$7))</f>
        <v>0</v>
      </c>
      <c r="M28" s="721">
        <f>I28-K28-L28</f>
        <v>0</v>
      </c>
      <c r="N28" s="722">
        <f>M28*24*H28</f>
        <v>0</v>
      </c>
      <c r="O28" s="690"/>
    </row>
    <row r="29" spans="1:15" ht="13.5" thickBot="1">
      <c r="A29" s="849"/>
      <c r="B29" s="849"/>
      <c r="C29" s="850"/>
      <c r="D29" s="851"/>
      <c r="G29" s="868"/>
      <c r="H29" s="870"/>
      <c r="I29" s="871"/>
      <c r="J29" s="870"/>
      <c r="K29" s="871"/>
      <c r="L29" s="721">
        <f>IF($H$4="ACDA",(I29-K29)*$H$7,IF(I29&lt;30,0,(I29-K29)*$H$7))</f>
        <v>0</v>
      </c>
      <c r="M29" s="721">
        <f>I29-K29-L29</f>
        <v>0</v>
      </c>
      <c r="N29" s="722">
        <f>M29*24*H29</f>
        <v>0</v>
      </c>
      <c r="O29" s="690"/>
    </row>
    <row r="30" spans="1:15" ht="13.5" thickBot="1">
      <c r="A30" s="849"/>
      <c r="B30" s="849"/>
      <c r="C30" s="852" t="s">
        <v>9259</v>
      </c>
      <c r="D30" s="859">
        <v>2</v>
      </c>
      <c r="G30" s="868"/>
      <c r="H30" s="870"/>
      <c r="I30" s="871"/>
      <c r="J30" s="870"/>
      <c r="K30" s="871"/>
      <c r="L30" s="721">
        <f>IF($H$4="ACDA",(I30-K30)*$H$7,IF(I30&lt;30,0,(I30-K30)*$H$7))</f>
        <v>0</v>
      </c>
      <c r="M30" s="721">
        <f>I30-K30-L30</f>
        <v>0</v>
      </c>
      <c r="N30" s="722">
        <f>M30*24*H30</f>
        <v>0</v>
      </c>
      <c r="O30" s="690"/>
    </row>
    <row r="31" spans="1:15" ht="13.5" thickBot="1">
      <c r="A31" s="849"/>
      <c r="B31" s="849"/>
      <c r="C31" s="852" t="s">
        <v>9260</v>
      </c>
      <c r="D31" s="857">
        <f>D30*D34</f>
        <v>0</v>
      </c>
      <c r="G31" s="868"/>
      <c r="H31" s="870"/>
      <c r="I31" s="871"/>
      <c r="J31" s="870"/>
      <c r="K31" s="871"/>
      <c r="L31" s="721">
        <f t="shared" si="3"/>
        <v>0</v>
      </c>
      <c r="M31" s="721">
        <f t="shared" si="4"/>
        <v>0</v>
      </c>
      <c r="N31" s="722">
        <f t="shared" si="5"/>
        <v>0</v>
      </c>
      <c r="O31" s="690"/>
    </row>
    <row r="32" spans="1:15" ht="13.5" thickBot="1">
      <c r="A32" s="849"/>
      <c r="B32" s="849"/>
      <c r="C32" s="852"/>
      <c r="D32" s="860"/>
      <c r="G32" s="868"/>
      <c r="H32" s="870"/>
      <c r="I32" s="873"/>
      <c r="J32" s="870"/>
      <c r="K32" s="871"/>
      <c r="L32" s="721">
        <f t="shared" si="3"/>
        <v>0</v>
      </c>
      <c r="M32" s="721">
        <f t="shared" si="4"/>
        <v>0</v>
      </c>
      <c r="N32" s="722">
        <f t="shared" si="5"/>
        <v>0</v>
      </c>
      <c r="O32" s="690"/>
    </row>
    <row r="33" spans="1:15" ht="13.5" thickBot="1">
      <c r="A33" s="849"/>
      <c r="B33" s="849"/>
      <c r="C33" s="852" t="s">
        <v>9261</v>
      </c>
      <c r="D33" s="861">
        <f>IF(D12,D34/D12,0)</f>
        <v>0</v>
      </c>
      <c r="G33" s="868"/>
      <c r="H33" s="874"/>
      <c r="I33" s="875"/>
      <c r="J33" s="874"/>
      <c r="K33" s="871"/>
      <c r="L33" s="721">
        <f t="shared" si="3"/>
        <v>0</v>
      </c>
      <c r="M33" s="721">
        <f t="shared" si="4"/>
        <v>0</v>
      </c>
      <c r="N33" s="722">
        <f t="shared" si="5"/>
        <v>0</v>
      </c>
      <c r="O33" s="690"/>
    </row>
    <row r="34" spans="1:15" ht="13.5" thickBot="1">
      <c r="A34" s="849"/>
      <c r="B34" s="853"/>
      <c r="C34" s="852" t="s">
        <v>9262</v>
      </c>
      <c r="D34" s="857">
        <f>D28-D12</f>
        <v>0</v>
      </c>
      <c r="G34" s="868"/>
      <c r="H34" s="876"/>
      <c r="I34" s="875"/>
      <c r="J34" s="876"/>
      <c r="K34" s="877"/>
      <c r="L34" s="721">
        <f t="shared" si="3"/>
        <v>0</v>
      </c>
      <c r="M34" s="721">
        <f t="shared" si="4"/>
        <v>0</v>
      </c>
      <c r="N34" s="722">
        <f t="shared" si="5"/>
        <v>0</v>
      </c>
      <c r="O34" s="690"/>
    </row>
    <row r="35" spans="1:15">
      <c r="A35" s="849"/>
      <c r="B35" s="849"/>
      <c r="C35" s="850"/>
      <c r="D35" s="860"/>
      <c r="G35" s="723"/>
      <c r="H35" s="717"/>
      <c r="I35" s="717"/>
      <c r="J35" s="717"/>
      <c r="K35" s="721"/>
      <c r="L35" s="721"/>
      <c r="M35" s="721"/>
      <c r="N35" s="722"/>
      <c r="O35" s="690"/>
    </row>
    <row r="36" spans="1:15" ht="13.5" thickBot="1">
      <c r="G36" s="735" t="s">
        <v>9223</v>
      </c>
      <c r="H36" s="736">
        <f>SUM(H25:H34)</f>
        <v>0</v>
      </c>
      <c r="I36" s="737"/>
      <c r="J36" s="738">
        <f>SUMPRODUCT(H25:H34,J25:J34)</f>
        <v>0</v>
      </c>
      <c r="K36" s="739"/>
      <c r="L36" s="739"/>
      <c r="M36" s="740">
        <f>IFERROR((N36/24/H36),0)</f>
        <v>0</v>
      </c>
      <c r="N36" s="741">
        <f>SUM(N25:N35)</f>
        <v>0</v>
      </c>
      <c r="O36" s="690"/>
    </row>
    <row r="37" spans="1:15" ht="27" customHeight="1" thickBot="1">
      <c r="A37" s="879" t="e">
        <f>IF($D$34&gt;0,"No Writedown","Approval Required:  "&amp;VLOOKUP(-$D$34,mobility_PAL_Writedown,2,TRUE))</f>
        <v>#NAME?</v>
      </c>
      <c r="B37" s="880"/>
      <c r="C37" s="881"/>
      <c r="D37" s="882"/>
    </row>
    <row r="38" spans="1:15">
      <c r="B38" s="742"/>
      <c r="D38" s="689"/>
    </row>
    <row r="39" spans="1:15">
      <c r="B39" s="742"/>
      <c r="D39" s="689"/>
    </row>
    <row r="40" spans="1:15">
      <c r="B40" s="742"/>
      <c r="D40" s="689"/>
    </row>
  </sheetData>
  <sheetProtection formatColumns="0" formatRows="0" selectLockedCells="1"/>
  <mergeCells count="1">
    <mergeCell ref="I7:N7"/>
  </mergeCells>
  <conditionalFormatting sqref="K18:K20 K25:K30">
    <cfRule type="expression" dxfId="7" priority="5" stopIfTrue="1">
      <formula>AB16=2</formula>
    </cfRule>
    <cfRule type="expression" dxfId="6" priority="6" stopIfTrue="1">
      <formula>AG16=3</formula>
    </cfRule>
  </conditionalFormatting>
  <conditionalFormatting sqref="K12:K17">
    <cfRule type="expression" dxfId="5" priority="3" stopIfTrue="1">
      <formula>AB14=2</formula>
    </cfRule>
    <cfRule type="expression" dxfId="4" priority="4" stopIfTrue="1">
      <formula>AG14=3</formula>
    </cfRule>
  </conditionalFormatting>
  <conditionalFormatting sqref="K31:K34">
    <cfRule type="expression" dxfId="3" priority="1" stopIfTrue="1">
      <formula>AB25=2</formula>
    </cfRule>
    <cfRule type="expression" dxfId="2" priority="2" stopIfTrue="1">
      <formula>AG25=3</formula>
    </cfRule>
  </conditionalFormatting>
  <dataValidations count="4">
    <dataValidation type="list" allowBlank="1" showInputMessage="1" showErrorMessage="1" sqref="G11:G20" xr:uid="{00000000-0002-0000-1900-000000000000}">
      <formula1>mobility_competitors_voiceplans_key</formula1>
    </dataValidation>
    <dataValidation type="list" allowBlank="1" showInputMessage="1" showErrorMessage="1" sqref="G25:G34" xr:uid="{00000000-0002-0000-1900-000001000000}">
      <formula1>mobility_competitors_dataplans_key</formula1>
    </dataValidation>
    <dataValidation type="list" allowBlank="1" showInputMessage="1" showErrorMessage="1" sqref="H4" xr:uid="{00000000-0002-0000-1900-000002000000}">
      <formula1>mobility_contracttypes_key</formula1>
    </dataValidation>
    <dataValidation type="list" allowBlank="1" showInputMessage="1" showErrorMessage="1" sqref="H5" xr:uid="{00000000-0002-0000-1900-000003000000}">
      <formula1>mobility_MAC_Factors_key</formula1>
    </dataValidation>
  </dataValidations>
  <pageMargins left="0.75" right="0.75" top="1" bottom="1" header="0.5" footer="0.5"/>
  <pageSetup orientation="portrait" r:id="rId1"/>
  <headerFooter alignWithMargins="0">
    <oddFooter>&amp;CAT&amp;&amp;T Proprietary (Internal Use Only)</oddFooter>
  </headerFooter>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OtherTables">
    <tabColor rgb="FFFF9900"/>
  </sheetPr>
  <dimension ref="A1:D7"/>
  <sheetViews>
    <sheetView zoomScale="70" zoomScaleNormal="70" workbookViewId="0">
      <pane ySplit="4" topLeftCell="A5" activePane="bottomLeft" state="frozen"/>
      <selection pane="bottomLeft" activeCell="J21" sqref="J21"/>
    </sheetView>
  </sheetViews>
  <sheetFormatPr defaultColWidth="9.140625" defaultRowHeight="12.75"/>
  <cols>
    <col min="1" max="1" width="17.42578125" style="690" bestFit="1" customWidth="1"/>
    <col min="2" max="2" width="17.85546875" style="690" bestFit="1" customWidth="1"/>
    <col min="3" max="3" width="12.5703125" style="690" bestFit="1" customWidth="1"/>
    <col min="4" max="4" width="4.7109375" style="690" customWidth="1"/>
    <col min="5" max="16384" width="9.140625" style="690"/>
  </cols>
  <sheetData>
    <row r="1" spans="1:4" s="759" customFormat="1" ht="11.25">
      <c r="D1" s="1752"/>
    </row>
    <row r="2" spans="1:4" s="759" customFormat="1" ht="11.25">
      <c r="D2" s="1752"/>
    </row>
    <row r="3" spans="1:4" s="760" customFormat="1" ht="11.25">
      <c r="A3" s="760" t="s">
        <v>12595</v>
      </c>
      <c r="B3" s="760" t="s">
        <v>9263</v>
      </c>
      <c r="D3" s="1753"/>
    </row>
    <row r="4" spans="1:4" s="761" customFormat="1" ht="11.25">
      <c r="A4" s="761" t="s">
        <v>12596</v>
      </c>
      <c r="B4" s="761" t="s">
        <v>12597</v>
      </c>
      <c r="C4" s="761" t="s">
        <v>12598</v>
      </c>
      <c r="D4" s="1754"/>
    </row>
    <row r="5" spans="1:4">
      <c r="A5" s="690">
        <v>1189</v>
      </c>
      <c r="B5" s="690">
        <v>5301</v>
      </c>
      <c r="C5" s="690" t="s">
        <v>11893</v>
      </c>
    </row>
    <row r="6" spans="1:4">
      <c r="A6" s="690">
        <v>1049</v>
      </c>
      <c r="B6" s="690">
        <v>5692</v>
      </c>
      <c r="C6" s="690" t="s">
        <v>11893</v>
      </c>
    </row>
    <row r="7" spans="1:4">
      <c r="A7" s="690">
        <v>1060</v>
      </c>
      <c r="B7" s="690">
        <v>6054</v>
      </c>
      <c r="C7" s="690" t="s">
        <v>11893</v>
      </c>
    </row>
  </sheetData>
  <sheetProtection formatColumns="0" formatRows="0"/>
  <dataConsolidate/>
  <pageMargins left="0.7" right="0.7" top="0.75" bottom="0.75" header="0.3" footer="0.3"/>
  <pageSetup orientation="portrait" horizontalDpi="300" verticalDpi="300" r:id="rId1"/>
  <headerFooter>
    <oddFooter>&amp;CAT&amp;&amp;T Proprietary (Internal Use Only)</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45441" r:id="rId4" name="Button 1">
              <controlPr defaultSize="0" autoFill="0" autoPict="0" macro="[0]!OtherTables.ButtonUpdateOtherTables" altText="Do It">
                <anchor>
                  <from>
                    <xdr:col>0</xdr:col>
                    <xdr:colOff>66675</xdr:colOff>
                    <xdr:row>0</xdr:row>
                    <xdr:rowOff>57150</xdr:rowOff>
                  </from>
                  <to>
                    <xdr:col>1</xdr:col>
                    <xdr:colOff>1123950</xdr:colOff>
                    <xdr:row>1</xdr:row>
                    <xdr:rowOff>104775</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DefaultTables">
    <tabColor rgb="FF00CC00"/>
  </sheetPr>
  <dimension ref="A1:AM4"/>
  <sheetViews>
    <sheetView zoomScale="85" zoomScaleNormal="85" workbookViewId="0">
      <pane ySplit="4" topLeftCell="A5" activePane="bottomLeft" state="frozen"/>
      <selection pane="bottomLeft"/>
    </sheetView>
  </sheetViews>
  <sheetFormatPr defaultColWidth="9.140625" defaultRowHeight="12.75"/>
  <cols>
    <col min="1" max="3" width="9.140625" style="1748"/>
    <col min="4" max="4" width="2.5703125" style="1748" customWidth="1"/>
    <col min="5" max="6" width="9.140625" style="1748"/>
    <col min="7" max="7" width="2.5703125" style="1748" customWidth="1"/>
    <col min="8" max="10" width="9.140625" style="1748"/>
    <col min="11" max="11" width="2.5703125" style="1748" customWidth="1"/>
    <col min="12" max="14" width="9.140625" style="1748"/>
    <col min="15" max="15" width="2.5703125" style="1748" customWidth="1"/>
    <col min="16" max="24" width="9.140625" style="1748"/>
    <col min="25" max="25" width="4.28515625" style="1748" customWidth="1"/>
    <col min="26" max="27" width="18.140625" style="1748" customWidth="1"/>
    <col min="28" max="28" width="2.42578125" style="1748" customWidth="1"/>
    <col min="29" max="31" width="9.140625" style="1748"/>
    <col min="32" max="32" width="2.7109375" style="1748" customWidth="1"/>
    <col min="33" max="35" width="9.140625" style="1748"/>
    <col min="36" max="36" width="2.140625" style="1748" customWidth="1"/>
    <col min="37" max="38" width="14.85546875" style="1748" customWidth="1"/>
    <col min="39" max="39" width="29.42578125" style="1748" customWidth="1"/>
    <col min="40" max="16384" width="9.140625" style="1748"/>
  </cols>
  <sheetData>
    <row r="1" spans="1:39" s="1746" customFormat="1" ht="11.25">
      <c r="D1" s="1749"/>
      <c r="G1" s="1749"/>
      <c r="I1" s="1750"/>
      <c r="K1" s="1749"/>
      <c r="O1" s="1749"/>
      <c r="Y1" s="1749"/>
      <c r="AB1" s="1749"/>
      <c r="AF1" s="1749"/>
      <c r="AJ1" s="1749"/>
    </row>
    <row r="2" spans="1:39" s="1746" customFormat="1" ht="11.25">
      <c r="D2" s="1749"/>
      <c r="G2" s="1749"/>
      <c r="K2" s="1749"/>
      <c r="O2" s="1749"/>
      <c r="Y2" s="1749"/>
      <c r="AB2" s="1749"/>
      <c r="AF2" s="1749"/>
      <c r="AJ2" s="1749"/>
    </row>
    <row r="3" spans="1:39" s="1747" customFormat="1" ht="11.25">
      <c r="A3" s="1747" t="s">
        <v>10468</v>
      </c>
      <c r="D3" s="1751"/>
      <c r="E3" s="1747" t="s">
        <v>10681</v>
      </c>
      <c r="G3" s="1751"/>
      <c r="H3" s="1747" t="s">
        <v>10682</v>
      </c>
      <c r="K3" s="1751"/>
      <c r="L3" s="1747" t="s">
        <v>10683</v>
      </c>
      <c r="O3" s="1751"/>
      <c r="P3" s="1747" t="s">
        <v>10467</v>
      </c>
      <c r="Y3" s="1751"/>
      <c r="Z3" s="1747" t="s">
        <v>10715</v>
      </c>
      <c r="AB3" s="1751"/>
      <c r="AC3" s="1747" t="s">
        <v>10720</v>
      </c>
      <c r="AF3" s="1751"/>
      <c r="AG3" s="1747" t="s">
        <v>10722</v>
      </c>
      <c r="AJ3" s="1751"/>
      <c r="AK3" s="1747" t="s">
        <v>12595</v>
      </c>
      <c r="AL3" s="1747" t="s">
        <v>9263</v>
      </c>
    </row>
    <row r="4" spans="1:39" s="1747" customFormat="1" ht="11.25">
      <c r="A4" s="1747" t="s">
        <v>9269</v>
      </c>
      <c r="B4" s="1747" t="s">
        <v>10477</v>
      </c>
      <c r="C4" s="1747" t="s">
        <v>10478</v>
      </c>
      <c r="D4" s="1751"/>
      <c r="E4" s="1747" t="s">
        <v>9269</v>
      </c>
      <c r="F4" s="1747" t="s">
        <v>10477</v>
      </c>
      <c r="G4" s="1751"/>
      <c r="H4" s="1747" t="s">
        <v>9269</v>
      </c>
      <c r="I4" s="1747" t="s">
        <v>10477</v>
      </c>
      <c r="J4" s="1747" t="s">
        <v>10478</v>
      </c>
      <c r="K4" s="1751"/>
      <c r="L4" s="1747" t="s">
        <v>9269</v>
      </c>
      <c r="M4" s="1747" t="s">
        <v>10477</v>
      </c>
      <c r="N4" s="1747" t="s">
        <v>10478</v>
      </c>
      <c r="O4" s="1751"/>
      <c r="P4" s="1747" t="s">
        <v>10469</v>
      </c>
      <c r="Q4" s="1747" t="s">
        <v>10470</v>
      </c>
      <c r="R4" s="1747" t="s">
        <v>10471</v>
      </c>
      <c r="S4" s="1747" t="s">
        <v>10358</v>
      </c>
      <c r="T4" s="1747" t="s">
        <v>10472</v>
      </c>
      <c r="U4" s="1747" t="s">
        <v>10473</v>
      </c>
      <c r="V4" s="1747" t="s">
        <v>10474</v>
      </c>
      <c r="W4" s="1747" t="s">
        <v>10475</v>
      </c>
      <c r="X4" s="1747" t="s">
        <v>10476</v>
      </c>
      <c r="Y4" s="1751"/>
      <c r="Z4" s="1747" t="s">
        <v>10716</v>
      </c>
      <c r="AA4" s="1747" t="s">
        <v>10717</v>
      </c>
      <c r="AB4" s="1751"/>
      <c r="AC4" s="1747" t="s">
        <v>9269</v>
      </c>
      <c r="AD4" s="1747" t="s">
        <v>10719</v>
      </c>
      <c r="AE4" s="1747" t="s">
        <v>10721</v>
      </c>
      <c r="AF4" s="1751"/>
      <c r="AG4" s="1747" t="s">
        <v>9269</v>
      </c>
      <c r="AH4" s="1747" t="s">
        <v>10719</v>
      </c>
      <c r="AI4" s="1747" t="s">
        <v>10721</v>
      </c>
      <c r="AJ4" s="1751"/>
      <c r="AK4" s="1747" t="s">
        <v>12596</v>
      </c>
      <c r="AL4" s="1747" t="s">
        <v>12597</v>
      </c>
      <c r="AM4" s="1747" t="s">
        <v>12598</v>
      </c>
    </row>
  </sheetData>
  <sheetProtection formatColumns="0" formatRows="0"/>
  <dataConsolidate/>
  <pageMargins left="0.7" right="0.7" top="0.75" bottom="0.75" header="0.3" footer="0.3"/>
  <pageSetup orientation="portrait" horizontalDpi="300" verticalDpi="300" r:id="rId1"/>
  <headerFooter>
    <oddFooter>&amp;CAT&amp;&amp;T Proprietary (Internal Use Only)</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81633" r:id="rId4" name="Button 1">
              <controlPr defaultSize="0" autoFill="0" autoPict="0" macro="[0]!DefaultTables.ButtonUpdateDefaultTables" altText="Do It">
                <anchor>
                  <from>
                    <xdr:col>0</xdr:col>
                    <xdr:colOff>66675</xdr:colOff>
                    <xdr:row>0</xdr:row>
                    <xdr:rowOff>57150</xdr:rowOff>
                  </from>
                  <to>
                    <xdr:col>4</xdr:col>
                    <xdr:colOff>276225</xdr:colOff>
                    <xdr:row>1</xdr:row>
                    <xdr:rowOff>104775</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AcceleratorTables">
    <tabColor rgb="FFFFFF00"/>
  </sheetPr>
  <dimension ref="A1:BP5"/>
  <sheetViews>
    <sheetView topLeftCell="AA1" zoomScale="75" zoomScaleNormal="75" workbookViewId="0">
      <selection activeCell="AT5" sqref="AT5"/>
    </sheetView>
  </sheetViews>
  <sheetFormatPr defaultColWidth="9.140625" defaultRowHeight="12.75"/>
  <cols>
    <col min="1" max="1" width="26.5703125" style="1258" bestFit="1" customWidth="1"/>
    <col min="2" max="2" width="12.42578125" style="1258" customWidth="1"/>
    <col min="3" max="3" width="2" style="1258" customWidth="1"/>
    <col min="4" max="4" width="15.140625" style="1258" customWidth="1"/>
    <col min="5" max="5" width="14.140625" style="1258" customWidth="1"/>
    <col min="6" max="6" width="2" style="1258" customWidth="1"/>
    <col min="7" max="7" width="26.42578125" style="1258" customWidth="1"/>
    <col min="8" max="8" width="23" style="1258" customWidth="1"/>
    <col min="9" max="9" width="19.42578125" style="1258" customWidth="1"/>
    <col min="10" max="10" width="13.5703125" style="1258" customWidth="1"/>
    <col min="11" max="11" width="12.28515625" style="1258" bestFit="1" customWidth="1"/>
    <col min="12" max="12" width="2" style="1258" customWidth="1"/>
    <col min="13" max="13" width="19.28515625" style="1258" customWidth="1"/>
    <col min="14" max="14" width="21.140625" style="1258" bestFit="1" customWidth="1"/>
    <col min="15" max="15" width="2" style="1258" customWidth="1"/>
    <col min="16" max="16" width="16.85546875" style="1258" customWidth="1"/>
    <col min="17" max="17" width="9.140625" style="1258"/>
    <col min="18" max="18" width="28" style="1258" bestFit="1" customWidth="1"/>
    <col min="19" max="20" width="9.140625" style="1258"/>
    <col min="21" max="21" width="2" style="1258" customWidth="1"/>
    <col min="22" max="22" width="16" style="1269" customWidth="1"/>
    <col min="23" max="23" width="13.28515625" style="1258" customWidth="1"/>
    <col min="24" max="24" width="2" style="1258" customWidth="1"/>
    <col min="25" max="26" width="16.7109375" style="1258" customWidth="1"/>
    <col min="27" max="27" width="2" style="1258" customWidth="1"/>
    <col min="28" max="28" width="34.42578125" style="1258" customWidth="1"/>
    <col min="29" max="29" width="2" style="1258" customWidth="1"/>
    <col min="30" max="31" width="17.5703125" style="1258" customWidth="1"/>
    <col min="32" max="32" width="2" style="1258" customWidth="1"/>
    <col min="33" max="34" width="11.140625" style="1258" customWidth="1"/>
    <col min="35" max="35" width="2" style="1258" customWidth="1"/>
    <col min="36" max="37" width="16.85546875" style="1258" customWidth="1"/>
    <col min="38" max="38" width="2" style="1258" customWidth="1"/>
    <col min="39" max="42" width="12.42578125" style="1258" customWidth="1"/>
    <col min="43" max="43" width="2" style="1258" customWidth="1"/>
    <col min="44" max="45" width="14.140625" style="1258" customWidth="1"/>
    <col min="46" max="47" width="2" style="1258" customWidth="1"/>
    <col min="48" max="16384" width="9.140625" style="1258"/>
  </cols>
  <sheetData>
    <row r="1" spans="1:68">
      <c r="C1" s="1259"/>
      <c r="F1" s="1259"/>
      <c r="L1" s="1259"/>
      <c r="O1" s="1259"/>
      <c r="U1" s="1259"/>
      <c r="X1" s="1259"/>
      <c r="AA1" s="1259"/>
      <c r="AC1" s="1259"/>
      <c r="AF1" s="1259"/>
      <c r="AI1" s="1259"/>
      <c r="AL1" s="1259"/>
      <c r="AQ1" s="1259"/>
      <c r="AT1" s="1259"/>
      <c r="AU1" s="1259"/>
    </row>
    <row r="2" spans="1:68">
      <c r="C2" s="1259"/>
      <c r="F2" s="1259"/>
      <c r="L2" s="1259"/>
      <c r="O2" s="1259"/>
      <c r="U2" s="1259"/>
      <c r="X2" s="1259"/>
      <c r="AA2" s="1259"/>
      <c r="AC2" s="1259"/>
      <c r="AF2" s="1259"/>
      <c r="AI2" s="1259"/>
      <c r="AL2" s="1259"/>
      <c r="AQ2" s="1259"/>
      <c r="AT2" s="1259"/>
      <c r="AU2" s="1259"/>
    </row>
    <row r="3" spans="1:68">
      <c r="C3" s="1259"/>
      <c r="F3" s="1259"/>
      <c r="L3" s="1259"/>
      <c r="O3" s="1259"/>
      <c r="U3" s="1259"/>
      <c r="X3" s="1259"/>
      <c r="AA3" s="1259"/>
      <c r="AC3" s="1259"/>
      <c r="AF3" s="1259"/>
      <c r="AI3" s="1259"/>
      <c r="AL3" s="1259"/>
      <c r="AQ3" s="1259"/>
      <c r="AT3" s="1259"/>
      <c r="AU3" s="1259"/>
    </row>
    <row r="4" spans="1:68" s="1260" customFormat="1">
      <c r="A4" s="1260" t="s">
        <v>10747</v>
      </c>
      <c r="B4" s="1260" t="s">
        <v>9263</v>
      </c>
      <c r="C4" s="1261"/>
      <c r="D4" s="1260" t="s">
        <v>10745</v>
      </c>
      <c r="E4" s="1260" t="s">
        <v>10746</v>
      </c>
      <c r="F4" s="1261"/>
      <c r="G4" s="1260" t="s">
        <v>10751</v>
      </c>
      <c r="H4" s="1260" t="s">
        <v>9263</v>
      </c>
      <c r="L4" s="1261"/>
      <c r="M4" s="1260" t="s">
        <v>10757</v>
      </c>
      <c r="N4" s="1260" t="s">
        <v>10746</v>
      </c>
      <c r="O4" s="1261"/>
      <c r="P4" s="1260" t="s">
        <v>10760</v>
      </c>
      <c r="Q4" s="1260" t="s">
        <v>9263</v>
      </c>
      <c r="U4" s="1261"/>
      <c r="V4" s="1270" t="s">
        <v>10763</v>
      </c>
      <c r="W4" s="1260" t="s">
        <v>10765</v>
      </c>
      <c r="X4" s="1261"/>
      <c r="Y4" s="1260" t="s">
        <v>10766</v>
      </c>
      <c r="Z4" s="1260" t="s">
        <v>9263</v>
      </c>
      <c r="AA4" s="1261"/>
      <c r="AB4" s="1260" t="s">
        <v>10814</v>
      </c>
      <c r="AC4" s="1261"/>
      <c r="AD4" s="1260" t="s">
        <v>10768</v>
      </c>
      <c r="AE4" s="1260" t="s">
        <v>10746</v>
      </c>
      <c r="AF4" s="1261"/>
      <c r="AG4" s="1260" t="s">
        <v>10770</v>
      </c>
      <c r="AH4" s="1260" t="s">
        <v>10746</v>
      </c>
      <c r="AI4" s="1261"/>
      <c r="AJ4" s="1260" t="s">
        <v>10771</v>
      </c>
      <c r="AK4" s="1260" t="s">
        <v>10746</v>
      </c>
      <c r="AL4" s="1261"/>
      <c r="AM4" s="1260" t="s">
        <v>10773</v>
      </c>
      <c r="AN4" s="1260" t="s">
        <v>9263</v>
      </c>
      <c r="AQ4" s="1261"/>
      <c r="AR4" s="1260" t="s">
        <v>10775</v>
      </c>
      <c r="AS4" s="1260" t="s">
        <v>10746</v>
      </c>
      <c r="AT4" s="1261"/>
      <c r="AU4" s="1261"/>
      <c r="AV4" s="1260" t="s">
        <v>10780</v>
      </c>
    </row>
    <row r="5" spans="1:68" s="1262" customFormat="1" ht="25.5">
      <c r="A5" s="1262" t="s">
        <v>10748</v>
      </c>
      <c r="B5" s="1262" t="s">
        <v>10749</v>
      </c>
      <c r="C5" s="1263"/>
      <c r="D5" s="1262" t="s">
        <v>10744</v>
      </c>
      <c r="E5" s="1262" t="s">
        <v>10754</v>
      </c>
      <c r="F5" s="1263"/>
      <c r="G5" s="1264" t="s">
        <v>10772</v>
      </c>
      <c r="H5" s="1262" t="s">
        <v>10750</v>
      </c>
      <c r="I5" s="1262" t="s">
        <v>10752</v>
      </c>
      <c r="J5" s="1262" t="s">
        <v>10808</v>
      </c>
      <c r="K5" s="1262" t="s">
        <v>10809</v>
      </c>
      <c r="L5" s="1263"/>
      <c r="M5" s="1262" t="s">
        <v>10759</v>
      </c>
      <c r="N5" s="1262" t="s">
        <v>10758</v>
      </c>
      <c r="O5" s="1263"/>
      <c r="P5" s="1264" t="s">
        <v>10761</v>
      </c>
      <c r="Q5" s="1262" t="s">
        <v>605</v>
      </c>
      <c r="R5" s="1262" t="s">
        <v>10750</v>
      </c>
      <c r="S5" s="1262" t="s">
        <v>10758</v>
      </c>
      <c r="T5" s="1262" t="s">
        <v>10753</v>
      </c>
      <c r="U5" s="1263"/>
      <c r="V5" s="1271" t="s">
        <v>10762</v>
      </c>
      <c r="W5" s="1262" t="s">
        <v>10753</v>
      </c>
      <c r="X5" s="1263"/>
      <c r="Y5" s="1262" t="s">
        <v>10764</v>
      </c>
      <c r="Z5" s="1262" t="s">
        <v>10753</v>
      </c>
      <c r="AA5" s="1263"/>
      <c r="AB5" s="1262" t="s">
        <v>10750</v>
      </c>
      <c r="AC5" s="1263"/>
      <c r="AD5" s="1262" t="s">
        <v>10767</v>
      </c>
      <c r="AE5" s="1262" t="s">
        <v>10753</v>
      </c>
      <c r="AF5" s="1263"/>
      <c r="AG5" s="1262" t="s">
        <v>10769</v>
      </c>
      <c r="AH5" s="1262" t="s">
        <v>10753</v>
      </c>
      <c r="AI5" s="1263"/>
      <c r="AJ5" s="1262" t="s">
        <v>10759</v>
      </c>
      <c r="AK5" s="1262" t="s">
        <v>10758</v>
      </c>
      <c r="AL5" s="1263"/>
      <c r="AM5" s="1264" t="s">
        <v>10772</v>
      </c>
      <c r="AN5" s="1262" t="s">
        <v>10750</v>
      </c>
      <c r="AO5" s="1262" t="s">
        <v>10758</v>
      </c>
      <c r="AP5" s="1262" t="s">
        <v>10753</v>
      </c>
      <c r="AQ5" s="1263"/>
      <c r="AR5" s="1262" t="s">
        <v>10774</v>
      </c>
      <c r="AS5" s="1262" t="s">
        <v>10753</v>
      </c>
      <c r="AT5" s="1263"/>
      <c r="AU5" s="1263"/>
      <c r="AV5" s="1262" t="s">
        <v>10781</v>
      </c>
      <c r="AW5" s="1262" t="s">
        <v>10782</v>
      </c>
      <c r="AX5" s="1262" t="s">
        <v>10783</v>
      </c>
      <c r="AY5" s="1262" t="s">
        <v>10784</v>
      </c>
      <c r="AZ5" s="1262" t="s">
        <v>10785</v>
      </c>
      <c r="BA5" s="1262" t="s">
        <v>10786</v>
      </c>
      <c r="BB5" s="1262" t="s">
        <v>10816</v>
      </c>
      <c r="BC5" s="1262" t="s">
        <v>10817</v>
      </c>
      <c r="BD5" s="1262" t="s">
        <v>10818</v>
      </c>
      <c r="BE5" s="1262" t="s">
        <v>10819</v>
      </c>
      <c r="BF5" s="1262" t="s">
        <v>10820</v>
      </c>
      <c r="BG5" s="1262" t="s">
        <v>10821</v>
      </c>
      <c r="BH5" s="1262" t="s">
        <v>10822</v>
      </c>
      <c r="BI5" s="1262" t="s">
        <v>10823</v>
      </c>
      <c r="BJ5" s="1262" t="s">
        <v>10824</v>
      </c>
      <c r="BK5" s="1262" t="s">
        <v>10825</v>
      </c>
      <c r="BL5" s="1262" t="s">
        <v>10826</v>
      </c>
      <c r="BM5" s="1262" t="s">
        <v>10827</v>
      </c>
      <c r="BN5" s="1262" t="s">
        <v>10828</v>
      </c>
      <c r="BO5" s="1262" t="s">
        <v>10829</v>
      </c>
      <c r="BP5" s="1262" t="s">
        <v>10830</v>
      </c>
    </row>
  </sheetData>
  <pageMargins left="0.7" right="0.7" top="0.75" bottom="0.75" header="0.3" footer="0.3"/>
  <pageSetup orientation="portrait" horizontalDpi="300" verticalDpi="300" r:id="rId1"/>
  <headerFooter>
    <oddFooter>&amp;CAT&amp;&amp;T Proprietary (Internal Use Only)</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93923" r:id="rId4" name="Button 3">
              <controlPr defaultSize="0" autoFill="0" autoPict="0" macro="[0]!AcceleratorTables.ButtonUpdateAcceleratorTables" altText="Do It">
                <anchor>
                  <from>
                    <xdr:col>0</xdr:col>
                    <xdr:colOff>66675</xdr:colOff>
                    <xdr:row>0</xdr:row>
                    <xdr:rowOff>57150</xdr:rowOff>
                  </from>
                  <to>
                    <xdr:col>1</xdr:col>
                    <xdr:colOff>504825</xdr:colOff>
                    <xdr:row>1</xdr:row>
                    <xdr:rowOff>85725</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Accelerator">
    <tabColor rgb="FFFFFF00"/>
    <pageSetUpPr fitToPage="1"/>
  </sheetPr>
  <dimension ref="B1:V118"/>
  <sheetViews>
    <sheetView zoomScale="85" zoomScaleNormal="85" workbookViewId="0">
      <pane ySplit="3" topLeftCell="A4" activePane="bottomLeft" state="frozen"/>
      <selection activeCell="A37" sqref="A37"/>
      <selection pane="bottomLeft" activeCell="V11" sqref="V11"/>
    </sheetView>
  </sheetViews>
  <sheetFormatPr defaultColWidth="9.140625" defaultRowHeight="12.75"/>
  <cols>
    <col min="1" max="1" width="1.7109375" style="1286" customWidth="1"/>
    <col min="2" max="2" width="30.7109375" style="1286" customWidth="1"/>
    <col min="3" max="3" width="30.7109375" style="1285" customWidth="1"/>
    <col min="4" max="4" width="22.7109375" style="1285" customWidth="1"/>
    <col min="5" max="5" width="22.7109375" style="1404" customWidth="1"/>
    <col min="6" max="6" width="26.42578125" style="1404" bestFit="1" customWidth="1"/>
    <col min="7" max="7" width="1.7109375" style="1286" bestFit="1" customWidth="1"/>
    <col min="8" max="8" width="33.85546875" style="1287" hidden="1" customWidth="1"/>
    <col min="9" max="9" width="10.28515625" style="1287" hidden="1" customWidth="1"/>
    <col min="10" max="10" width="8.140625" style="1288" hidden="1" customWidth="1"/>
    <col min="11" max="11" width="8.42578125" style="1289" hidden="1" customWidth="1"/>
    <col min="12" max="12" width="7.85546875" style="1287" hidden="1" customWidth="1"/>
    <col min="13" max="13" width="8" style="1287" hidden="1" customWidth="1"/>
    <col min="14" max="14" width="5.28515625" style="1287" hidden="1" customWidth="1"/>
    <col min="15" max="15" width="8.7109375" style="1287" hidden="1" customWidth="1"/>
    <col min="16" max="16" width="5.28515625" style="1287" hidden="1" customWidth="1"/>
    <col min="17" max="17" width="7.85546875" style="1287" hidden="1" customWidth="1"/>
    <col min="18" max="18" width="8.42578125" style="1287" hidden="1" customWidth="1"/>
    <col min="19" max="19" width="10.85546875" style="1287" hidden="1" customWidth="1"/>
    <col min="20" max="20" width="11.7109375" style="1290" hidden="1" customWidth="1"/>
    <col min="21" max="21" width="18.28515625" style="1291" bestFit="1" customWidth="1"/>
    <col min="22" max="22" width="19" style="1292" bestFit="1" customWidth="1"/>
    <col min="23" max="16384" width="9.140625" style="1286"/>
  </cols>
  <sheetData>
    <row r="1" spans="2:22" s="1277" customFormat="1" ht="18.75">
      <c r="B1" s="1275" t="s">
        <v>10776</v>
      </c>
      <c r="C1" s="1276"/>
      <c r="D1" s="1276"/>
      <c r="E1" s="1403"/>
      <c r="F1" s="1403"/>
      <c r="H1" s="1278"/>
      <c r="I1" s="1278"/>
      <c r="J1" s="1279"/>
      <c r="K1" s="1280"/>
      <c r="L1" s="1278"/>
      <c r="M1" s="1278"/>
      <c r="N1" s="1278"/>
      <c r="O1" s="1278"/>
      <c r="P1" s="1278"/>
      <c r="Q1" s="1278"/>
      <c r="R1" s="1278"/>
      <c r="S1" s="1278"/>
      <c r="T1" s="1281"/>
      <c r="U1" s="1282"/>
      <c r="V1" s="1283"/>
    </row>
    <row r="4" spans="2:22">
      <c r="B4" s="1284" t="s">
        <v>10777</v>
      </c>
    </row>
    <row r="5" spans="2:22">
      <c r="B5" s="1284" t="s">
        <v>10806</v>
      </c>
    </row>
    <row r="6" spans="2:22">
      <c r="B6" s="1284" t="s">
        <v>10807</v>
      </c>
    </row>
    <row r="8" spans="2:22" s="1295" customFormat="1">
      <c r="B8" s="1293" t="s">
        <v>10788</v>
      </c>
      <c r="C8" s="1294" t="str">
        <f>IF(oppty.customerName=0,"Enter on Step 0",oppty.customerName)</f>
        <v>Enter on Step 0</v>
      </c>
      <c r="E8" s="1405" t="s">
        <v>30</v>
      </c>
      <c r="F8" s="1423">
        <f ca="1">NOW()</f>
        <v>43381.417147222222</v>
      </c>
      <c r="H8" s="1296"/>
      <c r="I8" s="1296"/>
      <c r="J8" s="1297"/>
      <c r="K8" s="1298"/>
      <c r="L8" s="1296"/>
      <c r="M8" s="1296"/>
      <c r="N8" s="1296"/>
      <c r="O8" s="1296"/>
      <c r="P8" s="1296"/>
      <c r="Q8" s="1296"/>
      <c r="R8" s="1296"/>
      <c r="S8" s="1296"/>
      <c r="T8" s="1299"/>
      <c r="U8" s="1291"/>
      <c r="V8" s="1300"/>
    </row>
    <row r="9" spans="2:22" s="1295" customFormat="1">
      <c r="B9" s="1293" t="s">
        <v>10878</v>
      </c>
      <c r="C9" s="1294" t="str">
        <f>IF(oppty.ecrmRequestID=0,"Enter on Step 0",oppty.ecrmRequestID)</f>
        <v>Enter on Step 0</v>
      </c>
      <c r="E9" s="1405" t="s">
        <v>315</v>
      </c>
      <c r="F9" s="1419" t="str">
        <f>IF(oppty.salesChannel=0,"Enter on Step 0",oppty.salesChannel)</f>
        <v>Enter on Step 0</v>
      </c>
      <c r="H9" s="1296"/>
      <c r="I9" s="1296"/>
      <c r="J9" s="1297"/>
      <c r="K9" s="1298"/>
      <c r="L9" s="1296"/>
      <c r="M9" s="1296"/>
      <c r="N9" s="1296"/>
      <c r="O9" s="1296"/>
      <c r="P9" s="1296"/>
      <c r="Q9" s="1296"/>
      <c r="R9" s="1296"/>
      <c r="S9" s="1296"/>
      <c r="T9" s="1299"/>
      <c r="U9" s="1291"/>
      <c r="V9" s="1300"/>
    </row>
    <row r="10" spans="2:22" s="1295" customFormat="1">
      <c r="B10" s="1293" t="s">
        <v>10877</v>
      </c>
      <c r="C10" s="1294" t="str">
        <f>IF(oppty.ecrmSuppReqID=0,"Enter on Step 0",oppty.ecrmSuppReqID)</f>
        <v>Enter on Step 0</v>
      </c>
      <c r="E10" s="1405" t="s">
        <v>10791</v>
      </c>
      <c r="F10" s="1419" t="str">
        <f>IF(oppty.accountExecutive=0,"Enter on Step 0",oppty.accountExecutive)</f>
        <v>Enter on Step 0</v>
      </c>
      <c r="H10" s="1296"/>
      <c r="I10" s="1296"/>
      <c r="J10" s="1297"/>
      <c r="K10" s="1298"/>
      <c r="L10" s="1296"/>
      <c r="M10" s="1296"/>
      <c r="N10" s="1296"/>
      <c r="O10" s="1296"/>
      <c r="P10" s="1296"/>
      <c r="Q10" s="1296"/>
      <c r="R10" s="1296"/>
      <c r="S10" s="1296"/>
      <c r="T10" s="1299"/>
      <c r="U10" s="1291"/>
      <c r="V10" s="1300"/>
    </row>
    <row r="11" spans="2:22" s="1295" customFormat="1">
      <c r="B11" s="1293" t="s">
        <v>10876</v>
      </c>
      <c r="C11" s="1294" t="str">
        <f>IF(oppty.ecrmWorkReqID=0,"Enter on Step 0",oppty.ecrmWorkReqID)</f>
        <v>Enter on Step 0</v>
      </c>
      <c r="E11" s="1405" t="s">
        <v>10792</v>
      </c>
      <c r="F11" s="1419" t="str">
        <f>IF(oppty.tsebdm=0,"Enter on Step 0",oppty.tsebdm)</f>
        <v>Enter on Step 0</v>
      </c>
      <c r="H11" s="1296"/>
      <c r="I11" s="1296"/>
      <c r="J11" s="1297"/>
      <c r="K11" s="1298"/>
      <c r="L11" s="1296"/>
      <c r="M11" s="1296"/>
      <c r="N11" s="1296"/>
      <c r="O11" s="1296"/>
      <c r="P11" s="1296"/>
      <c r="Q11" s="1296"/>
      <c r="R11" s="1296"/>
      <c r="S11" s="1296"/>
      <c r="T11" s="1299"/>
      <c r="U11" s="1291"/>
      <c r="V11" s="1300"/>
    </row>
    <row r="12" spans="2:22" s="1295" customFormat="1">
      <c r="B12" s="1293" t="s">
        <v>10789</v>
      </c>
      <c r="C12" s="1294" t="str">
        <f>IF(oppty.competitor=0,"Enter on Step 0",oppty.competitor)</f>
        <v>Enter on Step 0</v>
      </c>
      <c r="E12" s="1405" t="s">
        <v>10793</v>
      </c>
      <c r="F12" s="1419" t="str">
        <f>IF(oppty.salesVP=0,"Enter on Step 0",oppty.salesVP)</f>
        <v>Enter on Step 0</v>
      </c>
      <c r="H12" s="1296"/>
      <c r="I12" s="1296"/>
      <c r="J12" s="1302"/>
      <c r="K12" s="1303"/>
      <c r="L12" s="1303"/>
      <c r="M12" s="1303"/>
      <c r="N12" s="1303"/>
      <c r="O12" s="1303"/>
      <c r="P12" s="1303"/>
      <c r="Q12" s="1303"/>
      <c r="R12" s="1303"/>
      <c r="S12" s="1303"/>
      <c r="T12" s="1304"/>
      <c r="U12" s="1305"/>
    </row>
    <row r="13" spans="2:22" s="1295" customFormat="1">
      <c r="B13" s="1306" t="s">
        <v>10794</v>
      </c>
      <c r="C13" s="1307" t="str">
        <f ca="1">IF(ClliCount=0,"Add Sites on AcceleratorAccess",InFootprintPercentage)</f>
        <v>Add Sites on AcceleratorAccess</v>
      </c>
      <c r="E13" s="1293" t="s">
        <v>10790</v>
      </c>
      <c r="F13" s="1301" t="str">
        <f>IF(ISNA(MATCH(VLOOKUP("TopProdName",Accelerator_Constants,2,FALSE),products,0)),"Enter on Step 1",INDEX(scenarios,MATCH(VLOOKUP("TopProdName",Accelerator_Constants,2,FALSE),products,0),1))</f>
        <v>Enter on Step 1</v>
      </c>
      <c r="H13" s="1296"/>
      <c r="I13" s="1296"/>
      <c r="J13" s="1308"/>
      <c r="K13" s="1309"/>
      <c r="L13" s="1309"/>
      <c r="M13" s="1309"/>
      <c r="N13" s="1309"/>
      <c r="O13" s="1309"/>
      <c r="P13" s="1309"/>
      <c r="Q13" s="1309"/>
      <c r="R13" s="1309"/>
      <c r="S13" s="1309"/>
      <c r="T13" s="1310"/>
      <c r="U13" s="1305"/>
      <c r="V13" s="1311"/>
    </row>
    <row r="14" spans="2:22">
      <c r="H14" s="1312" t="s">
        <v>10831</v>
      </c>
      <c r="I14" s="1313"/>
      <c r="J14" s="1313"/>
      <c r="K14" s="1314"/>
      <c r="L14" s="1315"/>
      <c r="M14" s="1315"/>
      <c r="N14" s="1315"/>
      <c r="O14" s="1315"/>
      <c r="P14" s="1315"/>
      <c r="Q14" s="1315"/>
      <c r="R14" s="1315"/>
      <c r="S14" s="1315"/>
      <c r="T14" s="1316"/>
    </row>
    <row r="15" spans="2:22" s="1318" customFormat="1" ht="51" customHeight="1">
      <c r="B15" s="1317" t="s">
        <v>10778</v>
      </c>
      <c r="C15" s="1317" t="s">
        <v>9206</v>
      </c>
      <c r="D15" s="1317" t="s">
        <v>10787</v>
      </c>
      <c r="E15" s="1406" t="s">
        <v>10779</v>
      </c>
      <c r="F15" s="1406" t="s">
        <v>10874</v>
      </c>
      <c r="H15" s="1319" t="s">
        <v>10795</v>
      </c>
      <c r="I15" s="1319" t="s">
        <v>10796</v>
      </c>
      <c r="J15" s="1320" t="s">
        <v>10797</v>
      </c>
      <c r="K15" s="1321" t="s">
        <v>10866</v>
      </c>
      <c r="L15" s="1319" t="s">
        <v>10798</v>
      </c>
      <c r="M15" s="1319" t="s">
        <v>10799</v>
      </c>
      <c r="N15" s="1319" t="s">
        <v>10800</v>
      </c>
      <c r="O15" s="1319" t="s">
        <v>10801</v>
      </c>
      <c r="P15" s="1319" t="s">
        <v>10802</v>
      </c>
      <c r="Q15" s="1319" t="s">
        <v>10803</v>
      </c>
      <c r="R15" s="1319" t="s">
        <v>10815</v>
      </c>
      <c r="S15" s="1319" t="s">
        <v>10804</v>
      </c>
      <c r="T15" s="1322" t="s">
        <v>10805</v>
      </c>
      <c r="U15" s="1323" t="s">
        <v>10810</v>
      </c>
      <c r="V15" s="1324" t="s">
        <v>10811</v>
      </c>
    </row>
    <row r="16" spans="2:22">
      <c r="B16" s="1274"/>
      <c r="C16" s="1265"/>
      <c r="D16" s="1266"/>
      <c r="E16" s="1267"/>
      <c r="F16" s="1267"/>
      <c r="I16" s="1325"/>
      <c r="J16" s="1326"/>
      <c r="K16" s="1327"/>
      <c r="L16" s="1325"/>
      <c r="M16" s="1325"/>
      <c r="N16" s="1325"/>
      <c r="O16" s="1325"/>
      <c r="P16" s="1325"/>
      <c r="Q16" s="1325"/>
      <c r="R16" s="1325"/>
      <c r="S16" s="1325"/>
      <c r="T16" s="1328"/>
      <c r="U16" s="1329"/>
      <c r="V16" s="1330"/>
    </row>
    <row r="17" spans="2:22">
      <c r="B17" s="1274"/>
      <c r="C17" s="1265"/>
      <c r="D17" s="1266"/>
      <c r="E17" s="1267"/>
      <c r="F17" s="1267"/>
      <c r="U17" s="1331"/>
      <c r="V17" s="1332"/>
    </row>
    <row r="18" spans="2:22" ht="13.5" thickBot="1"/>
    <row r="19" spans="2:22" ht="13.5" thickBot="1">
      <c r="D19" s="1333" t="s">
        <v>10813</v>
      </c>
      <c r="E19" s="1334">
        <f>SUM(J16:J17)</f>
        <v>0</v>
      </c>
      <c r="V19" s="1335">
        <f>SUM(V16:V17)</f>
        <v>0</v>
      </c>
    </row>
    <row r="20" spans="2:22">
      <c r="D20" s="1336"/>
      <c r="E20" s="1407"/>
    </row>
    <row r="21" spans="2:22">
      <c r="D21" s="1333" t="s">
        <v>10812</v>
      </c>
      <c r="E21" s="1268">
        <v>35000</v>
      </c>
      <c r="F21" s="1420" t="str">
        <f>IF(save.AcceleratorNetRevenue,IF(E21/save.AcceleratorNetRevenue&lt;0.7,"     ***Selected MARC is too low! Minimum 70% is required***",""),"")</f>
        <v/>
      </c>
    </row>
    <row r="22" spans="2:22">
      <c r="D22" s="1333" t="s">
        <v>10868</v>
      </c>
      <c r="E22" s="1001" t="s">
        <v>365</v>
      </c>
    </row>
    <row r="23" spans="2:22" hidden="1">
      <c r="D23" s="1333" t="s">
        <v>10867</v>
      </c>
      <c r="E23" s="1272">
        <v>3</v>
      </c>
    </row>
    <row r="24" spans="2:22" s="1338" customFormat="1" ht="13.5" hidden="1" thickBot="1">
      <c r="B24" s="1427" t="str">
        <f>IF(AcceleratorRamp="no","","***NOTE: year 1 credit AND MARC will be adjusted down based on selected ramp. See credit table and approved ABN MARC levels below.")</f>
        <v/>
      </c>
      <c r="C24" s="1339"/>
      <c r="D24" s="1339"/>
      <c r="E24" s="1408"/>
      <c r="F24" s="1408"/>
    </row>
    <row r="25" spans="2:22" ht="13.5" hidden="1" thickBot="1">
      <c r="C25" s="1340"/>
      <c r="D25" s="1333" t="s">
        <v>10869</v>
      </c>
      <c r="E25" s="1409" t="e">
        <f>INDEX(Accelerator_DealSize_key,MATCH(save.AcceleratorSelectedMARC*IF(AcceleratorRamp="no",1,1-AcceleratorRampMonths/12/2),Accelerator_DealSize_key,-1))</f>
        <v>#VALUE!</v>
      </c>
    </row>
    <row r="27" spans="2:22" s="1347" customFormat="1" ht="15">
      <c r="B27" s="1341" t="s">
        <v>10832</v>
      </c>
      <c r="C27" s="1342"/>
      <c r="D27" s="1342"/>
      <c r="E27" s="1410"/>
      <c r="F27" s="1410"/>
      <c r="G27" s="1342"/>
      <c r="H27" s="1343"/>
      <c r="I27" s="1343"/>
      <c r="J27" s="1344"/>
      <c r="K27" s="1342"/>
      <c r="L27" s="1342"/>
      <c r="M27" s="1342"/>
      <c r="N27" s="1342"/>
      <c r="O27" s="1342"/>
      <c r="P27" s="1342"/>
      <c r="Q27" s="1342"/>
      <c r="R27" s="1342"/>
      <c r="S27" s="1342"/>
      <c r="T27" s="1345"/>
      <c r="U27" s="1346"/>
      <c r="V27" s="1342"/>
    </row>
    <row r="28" spans="2:22" s="1295" customFormat="1">
      <c r="B28" s="1039" t="s">
        <v>10833</v>
      </c>
      <c r="C28" s="1348">
        <f ca="1">F8+90</f>
        <v>43471.417147222222</v>
      </c>
      <c r="D28" s="1349"/>
      <c r="E28" s="1411"/>
      <c r="F28" s="1411"/>
      <c r="G28" s="1349"/>
      <c r="H28" s="1350"/>
      <c r="I28" s="1350"/>
      <c r="J28" s="1351"/>
      <c r="K28" s="1352"/>
      <c r="L28" s="1352"/>
      <c r="M28" s="1352"/>
      <c r="N28" s="1352"/>
      <c r="O28" s="1352"/>
      <c r="P28" s="1352"/>
      <c r="Q28" s="1352"/>
      <c r="R28" s="1352"/>
      <c r="S28" s="1352"/>
      <c r="T28" s="1353"/>
      <c r="U28" s="1354"/>
      <c r="V28" s="1349"/>
    </row>
    <row r="29" spans="2:22" s="1295" customFormat="1">
      <c r="B29" s="1039" t="s">
        <v>10834</v>
      </c>
      <c r="C29" s="1039" t="str">
        <f>Accelerator_SelectedTerm</f>
        <v>Enter on Step 1</v>
      </c>
      <c r="D29" s="1355" t="s">
        <v>531</v>
      </c>
      <c r="E29" s="1411"/>
      <c r="F29" s="1411"/>
      <c r="G29" s="1349"/>
      <c r="H29" s="1350"/>
      <c r="I29" s="1350"/>
      <c r="J29" s="1351"/>
      <c r="K29" s="1352"/>
      <c r="L29" s="1352"/>
      <c r="M29" s="1352"/>
      <c r="N29" s="1352"/>
      <c r="O29" s="1352"/>
      <c r="P29" s="1352"/>
      <c r="Q29" s="1352"/>
      <c r="R29" s="1352"/>
      <c r="S29" s="1352"/>
      <c r="T29" s="1353"/>
      <c r="U29" s="1354"/>
      <c r="V29" s="1349"/>
    </row>
    <row r="30" spans="2:22" s="1295" customFormat="1">
      <c r="B30" s="1039" t="s">
        <v>10835</v>
      </c>
      <c r="C30" s="1428">
        <f>save.AcceleratorSelectedMARC</f>
        <v>35000</v>
      </c>
      <c r="D30" s="1402" t="e">
        <f>IF(save.AcceleratorSelectedMARC/save.AcceleratorNetRevenue&gt;=0.7,"Any higher available ABN MARC can be offered.","   ***MARC NOT APPROVED! Minimum 70% required for offer, please select a higher MARC from dropdown above***")</f>
        <v>#DIV/0!</v>
      </c>
      <c r="E30" s="1412"/>
      <c r="F30" s="1411"/>
      <c r="G30" s="1349"/>
      <c r="H30" s="1350"/>
      <c r="I30" s="1350"/>
      <c r="J30" s="1351"/>
      <c r="K30" s="1352"/>
      <c r="L30" s="1352"/>
      <c r="M30" s="1352"/>
      <c r="N30" s="1352"/>
      <c r="O30" s="1352"/>
      <c r="P30" s="1352"/>
      <c r="Q30" s="1352"/>
      <c r="R30" s="1352"/>
      <c r="S30" s="1352"/>
      <c r="T30" s="1353"/>
      <c r="U30" s="1354"/>
      <c r="V30" s="1349"/>
    </row>
    <row r="31" spans="2:22" s="1295" customFormat="1">
      <c r="B31" s="1039" t="str">
        <f>IF(AcceleratorRamp="no"," ","minimum YEAR 1 only MARC:")</f>
        <v xml:space="preserve"> </v>
      </c>
      <c r="C31" s="1428" t="str">
        <f>IF(AcceleratorRamp="no"," ",save.AcceleratorMarcYr1)</f>
        <v xml:space="preserve"> </v>
      </c>
      <c r="D31" s="1402" t="str">
        <f>IF(AcceleratorRamp="no"," ","(only Year 1 MARC is reduced for ramp)")</f>
        <v xml:space="preserve"> </v>
      </c>
      <c r="E31" s="1411"/>
      <c r="F31" s="1411"/>
      <c r="G31" s="1349"/>
      <c r="H31" s="1350"/>
      <c r="I31" s="1350"/>
      <c r="J31" s="1351"/>
      <c r="K31" s="1352"/>
      <c r="L31" s="1352"/>
      <c r="M31" s="1352"/>
      <c r="N31" s="1352"/>
      <c r="O31" s="1352"/>
      <c r="P31" s="1352"/>
      <c r="Q31" s="1352"/>
      <c r="R31" s="1352"/>
      <c r="S31" s="1352"/>
      <c r="T31" s="1353"/>
      <c r="U31" s="1354"/>
      <c r="V31" s="1349"/>
    </row>
    <row r="32" spans="2:22" s="1295" customFormat="1">
      <c r="B32" s="1349"/>
      <c r="C32" s="1349"/>
      <c r="D32" s="1349"/>
      <c r="E32" s="1411"/>
      <c r="F32" s="1411"/>
      <c r="G32" s="1349"/>
      <c r="H32" s="1350"/>
      <c r="I32" s="1350"/>
      <c r="J32" s="1351"/>
      <c r="K32" s="1352"/>
      <c r="L32" s="1352"/>
      <c r="M32" s="1352"/>
      <c r="N32" s="1352"/>
      <c r="O32" s="1352"/>
      <c r="P32" s="1352"/>
      <c r="Q32" s="1352"/>
      <c r="R32" s="1352"/>
      <c r="S32" s="1352"/>
      <c r="T32" s="1353"/>
      <c r="U32" s="1354"/>
      <c r="V32" s="1349"/>
    </row>
    <row r="33" spans="2:22" s="1295" customFormat="1">
      <c r="B33" s="1357" t="s">
        <v>10836</v>
      </c>
      <c r="C33" s="1349"/>
      <c r="D33" s="1349"/>
      <c r="E33" s="1411"/>
      <c r="F33" s="1411"/>
      <c r="G33" s="1349"/>
      <c r="H33" s="1350"/>
      <c r="I33" s="1350"/>
      <c r="J33" s="1351"/>
      <c r="K33" s="1352"/>
      <c r="L33" s="1352"/>
      <c r="M33" s="1352"/>
      <c r="N33" s="1352"/>
      <c r="O33" s="1352"/>
      <c r="P33" s="1352"/>
      <c r="Q33" s="1352"/>
      <c r="R33" s="1352"/>
      <c r="S33" s="1352"/>
      <c r="T33" s="1353"/>
      <c r="U33" s="1354"/>
      <c r="V33" s="1349"/>
    </row>
    <row r="34" spans="2:22" s="1295" customFormat="1">
      <c r="B34" s="1357"/>
      <c r="C34" s="1349"/>
      <c r="D34" s="1349"/>
      <c r="E34" s="1411"/>
      <c r="F34" s="1411"/>
      <c r="G34" s="1349"/>
      <c r="H34" s="1350"/>
      <c r="I34" s="1350"/>
      <c r="J34" s="1351"/>
      <c r="K34" s="1352"/>
      <c r="L34" s="1352"/>
      <c r="M34" s="1352"/>
      <c r="N34" s="1352"/>
      <c r="O34" s="1352"/>
      <c r="P34" s="1352"/>
      <c r="Q34" s="1352"/>
      <c r="R34" s="1352"/>
      <c r="S34" s="1352"/>
      <c r="T34" s="1353"/>
      <c r="U34" s="1354"/>
      <c r="V34" s="1349"/>
    </row>
    <row r="35" spans="2:22" s="1295" customFormat="1">
      <c r="B35" s="1358" t="s">
        <v>10837</v>
      </c>
      <c r="C35" s="1349"/>
      <c r="D35" s="1349"/>
      <c r="E35" s="1411"/>
      <c r="F35" s="1411"/>
      <c r="G35" s="1349"/>
      <c r="H35" s="1350"/>
      <c r="I35" s="1350"/>
      <c r="J35" s="1351"/>
      <c r="K35" s="1352"/>
      <c r="L35" s="1352"/>
      <c r="M35" s="1352"/>
      <c r="N35" s="1352"/>
      <c r="O35" s="1352"/>
      <c r="P35" s="1352"/>
      <c r="Q35" s="1352"/>
      <c r="R35" s="1352"/>
      <c r="S35" s="1352"/>
      <c r="T35" s="1353"/>
      <c r="U35" s="1354"/>
      <c r="V35" s="1349"/>
    </row>
    <row r="36" spans="2:22" s="1295" customFormat="1">
      <c r="B36" s="1358" t="s">
        <v>10838</v>
      </c>
      <c r="C36" s="1349"/>
      <c r="D36" s="1349"/>
      <c r="E36" s="1411"/>
      <c r="F36" s="1411"/>
      <c r="G36" s="1349"/>
      <c r="H36" s="1350"/>
      <c r="I36" s="1350"/>
      <c r="J36" s="1351"/>
      <c r="K36" s="1352"/>
      <c r="L36" s="1352"/>
      <c r="M36" s="1352"/>
      <c r="N36" s="1352"/>
      <c r="O36" s="1352"/>
      <c r="P36" s="1352"/>
      <c r="Q36" s="1352"/>
      <c r="R36" s="1352"/>
      <c r="S36" s="1352"/>
      <c r="T36" s="1353"/>
      <c r="U36" s="1354"/>
      <c r="V36" s="1349"/>
    </row>
    <row r="37" spans="2:22" s="1295" customFormat="1">
      <c r="B37" s="1358"/>
      <c r="C37" s="1349"/>
      <c r="D37" s="1349"/>
      <c r="E37" s="1411"/>
      <c r="F37" s="1411"/>
      <c r="G37" s="1349"/>
      <c r="H37" s="1350"/>
      <c r="I37" s="1350"/>
      <c r="J37" s="1351"/>
      <c r="K37" s="1352"/>
      <c r="L37" s="1352"/>
      <c r="M37" s="1352"/>
      <c r="N37" s="1352"/>
      <c r="O37" s="1352"/>
      <c r="P37" s="1352"/>
      <c r="Q37" s="1352"/>
      <c r="R37" s="1352"/>
      <c r="S37" s="1352"/>
      <c r="T37" s="1353"/>
      <c r="U37" s="1354"/>
      <c r="V37" s="1349"/>
    </row>
    <row r="38" spans="2:22" s="1295" customFormat="1">
      <c r="B38" s="1358" t="s">
        <v>10839</v>
      </c>
      <c r="C38" s="1349"/>
      <c r="D38" s="1349"/>
      <c r="E38" s="1411"/>
      <c r="F38" s="1411"/>
      <c r="G38" s="1349"/>
      <c r="H38" s="1350"/>
      <c r="I38" s="1350"/>
      <c r="J38" s="1351"/>
      <c r="K38" s="1352"/>
      <c r="L38" s="1352"/>
      <c r="M38" s="1352"/>
      <c r="N38" s="1352"/>
      <c r="O38" s="1352"/>
      <c r="P38" s="1352"/>
      <c r="Q38" s="1352"/>
      <c r="R38" s="1352"/>
      <c r="S38" s="1352"/>
      <c r="T38" s="1353"/>
      <c r="U38" s="1354"/>
      <c r="V38" s="1349"/>
    </row>
    <row r="39" spans="2:22" s="1295" customFormat="1">
      <c r="B39" s="1358" t="s">
        <v>10840</v>
      </c>
      <c r="C39" s="1359"/>
      <c r="D39" s="1349"/>
      <c r="E39" s="1411"/>
      <c r="F39" s="1411"/>
      <c r="G39" s="1349"/>
      <c r="H39" s="1350"/>
      <c r="I39" s="1350"/>
      <c r="J39" s="1351"/>
      <c r="K39" s="1352"/>
      <c r="L39" s="1352"/>
      <c r="M39" s="1352"/>
      <c r="N39" s="1352"/>
      <c r="O39" s="1352"/>
      <c r="P39" s="1352"/>
      <c r="Q39" s="1352"/>
      <c r="R39" s="1352"/>
      <c r="S39" s="1352"/>
      <c r="T39" s="1353"/>
      <c r="U39" s="1354"/>
      <c r="V39" s="1349"/>
    </row>
    <row r="40" spans="2:22" s="1295" customFormat="1">
      <c r="B40" s="1358" t="s">
        <v>10841</v>
      </c>
      <c r="C40" s="1337"/>
      <c r="D40" s="1349"/>
      <c r="E40" s="1411"/>
      <c r="F40" s="1411"/>
      <c r="G40" s="1349"/>
      <c r="H40" s="1350"/>
      <c r="I40" s="1350"/>
      <c r="J40" s="1351"/>
      <c r="K40" s="1352"/>
      <c r="L40" s="1352"/>
      <c r="M40" s="1352"/>
      <c r="N40" s="1352"/>
      <c r="O40" s="1352"/>
      <c r="P40" s="1352"/>
      <c r="Q40" s="1352"/>
      <c r="R40" s="1352"/>
      <c r="S40" s="1352"/>
      <c r="T40" s="1353"/>
      <c r="U40" s="1354"/>
      <c r="V40" s="1349"/>
    </row>
    <row r="41" spans="2:22" s="1295" customFormat="1">
      <c r="B41" s="1337"/>
      <c r="C41" s="1337"/>
      <c r="D41" s="1349"/>
      <c r="E41" s="1411"/>
      <c r="F41" s="1411"/>
      <c r="G41" s="1349"/>
      <c r="H41" s="1350"/>
      <c r="I41" s="1350"/>
      <c r="J41" s="1351"/>
      <c r="K41" s="1352"/>
      <c r="L41" s="1352"/>
      <c r="M41" s="1352"/>
      <c r="N41" s="1352"/>
      <c r="O41" s="1352"/>
      <c r="P41" s="1352"/>
      <c r="Q41" s="1352"/>
      <c r="R41" s="1352"/>
      <c r="S41" s="1352"/>
      <c r="T41" s="1353"/>
      <c r="U41" s="1354"/>
      <c r="V41" s="1349"/>
    </row>
    <row r="42" spans="2:22" s="1295" customFormat="1">
      <c r="B42" s="1357" t="s">
        <v>10842</v>
      </c>
      <c r="C42" s="1349"/>
      <c r="D42" s="1349"/>
      <c r="E42" s="1411"/>
      <c r="F42" s="1411"/>
      <c r="G42" s="1349"/>
      <c r="H42" s="1350"/>
      <c r="I42" s="1350"/>
      <c r="J42" s="1351"/>
      <c r="K42" s="1352"/>
      <c r="L42" s="1352"/>
      <c r="M42" s="1352"/>
      <c r="N42" s="1352"/>
      <c r="O42" s="1352"/>
      <c r="P42" s="1352"/>
      <c r="Q42" s="1352"/>
      <c r="R42" s="1352"/>
      <c r="S42" s="1352"/>
      <c r="T42" s="1353"/>
      <c r="U42" s="1354"/>
      <c r="V42" s="1349"/>
    </row>
    <row r="43" spans="2:22" s="1295" customFormat="1">
      <c r="B43" s="1357"/>
      <c r="C43" s="1349"/>
      <c r="D43" s="1349"/>
      <c r="E43" s="1411"/>
      <c r="F43" s="1411"/>
      <c r="G43" s="1349"/>
      <c r="H43" s="1350"/>
      <c r="I43" s="1350"/>
      <c r="J43" s="1351"/>
      <c r="K43" s="1352"/>
      <c r="L43" s="1352"/>
      <c r="M43" s="1352"/>
      <c r="N43" s="1352"/>
      <c r="O43" s="1352"/>
      <c r="P43" s="1352"/>
      <c r="Q43" s="1352"/>
      <c r="R43" s="1352"/>
      <c r="S43" s="1352"/>
      <c r="T43" s="1353"/>
      <c r="U43" s="1354"/>
      <c r="V43" s="1349"/>
    </row>
    <row r="44" spans="2:22" s="1295" customFormat="1">
      <c r="B44" s="1360" t="s">
        <v>10843</v>
      </c>
      <c r="C44" s="1356"/>
      <c r="D44" s="1349"/>
      <c r="E44" s="1411"/>
      <c r="F44" s="1411"/>
      <c r="G44" s="1361"/>
      <c r="H44" s="1350"/>
      <c r="I44" s="1350"/>
      <c r="J44" s="1362"/>
      <c r="K44" s="1352"/>
      <c r="L44" s="1352"/>
      <c r="M44" s="1352"/>
      <c r="N44" s="1352"/>
      <c r="O44" s="1352"/>
      <c r="P44" s="1352"/>
      <c r="Q44" s="1352"/>
      <c r="R44" s="1352"/>
      <c r="S44" s="1352"/>
      <c r="T44" s="1353"/>
      <c r="U44" s="1354"/>
      <c r="V44" s="1349"/>
    </row>
    <row r="45" spans="2:22" s="1295" customFormat="1">
      <c r="B45" s="1356" t="s">
        <v>10844</v>
      </c>
      <c r="C45" s="1356"/>
      <c r="D45" s="1349"/>
      <c r="E45" s="1411"/>
      <c r="F45" s="1411"/>
      <c r="G45" s="1361"/>
      <c r="H45" s="1350"/>
      <c r="I45" s="1350"/>
      <c r="J45" s="1362"/>
      <c r="K45" s="1352"/>
      <c r="L45" s="1352"/>
      <c r="M45" s="1352"/>
      <c r="N45" s="1352"/>
      <c r="O45" s="1352"/>
      <c r="P45" s="1352"/>
      <c r="Q45" s="1352"/>
      <c r="R45" s="1352"/>
      <c r="S45" s="1352"/>
      <c r="T45" s="1353"/>
      <c r="U45" s="1354"/>
      <c r="V45" s="1349"/>
    </row>
    <row r="46" spans="2:22" s="1295" customFormat="1">
      <c r="B46" s="1356" t="s">
        <v>10845</v>
      </c>
      <c r="C46" s="1356"/>
      <c r="D46" s="1349"/>
      <c r="E46" s="1411"/>
      <c r="F46" s="1411"/>
      <c r="G46" s="1361"/>
      <c r="H46" s="1350"/>
      <c r="I46" s="1350"/>
      <c r="J46" s="1362"/>
      <c r="K46" s="1352"/>
      <c r="L46" s="1352"/>
      <c r="M46" s="1352"/>
      <c r="N46" s="1352"/>
      <c r="O46" s="1352"/>
      <c r="P46" s="1352"/>
      <c r="Q46" s="1352"/>
      <c r="R46" s="1352"/>
      <c r="S46" s="1352"/>
      <c r="T46" s="1353"/>
      <c r="U46" s="1354"/>
      <c r="V46" s="1349"/>
    </row>
    <row r="47" spans="2:22" s="1295" customFormat="1">
      <c r="B47" s="1358" t="s">
        <v>10846</v>
      </c>
      <c r="C47" s="1356"/>
      <c r="D47" s="1349"/>
      <c r="E47" s="1411"/>
      <c r="F47" s="1411"/>
      <c r="G47" s="1361"/>
      <c r="H47" s="1350"/>
      <c r="I47" s="1350"/>
      <c r="J47" s="1362"/>
      <c r="K47" s="1352"/>
      <c r="L47" s="1352"/>
      <c r="M47" s="1352"/>
      <c r="N47" s="1352"/>
      <c r="O47" s="1352"/>
      <c r="P47" s="1352"/>
      <c r="Q47" s="1352"/>
      <c r="R47" s="1352"/>
      <c r="S47" s="1352"/>
      <c r="T47" s="1353"/>
      <c r="U47" s="1354"/>
      <c r="V47" s="1349"/>
    </row>
    <row r="48" spans="2:22" s="1295" customFormat="1">
      <c r="B48" s="1356" t="s">
        <v>10847</v>
      </c>
      <c r="C48" s="1356"/>
      <c r="D48" s="1349"/>
      <c r="E48" s="1411"/>
      <c r="F48" s="1411"/>
      <c r="G48" s="1361"/>
      <c r="H48" s="1350"/>
      <c r="I48" s="1350"/>
      <c r="J48" s="1362"/>
      <c r="K48" s="1352"/>
      <c r="L48" s="1352"/>
      <c r="M48" s="1352"/>
      <c r="N48" s="1352"/>
      <c r="O48" s="1352"/>
      <c r="P48" s="1352"/>
      <c r="Q48" s="1352"/>
      <c r="R48" s="1352"/>
      <c r="S48" s="1352"/>
      <c r="T48" s="1353"/>
      <c r="U48" s="1354"/>
      <c r="V48" s="1349"/>
    </row>
    <row r="49" spans="2:21" s="1349" customFormat="1">
      <c r="B49" s="1356"/>
      <c r="C49" s="1356"/>
      <c r="E49" s="1411"/>
      <c r="F49" s="1411"/>
      <c r="G49" s="1361"/>
      <c r="H49" s="1350"/>
      <c r="I49" s="1350"/>
      <c r="J49" s="1362"/>
      <c r="K49" s="1352"/>
      <c r="L49" s="1352"/>
      <c r="M49" s="1352"/>
      <c r="N49" s="1352"/>
      <c r="O49" s="1352"/>
      <c r="P49" s="1352"/>
      <c r="Q49" s="1352"/>
      <c r="R49" s="1352"/>
      <c r="S49" s="1352"/>
      <c r="T49" s="1353"/>
      <c r="U49" s="1354"/>
    </row>
    <row r="50" spans="2:21" s="1349" customFormat="1" ht="91.5" customHeight="1">
      <c r="B50" s="1363" t="s">
        <v>10848</v>
      </c>
      <c r="C50" s="1363" t="s">
        <v>10849</v>
      </c>
      <c r="D50" s="1364" t="s">
        <v>10850</v>
      </c>
      <c r="E50" s="1413" t="s">
        <v>10851</v>
      </c>
      <c r="F50" s="1413" t="s">
        <v>10852</v>
      </c>
      <c r="G50" s="1359"/>
      <c r="H50" s="1365"/>
      <c r="I50" s="1350"/>
      <c r="J50" s="1351"/>
      <c r="K50" s="1366"/>
      <c r="L50" s="1366"/>
      <c r="M50" s="1366"/>
      <c r="N50" s="1366"/>
      <c r="O50" s="1366"/>
      <c r="P50" s="1366"/>
      <c r="Q50" s="1366"/>
      <c r="R50" s="1366"/>
      <c r="S50" s="1366"/>
      <c r="T50" s="1353"/>
      <c r="U50" s="1354"/>
    </row>
    <row r="51" spans="2:21" s="1349" customFormat="1" ht="13.5" hidden="1">
      <c r="B51" s="1367" t="e">
        <f ca="1">INDEX(OFFSET(Accelerator_Baseline_key,0,2),1)</f>
        <v>#VALUE!</v>
      </c>
      <c r="C51" s="1368" t="s">
        <v>10853</v>
      </c>
      <c r="D51" s="1369" t="str">
        <f ca="1">IF($F51="","",J51*IF(save.AcceleratorSelectedMARC,save.AcceleratorMarcYr1/save.AcceleratorSelectedMARC,1))</f>
        <v/>
      </c>
      <c r="E51" s="1414" t="str">
        <f ca="1">IF($F51="","",T51*IF(save.AcceleratorSelectedMARC,save.AcceleratorMarcYr1/save.AcceleratorSelectedMARC,0))</f>
        <v/>
      </c>
      <c r="F51" s="1424" t="str">
        <f ca="1">IF(AND(J51&gt;0,T51&gt;0,Accelerator_SelectedTerm&gt;=12),12,"")</f>
        <v/>
      </c>
      <c r="G51" s="1370"/>
      <c r="H51" s="1371"/>
      <c r="I51" s="1350"/>
      <c r="J51" s="1372">
        <f ca="1">SUMIF($B$16:$B$17,$B51,$J$16:$J$17)*10/12*IF(save.AcceleratorNetRevenue,save.AcceleratorSelectedMARC/save.AcceleratorNetRevenue,1)</f>
        <v>0</v>
      </c>
      <c r="K51" s="1352"/>
      <c r="L51" s="1352"/>
      <c r="M51" s="1352"/>
      <c r="N51" s="1352"/>
      <c r="O51" s="1352"/>
      <c r="P51" s="1352"/>
      <c r="Q51" s="1352"/>
      <c r="R51" s="1352"/>
      <c r="S51" s="1352"/>
      <c r="T51" s="1372">
        <f ca="1">SUMIF($B$16:$B$17,$B51,$V$16:$V$17)*IF(save.AcceleratorNetRevenue,IF(save.AcceleratorSelectedMARC/save.AcceleratorNetRevenue&gt;=0.7,1,0),0)</f>
        <v>0</v>
      </c>
      <c r="U51" s="1354"/>
    </row>
    <row r="52" spans="2:21" s="1349" customFormat="1" ht="13.5" hidden="1">
      <c r="B52" s="1373"/>
      <c r="C52" s="1374" t="s">
        <v>10854</v>
      </c>
      <c r="D52" s="1375" t="str">
        <f ca="1">IF($F52="","",J51)</f>
        <v/>
      </c>
      <c r="E52" s="1415" t="str">
        <f ca="1">IF($F52="","",T51)</f>
        <v/>
      </c>
      <c r="F52" s="1425" t="str">
        <f ca="1">IF(AND(J51&gt;0,T51&gt;0,Accelerator_SelectedTerm&gt;=24),24,"")</f>
        <v/>
      </c>
      <c r="G52" s="1370"/>
      <c r="H52" s="1371"/>
      <c r="I52" s="1350"/>
      <c r="J52" s="1351"/>
      <c r="K52" s="1352"/>
      <c r="L52" s="1352"/>
      <c r="M52" s="1352"/>
      <c r="N52" s="1352"/>
      <c r="O52" s="1352"/>
      <c r="P52" s="1352"/>
      <c r="Q52" s="1352"/>
      <c r="R52" s="1352"/>
      <c r="S52" s="1352"/>
      <c r="T52" s="1353"/>
      <c r="U52" s="1354"/>
    </row>
    <row r="53" spans="2:21" s="1349" customFormat="1" ht="13.5" hidden="1">
      <c r="B53" s="1373"/>
      <c r="C53" s="1374" t="s">
        <v>10855</v>
      </c>
      <c r="D53" s="1375" t="str">
        <f ca="1">IF($F53="","",J51)</f>
        <v/>
      </c>
      <c r="E53" s="1415" t="str">
        <f ca="1">IF($F53="","",T51)</f>
        <v/>
      </c>
      <c r="F53" s="1425" t="str">
        <f ca="1">IF(AND(J51&gt;0,T51&gt;0,Accelerator_SelectedTerm&gt;=36),36,"")</f>
        <v/>
      </c>
      <c r="G53" s="1370"/>
      <c r="H53" s="1371"/>
      <c r="I53" s="1350"/>
      <c r="J53" s="1351"/>
      <c r="K53" s="1352"/>
      <c r="L53" s="1352"/>
      <c r="M53" s="1352"/>
      <c r="N53" s="1352"/>
      <c r="O53" s="1352"/>
      <c r="P53" s="1352"/>
      <c r="Q53" s="1352"/>
      <c r="R53" s="1352"/>
      <c r="S53" s="1352"/>
      <c r="T53" s="1353"/>
      <c r="U53" s="1354"/>
    </row>
    <row r="54" spans="2:21" s="1349" customFormat="1" ht="13.5" hidden="1">
      <c r="B54" s="1373"/>
      <c r="C54" s="1374" t="s">
        <v>10856</v>
      </c>
      <c r="D54" s="1375" t="str">
        <f ca="1">IF($F54="","",J51)</f>
        <v/>
      </c>
      <c r="E54" s="1415" t="str">
        <f ca="1">IF($F54="","",T51)</f>
        <v/>
      </c>
      <c r="F54" s="1425" t="str">
        <f ca="1">IF(AND(J51&gt;0,T51&gt;0,Accelerator_SelectedTerm&gt;=48),48,"")</f>
        <v/>
      </c>
      <c r="G54" s="1370"/>
      <c r="H54" s="1371"/>
      <c r="I54" s="1350"/>
      <c r="J54" s="1351"/>
      <c r="K54" s="1352"/>
      <c r="L54" s="1352"/>
      <c r="M54" s="1352"/>
      <c r="N54" s="1352"/>
      <c r="O54" s="1352"/>
      <c r="P54" s="1352"/>
      <c r="Q54" s="1352"/>
      <c r="R54" s="1352"/>
      <c r="S54" s="1352"/>
      <c r="T54" s="1353"/>
      <c r="U54" s="1354"/>
    </row>
    <row r="55" spans="2:21" s="1349" customFormat="1" ht="13.5" hidden="1">
      <c r="B55" s="1376"/>
      <c r="C55" s="1377" t="s">
        <v>10857</v>
      </c>
      <c r="D55" s="1378" t="str">
        <f ca="1">IF($F55="","",J51)</f>
        <v/>
      </c>
      <c r="E55" s="1416" t="str">
        <f ca="1">IF($F55="","",T51)</f>
        <v/>
      </c>
      <c r="F55" s="1426" t="str">
        <f ca="1">IF(AND(J51&gt;0,T51&gt;0,Accelerator_SelectedTerm&gt;=60),60,"")</f>
        <v/>
      </c>
      <c r="G55" s="1370"/>
      <c r="H55" s="1371"/>
      <c r="I55" s="1350"/>
      <c r="J55" s="1351"/>
      <c r="K55" s="1352"/>
      <c r="L55" s="1352"/>
      <c r="M55" s="1352"/>
      <c r="N55" s="1352"/>
      <c r="O55" s="1352"/>
      <c r="P55" s="1352"/>
      <c r="Q55" s="1352"/>
      <c r="R55" s="1352"/>
      <c r="S55" s="1352"/>
      <c r="T55" s="1353"/>
      <c r="U55" s="1354"/>
    </row>
    <row r="56" spans="2:21" s="1349" customFormat="1" ht="13.5" hidden="1">
      <c r="B56" s="1367" t="e">
        <f ca="1">INDEX(OFFSET(Accelerator_Baseline_key,0,2),2)</f>
        <v>#VALUE!</v>
      </c>
      <c r="C56" s="1368" t="s">
        <v>10853</v>
      </c>
      <c r="D56" s="1369" t="str">
        <f ca="1">IF($F56="","",J56*IF(save.AcceleratorSelectedMARC,save.AcceleratorMarcYr1/save.AcceleratorSelectedMARC,1))</f>
        <v/>
      </c>
      <c r="E56" s="1414" t="str">
        <f ca="1">IF($F56="","",T56*IF(save.AcceleratorSelectedMARC,save.AcceleratorMarcYr1/save.AcceleratorSelectedMARC,0))</f>
        <v/>
      </c>
      <c r="F56" s="1424" t="str">
        <f ca="1">IF(AND(J56&gt;0,T56&gt;0,Accelerator_SelectedTerm&gt;=12),12,"")</f>
        <v/>
      </c>
      <c r="G56" s="1370"/>
      <c r="H56" s="1371"/>
      <c r="I56" s="1350"/>
      <c r="J56" s="1372">
        <f ca="1">SUMIF($B$16:$B$17,$B56,$J$16:$J$17)*10/12*IF(save.AcceleratorNetRevenue,save.AcceleratorSelectedMARC/save.AcceleratorNetRevenue,1)</f>
        <v>0</v>
      </c>
      <c r="K56" s="1352"/>
      <c r="L56" s="1352"/>
      <c r="M56" s="1352"/>
      <c r="N56" s="1352"/>
      <c r="O56" s="1352"/>
      <c r="P56" s="1352"/>
      <c r="Q56" s="1352"/>
      <c r="R56" s="1352"/>
      <c r="S56" s="1352"/>
      <c r="T56" s="1372">
        <f ca="1">SUMIF($B$16:$B$17,$B56,$V$16:$V$17)*IF(save.AcceleratorNetRevenue,IF(save.AcceleratorSelectedMARC/save.AcceleratorNetRevenue&gt;=0.7,1,0),0)</f>
        <v>0</v>
      </c>
      <c r="U56" s="1354"/>
    </row>
    <row r="57" spans="2:21" s="1349" customFormat="1" ht="13.5" hidden="1">
      <c r="B57" s="1373"/>
      <c r="C57" s="1374" t="s">
        <v>10854</v>
      </c>
      <c r="D57" s="1375" t="str">
        <f t="shared" ref="D57" ca="1" si="0">IF($F57="","",J56)</f>
        <v/>
      </c>
      <c r="E57" s="1415" t="str">
        <f t="shared" ref="E57" ca="1" si="1">IF($F57="","",T56)</f>
        <v/>
      </c>
      <c r="F57" s="1425" t="str">
        <f ca="1">IF(AND(J56&gt;0,T56&gt;0,Accelerator_SelectedTerm&gt;=24),24,"")</f>
        <v/>
      </c>
      <c r="G57" s="1370"/>
      <c r="H57" s="1371"/>
      <c r="I57" s="1350"/>
      <c r="J57" s="1351"/>
      <c r="K57" s="1352"/>
      <c r="L57" s="1352"/>
      <c r="M57" s="1352"/>
      <c r="N57" s="1352"/>
      <c r="O57" s="1352"/>
      <c r="P57" s="1352"/>
      <c r="Q57" s="1352"/>
      <c r="R57" s="1352"/>
      <c r="S57" s="1352"/>
      <c r="T57" s="1353"/>
      <c r="U57" s="1354"/>
    </row>
    <row r="58" spans="2:21" s="1349" customFormat="1" ht="13.5" hidden="1">
      <c r="B58" s="1373"/>
      <c r="C58" s="1374" t="s">
        <v>10855</v>
      </c>
      <c r="D58" s="1375" t="str">
        <f t="shared" ref="D58" ca="1" si="2">IF($F58="","",J56)</f>
        <v/>
      </c>
      <c r="E58" s="1415" t="str">
        <f t="shared" ref="E58" ca="1" si="3">IF($F58="","",T56)</f>
        <v/>
      </c>
      <c r="F58" s="1425" t="str">
        <f ca="1">IF(AND(J56&gt;0,T56&gt;0,Accelerator_SelectedTerm&gt;=36),36,"")</f>
        <v/>
      </c>
      <c r="G58" s="1370"/>
      <c r="H58" s="1371"/>
      <c r="I58" s="1350"/>
      <c r="J58" s="1351"/>
      <c r="K58" s="1352"/>
      <c r="L58" s="1352"/>
      <c r="M58" s="1352"/>
      <c r="N58" s="1352"/>
      <c r="O58" s="1352"/>
      <c r="P58" s="1352"/>
      <c r="Q58" s="1352"/>
      <c r="R58" s="1352"/>
      <c r="S58" s="1352"/>
      <c r="T58" s="1353"/>
      <c r="U58" s="1354"/>
    </row>
    <row r="59" spans="2:21" s="1349" customFormat="1" ht="13.5" hidden="1">
      <c r="B59" s="1373"/>
      <c r="C59" s="1374" t="s">
        <v>10856</v>
      </c>
      <c r="D59" s="1375" t="str">
        <f t="shared" ref="D59" ca="1" si="4">IF($F59="","",J56)</f>
        <v/>
      </c>
      <c r="E59" s="1415" t="str">
        <f t="shared" ref="E59" ca="1" si="5">IF($F59="","",T56)</f>
        <v/>
      </c>
      <c r="F59" s="1425" t="str">
        <f ca="1">IF(AND(J56&gt;0,T56&gt;0,Accelerator_SelectedTerm&gt;=48),48,"")</f>
        <v/>
      </c>
      <c r="G59" s="1370"/>
      <c r="H59" s="1371"/>
      <c r="I59" s="1350"/>
      <c r="J59" s="1351"/>
      <c r="K59" s="1352"/>
      <c r="L59" s="1352"/>
      <c r="M59" s="1352"/>
      <c r="N59" s="1352"/>
      <c r="O59" s="1352"/>
      <c r="P59" s="1352"/>
      <c r="Q59" s="1352"/>
      <c r="R59" s="1352"/>
      <c r="S59" s="1352"/>
      <c r="T59" s="1353"/>
      <c r="U59" s="1354"/>
    </row>
    <row r="60" spans="2:21" s="1349" customFormat="1" ht="13.5" hidden="1">
      <c r="B60" s="1376"/>
      <c r="C60" s="1377" t="s">
        <v>10857</v>
      </c>
      <c r="D60" s="1378" t="str">
        <f t="shared" ref="D60" ca="1" si="6">IF($F60="","",J56)</f>
        <v/>
      </c>
      <c r="E60" s="1416" t="str">
        <f t="shared" ref="E60" ca="1" si="7">IF($F60="","",T56)</f>
        <v/>
      </c>
      <c r="F60" s="1426" t="str">
        <f ca="1">IF(AND(J56&gt;0,T56&gt;0,Accelerator_SelectedTerm&gt;=60),60,"")</f>
        <v/>
      </c>
      <c r="G60" s="1370"/>
      <c r="H60" s="1371"/>
      <c r="I60" s="1350"/>
      <c r="J60" s="1351"/>
      <c r="K60" s="1352"/>
      <c r="L60" s="1352"/>
      <c r="M60" s="1352"/>
      <c r="N60" s="1352"/>
      <c r="O60" s="1352"/>
      <c r="P60" s="1352"/>
      <c r="Q60" s="1352"/>
      <c r="R60" s="1352"/>
      <c r="S60" s="1352"/>
      <c r="T60" s="1353"/>
      <c r="U60" s="1354"/>
    </row>
    <row r="61" spans="2:21" s="1349" customFormat="1" ht="13.5" hidden="1">
      <c r="B61" s="1367" t="e">
        <f ca="1">INDEX(OFFSET(Accelerator_Baseline_key,0,2),3)</f>
        <v>#VALUE!</v>
      </c>
      <c r="C61" s="1368" t="s">
        <v>10853</v>
      </c>
      <c r="D61" s="1369" t="str">
        <f ca="1">IF($F61="","",J61*IF(save.AcceleratorSelectedMARC,save.AcceleratorMarcYr1/save.AcceleratorSelectedMARC,1))</f>
        <v/>
      </c>
      <c r="E61" s="1414" t="str">
        <f ca="1">IF($F61="","",T61*IF(save.AcceleratorSelectedMARC,save.AcceleratorMarcYr1/save.AcceleratorSelectedMARC,0))</f>
        <v/>
      </c>
      <c r="F61" s="1424" t="str">
        <f ca="1">IF(AND(J61&gt;0,T61&gt;0,Accelerator_SelectedTerm&gt;=12),12,"")</f>
        <v/>
      </c>
      <c r="G61" s="1370"/>
      <c r="H61" s="1371"/>
      <c r="I61" s="1350"/>
      <c r="J61" s="1372">
        <f ca="1">SUMIF($B$16:$B$17,$B61,$J$16:$J$17)*10/12*IF(save.AcceleratorNetRevenue,save.AcceleratorSelectedMARC/save.AcceleratorNetRevenue,1)</f>
        <v>0</v>
      </c>
      <c r="K61" s="1352"/>
      <c r="L61" s="1352"/>
      <c r="M61" s="1352"/>
      <c r="N61" s="1352"/>
      <c r="O61" s="1352"/>
      <c r="P61" s="1352"/>
      <c r="Q61" s="1352"/>
      <c r="R61" s="1352"/>
      <c r="S61" s="1352"/>
      <c r="T61" s="1372">
        <f ca="1">SUMIF($B$16:$B$17,$B61,$V$16:$V$17)*IF(save.AcceleratorNetRevenue,IF(save.AcceleratorSelectedMARC/save.AcceleratorNetRevenue&gt;=0.7,1,0),0)</f>
        <v>0</v>
      </c>
      <c r="U61" s="1354"/>
    </row>
    <row r="62" spans="2:21" s="1349" customFormat="1" ht="13.5" hidden="1">
      <c r="B62" s="1373"/>
      <c r="C62" s="1374" t="s">
        <v>10854</v>
      </c>
      <c r="D62" s="1375" t="str">
        <f t="shared" ref="D62" ca="1" si="8">IF($F62="","",J61)</f>
        <v/>
      </c>
      <c r="E62" s="1415" t="str">
        <f t="shared" ref="E62" ca="1" si="9">IF($F62="","",T61)</f>
        <v/>
      </c>
      <c r="F62" s="1425" t="str">
        <f ca="1">IF(AND(J61&gt;0,T61&gt;0,Accelerator_SelectedTerm&gt;=24),24,"")</f>
        <v/>
      </c>
      <c r="G62" s="1370"/>
      <c r="H62" s="1371"/>
      <c r="I62" s="1350"/>
      <c r="J62" s="1351"/>
      <c r="K62" s="1352"/>
      <c r="L62" s="1352"/>
      <c r="M62" s="1352"/>
      <c r="N62" s="1352"/>
      <c r="O62" s="1352"/>
      <c r="P62" s="1352"/>
      <c r="Q62" s="1352"/>
      <c r="R62" s="1352"/>
      <c r="S62" s="1352"/>
      <c r="T62" s="1353"/>
      <c r="U62" s="1354"/>
    </row>
    <row r="63" spans="2:21" s="1349" customFormat="1" ht="13.5" hidden="1">
      <c r="B63" s="1373"/>
      <c r="C63" s="1374" t="s">
        <v>10855</v>
      </c>
      <c r="D63" s="1375" t="str">
        <f t="shared" ref="D63" ca="1" si="10">IF($F63="","",J61)</f>
        <v/>
      </c>
      <c r="E63" s="1415" t="str">
        <f t="shared" ref="E63" ca="1" si="11">IF($F63="","",T61)</f>
        <v/>
      </c>
      <c r="F63" s="1425" t="str">
        <f ca="1">IF(AND(J61&gt;0,T61&gt;0,Accelerator_SelectedTerm&gt;=36),36,"")</f>
        <v/>
      </c>
      <c r="G63" s="1370"/>
      <c r="H63" s="1371"/>
      <c r="I63" s="1350"/>
      <c r="J63" s="1351"/>
      <c r="K63" s="1352"/>
      <c r="L63" s="1352"/>
      <c r="M63" s="1352"/>
      <c r="N63" s="1352"/>
      <c r="O63" s="1352"/>
      <c r="P63" s="1352"/>
      <c r="Q63" s="1352"/>
      <c r="R63" s="1352"/>
      <c r="S63" s="1352"/>
      <c r="T63" s="1353"/>
      <c r="U63" s="1354"/>
    </row>
    <row r="64" spans="2:21" s="1349" customFormat="1" ht="13.5" hidden="1">
      <c r="B64" s="1373"/>
      <c r="C64" s="1374" t="s">
        <v>10856</v>
      </c>
      <c r="D64" s="1375" t="str">
        <f t="shared" ref="D64" ca="1" si="12">IF($F64="","",J61)</f>
        <v/>
      </c>
      <c r="E64" s="1415" t="str">
        <f t="shared" ref="E64" ca="1" si="13">IF($F64="","",T61)</f>
        <v/>
      </c>
      <c r="F64" s="1425" t="str">
        <f ca="1">IF(AND(J61&gt;0,T61&gt;0,Accelerator_SelectedTerm&gt;=48),48,"")</f>
        <v/>
      </c>
      <c r="G64" s="1370"/>
      <c r="H64" s="1371"/>
      <c r="I64" s="1350"/>
      <c r="J64" s="1351"/>
      <c r="K64" s="1352"/>
      <c r="L64" s="1352"/>
      <c r="M64" s="1352"/>
      <c r="N64" s="1352"/>
      <c r="O64" s="1352"/>
      <c r="P64" s="1352"/>
      <c r="Q64" s="1352"/>
      <c r="R64" s="1352"/>
      <c r="S64" s="1352"/>
      <c r="T64" s="1353"/>
      <c r="U64" s="1354"/>
    </row>
    <row r="65" spans="2:21" s="1349" customFormat="1" ht="13.5" hidden="1">
      <c r="B65" s="1376"/>
      <c r="C65" s="1377" t="s">
        <v>10857</v>
      </c>
      <c r="D65" s="1378" t="str">
        <f t="shared" ref="D65" ca="1" si="14">IF($F65="","",J61)</f>
        <v/>
      </c>
      <c r="E65" s="1416" t="str">
        <f t="shared" ref="E65" ca="1" si="15">IF($F65="","",T61)</f>
        <v/>
      </c>
      <c r="F65" s="1426" t="str">
        <f ca="1">IF(AND(J61&gt;0,T61&gt;0,Accelerator_SelectedTerm&gt;=60),60,"")</f>
        <v/>
      </c>
      <c r="G65" s="1370"/>
      <c r="H65" s="1371"/>
      <c r="I65" s="1350"/>
      <c r="J65" s="1351"/>
      <c r="K65" s="1352"/>
      <c r="L65" s="1352"/>
      <c r="M65" s="1352"/>
      <c r="N65" s="1352"/>
      <c r="O65" s="1352"/>
      <c r="P65" s="1352"/>
      <c r="Q65" s="1352"/>
      <c r="R65" s="1352"/>
      <c r="S65" s="1352"/>
      <c r="T65" s="1353"/>
      <c r="U65" s="1354"/>
    </row>
    <row r="66" spans="2:21" s="1349" customFormat="1" ht="13.5" hidden="1">
      <c r="B66" s="1367" t="e">
        <f ca="1">INDEX(OFFSET(Accelerator_Baseline_key,0,2),4)</f>
        <v>#VALUE!</v>
      </c>
      <c r="C66" s="1368" t="s">
        <v>10853</v>
      </c>
      <c r="D66" s="1369" t="str">
        <f ca="1">IF($F66="","",J66*IF(save.AcceleratorSelectedMARC,save.AcceleratorMarcYr1/save.AcceleratorSelectedMARC,1))</f>
        <v/>
      </c>
      <c r="E66" s="1414" t="str">
        <f ca="1">IF($F66="","",T66*IF(save.AcceleratorSelectedMARC,save.AcceleratorMarcYr1/save.AcceleratorSelectedMARC,0))</f>
        <v/>
      </c>
      <c r="F66" s="1424" t="str">
        <f ca="1">IF(AND(J66&gt;0,T66&gt;0,Accelerator_SelectedTerm&gt;=12),12,"")</f>
        <v/>
      </c>
      <c r="G66" s="1370"/>
      <c r="H66" s="1371"/>
      <c r="I66" s="1350"/>
      <c r="J66" s="1372">
        <f ca="1">SUMIF($B$16:$B$17,$B66,$J$16:$J$17)*10/12*IF(save.AcceleratorNetRevenue,save.AcceleratorSelectedMARC/save.AcceleratorNetRevenue,1)</f>
        <v>0</v>
      </c>
      <c r="K66" s="1352"/>
      <c r="L66" s="1352"/>
      <c r="M66" s="1352"/>
      <c r="N66" s="1352"/>
      <c r="O66" s="1352"/>
      <c r="P66" s="1352"/>
      <c r="Q66" s="1352"/>
      <c r="R66" s="1352"/>
      <c r="S66" s="1352"/>
      <c r="T66" s="1372">
        <f ca="1">SUMIF($B$16:$B$17,$B66,$V$16:$V$17)*IF(save.AcceleratorNetRevenue,IF(save.AcceleratorSelectedMARC/save.AcceleratorNetRevenue&gt;=0.7,1,0),0)</f>
        <v>0</v>
      </c>
      <c r="U66" s="1354"/>
    </row>
    <row r="67" spans="2:21" s="1349" customFormat="1" ht="13.5" hidden="1">
      <c r="B67" s="1373"/>
      <c r="C67" s="1374" t="s">
        <v>10854</v>
      </c>
      <c r="D67" s="1375" t="str">
        <f t="shared" ref="D67" ca="1" si="16">IF($F67="","",J66)</f>
        <v/>
      </c>
      <c r="E67" s="1415" t="str">
        <f t="shared" ref="E67" ca="1" si="17">IF($F67="","",T66)</f>
        <v/>
      </c>
      <c r="F67" s="1425" t="str">
        <f ca="1">IF(AND(J66&gt;0,T66&gt;0,Accelerator_SelectedTerm&gt;=24),24,"")</f>
        <v/>
      </c>
      <c r="G67" s="1370"/>
      <c r="H67" s="1371"/>
      <c r="I67" s="1350"/>
      <c r="J67" s="1351"/>
      <c r="K67" s="1352"/>
      <c r="L67" s="1352"/>
      <c r="M67" s="1352"/>
      <c r="N67" s="1352"/>
      <c r="O67" s="1352"/>
      <c r="P67" s="1352"/>
      <c r="Q67" s="1352"/>
      <c r="R67" s="1352"/>
      <c r="S67" s="1352"/>
      <c r="T67" s="1353"/>
      <c r="U67" s="1354"/>
    </row>
    <row r="68" spans="2:21" s="1349" customFormat="1" ht="13.5" hidden="1">
      <c r="B68" s="1373"/>
      <c r="C68" s="1374" t="s">
        <v>10855</v>
      </c>
      <c r="D68" s="1375" t="str">
        <f t="shared" ref="D68" ca="1" si="18">IF($F68="","",J66)</f>
        <v/>
      </c>
      <c r="E68" s="1415" t="str">
        <f t="shared" ref="E68" ca="1" si="19">IF($F68="","",T66)</f>
        <v/>
      </c>
      <c r="F68" s="1425" t="str">
        <f ca="1">IF(AND(J66&gt;0,T66&gt;0,Accelerator_SelectedTerm&gt;=36),36,"")</f>
        <v/>
      </c>
      <c r="G68" s="1370"/>
      <c r="H68" s="1371"/>
      <c r="I68" s="1350"/>
      <c r="J68" s="1351"/>
      <c r="K68" s="1352"/>
      <c r="L68" s="1352"/>
      <c r="M68" s="1352"/>
      <c r="N68" s="1352"/>
      <c r="O68" s="1352"/>
      <c r="P68" s="1352"/>
      <c r="Q68" s="1352"/>
      <c r="R68" s="1352"/>
      <c r="S68" s="1352"/>
      <c r="T68" s="1353"/>
      <c r="U68" s="1354"/>
    </row>
    <row r="69" spans="2:21" s="1349" customFormat="1" ht="13.5" hidden="1">
      <c r="B69" s="1373"/>
      <c r="C69" s="1374" t="s">
        <v>10856</v>
      </c>
      <c r="D69" s="1375" t="str">
        <f t="shared" ref="D69" ca="1" si="20">IF($F69="","",J66)</f>
        <v/>
      </c>
      <c r="E69" s="1415" t="str">
        <f t="shared" ref="E69" ca="1" si="21">IF($F69="","",T66)</f>
        <v/>
      </c>
      <c r="F69" s="1425" t="str">
        <f ca="1">IF(AND(J66&gt;0,T66&gt;0,Accelerator_SelectedTerm&gt;=48),48,"")</f>
        <v/>
      </c>
      <c r="G69" s="1370"/>
      <c r="H69" s="1371"/>
      <c r="I69" s="1350"/>
      <c r="J69" s="1351"/>
      <c r="K69" s="1352"/>
      <c r="L69" s="1352"/>
      <c r="M69" s="1352"/>
      <c r="N69" s="1352"/>
      <c r="O69" s="1352"/>
      <c r="P69" s="1352"/>
      <c r="Q69" s="1352"/>
      <c r="R69" s="1352"/>
      <c r="S69" s="1352"/>
      <c r="T69" s="1353"/>
      <c r="U69" s="1354"/>
    </row>
    <row r="70" spans="2:21" s="1349" customFormat="1" ht="13.5" hidden="1">
      <c r="B70" s="1376"/>
      <c r="C70" s="1377" t="s">
        <v>10857</v>
      </c>
      <c r="D70" s="1378" t="str">
        <f t="shared" ref="D70" ca="1" si="22">IF($F70="","",J66)</f>
        <v/>
      </c>
      <c r="E70" s="1416" t="str">
        <f t="shared" ref="E70" ca="1" si="23">IF($F70="","",T66)</f>
        <v/>
      </c>
      <c r="F70" s="1426" t="str">
        <f ca="1">IF(AND(J66&gt;0,T66&gt;0,Accelerator_SelectedTerm&gt;=60),60,"")</f>
        <v/>
      </c>
      <c r="G70" s="1370"/>
      <c r="H70" s="1371"/>
      <c r="I70" s="1350"/>
      <c r="J70" s="1351"/>
      <c r="K70" s="1352"/>
      <c r="L70" s="1352"/>
      <c r="M70" s="1352"/>
      <c r="N70" s="1352"/>
      <c r="O70" s="1352"/>
      <c r="P70" s="1352"/>
      <c r="Q70" s="1352"/>
      <c r="R70" s="1352"/>
      <c r="S70" s="1352"/>
      <c r="T70" s="1353"/>
      <c r="U70" s="1354"/>
    </row>
    <row r="71" spans="2:21" s="1349" customFormat="1" ht="13.5" hidden="1">
      <c r="B71" s="1367" t="e">
        <f ca="1">INDEX(OFFSET(Accelerator_Baseline_key,0,2),5)</f>
        <v>#VALUE!</v>
      </c>
      <c r="C71" s="1368" t="s">
        <v>10853</v>
      </c>
      <c r="D71" s="1369" t="str">
        <f ca="1">IF($F71="","",J71*IF(save.AcceleratorSelectedMARC,save.AcceleratorMarcYr1/save.AcceleratorSelectedMARC,1))</f>
        <v/>
      </c>
      <c r="E71" s="1414" t="str">
        <f ca="1">IF($F71="","",T71*IF(save.AcceleratorSelectedMARC,save.AcceleratorMarcYr1/save.AcceleratorSelectedMARC,0))</f>
        <v/>
      </c>
      <c r="F71" s="1424" t="str">
        <f ca="1">IF(AND(J71&gt;0,T71&gt;0,Accelerator_SelectedTerm&gt;=12),12,"")</f>
        <v/>
      </c>
      <c r="G71" s="1370"/>
      <c r="H71" s="1371"/>
      <c r="I71" s="1350"/>
      <c r="J71" s="1372">
        <f ca="1">SUMIF($B$16:$B$17,$B71,$J$16:$J$17)*10/12*IF(save.AcceleratorNetRevenue,save.AcceleratorSelectedMARC/save.AcceleratorNetRevenue,1)</f>
        <v>0</v>
      </c>
      <c r="K71" s="1352"/>
      <c r="L71" s="1352"/>
      <c r="M71" s="1352"/>
      <c r="N71" s="1352"/>
      <c r="O71" s="1352"/>
      <c r="P71" s="1352"/>
      <c r="Q71" s="1352"/>
      <c r="R71" s="1352"/>
      <c r="S71" s="1352"/>
      <c r="T71" s="1372">
        <f ca="1">SUMIF($B$16:$B$17,$B71,$V$16:$V$17)*IF(save.AcceleratorNetRevenue,IF(save.AcceleratorSelectedMARC/save.AcceleratorNetRevenue&gt;=0.7,1,0),0)</f>
        <v>0</v>
      </c>
      <c r="U71" s="1354"/>
    </row>
    <row r="72" spans="2:21" s="1349" customFormat="1" ht="13.5" hidden="1">
      <c r="B72" s="1373"/>
      <c r="C72" s="1374" t="s">
        <v>10854</v>
      </c>
      <c r="D72" s="1375" t="str">
        <f t="shared" ref="D72" ca="1" si="24">IF($F72="","",J71)</f>
        <v/>
      </c>
      <c r="E72" s="1415" t="str">
        <f t="shared" ref="E72" ca="1" si="25">IF($F72="","",T71)</f>
        <v/>
      </c>
      <c r="F72" s="1425" t="str">
        <f ca="1">IF(AND(J71&gt;0,T71&gt;0,Accelerator_SelectedTerm&gt;=24),24,"")</f>
        <v/>
      </c>
      <c r="G72" s="1370"/>
      <c r="H72" s="1371"/>
      <c r="I72" s="1350"/>
      <c r="J72" s="1351"/>
      <c r="K72" s="1352"/>
      <c r="L72" s="1352"/>
      <c r="M72" s="1352"/>
      <c r="N72" s="1352"/>
      <c r="O72" s="1352"/>
      <c r="P72" s="1352"/>
      <c r="Q72" s="1352"/>
      <c r="R72" s="1352"/>
      <c r="S72" s="1352"/>
      <c r="T72" s="1353"/>
      <c r="U72" s="1354"/>
    </row>
    <row r="73" spans="2:21" s="1349" customFormat="1" ht="13.5" hidden="1">
      <c r="B73" s="1373"/>
      <c r="C73" s="1374" t="s">
        <v>10855</v>
      </c>
      <c r="D73" s="1375" t="str">
        <f t="shared" ref="D73" ca="1" si="26">IF($F73="","",J71)</f>
        <v/>
      </c>
      <c r="E73" s="1415" t="str">
        <f t="shared" ref="E73" ca="1" si="27">IF($F73="","",T71)</f>
        <v/>
      </c>
      <c r="F73" s="1425" t="str">
        <f ca="1">IF(AND(J71&gt;0,T71&gt;0,Accelerator_SelectedTerm&gt;=36),36,"")</f>
        <v/>
      </c>
      <c r="G73" s="1370"/>
      <c r="H73" s="1371"/>
      <c r="I73" s="1350"/>
      <c r="J73" s="1351"/>
      <c r="K73" s="1352"/>
      <c r="L73" s="1352"/>
      <c r="M73" s="1352"/>
      <c r="N73" s="1352"/>
      <c r="O73" s="1352"/>
      <c r="P73" s="1352"/>
      <c r="Q73" s="1352"/>
      <c r="R73" s="1352"/>
      <c r="S73" s="1352"/>
      <c r="T73" s="1353"/>
      <c r="U73" s="1354"/>
    </row>
    <row r="74" spans="2:21" s="1349" customFormat="1" ht="13.5" hidden="1">
      <c r="B74" s="1373"/>
      <c r="C74" s="1374" t="s">
        <v>10856</v>
      </c>
      <c r="D74" s="1375" t="str">
        <f t="shared" ref="D74" ca="1" si="28">IF($F74="","",J71)</f>
        <v/>
      </c>
      <c r="E74" s="1415" t="str">
        <f t="shared" ref="E74" ca="1" si="29">IF($F74="","",T71)</f>
        <v/>
      </c>
      <c r="F74" s="1425" t="str">
        <f ca="1">IF(AND(J71&gt;0,T71&gt;0,Accelerator_SelectedTerm&gt;=48),48,"")</f>
        <v/>
      </c>
      <c r="G74" s="1370"/>
      <c r="H74" s="1371"/>
      <c r="I74" s="1350"/>
      <c r="J74" s="1351"/>
      <c r="K74" s="1352"/>
      <c r="L74" s="1352"/>
      <c r="M74" s="1352"/>
      <c r="N74" s="1352"/>
      <c r="O74" s="1352"/>
      <c r="P74" s="1352"/>
      <c r="Q74" s="1352"/>
      <c r="R74" s="1352"/>
      <c r="S74" s="1352"/>
      <c r="T74" s="1353"/>
      <c r="U74" s="1354"/>
    </row>
    <row r="75" spans="2:21" s="1349" customFormat="1" ht="13.5" hidden="1">
      <c r="B75" s="1376"/>
      <c r="C75" s="1377" t="s">
        <v>10857</v>
      </c>
      <c r="D75" s="1378" t="str">
        <f t="shared" ref="D75" ca="1" si="30">IF($F75="","",J71)</f>
        <v/>
      </c>
      <c r="E75" s="1416" t="str">
        <f t="shared" ref="E75" ca="1" si="31">IF($F75="","",T71)</f>
        <v/>
      </c>
      <c r="F75" s="1426" t="str">
        <f ca="1">IF(AND(J71&gt;0,T71&gt;0,Accelerator_SelectedTerm&gt;=60),60,"")</f>
        <v/>
      </c>
      <c r="G75" s="1370"/>
      <c r="H75" s="1371"/>
      <c r="I75" s="1350"/>
      <c r="J75" s="1351"/>
      <c r="K75" s="1352"/>
      <c r="L75" s="1352"/>
      <c r="M75" s="1352"/>
      <c r="N75" s="1352"/>
      <c r="O75" s="1352"/>
      <c r="P75" s="1352"/>
      <c r="Q75" s="1352"/>
      <c r="R75" s="1352"/>
      <c r="S75" s="1352"/>
      <c r="T75" s="1353"/>
      <c r="U75" s="1354"/>
    </row>
    <row r="76" spans="2:21" s="1349" customFormat="1" ht="13.5" hidden="1">
      <c r="B76" s="1367" t="e">
        <f ca="1">INDEX(OFFSET(Accelerator_Baseline_key,0,2),6)</f>
        <v>#VALUE!</v>
      </c>
      <c r="C76" s="1368" t="s">
        <v>10853</v>
      </c>
      <c r="D76" s="1369" t="str">
        <f ca="1">IF($F76="","",J76*IF(save.AcceleratorSelectedMARC,save.AcceleratorMarcYr1/save.AcceleratorSelectedMARC,1))</f>
        <v/>
      </c>
      <c r="E76" s="1414" t="str">
        <f ca="1">IF($F76="","",T76*IF(save.AcceleratorSelectedMARC,save.AcceleratorMarcYr1/save.AcceleratorSelectedMARC,0))</f>
        <v/>
      </c>
      <c r="F76" s="1424" t="str">
        <f ca="1">IF(AND(J76&gt;0,T76&gt;0,Accelerator_SelectedTerm&gt;=12),12,"")</f>
        <v/>
      </c>
      <c r="G76" s="1370"/>
      <c r="H76" s="1371"/>
      <c r="I76" s="1350"/>
      <c r="J76" s="1372">
        <f ca="1">SUMIF($B$16:$B$17,$B76,$J$16:$J$17)*10/12*IF(save.AcceleratorNetRevenue,save.AcceleratorSelectedMARC/save.AcceleratorNetRevenue,1)</f>
        <v>0</v>
      </c>
      <c r="K76" s="1352"/>
      <c r="L76" s="1352"/>
      <c r="M76" s="1352"/>
      <c r="N76" s="1352"/>
      <c r="O76" s="1352"/>
      <c r="P76" s="1352"/>
      <c r="Q76" s="1352"/>
      <c r="R76" s="1352"/>
      <c r="S76" s="1352"/>
      <c r="T76" s="1372">
        <f ca="1">SUMIF($B$16:$B$17,$B76,$V$16:$V$17)*IF(save.AcceleratorNetRevenue,IF(save.AcceleratorSelectedMARC/save.AcceleratorNetRevenue&gt;=0.7,1,0),0)</f>
        <v>0</v>
      </c>
      <c r="U76" s="1354"/>
    </row>
    <row r="77" spans="2:21" s="1349" customFormat="1" ht="13.5" hidden="1">
      <c r="B77" s="1373"/>
      <c r="C77" s="1374" t="s">
        <v>10854</v>
      </c>
      <c r="D77" s="1375" t="str">
        <f t="shared" ref="D77" ca="1" si="32">IF($F77="","",J76)</f>
        <v/>
      </c>
      <c r="E77" s="1415" t="str">
        <f t="shared" ref="E77" ca="1" si="33">IF($F77="","",T76)</f>
        <v/>
      </c>
      <c r="F77" s="1425" t="str">
        <f ca="1">IF(AND(J76&gt;0,T76&gt;0,Accelerator_SelectedTerm&gt;=24),24,"")</f>
        <v/>
      </c>
      <c r="G77" s="1370"/>
      <c r="H77" s="1371"/>
      <c r="I77" s="1350"/>
      <c r="J77" s="1351"/>
      <c r="K77" s="1352"/>
      <c r="L77" s="1352"/>
      <c r="M77" s="1352"/>
      <c r="N77" s="1352"/>
      <c r="O77" s="1352"/>
      <c r="P77" s="1352"/>
      <c r="Q77" s="1352"/>
      <c r="R77" s="1352"/>
      <c r="S77" s="1352"/>
      <c r="T77" s="1353"/>
      <c r="U77" s="1354"/>
    </row>
    <row r="78" spans="2:21" s="1349" customFormat="1" ht="13.5" hidden="1">
      <c r="B78" s="1373"/>
      <c r="C78" s="1374" t="s">
        <v>10855</v>
      </c>
      <c r="D78" s="1375" t="str">
        <f t="shared" ref="D78" ca="1" si="34">IF($F78="","",J76)</f>
        <v/>
      </c>
      <c r="E78" s="1415" t="str">
        <f t="shared" ref="E78" ca="1" si="35">IF($F78="","",T76)</f>
        <v/>
      </c>
      <c r="F78" s="1425" t="str">
        <f ca="1">IF(AND(J76&gt;0,T76&gt;0,Accelerator_SelectedTerm&gt;=36),36,"")</f>
        <v/>
      </c>
      <c r="G78" s="1370"/>
      <c r="H78" s="1371"/>
      <c r="I78" s="1350"/>
      <c r="J78" s="1351"/>
      <c r="K78" s="1352"/>
      <c r="L78" s="1352"/>
      <c r="M78" s="1352"/>
      <c r="N78" s="1352"/>
      <c r="O78" s="1352"/>
      <c r="P78" s="1352"/>
      <c r="Q78" s="1352"/>
      <c r="R78" s="1352"/>
      <c r="S78" s="1352"/>
      <c r="T78" s="1353"/>
      <c r="U78" s="1354"/>
    </row>
    <row r="79" spans="2:21" s="1349" customFormat="1" ht="13.5" hidden="1">
      <c r="B79" s="1373"/>
      <c r="C79" s="1374" t="s">
        <v>10856</v>
      </c>
      <c r="D79" s="1375" t="str">
        <f t="shared" ref="D79" ca="1" si="36">IF($F79="","",J76)</f>
        <v/>
      </c>
      <c r="E79" s="1415" t="str">
        <f t="shared" ref="E79" ca="1" si="37">IF($F79="","",T76)</f>
        <v/>
      </c>
      <c r="F79" s="1425" t="str">
        <f ca="1">IF(AND(J76&gt;0,T76&gt;0,Accelerator_SelectedTerm&gt;=48),48,"")</f>
        <v/>
      </c>
      <c r="G79" s="1370"/>
      <c r="H79" s="1371"/>
      <c r="I79" s="1350"/>
      <c r="J79" s="1351"/>
      <c r="K79" s="1352"/>
      <c r="L79" s="1352"/>
      <c r="M79" s="1352"/>
      <c r="N79" s="1352"/>
      <c r="O79" s="1352"/>
      <c r="P79" s="1352"/>
      <c r="Q79" s="1352"/>
      <c r="R79" s="1352"/>
      <c r="S79" s="1352"/>
      <c r="T79" s="1353"/>
      <c r="U79" s="1354"/>
    </row>
    <row r="80" spans="2:21" s="1349" customFormat="1" ht="13.5" hidden="1">
      <c r="B80" s="1376"/>
      <c r="C80" s="1377" t="s">
        <v>10857</v>
      </c>
      <c r="D80" s="1378" t="str">
        <f t="shared" ref="D80" ca="1" si="38">IF($F80="","",J76)</f>
        <v/>
      </c>
      <c r="E80" s="1416" t="str">
        <f t="shared" ref="E80" ca="1" si="39">IF($F80="","",T76)</f>
        <v/>
      </c>
      <c r="F80" s="1426" t="str">
        <f ca="1">IF(AND(J76&gt;0,T76&gt;0,Accelerator_SelectedTerm&gt;=60),60,"")</f>
        <v/>
      </c>
      <c r="G80" s="1370"/>
      <c r="H80" s="1371"/>
      <c r="I80" s="1350"/>
      <c r="J80" s="1351"/>
      <c r="K80" s="1352"/>
      <c r="L80" s="1352"/>
      <c r="M80" s="1352"/>
      <c r="N80" s="1352"/>
      <c r="O80" s="1352"/>
      <c r="P80" s="1352"/>
      <c r="Q80" s="1352"/>
      <c r="R80" s="1352"/>
      <c r="S80" s="1352"/>
      <c r="T80" s="1353"/>
      <c r="U80" s="1354"/>
    </row>
    <row r="81" spans="2:21" s="1349" customFormat="1" ht="13.5" hidden="1">
      <c r="B81" s="1367" t="e">
        <f ca="1">INDEX(OFFSET(Accelerator_Baseline_key,0,2),7)</f>
        <v>#VALUE!</v>
      </c>
      <c r="C81" s="1368" t="s">
        <v>10853</v>
      </c>
      <c r="D81" s="1369" t="str">
        <f ca="1">IF($F81="","",J81*IF(save.AcceleratorSelectedMARC,save.AcceleratorMarcYr1/save.AcceleratorSelectedMARC,1))</f>
        <v/>
      </c>
      <c r="E81" s="1414" t="str">
        <f ca="1">IF($F81="","",T81*IF(save.AcceleratorSelectedMARC,save.AcceleratorMarcYr1/save.AcceleratorSelectedMARC,0))</f>
        <v/>
      </c>
      <c r="F81" s="1424" t="str">
        <f ca="1">IF(AND(J81&gt;0,T81&gt;0,Accelerator_SelectedTerm&gt;=12),12,"")</f>
        <v/>
      </c>
      <c r="G81" s="1370"/>
      <c r="H81" s="1371"/>
      <c r="I81" s="1350"/>
      <c r="J81" s="1372">
        <f ca="1">SUMIF($B$16:$B$17,$B81,$J$16:$J$17)*10/12*IF(save.AcceleratorNetRevenue,save.AcceleratorSelectedMARC/save.AcceleratorNetRevenue,1)</f>
        <v>0</v>
      </c>
      <c r="K81" s="1352"/>
      <c r="L81" s="1352"/>
      <c r="M81" s="1352"/>
      <c r="N81" s="1352"/>
      <c r="O81" s="1352"/>
      <c r="P81" s="1352"/>
      <c r="Q81" s="1352"/>
      <c r="R81" s="1352"/>
      <c r="S81" s="1352"/>
      <c r="T81" s="1372">
        <f ca="1">SUMIF($B$16:$B$17,$B81,$V$16:$V$17)*IF(save.AcceleratorNetRevenue,IF(save.AcceleratorSelectedMARC/save.AcceleratorNetRevenue&gt;=0.7,1,0),0)</f>
        <v>0</v>
      </c>
      <c r="U81" s="1354"/>
    </row>
    <row r="82" spans="2:21" s="1349" customFormat="1" ht="13.5" hidden="1">
      <c r="B82" s="1373"/>
      <c r="C82" s="1374" t="s">
        <v>10854</v>
      </c>
      <c r="D82" s="1375" t="str">
        <f t="shared" ref="D82" ca="1" si="40">IF($F82="","",J81)</f>
        <v/>
      </c>
      <c r="E82" s="1415" t="str">
        <f t="shared" ref="E82" ca="1" si="41">IF($F82="","",T81)</f>
        <v/>
      </c>
      <c r="F82" s="1425" t="str">
        <f ca="1">IF(AND(J81&gt;0,T81&gt;0,Accelerator_SelectedTerm&gt;=24),24,"")</f>
        <v/>
      </c>
      <c r="G82" s="1370"/>
      <c r="H82" s="1371"/>
      <c r="I82" s="1350"/>
      <c r="J82" s="1351"/>
      <c r="K82" s="1352"/>
      <c r="L82" s="1352"/>
      <c r="M82" s="1352"/>
      <c r="N82" s="1352"/>
      <c r="O82" s="1352"/>
      <c r="P82" s="1352"/>
      <c r="Q82" s="1352"/>
      <c r="R82" s="1352"/>
      <c r="S82" s="1352"/>
      <c r="T82" s="1353"/>
      <c r="U82" s="1354"/>
    </row>
    <row r="83" spans="2:21" s="1349" customFormat="1" ht="13.5" hidden="1">
      <c r="B83" s="1373"/>
      <c r="C83" s="1374" t="s">
        <v>10855</v>
      </c>
      <c r="D83" s="1375" t="str">
        <f t="shared" ref="D83" ca="1" si="42">IF($F83="","",J81)</f>
        <v/>
      </c>
      <c r="E83" s="1415" t="str">
        <f t="shared" ref="E83" ca="1" si="43">IF($F83="","",T81)</f>
        <v/>
      </c>
      <c r="F83" s="1425" t="str">
        <f ca="1">IF(AND(J81&gt;0,T81&gt;0,Accelerator_SelectedTerm&gt;=36),36,"")</f>
        <v/>
      </c>
      <c r="G83" s="1370"/>
      <c r="H83" s="1371"/>
      <c r="I83" s="1350"/>
      <c r="J83" s="1351"/>
      <c r="K83" s="1352"/>
      <c r="L83" s="1352"/>
      <c r="M83" s="1352"/>
      <c r="N83" s="1352"/>
      <c r="O83" s="1352"/>
      <c r="P83" s="1352"/>
      <c r="Q83" s="1352"/>
      <c r="R83" s="1352"/>
      <c r="S83" s="1352"/>
      <c r="T83" s="1353"/>
      <c r="U83" s="1354"/>
    </row>
    <row r="84" spans="2:21" s="1349" customFormat="1" ht="13.5" hidden="1">
      <c r="B84" s="1373"/>
      <c r="C84" s="1374" t="s">
        <v>10856</v>
      </c>
      <c r="D84" s="1375" t="str">
        <f t="shared" ref="D84" ca="1" si="44">IF($F84="","",J81)</f>
        <v/>
      </c>
      <c r="E84" s="1415" t="str">
        <f t="shared" ref="E84" ca="1" si="45">IF($F84="","",T81)</f>
        <v/>
      </c>
      <c r="F84" s="1425" t="str">
        <f ca="1">IF(AND(J81&gt;0,T81&gt;0,Accelerator_SelectedTerm&gt;=48),48,"")</f>
        <v/>
      </c>
      <c r="G84" s="1370"/>
      <c r="H84" s="1371"/>
      <c r="I84" s="1350"/>
      <c r="J84" s="1351"/>
      <c r="K84" s="1352"/>
      <c r="L84" s="1352"/>
      <c r="M84" s="1352"/>
      <c r="N84" s="1352"/>
      <c r="O84" s="1352"/>
      <c r="P84" s="1352"/>
      <c r="Q84" s="1352"/>
      <c r="R84" s="1352"/>
      <c r="S84" s="1352"/>
      <c r="T84" s="1353"/>
      <c r="U84" s="1354"/>
    </row>
    <row r="85" spans="2:21" s="1349" customFormat="1" ht="13.5" hidden="1">
      <c r="B85" s="1376"/>
      <c r="C85" s="1377" t="s">
        <v>10857</v>
      </c>
      <c r="D85" s="1378" t="str">
        <f t="shared" ref="D85" ca="1" si="46">IF($F85="","",J81)</f>
        <v/>
      </c>
      <c r="E85" s="1416" t="str">
        <f t="shared" ref="E85" ca="1" si="47">IF($F85="","",T81)</f>
        <v/>
      </c>
      <c r="F85" s="1426" t="str">
        <f ca="1">IF(AND(J81&gt;0,T81&gt;0,Accelerator_SelectedTerm&gt;=60),60,"")</f>
        <v/>
      </c>
      <c r="G85" s="1370"/>
      <c r="H85" s="1371"/>
      <c r="I85" s="1350"/>
      <c r="J85" s="1351"/>
      <c r="K85" s="1352"/>
      <c r="L85" s="1352"/>
      <c r="M85" s="1352"/>
      <c r="N85" s="1352"/>
      <c r="O85" s="1352"/>
      <c r="P85" s="1352"/>
      <c r="Q85" s="1352"/>
      <c r="R85" s="1352"/>
      <c r="S85" s="1352"/>
      <c r="T85" s="1353"/>
      <c r="U85" s="1354"/>
    </row>
    <row r="86" spans="2:21" s="1349" customFormat="1" ht="13.5" hidden="1">
      <c r="B86" s="1367" t="e">
        <f ca="1">INDEX(OFFSET(Accelerator_Baseline_key,0,2),8)</f>
        <v>#VALUE!</v>
      </c>
      <c r="C86" s="1368" t="s">
        <v>10853</v>
      </c>
      <c r="D86" s="1369" t="str">
        <f ca="1">IF($F86="","",J86*IF(save.AcceleratorSelectedMARC,save.AcceleratorMarcYr1/save.AcceleratorSelectedMARC,1))</f>
        <v/>
      </c>
      <c r="E86" s="1414" t="str">
        <f ca="1">IF($F86="","",T86*IF(save.AcceleratorSelectedMARC,save.AcceleratorMarcYr1/save.AcceleratorSelectedMARC,0))</f>
        <v/>
      </c>
      <c r="F86" s="1424" t="str">
        <f ca="1">IF(AND(J86&gt;0,T86&gt;0,Accelerator_SelectedTerm&gt;=12),12,"")</f>
        <v/>
      </c>
      <c r="G86" s="1370"/>
      <c r="H86" s="1371"/>
      <c r="I86" s="1350"/>
      <c r="J86" s="1372">
        <f ca="1">SUMIF($B$16:$B$17,$B86,$J$16:$J$17)*10/12*IF(save.AcceleratorNetRevenue,save.AcceleratorSelectedMARC/save.AcceleratorNetRevenue,1)</f>
        <v>0</v>
      </c>
      <c r="K86" s="1352"/>
      <c r="L86" s="1352"/>
      <c r="M86" s="1352"/>
      <c r="N86" s="1352"/>
      <c r="O86" s="1352"/>
      <c r="P86" s="1352"/>
      <c r="Q86" s="1352"/>
      <c r="R86" s="1352"/>
      <c r="S86" s="1352"/>
      <c r="T86" s="1372">
        <f ca="1">SUMIF($B$16:$B$17,$B86,$V$16:$V$17)*IF(save.AcceleratorNetRevenue,IF(save.AcceleratorSelectedMARC/save.AcceleratorNetRevenue&gt;=0.7,1,0),0)</f>
        <v>0</v>
      </c>
      <c r="U86" s="1354"/>
    </row>
    <row r="87" spans="2:21" s="1349" customFormat="1" ht="13.5" hidden="1">
      <c r="B87" s="1373"/>
      <c r="C87" s="1374" t="s">
        <v>10854</v>
      </c>
      <c r="D87" s="1375" t="str">
        <f t="shared" ref="D87" ca="1" si="48">IF($F87="","",J86)</f>
        <v/>
      </c>
      <c r="E87" s="1415" t="str">
        <f t="shared" ref="E87" ca="1" si="49">IF($F87="","",T86)</f>
        <v/>
      </c>
      <c r="F87" s="1425" t="str">
        <f ca="1">IF(AND(J86&gt;0,T86&gt;0,Accelerator_SelectedTerm&gt;=24),24,"")</f>
        <v/>
      </c>
      <c r="G87" s="1370"/>
      <c r="H87" s="1371"/>
      <c r="I87" s="1350"/>
      <c r="J87" s="1351"/>
      <c r="K87" s="1352"/>
      <c r="L87" s="1352"/>
      <c r="M87" s="1352"/>
      <c r="N87" s="1352"/>
      <c r="O87" s="1352"/>
      <c r="P87" s="1352"/>
      <c r="Q87" s="1352"/>
      <c r="R87" s="1352"/>
      <c r="S87" s="1352"/>
      <c r="T87" s="1353"/>
      <c r="U87" s="1354"/>
    </row>
    <row r="88" spans="2:21" s="1349" customFormat="1" ht="13.5" hidden="1">
      <c r="B88" s="1373"/>
      <c r="C88" s="1374" t="s">
        <v>10855</v>
      </c>
      <c r="D88" s="1375" t="str">
        <f t="shared" ref="D88" ca="1" si="50">IF($F88="","",J86)</f>
        <v/>
      </c>
      <c r="E88" s="1415" t="str">
        <f t="shared" ref="E88" ca="1" si="51">IF($F88="","",T86)</f>
        <v/>
      </c>
      <c r="F88" s="1425" t="str">
        <f ca="1">IF(AND(J86&gt;0,T86&gt;0,Accelerator_SelectedTerm&gt;=36),36,"")</f>
        <v/>
      </c>
      <c r="G88" s="1370"/>
      <c r="H88" s="1371"/>
      <c r="I88" s="1350"/>
      <c r="J88" s="1351"/>
      <c r="K88" s="1352"/>
      <c r="L88" s="1352"/>
      <c r="M88" s="1352"/>
      <c r="N88" s="1352"/>
      <c r="O88" s="1352"/>
      <c r="P88" s="1352"/>
      <c r="Q88" s="1352"/>
      <c r="R88" s="1352"/>
      <c r="S88" s="1352"/>
      <c r="T88" s="1353"/>
      <c r="U88" s="1354"/>
    </row>
    <row r="89" spans="2:21" s="1349" customFormat="1" ht="13.5" hidden="1">
      <c r="B89" s="1373"/>
      <c r="C89" s="1374" t="s">
        <v>10856</v>
      </c>
      <c r="D89" s="1375" t="str">
        <f t="shared" ref="D89" ca="1" si="52">IF($F89="","",J86)</f>
        <v/>
      </c>
      <c r="E89" s="1415" t="str">
        <f t="shared" ref="E89" ca="1" si="53">IF($F89="","",T86)</f>
        <v/>
      </c>
      <c r="F89" s="1425" t="str">
        <f ca="1">IF(AND(J86&gt;0,T86&gt;0,Accelerator_SelectedTerm&gt;=48),48,"")</f>
        <v/>
      </c>
      <c r="G89" s="1370"/>
      <c r="H89" s="1371"/>
      <c r="I89" s="1350"/>
      <c r="J89" s="1351"/>
      <c r="K89" s="1352"/>
      <c r="L89" s="1352"/>
      <c r="M89" s="1352"/>
      <c r="N89" s="1352"/>
      <c r="O89" s="1352"/>
      <c r="P89" s="1352"/>
      <c r="Q89" s="1352"/>
      <c r="R89" s="1352"/>
      <c r="S89" s="1352"/>
      <c r="T89" s="1353"/>
      <c r="U89" s="1354"/>
    </row>
    <row r="90" spans="2:21" s="1349" customFormat="1" ht="13.5" hidden="1">
      <c r="B90" s="1376"/>
      <c r="C90" s="1377" t="s">
        <v>10857</v>
      </c>
      <c r="D90" s="1378" t="str">
        <f t="shared" ref="D90" ca="1" si="54">IF($F90="","",J86)</f>
        <v/>
      </c>
      <c r="E90" s="1416" t="str">
        <f t="shared" ref="E90" ca="1" si="55">IF($F90="","",T86)</f>
        <v/>
      </c>
      <c r="F90" s="1426" t="str">
        <f ca="1">IF(AND(J86&gt;0,T86&gt;0,Accelerator_SelectedTerm&gt;=60),60,"")</f>
        <v/>
      </c>
      <c r="G90" s="1370"/>
      <c r="H90" s="1371"/>
      <c r="I90" s="1350"/>
      <c r="J90" s="1351"/>
      <c r="K90" s="1352"/>
      <c r="L90" s="1352"/>
      <c r="M90" s="1352"/>
      <c r="N90" s="1352"/>
      <c r="O90" s="1352"/>
      <c r="P90" s="1352"/>
      <c r="Q90" s="1352"/>
      <c r="R90" s="1352"/>
      <c r="S90" s="1352"/>
      <c r="T90" s="1353"/>
      <c r="U90" s="1354"/>
    </row>
    <row r="91" spans="2:21" s="1349" customFormat="1" ht="13.5" hidden="1">
      <c r="B91" s="1367" t="e">
        <f ca="1">INDEX(OFFSET(Accelerator_Baseline_key,0,2),9)</f>
        <v>#VALUE!</v>
      </c>
      <c r="C91" s="1368" t="s">
        <v>10853</v>
      </c>
      <c r="D91" s="1369" t="str">
        <f ca="1">IF($F91="","",J91*IF(save.AcceleratorSelectedMARC,save.AcceleratorMarcYr1/save.AcceleratorSelectedMARC,1))</f>
        <v/>
      </c>
      <c r="E91" s="1414" t="str">
        <f ca="1">IF($F91="","",T91*IF(save.AcceleratorSelectedMARC,save.AcceleratorMarcYr1/save.AcceleratorSelectedMARC,0))</f>
        <v/>
      </c>
      <c r="F91" s="1424" t="str">
        <f ca="1">IF(AND(J91&gt;0,T91&gt;0,Accelerator_SelectedTerm&gt;=12),12,"")</f>
        <v/>
      </c>
      <c r="G91" s="1370"/>
      <c r="H91" s="1371"/>
      <c r="I91" s="1350"/>
      <c r="J91" s="1372">
        <f ca="1">SUMIF($B$16:$B$17,$B91,$J$16:$J$17)*10/12*IF(save.AcceleratorNetRevenue,save.AcceleratorSelectedMARC/save.AcceleratorNetRevenue,1)</f>
        <v>0</v>
      </c>
      <c r="K91" s="1352"/>
      <c r="L91" s="1352"/>
      <c r="M91" s="1352"/>
      <c r="N91" s="1352"/>
      <c r="O91" s="1352"/>
      <c r="P91" s="1352"/>
      <c r="Q91" s="1352"/>
      <c r="R91" s="1352"/>
      <c r="S91" s="1352"/>
      <c r="T91" s="1372">
        <f ca="1">SUMIF($B$16:$B$17,$B91,$V$16:$V$17)*IF(save.AcceleratorNetRevenue,IF(save.AcceleratorSelectedMARC/save.AcceleratorNetRevenue&gt;=0.7,1,0),0)</f>
        <v>0</v>
      </c>
      <c r="U91" s="1354"/>
    </row>
    <row r="92" spans="2:21" s="1349" customFormat="1" ht="13.5" hidden="1">
      <c r="B92" s="1373"/>
      <c r="C92" s="1374" t="s">
        <v>10854</v>
      </c>
      <c r="D92" s="1375" t="str">
        <f t="shared" ref="D92" ca="1" si="56">IF($F92="","",J91)</f>
        <v/>
      </c>
      <c r="E92" s="1415" t="str">
        <f t="shared" ref="E92" ca="1" si="57">IF($F92="","",T91)</f>
        <v/>
      </c>
      <c r="F92" s="1425" t="str">
        <f ca="1">IF(AND(J91&gt;0,T91&gt;0,Accelerator_SelectedTerm&gt;=24),24,"")</f>
        <v/>
      </c>
      <c r="G92" s="1370"/>
      <c r="H92" s="1371"/>
      <c r="I92" s="1350"/>
      <c r="J92" s="1351"/>
      <c r="K92" s="1352"/>
      <c r="L92" s="1352"/>
      <c r="M92" s="1352"/>
      <c r="N92" s="1352"/>
      <c r="O92" s="1352"/>
      <c r="P92" s="1352"/>
      <c r="Q92" s="1352"/>
      <c r="R92" s="1352"/>
      <c r="S92" s="1352"/>
      <c r="T92" s="1353"/>
      <c r="U92" s="1354"/>
    </row>
    <row r="93" spans="2:21" s="1349" customFormat="1" ht="13.5" hidden="1">
      <c r="B93" s="1373"/>
      <c r="C93" s="1374" t="s">
        <v>10855</v>
      </c>
      <c r="D93" s="1375" t="str">
        <f t="shared" ref="D93" ca="1" si="58">IF($F93="","",J91)</f>
        <v/>
      </c>
      <c r="E93" s="1415" t="str">
        <f t="shared" ref="E93" ca="1" si="59">IF($F93="","",T91)</f>
        <v/>
      </c>
      <c r="F93" s="1425" t="str">
        <f ca="1">IF(AND(J91&gt;0,T91&gt;0,Accelerator_SelectedTerm&gt;=36),36,"")</f>
        <v/>
      </c>
      <c r="G93" s="1370"/>
      <c r="H93" s="1371"/>
      <c r="I93" s="1350"/>
      <c r="J93" s="1351"/>
      <c r="K93" s="1352"/>
      <c r="L93" s="1352"/>
      <c r="M93" s="1352"/>
      <c r="N93" s="1352"/>
      <c r="O93" s="1352"/>
      <c r="P93" s="1352"/>
      <c r="Q93" s="1352"/>
      <c r="R93" s="1352"/>
      <c r="S93" s="1352"/>
      <c r="T93" s="1353"/>
      <c r="U93" s="1354"/>
    </row>
    <row r="94" spans="2:21" s="1349" customFormat="1" ht="13.5" hidden="1">
      <c r="B94" s="1373"/>
      <c r="C94" s="1374" t="s">
        <v>10856</v>
      </c>
      <c r="D94" s="1375" t="str">
        <f t="shared" ref="D94" ca="1" si="60">IF($F94="","",J91)</f>
        <v/>
      </c>
      <c r="E94" s="1415" t="str">
        <f t="shared" ref="E94" ca="1" si="61">IF($F94="","",T91)</f>
        <v/>
      </c>
      <c r="F94" s="1425" t="str">
        <f ca="1">IF(AND(J91&gt;0,T91&gt;0,Accelerator_SelectedTerm&gt;=48),48,"")</f>
        <v/>
      </c>
      <c r="G94" s="1370"/>
      <c r="H94" s="1371"/>
      <c r="I94" s="1350"/>
      <c r="J94" s="1351"/>
      <c r="K94" s="1352"/>
      <c r="L94" s="1352"/>
      <c r="M94" s="1352"/>
      <c r="N94" s="1352"/>
      <c r="O94" s="1352"/>
      <c r="P94" s="1352"/>
      <c r="Q94" s="1352"/>
      <c r="R94" s="1352"/>
      <c r="S94" s="1352"/>
      <c r="T94" s="1353"/>
      <c r="U94" s="1354"/>
    </row>
    <row r="95" spans="2:21" s="1349" customFormat="1" ht="13.5" hidden="1">
      <c r="B95" s="1376"/>
      <c r="C95" s="1377" t="s">
        <v>10857</v>
      </c>
      <c r="D95" s="1378" t="str">
        <f t="shared" ref="D95" ca="1" si="62">IF($F95="","",J91)</f>
        <v/>
      </c>
      <c r="E95" s="1416" t="str">
        <f t="shared" ref="E95" ca="1" si="63">IF($F95="","",T91)</f>
        <v/>
      </c>
      <c r="F95" s="1426" t="str">
        <f ca="1">IF(AND(J91&gt;0,T91&gt;0,Accelerator_SelectedTerm&gt;=60),60,"")</f>
        <v/>
      </c>
      <c r="G95" s="1370"/>
      <c r="H95" s="1371"/>
      <c r="I95" s="1350"/>
      <c r="J95" s="1351"/>
      <c r="K95" s="1352"/>
      <c r="L95" s="1352"/>
      <c r="M95" s="1352"/>
      <c r="N95" s="1352"/>
      <c r="O95" s="1352"/>
      <c r="P95" s="1352"/>
      <c r="Q95" s="1352"/>
      <c r="R95" s="1352"/>
      <c r="S95" s="1352"/>
      <c r="T95" s="1353"/>
      <c r="U95" s="1354"/>
    </row>
    <row r="96" spans="2:21" s="1349" customFormat="1" ht="13.5" hidden="1">
      <c r="B96" s="1367" t="e">
        <f ca="1">INDEX(OFFSET(Accelerator_Baseline_key,0,2),10)</f>
        <v>#VALUE!</v>
      </c>
      <c r="C96" s="1368" t="s">
        <v>10853</v>
      </c>
      <c r="D96" s="1369" t="str">
        <f ca="1">IF($F96="","",J96*IF(save.AcceleratorSelectedMARC,save.AcceleratorMarcYr1/save.AcceleratorSelectedMARC,1))</f>
        <v/>
      </c>
      <c r="E96" s="1414" t="str">
        <f ca="1">IF($F96="","",T96*IF(save.AcceleratorSelectedMARC,save.AcceleratorMarcYr1/save.AcceleratorSelectedMARC,0))</f>
        <v/>
      </c>
      <c r="F96" s="1424" t="str">
        <f ca="1">IF(AND(J96&gt;0,T96&gt;0,Accelerator_SelectedTerm&gt;=12),12,"")</f>
        <v/>
      </c>
      <c r="G96" s="1370"/>
      <c r="H96" s="1371"/>
      <c r="I96" s="1350"/>
      <c r="J96" s="1372">
        <f ca="1">SUMIF($B$16:$B$17,$B96,$J$16:$J$17)*10/12*IF(save.AcceleratorNetRevenue,save.AcceleratorSelectedMARC/save.AcceleratorNetRevenue,1)</f>
        <v>0</v>
      </c>
      <c r="K96" s="1352"/>
      <c r="L96" s="1352"/>
      <c r="M96" s="1352"/>
      <c r="N96" s="1352"/>
      <c r="O96" s="1352"/>
      <c r="P96" s="1352"/>
      <c r="Q96" s="1352"/>
      <c r="R96" s="1352"/>
      <c r="S96" s="1352"/>
      <c r="T96" s="1372">
        <f ca="1">SUMIF($B$16:$B$17,$B96,$V$16:$V$17)*IF(save.AcceleratorNetRevenue,IF(save.AcceleratorSelectedMARC/save.AcceleratorNetRevenue&gt;=0.7,1,0),0)</f>
        <v>0</v>
      </c>
      <c r="U96" s="1354"/>
    </row>
    <row r="97" spans="2:22" s="1349" customFormat="1" ht="13.5" hidden="1">
      <c r="B97" s="1373"/>
      <c r="C97" s="1374" t="s">
        <v>10854</v>
      </c>
      <c r="D97" s="1375" t="str">
        <f t="shared" ref="D97" ca="1" si="64">IF($F97="","",J96)</f>
        <v/>
      </c>
      <c r="E97" s="1415" t="str">
        <f t="shared" ref="E97" ca="1" si="65">IF($F97="","",T96)</f>
        <v/>
      </c>
      <c r="F97" s="1425" t="str">
        <f ca="1">IF(AND(J96&gt;0,T96&gt;0,Accelerator_SelectedTerm&gt;=24),24,"")</f>
        <v/>
      </c>
      <c r="G97" s="1370"/>
      <c r="H97" s="1371"/>
      <c r="I97" s="1350"/>
      <c r="J97" s="1351"/>
      <c r="K97" s="1352"/>
      <c r="L97" s="1352"/>
      <c r="M97" s="1352"/>
      <c r="N97" s="1352"/>
      <c r="O97" s="1352"/>
      <c r="P97" s="1352"/>
      <c r="Q97" s="1352"/>
      <c r="R97" s="1352"/>
      <c r="S97" s="1352"/>
      <c r="T97" s="1353"/>
      <c r="U97" s="1354"/>
    </row>
    <row r="98" spans="2:22" s="1349" customFormat="1" ht="13.5" hidden="1">
      <c r="B98" s="1373"/>
      <c r="C98" s="1374" t="s">
        <v>10855</v>
      </c>
      <c r="D98" s="1375" t="str">
        <f t="shared" ref="D98" ca="1" si="66">IF($F98="","",J96)</f>
        <v/>
      </c>
      <c r="E98" s="1415" t="str">
        <f t="shared" ref="E98" ca="1" si="67">IF($F98="","",T96)</f>
        <v/>
      </c>
      <c r="F98" s="1425" t="str">
        <f ca="1">IF(AND(J96&gt;0,T96&gt;0,Accelerator_SelectedTerm&gt;=36),36,"")</f>
        <v/>
      </c>
      <c r="G98" s="1370"/>
      <c r="H98" s="1371"/>
      <c r="I98" s="1350"/>
      <c r="J98" s="1351"/>
      <c r="K98" s="1352"/>
      <c r="L98" s="1352"/>
      <c r="M98" s="1352"/>
      <c r="N98" s="1352"/>
      <c r="O98" s="1352"/>
      <c r="P98" s="1352"/>
      <c r="Q98" s="1352"/>
      <c r="R98" s="1352"/>
      <c r="S98" s="1352"/>
      <c r="T98" s="1353"/>
      <c r="U98" s="1354"/>
    </row>
    <row r="99" spans="2:22" s="1349" customFormat="1" ht="13.5" hidden="1">
      <c r="B99" s="1373"/>
      <c r="C99" s="1374" t="s">
        <v>10856</v>
      </c>
      <c r="D99" s="1375" t="str">
        <f t="shared" ref="D99" ca="1" si="68">IF($F99="","",J96)</f>
        <v/>
      </c>
      <c r="E99" s="1415" t="str">
        <f t="shared" ref="E99" ca="1" si="69">IF($F99="","",T96)</f>
        <v/>
      </c>
      <c r="F99" s="1425" t="str">
        <f ca="1">IF(AND(J96&gt;0,T96&gt;0,Accelerator_SelectedTerm&gt;=48),48,"")</f>
        <v/>
      </c>
      <c r="G99" s="1370"/>
      <c r="H99" s="1371"/>
      <c r="I99" s="1350"/>
      <c r="J99" s="1351"/>
      <c r="K99" s="1352"/>
      <c r="L99" s="1352"/>
      <c r="M99" s="1352"/>
      <c r="N99" s="1352"/>
      <c r="O99" s="1352"/>
      <c r="P99" s="1352"/>
      <c r="Q99" s="1352"/>
      <c r="R99" s="1352"/>
      <c r="S99" s="1352"/>
      <c r="T99" s="1353"/>
      <c r="U99" s="1354"/>
    </row>
    <row r="100" spans="2:22" s="1349" customFormat="1" ht="13.5" hidden="1">
      <c r="B100" s="1376"/>
      <c r="C100" s="1377" t="s">
        <v>10857</v>
      </c>
      <c r="D100" s="1378" t="str">
        <f t="shared" ref="D100" ca="1" si="70">IF($F100="","",J96)</f>
        <v/>
      </c>
      <c r="E100" s="1416" t="str">
        <f t="shared" ref="E100" ca="1" si="71">IF($F100="","",T96)</f>
        <v/>
      </c>
      <c r="F100" s="1426" t="str">
        <f ca="1">IF(AND(J96&gt;0,T96&gt;0,Accelerator_SelectedTerm&gt;=60),60,"")</f>
        <v/>
      </c>
      <c r="G100" s="1370"/>
      <c r="H100" s="1371"/>
      <c r="I100" s="1350"/>
      <c r="J100" s="1351"/>
      <c r="K100" s="1352"/>
      <c r="L100" s="1352"/>
      <c r="M100" s="1352"/>
      <c r="N100" s="1352"/>
      <c r="O100" s="1352"/>
      <c r="P100" s="1352"/>
      <c r="Q100" s="1352"/>
      <c r="R100" s="1352"/>
      <c r="S100" s="1352"/>
      <c r="T100" s="1353"/>
      <c r="U100" s="1354"/>
    </row>
    <row r="101" spans="2:22" s="1349" customFormat="1">
      <c r="B101" s="1379"/>
      <c r="C101" s="1380"/>
      <c r="D101" s="1381"/>
      <c r="E101" s="1417"/>
      <c r="F101" s="1421"/>
      <c r="G101" s="1382"/>
      <c r="H101" s="1350"/>
      <c r="I101" s="1350"/>
      <c r="J101" s="1362"/>
      <c r="K101" s="1352"/>
      <c r="L101" s="1352"/>
      <c r="M101" s="1352"/>
      <c r="N101" s="1352"/>
      <c r="O101" s="1352"/>
      <c r="P101" s="1352"/>
      <c r="Q101" s="1352"/>
      <c r="R101" s="1352"/>
      <c r="S101" s="1352"/>
      <c r="T101" s="1353"/>
      <c r="U101" s="1354"/>
    </row>
    <row r="102" spans="2:22" s="1295" customFormat="1" ht="13.5" thickBot="1">
      <c r="B102" s="1360" t="s">
        <v>10858</v>
      </c>
      <c r="C102" s="1356"/>
      <c r="D102" s="1349"/>
      <c r="E102" s="1411"/>
      <c r="F102" s="1411"/>
      <c r="G102" s="1361"/>
      <c r="H102" s="1350"/>
      <c r="I102" s="1350"/>
      <c r="J102" s="1362"/>
      <c r="K102" s="1352"/>
      <c r="L102" s="1352"/>
      <c r="M102" s="1352"/>
      <c r="N102" s="1352"/>
      <c r="O102" s="1352"/>
      <c r="P102" s="1352"/>
      <c r="Q102" s="1352"/>
      <c r="R102" s="1352"/>
      <c r="S102" s="1352"/>
      <c r="T102" s="1353"/>
      <c r="U102" s="1354"/>
      <c r="V102" s="1349"/>
    </row>
    <row r="103" spans="2:22" s="1295" customFormat="1" ht="13.5" thickBot="1">
      <c r="B103" s="1356" t="s">
        <v>10859</v>
      </c>
      <c r="C103" s="1356"/>
      <c r="D103" s="1356"/>
      <c r="E103" s="1411"/>
      <c r="F103" s="1422">
        <f>save.AcceleratorSelectedMARC</f>
        <v>35000</v>
      </c>
      <c r="G103" s="1349"/>
      <c r="H103" s="1350"/>
      <c r="I103" s="1350"/>
      <c r="J103" s="1351"/>
      <c r="K103" s="1383"/>
      <c r="L103" s="1352"/>
      <c r="M103" s="1352"/>
      <c r="N103" s="1352"/>
      <c r="O103" s="1352"/>
      <c r="P103" s="1352"/>
      <c r="Q103" s="1352"/>
      <c r="R103" s="1352"/>
      <c r="S103" s="1352"/>
      <c r="T103" s="1353"/>
      <c r="U103" s="1354"/>
      <c r="V103" s="1349"/>
    </row>
    <row r="104" spans="2:22" s="1295" customFormat="1">
      <c r="B104" s="1349"/>
      <c r="C104" s="1356"/>
      <c r="D104" s="1356"/>
      <c r="E104" s="1411"/>
      <c r="F104" s="1411"/>
      <c r="G104" s="1349"/>
      <c r="H104" s="1350"/>
      <c r="I104" s="1350"/>
      <c r="J104" s="1351"/>
      <c r="K104" s="1383"/>
      <c r="L104" s="1352"/>
      <c r="M104" s="1352"/>
      <c r="N104" s="1352"/>
      <c r="O104" s="1352"/>
      <c r="P104" s="1352"/>
      <c r="Q104" s="1352"/>
      <c r="R104" s="1352"/>
      <c r="S104" s="1352"/>
      <c r="T104" s="1353"/>
      <c r="U104" s="1354"/>
      <c r="V104" s="1349"/>
    </row>
    <row r="105" spans="2:22" s="1295" customFormat="1">
      <c r="B105" s="1360" t="s">
        <v>10860</v>
      </c>
      <c r="C105" s="1356"/>
      <c r="D105" s="1356"/>
      <c r="E105" s="1411"/>
      <c r="F105" s="1411"/>
      <c r="G105" s="1349"/>
      <c r="H105" s="1350"/>
      <c r="I105" s="1350"/>
      <c r="J105" s="1351"/>
      <c r="K105" s="1383"/>
      <c r="L105" s="1352"/>
      <c r="M105" s="1352"/>
      <c r="N105" s="1352"/>
      <c r="O105" s="1352"/>
      <c r="P105" s="1352"/>
      <c r="Q105" s="1352"/>
      <c r="R105" s="1352"/>
      <c r="S105" s="1352"/>
      <c r="T105" s="1353"/>
      <c r="U105" s="1354"/>
      <c r="V105" s="1349"/>
    </row>
    <row r="106" spans="2:22" s="1295" customFormat="1">
      <c r="B106" s="1356" t="s">
        <v>10870</v>
      </c>
      <c r="C106" s="1356"/>
      <c r="D106" s="1356"/>
      <c r="E106" s="1411"/>
      <c r="F106" s="1411"/>
      <c r="G106" s="1349"/>
      <c r="H106" s="1350"/>
      <c r="I106" s="1350"/>
      <c r="J106" s="1351"/>
      <c r="K106" s="1383"/>
      <c r="L106" s="1352"/>
      <c r="M106" s="1352"/>
      <c r="N106" s="1352"/>
      <c r="O106" s="1352"/>
      <c r="P106" s="1352"/>
      <c r="Q106" s="1352"/>
      <c r="R106" s="1352"/>
      <c r="S106" s="1352"/>
      <c r="T106" s="1353"/>
      <c r="U106" s="1354"/>
      <c r="V106" s="1349"/>
    </row>
    <row r="107" spans="2:22" s="1349" customFormat="1">
      <c r="B107" s="1356" t="s">
        <v>10871</v>
      </c>
      <c r="C107" s="1356"/>
      <c r="D107" s="1356"/>
      <c r="E107" s="1411"/>
      <c r="F107" s="1411"/>
      <c r="H107" s="1350"/>
      <c r="I107" s="1350"/>
      <c r="J107" s="1351"/>
      <c r="K107" s="1383"/>
      <c r="L107" s="1352"/>
      <c r="M107" s="1352"/>
      <c r="N107" s="1352"/>
      <c r="O107" s="1352"/>
      <c r="P107" s="1352"/>
      <c r="Q107" s="1352"/>
      <c r="R107" s="1352"/>
      <c r="S107" s="1352"/>
      <c r="T107" s="1353"/>
      <c r="U107" s="1354"/>
    </row>
    <row r="108" spans="2:22" s="1349" customFormat="1">
      <c r="B108" s="1356" t="s">
        <v>10872</v>
      </c>
      <c r="C108" s="1356"/>
      <c r="E108" s="1411"/>
      <c r="F108" s="1411"/>
      <c r="G108" s="1384"/>
      <c r="H108" s="1385"/>
      <c r="I108" s="1385"/>
      <c r="J108" s="1386"/>
      <c r="K108" s="1387"/>
      <c r="L108" s="1387"/>
      <c r="M108" s="1387"/>
      <c r="N108" s="1387"/>
      <c r="O108" s="1387"/>
      <c r="P108" s="1387"/>
      <c r="Q108" s="1387"/>
      <c r="R108" s="1387"/>
      <c r="S108" s="1387"/>
      <c r="T108" s="1388"/>
      <c r="U108" s="1354"/>
    </row>
    <row r="109" spans="2:22" s="1349" customFormat="1">
      <c r="B109" s="1349" t="s">
        <v>10873</v>
      </c>
      <c r="C109" s="1356"/>
      <c r="E109" s="1411"/>
      <c r="F109" s="1411"/>
      <c r="G109" s="1384"/>
      <c r="H109" s="1385"/>
      <c r="I109" s="1385"/>
      <c r="J109" s="1386"/>
      <c r="K109" s="1387"/>
      <c r="L109" s="1387"/>
      <c r="M109" s="1387"/>
      <c r="N109" s="1387"/>
      <c r="O109" s="1387"/>
      <c r="P109" s="1387"/>
      <c r="Q109" s="1387"/>
      <c r="R109" s="1387"/>
      <c r="S109" s="1387"/>
      <c r="T109" s="1388"/>
      <c r="U109" s="1354"/>
    </row>
    <row r="110" spans="2:22" s="1349" customFormat="1">
      <c r="B110" s="1389"/>
      <c r="E110" s="1411"/>
      <c r="F110" s="1411"/>
      <c r="G110" s="1384"/>
      <c r="H110" s="1385"/>
      <c r="I110" s="1385"/>
      <c r="J110" s="1386"/>
      <c r="K110" s="1387"/>
      <c r="L110" s="1387"/>
      <c r="M110" s="1387"/>
      <c r="N110" s="1387"/>
      <c r="O110" s="1387"/>
      <c r="P110" s="1387"/>
      <c r="Q110" s="1387"/>
      <c r="R110" s="1387"/>
      <c r="S110" s="1387"/>
      <c r="T110" s="1388"/>
      <c r="U110" s="1354"/>
    </row>
    <row r="111" spans="2:22" s="1349" customFormat="1" hidden="1">
      <c r="B111" s="1389"/>
      <c r="E111" s="1411"/>
      <c r="F111" s="1411"/>
      <c r="G111" s="1384"/>
      <c r="H111" s="1385"/>
      <c r="I111" s="1385"/>
      <c r="J111" s="1386"/>
      <c r="K111" s="1387"/>
      <c r="L111" s="1387"/>
      <c r="M111" s="1387"/>
      <c r="N111" s="1387"/>
      <c r="O111" s="1387"/>
      <c r="P111" s="1387"/>
      <c r="Q111" s="1387"/>
      <c r="R111" s="1387"/>
      <c r="S111" s="1387"/>
      <c r="T111" s="1388"/>
      <c r="U111" s="1354"/>
    </row>
    <row r="112" spans="2:22" s="1349" customFormat="1">
      <c r="B112" s="1390"/>
      <c r="C112" s="1391"/>
      <c r="D112" s="1356"/>
      <c r="E112" s="1411"/>
      <c r="F112" s="1411"/>
      <c r="G112" s="1361"/>
      <c r="H112" s="1350"/>
      <c r="I112" s="1350"/>
      <c r="J112" s="1362"/>
      <c r="K112" s="1352"/>
      <c r="L112" s="1352"/>
      <c r="M112" s="1352"/>
      <c r="N112" s="1352"/>
      <c r="O112" s="1352"/>
      <c r="P112" s="1352"/>
      <c r="Q112" s="1352"/>
      <c r="R112" s="1352"/>
      <c r="S112" s="1352"/>
      <c r="T112" s="1353"/>
      <c r="U112" s="1354"/>
    </row>
    <row r="113" spans="2:22" s="1342" customFormat="1" ht="15">
      <c r="B113" s="1392" t="s">
        <v>10861</v>
      </c>
      <c r="D113" s="1393"/>
      <c r="E113" s="1418"/>
      <c r="F113" s="1410"/>
    </row>
    <row r="114" spans="2:22" s="1349" customFormat="1">
      <c r="B114" s="1273" t="s">
        <v>10862</v>
      </c>
      <c r="C114" s="1391"/>
      <c r="E114" s="1411"/>
      <c r="F114" s="1411"/>
      <c r="G114" s="1361"/>
      <c r="H114" s="1350"/>
      <c r="I114" s="1350"/>
      <c r="J114" s="1362"/>
      <c r="K114" s="1352"/>
      <c r="L114" s="1352"/>
      <c r="M114" s="1352"/>
      <c r="N114" s="1352"/>
      <c r="O114" s="1352"/>
      <c r="P114" s="1352"/>
      <c r="Q114" s="1352"/>
      <c r="R114" s="1352"/>
      <c r="S114" s="1352"/>
      <c r="T114" s="1353"/>
      <c r="U114" s="1354"/>
    </row>
    <row r="115" spans="2:22" s="1349" customFormat="1">
      <c r="B115" s="1273" t="s">
        <v>10863</v>
      </c>
      <c r="C115" s="1391"/>
      <c r="E115" s="1411"/>
      <c r="F115" s="1411"/>
      <c r="G115" s="1361"/>
      <c r="H115" s="1350"/>
      <c r="I115" s="1350"/>
      <c r="J115" s="1362"/>
      <c r="K115" s="1352"/>
      <c r="L115" s="1352"/>
      <c r="M115" s="1352"/>
      <c r="N115" s="1352"/>
      <c r="O115" s="1352"/>
      <c r="P115" s="1352"/>
      <c r="Q115" s="1352"/>
      <c r="R115" s="1352"/>
      <c r="S115" s="1352"/>
      <c r="T115" s="1353"/>
      <c r="U115" s="1354"/>
    </row>
    <row r="116" spans="2:22" s="1349" customFormat="1">
      <c r="B116" s="1273" t="s">
        <v>10864</v>
      </c>
      <c r="C116" s="1391"/>
      <c r="E116" s="1411"/>
      <c r="F116" s="1411"/>
      <c r="G116" s="1361"/>
      <c r="H116" s="1350"/>
      <c r="I116" s="1350"/>
      <c r="J116" s="1362"/>
      <c r="K116" s="1352"/>
      <c r="L116" s="1352"/>
      <c r="M116" s="1352"/>
      <c r="N116" s="1352"/>
      <c r="O116" s="1352"/>
      <c r="P116" s="1352"/>
      <c r="Q116" s="1352"/>
      <c r="R116" s="1352"/>
      <c r="S116" s="1352"/>
      <c r="T116" s="1353"/>
      <c r="U116" s="1354"/>
    </row>
    <row r="117" spans="2:22" s="1349" customFormat="1">
      <c r="B117" s="1273" t="s">
        <v>10865</v>
      </c>
      <c r="C117" s="1391"/>
      <c r="E117" s="1411"/>
      <c r="F117" s="1411"/>
      <c r="G117" s="1361"/>
      <c r="H117" s="1350"/>
      <c r="I117" s="1350"/>
      <c r="J117" s="1362"/>
      <c r="K117" s="1352"/>
      <c r="L117" s="1352"/>
      <c r="M117" s="1352"/>
      <c r="N117" s="1352"/>
      <c r="O117" s="1352"/>
      <c r="P117" s="1352"/>
      <c r="Q117" s="1352"/>
      <c r="R117" s="1352"/>
      <c r="S117" s="1352"/>
      <c r="T117" s="1353"/>
      <c r="U117" s="1354"/>
    </row>
    <row r="118" spans="2:22" s="1394" customFormat="1">
      <c r="C118" s="1395"/>
      <c r="D118" s="1395"/>
      <c r="E118" s="1398"/>
      <c r="F118" s="1398"/>
      <c r="H118" s="1396"/>
      <c r="I118" s="1396"/>
      <c r="J118" s="1397"/>
      <c r="K118" s="1398"/>
      <c r="L118" s="1396"/>
      <c r="M118" s="1396"/>
      <c r="N118" s="1396"/>
      <c r="O118" s="1396"/>
      <c r="P118" s="1396"/>
      <c r="Q118" s="1396"/>
      <c r="R118" s="1396"/>
      <c r="S118" s="1396"/>
      <c r="T118" s="1399"/>
      <c r="U118" s="1400"/>
      <c r="V118" s="1401"/>
    </row>
  </sheetData>
  <sheetProtection password="F652" sheet="1" objects="1" scenarios="1"/>
  <dataValidations disablePrompts="1" count="3">
    <dataValidation type="list" allowBlank="1" showInputMessage="1" showErrorMessage="1" sqref="E21" xr:uid="{00000000-0002-0000-1D00-000000000000}">
      <formula1>Accelerator_DealSize_key</formula1>
    </dataValidation>
    <dataValidation type="list" allowBlank="1" showInputMessage="1" showErrorMessage="1" sqref="E22" xr:uid="{00000000-0002-0000-1D00-000001000000}">
      <formula1>"No, Yes"</formula1>
    </dataValidation>
    <dataValidation type="list" allowBlank="1" showInputMessage="1" showErrorMessage="1" sqref="E23" xr:uid="{00000000-0002-0000-1D00-000002000000}">
      <formula1>"3,6,9,12"</formula1>
    </dataValidation>
  </dataValidations>
  <pageMargins left="0.7" right="0.7" top="0.75" bottom="0.75" header="0.3" footer="0.3"/>
  <pageSetup scale="53" fitToHeight="0" orientation="portrait" r:id="rId1"/>
  <headerFooter>
    <oddFooter>&amp;CAT&amp;&amp;T Proprietary (Internal Use Only)</oddFooter>
  </headerFooter>
  <rowBreaks count="1" manualBreakCount="1">
    <brk id="26"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624641" r:id="rId4" name="Button 1">
              <controlPr defaultSize="0" print="0" autoFill="0" autoPict="0" macro="[0]!Accelerator.hideUnhideRowsButton" altText="">
                <anchor>
                  <from>
                    <xdr:col>2</xdr:col>
                    <xdr:colOff>95250</xdr:colOff>
                    <xdr:row>0</xdr:row>
                    <xdr:rowOff>66675</xdr:rowOff>
                  </from>
                  <to>
                    <xdr:col>2</xdr:col>
                    <xdr:colOff>1152525</xdr:colOff>
                    <xdr:row>2</xdr:row>
                    <xdr:rowOff>57150</xdr:rowOff>
                  </to>
                </anchor>
              </controlPr>
            </control>
          </mc:Choice>
        </mc:AlternateContent>
        <mc:AlternateContent xmlns:mc="http://schemas.openxmlformats.org/markup-compatibility/2006">
          <mc:Choice Requires="x14">
            <control shapeId="624642" r:id="rId5" name="Button 2">
              <controlPr defaultSize="0" print="0" autoFill="0" autoPict="0" macro="[0]!splitScreenButton">
                <anchor>
                  <from>
                    <xdr:col>2</xdr:col>
                    <xdr:colOff>1457325</xdr:colOff>
                    <xdr:row>0</xdr:row>
                    <xdr:rowOff>85725</xdr:rowOff>
                  </from>
                  <to>
                    <xdr:col>3</xdr:col>
                    <xdr:colOff>600075</xdr:colOff>
                    <xdr:row>2</xdr:row>
                    <xdr:rowOff>57150</xdr:rowOff>
                  </to>
                </anchor>
              </controlPr>
            </control>
          </mc:Choice>
        </mc:AlternateContent>
        <mc:AlternateContent xmlns:mc="http://schemas.openxmlformats.org/markup-compatibility/2006">
          <mc:Choice Requires="x14">
            <control shapeId="624643" r:id="rId6" name="btn.reset">
              <controlPr defaultSize="0" autoFill="0" autoPict="0" macro="[0]!ThisWorkbook.reset">
                <anchor moveWithCells="1">
                  <from>
                    <xdr:col>20</xdr:col>
                    <xdr:colOff>142875</xdr:colOff>
                    <xdr:row>0</xdr:row>
                    <xdr:rowOff>38100</xdr:rowOff>
                  </from>
                  <to>
                    <xdr:col>20</xdr:col>
                    <xdr:colOff>1095375</xdr:colOff>
                    <xdr:row>2</xdr:row>
                    <xdr:rowOff>66675</xdr:rowOff>
                  </to>
                </anchor>
              </controlPr>
            </control>
          </mc:Choice>
        </mc:AlternateContent>
        <mc:AlternateContent xmlns:mc="http://schemas.openxmlformats.org/markup-compatibility/2006">
          <mc:Choice Requires="x14">
            <control shapeId="624838" r:id="rId7" name="Button 198">
              <controlPr defaultSize="0" autoFill="0" autoPict="0" macro="[0]!createAcceleratorOfferButton">
                <anchor moveWithCells="1">
                  <from>
                    <xdr:col>4</xdr:col>
                    <xdr:colOff>38100</xdr:colOff>
                    <xdr:row>0</xdr:row>
                    <xdr:rowOff>85725</xdr:rowOff>
                  </from>
                  <to>
                    <xdr:col>5</xdr:col>
                    <xdr:colOff>9525</xdr:colOff>
                    <xdr:row>2</xdr:row>
                    <xdr:rowOff>47625</xdr:rowOff>
                  </to>
                </anchor>
              </controlPr>
            </control>
          </mc:Choice>
        </mc:AlternateContent>
        <mc:AlternateContent xmlns:mc="http://schemas.openxmlformats.org/markup-compatibility/2006">
          <mc:Choice Requires="x14">
            <control shapeId="624839" r:id="rId8" name="Button 199">
              <controlPr defaultSize="0" autoFill="0" autoPict="0" macro="[0]!Accelerator.unlockForPricing">
                <anchor moveWithCells="1">
                  <from>
                    <xdr:col>21</xdr:col>
                    <xdr:colOff>123825</xdr:colOff>
                    <xdr:row>0</xdr:row>
                    <xdr:rowOff>57150</xdr:rowOff>
                  </from>
                  <to>
                    <xdr:col>21</xdr:col>
                    <xdr:colOff>1085850</xdr:colOff>
                    <xdr:row>2</xdr:row>
                    <xdr:rowOff>76200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AcceleratorAccess">
    <tabColor rgb="FFFFFF00"/>
  </sheetPr>
  <dimension ref="A6:C13"/>
  <sheetViews>
    <sheetView zoomScale="75" zoomScaleNormal="75" workbookViewId="0">
      <pane ySplit="13" topLeftCell="A14" activePane="bottomLeft" state="frozen"/>
      <selection activeCell="A48" sqref="A48"/>
      <selection pane="bottomLeft" activeCell="A29" sqref="A29"/>
    </sheetView>
  </sheetViews>
  <sheetFormatPr defaultColWidth="9.140625" defaultRowHeight="12.75"/>
  <cols>
    <col min="1" max="1" width="19.140625" style="1429" bestFit="1" customWidth="1"/>
    <col min="2" max="2" width="13" style="1429" customWidth="1"/>
    <col min="3" max="3" width="14" style="1429" bestFit="1" customWidth="1"/>
    <col min="4" max="16384" width="9.140625" style="1429"/>
  </cols>
  <sheetData>
    <row r="6" spans="1:3" ht="13.5" customHeight="1">
      <c r="B6" s="1430" t="s">
        <v>10741</v>
      </c>
      <c r="C6" s="1430" t="s">
        <v>10742</v>
      </c>
    </row>
    <row r="7" spans="1:3">
      <c r="A7" s="1431" t="s">
        <v>10743</v>
      </c>
      <c r="B7" s="1432">
        <f ca="1">IF(ISERR(COUNTIF(OFFSET(AcceleratorAccessList,0,1,,1),"IF")),0,COUNTIF(OFFSET(AcceleratorAccessList,0,1,,1),"IF"))</f>
        <v>0</v>
      </c>
      <c r="C7" s="1433">
        <f ca="1">IF(B$10,B7/B$10,0)</f>
        <v>0</v>
      </c>
    </row>
    <row r="8" spans="1:3" hidden="1">
      <c r="A8" s="1431" t="s">
        <v>10755</v>
      </c>
      <c r="B8" s="1432">
        <f ca="1">IF(ISERR(COUNTIF(OFFSET(AcceleratorAccessList,0,1,,1),"CL")),0,COUNTIF(OFFSET(AcceleratorAccessList,0,1,,1),"CL"))</f>
        <v>0</v>
      </c>
      <c r="C8" s="1433">
        <f t="shared" ref="C8" ca="1" si="0">IF(B$10,B8/B$10,0)</f>
        <v>0</v>
      </c>
    </row>
    <row r="9" spans="1:3">
      <c r="A9" s="1431" t="s">
        <v>10756</v>
      </c>
      <c r="B9" s="1432">
        <f ca="1">IF(ISERR(COUNTIF(OFFSET(AcceleratorAccessList,0,1,,1),"&lt;&gt;IF")),0,COUNTIF(OFFSET(AcceleratorAccessList,0,1,,1),"&lt;&gt;IF"))</f>
        <v>0</v>
      </c>
      <c r="C9" s="1433">
        <f ca="1">IF(B$10,B9/B$10,0)</f>
        <v>0</v>
      </c>
    </row>
    <row r="10" spans="1:3" ht="13.5" thickBot="1">
      <c r="A10" s="1431" t="s">
        <v>600</v>
      </c>
      <c r="B10" s="1434">
        <f ca="1">SUM(B7,B9)</f>
        <v>0</v>
      </c>
      <c r="C10" s="1435">
        <f t="shared" ref="C10" ca="1" si="1">IF(B$10,B10/B$10,0)</f>
        <v>0</v>
      </c>
    </row>
    <row r="11" spans="1:3" ht="13.5" thickTop="1"/>
    <row r="13" spans="1:3">
      <c r="A13" s="1436" t="s">
        <v>10744</v>
      </c>
      <c r="B13" s="1436" t="str">
        <f t="shared" ref="B13" si="2">IF(A13="","",IF(ISNA(VLOOKUP(A13,SWCCLLI_Lookup,2,FALSE)),"OOF",VLOOKUP(A13,SWCCLLI_Lookup,2,FALSE)))</f>
        <v>IF_OOF_CL</v>
      </c>
    </row>
  </sheetData>
  <sheetProtection password="F652" sheet="1" objects="1" scenarios="1"/>
  <conditionalFormatting sqref="C7">
    <cfRule type="expression" dxfId="1" priority="1">
      <formula>AND($B$10&lt;&gt;0,$C$7&gt;=0.4)</formula>
    </cfRule>
    <cfRule type="expression" dxfId="0" priority="2">
      <formula>AND($B$10&lt;&gt;0,$C$7&lt;0.4)</formula>
    </cfRule>
  </conditionalFormatting>
  <pageMargins left="0.7" right="0.7" top="0.75" bottom="0.75" header="0.3" footer="0.3"/>
  <pageSetup orientation="portrait" r:id="rId1"/>
  <headerFooter>
    <oddFooter>&amp;CAT&amp;&amp;T Proprietary (Internal Use Only)</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06209" r:id="rId4" name="Button 1">
              <controlPr defaultSize="0" autoFill="0" autoPict="0" macro="[0]!AcceleratorAddSites" altText="Do It">
                <anchor>
                  <from>
                    <xdr:col>0</xdr:col>
                    <xdr:colOff>371475</xdr:colOff>
                    <xdr:row>0</xdr:row>
                    <xdr:rowOff>104775</xdr:rowOff>
                  </from>
                  <to>
                    <xdr:col>1</xdr:col>
                    <xdr:colOff>219075</xdr:colOff>
                    <xdr:row>4</xdr:row>
                    <xdr:rowOff>0</xdr:rowOff>
                  </to>
                </anchor>
              </controlPr>
            </control>
          </mc:Choice>
        </mc:AlternateContent>
        <mc:AlternateContent xmlns:mc="http://schemas.openxmlformats.org/markup-compatibility/2006">
          <mc:Choice Requires="x14">
            <control shapeId="606210" r:id="rId5" name="Button 2">
              <controlPr defaultSize="0" autoFill="0" autoPict="0" macro="[0]!AcceleratorClearSites" altText="Do It">
                <anchor>
                  <from>
                    <xdr:col>1</xdr:col>
                    <xdr:colOff>609600</xdr:colOff>
                    <xdr:row>0</xdr:row>
                    <xdr:rowOff>104775</xdr:rowOff>
                  </from>
                  <to>
                    <xdr:col>2</xdr:col>
                    <xdr:colOff>876300</xdr:colOff>
                    <xdr:row>4</xdr:row>
                    <xdr:rowOff>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wsDebug2"/>
  <dimension ref="A1:E1437"/>
  <sheetViews>
    <sheetView workbookViewId="0"/>
  </sheetViews>
  <sheetFormatPr defaultRowHeight="12" customHeight="1"/>
  <cols>
    <col min="2" max="2" width="12.7109375" customWidth="1"/>
    <col min="3" max="3" width="13.140625" customWidth="1"/>
    <col min="4" max="4" width="34.85546875" customWidth="1"/>
    <col min="5" max="5" width="66.5703125" customWidth="1"/>
  </cols>
  <sheetData>
    <row r="1" spans="1:5" ht="12" customHeight="1">
      <c r="B1" s="1238"/>
      <c r="C1" s="1238"/>
      <c r="D1" s="1238"/>
    </row>
    <row r="2" spans="1:5" ht="12" customHeight="1">
      <c r="A2">
        <v>1</v>
      </c>
      <c r="B2" s="941" t="s">
        <v>11039</v>
      </c>
      <c r="C2" s="941" t="s">
        <v>11041</v>
      </c>
      <c r="D2" s="941" t="s">
        <v>11042</v>
      </c>
      <c r="E2" s="1055" t="s">
        <v>11043</v>
      </c>
    </row>
    <row r="3" spans="1:5" ht="12" customHeight="1">
      <c r="A3">
        <v>2</v>
      </c>
      <c r="B3" s="941" t="s">
        <v>11040</v>
      </c>
      <c r="C3" s="941" t="s">
        <v>11041</v>
      </c>
      <c r="D3" s="941" t="s">
        <v>11037</v>
      </c>
      <c r="E3" s="1055" t="s">
        <v>11038</v>
      </c>
    </row>
    <row r="4" spans="1:5" ht="12" customHeight="1">
      <c r="A4">
        <v>3</v>
      </c>
      <c r="B4" s="941" t="s">
        <v>11040</v>
      </c>
      <c r="C4" s="941" t="s">
        <v>11041</v>
      </c>
      <c r="D4" s="941" t="s">
        <v>11037</v>
      </c>
      <c r="E4" s="1055" t="s">
        <v>11038</v>
      </c>
    </row>
    <row r="5" spans="1:5" ht="12" customHeight="1">
      <c r="A5">
        <v>4</v>
      </c>
      <c r="B5" s="941" t="s">
        <v>11040</v>
      </c>
      <c r="C5" s="941" t="s">
        <v>11041</v>
      </c>
      <c r="D5" s="941" t="s">
        <v>11037</v>
      </c>
      <c r="E5" s="1055" t="s">
        <v>11038</v>
      </c>
    </row>
    <row r="6" spans="1:5" ht="12" customHeight="1">
      <c r="A6">
        <v>5</v>
      </c>
      <c r="B6" s="941" t="s">
        <v>11040</v>
      </c>
      <c r="C6" s="941" t="s">
        <v>11041</v>
      </c>
      <c r="D6" s="941" t="s">
        <v>11037</v>
      </c>
      <c r="E6" s="1055" t="s">
        <v>11038</v>
      </c>
    </row>
    <row r="7" spans="1:5" ht="12" customHeight="1">
      <c r="A7">
        <v>6</v>
      </c>
      <c r="B7" s="941" t="s">
        <v>11040</v>
      </c>
      <c r="C7" s="941" t="s">
        <v>11041</v>
      </c>
      <c r="D7" s="941" t="s">
        <v>11037</v>
      </c>
      <c r="E7" s="1055" t="s">
        <v>11038</v>
      </c>
    </row>
    <row r="8" spans="1:5" ht="12" customHeight="1">
      <c r="A8">
        <v>7</v>
      </c>
      <c r="B8" s="941" t="s">
        <v>11040</v>
      </c>
      <c r="C8" s="941" t="s">
        <v>11041</v>
      </c>
      <c r="D8" s="941" t="s">
        <v>11037</v>
      </c>
      <c r="E8" s="1055" t="s">
        <v>11038</v>
      </c>
    </row>
    <row r="9" spans="1:5" ht="12" customHeight="1">
      <c r="A9">
        <v>8</v>
      </c>
      <c r="B9" s="941" t="s">
        <v>11040</v>
      </c>
      <c r="C9" s="941" t="s">
        <v>11041</v>
      </c>
      <c r="D9" s="941" t="s">
        <v>11037</v>
      </c>
      <c r="E9" s="1055" t="s">
        <v>11038</v>
      </c>
    </row>
    <row r="10" spans="1:5" ht="12" customHeight="1">
      <c r="A10">
        <v>9</v>
      </c>
      <c r="B10" s="941" t="s">
        <v>11040</v>
      </c>
      <c r="C10" s="941" t="s">
        <v>11041</v>
      </c>
      <c r="D10" s="941" t="s">
        <v>11037</v>
      </c>
      <c r="E10" s="1055" t="s">
        <v>11038</v>
      </c>
    </row>
    <row r="11" spans="1:5" ht="12" customHeight="1">
      <c r="A11">
        <v>10</v>
      </c>
      <c r="B11" s="941" t="s">
        <v>11040</v>
      </c>
      <c r="C11" s="941" t="s">
        <v>11041</v>
      </c>
      <c r="D11" s="941" t="s">
        <v>11037</v>
      </c>
      <c r="E11" s="1055" t="s">
        <v>11038</v>
      </c>
    </row>
    <row r="12" spans="1:5" ht="12" customHeight="1">
      <c r="A12">
        <v>11</v>
      </c>
      <c r="B12" s="941" t="s">
        <v>11040</v>
      </c>
      <c r="C12" s="941" t="s">
        <v>11041</v>
      </c>
      <c r="D12" s="941" t="s">
        <v>11037</v>
      </c>
      <c r="E12" s="1055" t="s">
        <v>11038</v>
      </c>
    </row>
    <row r="13" spans="1:5" ht="12" customHeight="1">
      <c r="A13">
        <v>12</v>
      </c>
      <c r="B13" s="941" t="s">
        <v>11040</v>
      </c>
      <c r="C13" s="941" t="s">
        <v>11041</v>
      </c>
      <c r="D13" s="941" t="s">
        <v>11037</v>
      </c>
      <c r="E13" s="1055" t="s">
        <v>11038</v>
      </c>
    </row>
    <row r="14" spans="1:5" ht="12" customHeight="1">
      <c r="A14">
        <v>13</v>
      </c>
      <c r="B14" s="941" t="s">
        <v>11040</v>
      </c>
      <c r="C14" s="941" t="s">
        <v>11041</v>
      </c>
      <c r="D14" s="941" t="s">
        <v>11037</v>
      </c>
      <c r="E14" s="1055" t="s">
        <v>11038</v>
      </c>
    </row>
    <row r="15" spans="1:5" ht="12" customHeight="1">
      <c r="A15">
        <v>14</v>
      </c>
      <c r="B15" s="941" t="s">
        <v>11040</v>
      </c>
      <c r="C15" s="941" t="s">
        <v>11041</v>
      </c>
      <c r="D15" s="941" t="s">
        <v>11037</v>
      </c>
      <c r="E15" s="1055" t="s">
        <v>11038</v>
      </c>
    </row>
    <row r="16" spans="1:5" ht="12" customHeight="1">
      <c r="A16">
        <v>15</v>
      </c>
      <c r="B16" s="941" t="s">
        <v>11040</v>
      </c>
      <c r="C16" s="941" t="s">
        <v>11041</v>
      </c>
      <c r="D16" s="941" t="s">
        <v>11037</v>
      </c>
      <c r="E16" s="1055" t="s">
        <v>11038</v>
      </c>
    </row>
    <row r="17" spans="1:5" ht="12" customHeight="1">
      <c r="A17">
        <v>16</v>
      </c>
      <c r="B17" s="941" t="s">
        <v>11040</v>
      </c>
      <c r="C17" s="941" t="s">
        <v>11041</v>
      </c>
      <c r="D17" s="941" t="s">
        <v>11037</v>
      </c>
      <c r="E17" s="1055" t="s">
        <v>11038</v>
      </c>
    </row>
    <row r="18" spans="1:5" ht="12" customHeight="1">
      <c r="A18">
        <v>17</v>
      </c>
      <c r="B18" s="941" t="s">
        <v>11040</v>
      </c>
      <c r="C18" s="941" t="s">
        <v>11041</v>
      </c>
      <c r="D18" s="941" t="s">
        <v>11037</v>
      </c>
      <c r="E18" s="1055" t="s">
        <v>11038</v>
      </c>
    </row>
    <row r="19" spans="1:5" ht="12" customHeight="1">
      <c r="A19">
        <v>18</v>
      </c>
      <c r="B19" s="941" t="s">
        <v>11040</v>
      </c>
      <c r="C19" s="941" t="s">
        <v>11041</v>
      </c>
      <c r="D19" s="941" t="s">
        <v>11037</v>
      </c>
      <c r="E19" s="1055" t="s">
        <v>11038</v>
      </c>
    </row>
    <row r="20" spans="1:5" ht="12" customHeight="1">
      <c r="A20">
        <v>19</v>
      </c>
      <c r="B20" s="941" t="s">
        <v>11040</v>
      </c>
      <c r="C20" s="941" t="s">
        <v>11041</v>
      </c>
      <c r="D20" s="941" t="s">
        <v>11037</v>
      </c>
      <c r="E20" s="1055" t="s">
        <v>11038</v>
      </c>
    </row>
    <row r="21" spans="1:5" ht="12" customHeight="1">
      <c r="A21">
        <v>20</v>
      </c>
      <c r="B21" s="941" t="s">
        <v>11040</v>
      </c>
      <c r="C21" s="941" t="s">
        <v>11041</v>
      </c>
      <c r="D21" s="941" t="s">
        <v>11037</v>
      </c>
      <c r="E21" s="1055" t="s">
        <v>11038</v>
      </c>
    </row>
    <row r="22" spans="1:5" ht="12" customHeight="1">
      <c r="A22">
        <v>21</v>
      </c>
      <c r="B22" s="941" t="s">
        <v>11040</v>
      </c>
      <c r="C22" s="941" t="s">
        <v>11041</v>
      </c>
      <c r="D22" s="941" t="s">
        <v>11037</v>
      </c>
      <c r="E22" s="1055" t="s">
        <v>11038</v>
      </c>
    </row>
    <row r="23" spans="1:5" ht="12" customHeight="1">
      <c r="A23">
        <v>22</v>
      </c>
      <c r="B23" s="941" t="s">
        <v>11040</v>
      </c>
      <c r="C23" s="941" t="s">
        <v>11041</v>
      </c>
      <c r="D23" s="941" t="s">
        <v>11037</v>
      </c>
      <c r="E23" s="1055" t="s">
        <v>11038</v>
      </c>
    </row>
    <row r="24" spans="1:5" ht="12" customHeight="1">
      <c r="A24">
        <v>23</v>
      </c>
      <c r="B24" s="941" t="s">
        <v>11040</v>
      </c>
      <c r="C24" s="941" t="s">
        <v>11041</v>
      </c>
      <c r="D24" s="941" t="s">
        <v>11037</v>
      </c>
      <c r="E24" s="1055" t="s">
        <v>11038</v>
      </c>
    </row>
    <row r="25" spans="1:5" ht="12" customHeight="1">
      <c r="A25">
        <v>24</v>
      </c>
      <c r="B25" s="941" t="s">
        <v>11040</v>
      </c>
      <c r="C25" s="941" t="s">
        <v>11041</v>
      </c>
      <c r="D25" s="941" t="s">
        <v>11037</v>
      </c>
      <c r="E25" s="1055" t="s">
        <v>11038</v>
      </c>
    </row>
    <row r="26" spans="1:5" ht="12" customHeight="1">
      <c r="A26">
        <v>25</v>
      </c>
      <c r="B26" s="941" t="s">
        <v>11040</v>
      </c>
      <c r="C26" s="941" t="s">
        <v>11041</v>
      </c>
      <c r="D26" s="941" t="s">
        <v>11037</v>
      </c>
      <c r="E26" s="1055" t="s">
        <v>11038</v>
      </c>
    </row>
    <row r="27" spans="1:5" ht="12" customHeight="1">
      <c r="A27">
        <v>26</v>
      </c>
      <c r="B27" s="941" t="s">
        <v>11040</v>
      </c>
      <c r="C27" s="941" t="s">
        <v>11041</v>
      </c>
      <c r="D27" s="941" t="s">
        <v>11037</v>
      </c>
      <c r="E27" s="1055" t="s">
        <v>11038</v>
      </c>
    </row>
    <row r="28" spans="1:5" ht="12" customHeight="1">
      <c r="A28">
        <v>27</v>
      </c>
      <c r="B28" s="941" t="s">
        <v>11040</v>
      </c>
      <c r="C28" s="941" t="s">
        <v>11041</v>
      </c>
      <c r="D28" s="941" t="s">
        <v>11037</v>
      </c>
      <c r="E28" s="1055" t="s">
        <v>11038</v>
      </c>
    </row>
    <row r="29" spans="1:5" ht="12" customHeight="1">
      <c r="A29">
        <v>28</v>
      </c>
      <c r="B29" s="941" t="s">
        <v>11040</v>
      </c>
      <c r="C29" s="941" t="s">
        <v>11041</v>
      </c>
      <c r="D29" s="941" t="s">
        <v>11037</v>
      </c>
      <c r="E29" s="1055" t="s">
        <v>11038</v>
      </c>
    </row>
    <row r="30" spans="1:5" ht="12" customHeight="1">
      <c r="A30">
        <v>29</v>
      </c>
      <c r="B30" s="941" t="s">
        <v>11040</v>
      </c>
      <c r="C30" s="941" t="s">
        <v>11041</v>
      </c>
      <c r="D30" s="941" t="s">
        <v>11037</v>
      </c>
      <c r="E30" s="1055" t="s">
        <v>11038</v>
      </c>
    </row>
    <row r="31" spans="1:5" ht="12" customHeight="1">
      <c r="A31">
        <v>30</v>
      </c>
      <c r="B31" s="941" t="s">
        <v>11040</v>
      </c>
      <c r="C31" s="941" t="s">
        <v>11041</v>
      </c>
      <c r="D31" s="941" t="s">
        <v>11037</v>
      </c>
      <c r="E31" s="1055" t="s">
        <v>11038</v>
      </c>
    </row>
    <row r="32" spans="1:5" ht="12" customHeight="1">
      <c r="A32">
        <v>31</v>
      </c>
      <c r="B32" s="941" t="s">
        <v>11040</v>
      </c>
      <c r="C32" s="941" t="s">
        <v>11041</v>
      </c>
      <c r="D32" s="941" t="s">
        <v>11037</v>
      </c>
      <c r="E32" s="1055" t="s">
        <v>11038</v>
      </c>
    </row>
    <row r="33" spans="1:5" ht="12" customHeight="1">
      <c r="A33">
        <v>32</v>
      </c>
      <c r="B33" s="941" t="s">
        <v>11040</v>
      </c>
      <c r="C33" s="941" t="s">
        <v>11041</v>
      </c>
      <c r="D33" s="941" t="s">
        <v>11037</v>
      </c>
      <c r="E33" s="1055" t="s">
        <v>11038</v>
      </c>
    </row>
    <row r="34" spans="1:5" ht="12" customHeight="1">
      <c r="A34">
        <v>33</v>
      </c>
      <c r="B34" s="941" t="s">
        <v>11040</v>
      </c>
      <c r="C34" s="941" t="s">
        <v>11041</v>
      </c>
      <c r="D34" s="941" t="s">
        <v>11037</v>
      </c>
      <c r="E34" s="1055" t="s">
        <v>11038</v>
      </c>
    </row>
    <row r="35" spans="1:5" ht="12" customHeight="1">
      <c r="A35">
        <v>34</v>
      </c>
      <c r="B35" s="941" t="s">
        <v>11040</v>
      </c>
      <c r="C35" s="941" t="s">
        <v>11041</v>
      </c>
      <c r="D35" s="941" t="s">
        <v>11037</v>
      </c>
      <c r="E35" s="1055" t="s">
        <v>11038</v>
      </c>
    </row>
    <row r="36" spans="1:5" ht="12" customHeight="1">
      <c r="A36">
        <v>35</v>
      </c>
      <c r="B36" s="941" t="s">
        <v>11040</v>
      </c>
      <c r="C36" s="941" t="s">
        <v>11041</v>
      </c>
      <c r="D36" s="941" t="s">
        <v>11037</v>
      </c>
      <c r="E36" s="1055" t="s">
        <v>11038</v>
      </c>
    </row>
    <row r="37" spans="1:5" ht="12" customHeight="1">
      <c r="A37">
        <v>36</v>
      </c>
      <c r="B37" s="941" t="s">
        <v>11040</v>
      </c>
      <c r="C37" s="941" t="s">
        <v>11041</v>
      </c>
      <c r="D37" s="941" t="s">
        <v>11037</v>
      </c>
      <c r="E37" s="1055" t="s">
        <v>11038</v>
      </c>
    </row>
    <row r="38" spans="1:5" ht="12" customHeight="1">
      <c r="A38">
        <v>37</v>
      </c>
      <c r="B38" s="941" t="s">
        <v>11040</v>
      </c>
      <c r="C38" s="941" t="s">
        <v>11041</v>
      </c>
      <c r="D38" s="941" t="s">
        <v>11037</v>
      </c>
      <c r="E38" s="1055" t="s">
        <v>11038</v>
      </c>
    </row>
    <row r="39" spans="1:5" ht="12" customHeight="1">
      <c r="A39">
        <v>38</v>
      </c>
      <c r="B39" s="941" t="s">
        <v>11040</v>
      </c>
      <c r="C39" s="941" t="s">
        <v>11041</v>
      </c>
      <c r="D39" s="941" t="s">
        <v>11037</v>
      </c>
      <c r="E39" s="1055" t="s">
        <v>11038</v>
      </c>
    </row>
    <row r="40" spans="1:5" ht="12" customHeight="1">
      <c r="A40">
        <v>39</v>
      </c>
      <c r="B40" s="941" t="s">
        <v>11040</v>
      </c>
      <c r="C40" s="941" t="s">
        <v>11041</v>
      </c>
      <c r="D40" s="941" t="s">
        <v>11037</v>
      </c>
      <c r="E40" s="1055" t="s">
        <v>11038</v>
      </c>
    </row>
    <row r="41" spans="1:5" ht="12" customHeight="1">
      <c r="A41">
        <v>40</v>
      </c>
      <c r="B41" s="941" t="s">
        <v>11040</v>
      </c>
      <c r="C41" s="941" t="s">
        <v>11041</v>
      </c>
      <c r="D41" s="941" t="s">
        <v>11037</v>
      </c>
      <c r="E41" s="1055" t="s">
        <v>11038</v>
      </c>
    </row>
    <row r="42" spans="1:5" ht="12" customHeight="1">
      <c r="A42">
        <v>41</v>
      </c>
      <c r="B42" s="941" t="s">
        <v>11040</v>
      </c>
      <c r="C42" s="941" t="s">
        <v>11041</v>
      </c>
      <c r="D42" s="941" t="s">
        <v>11037</v>
      </c>
      <c r="E42" s="1055" t="s">
        <v>11038</v>
      </c>
    </row>
    <row r="43" spans="1:5" ht="12" customHeight="1">
      <c r="A43">
        <v>42</v>
      </c>
      <c r="B43" s="941" t="s">
        <v>11040</v>
      </c>
      <c r="C43" s="941" t="s">
        <v>11041</v>
      </c>
      <c r="D43" s="941" t="s">
        <v>11037</v>
      </c>
      <c r="E43" s="1055" t="s">
        <v>11038</v>
      </c>
    </row>
    <row r="44" spans="1:5" ht="12" customHeight="1">
      <c r="A44">
        <v>43</v>
      </c>
      <c r="B44" s="941" t="s">
        <v>11040</v>
      </c>
      <c r="C44" s="941" t="s">
        <v>11041</v>
      </c>
      <c r="D44" s="941" t="s">
        <v>11037</v>
      </c>
      <c r="E44" s="1055" t="s">
        <v>11038</v>
      </c>
    </row>
    <row r="45" spans="1:5" ht="12" customHeight="1">
      <c r="A45">
        <v>44</v>
      </c>
      <c r="B45" s="941" t="s">
        <v>11040</v>
      </c>
      <c r="C45" s="941" t="s">
        <v>11041</v>
      </c>
      <c r="D45" s="941" t="s">
        <v>11037</v>
      </c>
      <c r="E45" s="1055" t="s">
        <v>11038</v>
      </c>
    </row>
    <row r="46" spans="1:5" ht="12" customHeight="1">
      <c r="A46">
        <v>45</v>
      </c>
      <c r="B46" s="941" t="s">
        <v>11040</v>
      </c>
      <c r="C46" s="941" t="s">
        <v>11041</v>
      </c>
      <c r="D46" s="941" t="s">
        <v>11037</v>
      </c>
      <c r="E46" s="1055" t="s">
        <v>11038</v>
      </c>
    </row>
    <row r="47" spans="1:5" ht="12" customHeight="1">
      <c r="A47">
        <v>46</v>
      </c>
      <c r="B47" s="941" t="s">
        <v>11040</v>
      </c>
      <c r="C47" s="941" t="s">
        <v>11041</v>
      </c>
      <c r="D47" s="941" t="s">
        <v>11037</v>
      </c>
      <c r="E47" s="1055" t="s">
        <v>11038</v>
      </c>
    </row>
    <row r="48" spans="1:5" ht="12" customHeight="1">
      <c r="A48">
        <v>47</v>
      </c>
      <c r="B48" s="941" t="s">
        <v>11040</v>
      </c>
      <c r="C48" s="941" t="s">
        <v>11041</v>
      </c>
      <c r="D48" s="941" t="s">
        <v>11037</v>
      </c>
      <c r="E48" s="1055" t="s">
        <v>11038</v>
      </c>
    </row>
    <row r="49" spans="1:5" ht="12" customHeight="1">
      <c r="A49">
        <v>48</v>
      </c>
      <c r="B49" s="941" t="s">
        <v>11040</v>
      </c>
      <c r="C49" s="941" t="s">
        <v>11041</v>
      </c>
      <c r="D49" s="941" t="s">
        <v>11037</v>
      </c>
      <c r="E49" s="1055" t="s">
        <v>11038</v>
      </c>
    </row>
    <row r="50" spans="1:5" ht="12" customHeight="1">
      <c r="A50">
        <v>49</v>
      </c>
      <c r="B50" s="941" t="s">
        <v>11040</v>
      </c>
      <c r="C50" s="941" t="s">
        <v>11041</v>
      </c>
      <c r="D50" s="941" t="s">
        <v>11037</v>
      </c>
      <c r="E50" s="1055" t="s">
        <v>11038</v>
      </c>
    </row>
    <row r="51" spans="1:5" ht="12" customHeight="1">
      <c r="A51">
        <v>50</v>
      </c>
      <c r="B51" s="941" t="s">
        <v>11040</v>
      </c>
      <c r="C51" s="941" t="s">
        <v>11041</v>
      </c>
      <c r="D51" s="941" t="s">
        <v>11037</v>
      </c>
      <c r="E51" s="1055" t="s">
        <v>11038</v>
      </c>
    </row>
    <row r="52" spans="1:5" ht="12" customHeight="1">
      <c r="A52">
        <v>51</v>
      </c>
      <c r="B52" s="941" t="s">
        <v>11040</v>
      </c>
      <c r="C52" s="941" t="s">
        <v>11041</v>
      </c>
      <c r="D52" s="941" t="s">
        <v>11037</v>
      </c>
      <c r="E52" s="1055" t="s">
        <v>11038</v>
      </c>
    </row>
    <row r="53" spans="1:5" ht="12" customHeight="1">
      <c r="A53">
        <v>52</v>
      </c>
      <c r="B53" s="941" t="s">
        <v>11040</v>
      </c>
      <c r="C53" s="941" t="s">
        <v>11041</v>
      </c>
      <c r="D53" s="941" t="s">
        <v>11037</v>
      </c>
      <c r="E53" s="1055" t="s">
        <v>11038</v>
      </c>
    </row>
    <row r="54" spans="1:5" ht="12" customHeight="1">
      <c r="A54">
        <v>53</v>
      </c>
      <c r="B54" s="941" t="s">
        <v>11040</v>
      </c>
      <c r="C54" s="941" t="s">
        <v>11041</v>
      </c>
      <c r="D54" s="941" t="s">
        <v>11037</v>
      </c>
      <c r="E54" s="1055" t="s">
        <v>11038</v>
      </c>
    </row>
    <row r="55" spans="1:5" ht="12" customHeight="1">
      <c r="A55">
        <v>54</v>
      </c>
      <c r="B55" s="941" t="s">
        <v>11040</v>
      </c>
      <c r="C55" s="941" t="s">
        <v>11041</v>
      </c>
      <c r="D55" s="941" t="s">
        <v>11037</v>
      </c>
      <c r="E55" s="1055" t="s">
        <v>11038</v>
      </c>
    </row>
    <row r="56" spans="1:5" ht="12" customHeight="1">
      <c r="A56">
        <v>55</v>
      </c>
      <c r="B56" s="941" t="s">
        <v>11040</v>
      </c>
      <c r="C56" s="941" t="s">
        <v>11041</v>
      </c>
      <c r="D56" s="941" t="s">
        <v>11037</v>
      </c>
      <c r="E56" s="1055" t="s">
        <v>11038</v>
      </c>
    </row>
    <row r="57" spans="1:5" ht="12" customHeight="1">
      <c r="A57">
        <v>56</v>
      </c>
      <c r="B57" s="941" t="s">
        <v>11040</v>
      </c>
      <c r="C57" s="941" t="s">
        <v>11041</v>
      </c>
      <c r="D57" s="941" t="s">
        <v>11037</v>
      </c>
      <c r="E57" s="1055" t="s">
        <v>11038</v>
      </c>
    </row>
    <row r="58" spans="1:5" ht="12" customHeight="1">
      <c r="A58">
        <v>57</v>
      </c>
      <c r="B58" s="941" t="s">
        <v>11040</v>
      </c>
      <c r="C58" s="941" t="s">
        <v>11041</v>
      </c>
      <c r="D58" s="941" t="s">
        <v>11037</v>
      </c>
      <c r="E58" s="1055" t="s">
        <v>11038</v>
      </c>
    </row>
    <row r="59" spans="1:5" ht="12" customHeight="1">
      <c r="A59">
        <v>58</v>
      </c>
      <c r="B59" s="941" t="s">
        <v>11040</v>
      </c>
      <c r="C59" s="941" t="s">
        <v>11041</v>
      </c>
      <c r="D59" s="941" t="s">
        <v>11037</v>
      </c>
      <c r="E59" s="1055" t="s">
        <v>11038</v>
      </c>
    </row>
    <row r="60" spans="1:5" ht="12" customHeight="1">
      <c r="A60">
        <v>59</v>
      </c>
      <c r="B60" s="941" t="s">
        <v>11040</v>
      </c>
      <c r="C60" s="941" t="s">
        <v>11041</v>
      </c>
      <c r="D60" s="941" t="s">
        <v>11037</v>
      </c>
      <c r="E60" s="1055" t="s">
        <v>11038</v>
      </c>
    </row>
    <row r="61" spans="1:5" ht="12" customHeight="1">
      <c r="A61">
        <v>60</v>
      </c>
      <c r="B61" s="941" t="s">
        <v>11040</v>
      </c>
      <c r="C61" s="941" t="s">
        <v>11041</v>
      </c>
      <c r="D61" s="941" t="s">
        <v>11037</v>
      </c>
      <c r="E61" s="1055" t="s">
        <v>11038</v>
      </c>
    </row>
    <row r="62" spans="1:5" ht="12" customHeight="1">
      <c r="A62">
        <v>61</v>
      </c>
      <c r="B62" s="941" t="s">
        <v>11040</v>
      </c>
      <c r="C62" s="941" t="s">
        <v>11041</v>
      </c>
      <c r="D62" s="941" t="s">
        <v>11037</v>
      </c>
      <c r="E62" s="1055" t="s">
        <v>11038</v>
      </c>
    </row>
    <row r="63" spans="1:5" ht="12" customHeight="1">
      <c r="A63">
        <v>62</v>
      </c>
      <c r="B63" s="941" t="s">
        <v>11040</v>
      </c>
      <c r="C63" s="941" t="s">
        <v>11041</v>
      </c>
      <c r="D63" s="941" t="s">
        <v>11037</v>
      </c>
      <c r="E63" s="1055" t="s">
        <v>11038</v>
      </c>
    </row>
    <row r="64" spans="1:5" ht="12" customHeight="1">
      <c r="A64">
        <v>63</v>
      </c>
      <c r="B64" s="941" t="s">
        <v>11040</v>
      </c>
      <c r="C64" s="941" t="s">
        <v>11041</v>
      </c>
      <c r="D64" s="941" t="s">
        <v>11037</v>
      </c>
      <c r="E64" s="1055" t="s">
        <v>11038</v>
      </c>
    </row>
    <row r="65" spans="1:5" ht="12" customHeight="1">
      <c r="A65">
        <v>64</v>
      </c>
      <c r="B65" s="941" t="s">
        <v>11040</v>
      </c>
      <c r="C65" s="941" t="s">
        <v>11041</v>
      </c>
      <c r="D65" s="941" t="s">
        <v>11037</v>
      </c>
      <c r="E65" s="1055" t="s">
        <v>11038</v>
      </c>
    </row>
    <row r="66" spans="1:5" ht="12" customHeight="1">
      <c r="A66">
        <v>65</v>
      </c>
      <c r="B66" s="941" t="s">
        <v>11040</v>
      </c>
      <c r="C66" s="941" t="s">
        <v>11041</v>
      </c>
      <c r="D66" s="941" t="s">
        <v>11037</v>
      </c>
      <c r="E66" s="1055" t="s">
        <v>11038</v>
      </c>
    </row>
    <row r="67" spans="1:5" ht="12" customHeight="1">
      <c r="A67">
        <v>66</v>
      </c>
      <c r="B67" s="941" t="s">
        <v>11040</v>
      </c>
      <c r="C67" s="941" t="s">
        <v>11041</v>
      </c>
      <c r="D67" s="941" t="s">
        <v>11037</v>
      </c>
      <c r="E67" s="1055" t="s">
        <v>11038</v>
      </c>
    </row>
    <row r="68" spans="1:5" ht="12" customHeight="1">
      <c r="A68">
        <v>67</v>
      </c>
      <c r="B68" s="941" t="s">
        <v>11040</v>
      </c>
      <c r="C68" s="941" t="s">
        <v>11041</v>
      </c>
      <c r="D68" s="941" t="s">
        <v>11037</v>
      </c>
      <c r="E68" s="1055" t="s">
        <v>11038</v>
      </c>
    </row>
    <row r="69" spans="1:5" ht="12" customHeight="1">
      <c r="A69">
        <v>68</v>
      </c>
      <c r="B69" s="941" t="s">
        <v>11040</v>
      </c>
      <c r="C69" s="941" t="s">
        <v>11041</v>
      </c>
      <c r="D69" s="941" t="s">
        <v>11037</v>
      </c>
      <c r="E69" s="1055" t="s">
        <v>11038</v>
      </c>
    </row>
    <row r="70" spans="1:5" ht="12" customHeight="1">
      <c r="A70">
        <v>69</v>
      </c>
      <c r="B70" s="941" t="s">
        <v>11040</v>
      </c>
      <c r="C70" s="941" t="s">
        <v>11041</v>
      </c>
      <c r="D70" s="941" t="s">
        <v>11037</v>
      </c>
      <c r="E70" s="1055" t="s">
        <v>11038</v>
      </c>
    </row>
    <row r="71" spans="1:5" ht="12" customHeight="1">
      <c r="A71">
        <v>70</v>
      </c>
      <c r="B71" s="941" t="s">
        <v>11040</v>
      </c>
      <c r="C71" s="941" t="s">
        <v>11041</v>
      </c>
      <c r="D71" s="941" t="s">
        <v>11037</v>
      </c>
      <c r="E71" s="1055" t="s">
        <v>11038</v>
      </c>
    </row>
    <row r="72" spans="1:5" ht="12" customHeight="1">
      <c r="A72">
        <v>71</v>
      </c>
      <c r="B72" s="941" t="s">
        <v>11040</v>
      </c>
      <c r="C72" s="941" t="s">
        <v>11041</v>
      </c>
      <c r="D72" s="941" t="s">
        <v>11037</v>
      </c>
      <c r="E72" s="1055" t="s">
        <v>11038</v>
      </c>
    </row>
    <row r="73" spans="1:5" ht="12" customHeight="1">
      <c r="A73">
        <v>72</v>
      </c>
      <c r="B73" s="941" t="s">
        <v>11040</v>
      </c>
      <c r="C73" s="941" t="s">
        <v>11041</v>
      </c>
      <c r="D73" s="941" t="s">
        <v>11037</v>
      </c>
      <c r="E73" s="1055" t="s">
        <v>11038</v>
      </c>
    </row>
    <row r="74" spans="1:5" ht="12" customHeight="1">
      <c r="A74">
        <v>73</v>
      </c>
      <c r="B74" s="941" t="s">
        <v>11040</v>
      </c>
      <c r="C74" s="941" t="s">
        <v>11041</v>
      </c>
      <c r="D74" s="941" t="s">
        <v>11037</v>
      </c>
      <c r="E74" s="1055" t="s">
        <v>11038</v>
      </c>
    </row>
    <row r="75" spans="1:5" ht="12" customHeight="1">
      <c r="A75">
        <v>74</v>
      </c>
      <c r="B75" s="941" t="s">
        <v>11040</v>
      </c>
      <c r="C75" s="941" t="s">
        <v>11041</v>
      </c>
      <c r="D75" s="941" t="s">
        <v>11037</v>
      </c>
      <c r="E75" s="1055" t="s">
        <v>11038</v>
      </c>
    </row>
    <row r="76" spans="1:5" ht="12" customHeight="1">
      <c r="A76">
        <v>75</v>
      </c>
      <c r="B76" s="941" t="s">
        <v>11040</v>
      </c>
      <c r="C76" s="941" t="s">
        <v>11041</v>
      </c>
      <c r="D76" s="941" t="s">
        <v>11037</v>
      </c>
      <c r="E76" s="1055" t="s">
        <v>11038</v>
      </c>
    </row>
    <row r="77" spans="1:5" ht="12" customHeight="1">
      <c r="A77">
        <v>76</v>
      </c>
      <c r="B77" s="941" t="s">
        <v>11040</v>
      </c>
      <c r="C77" s="941" t="s">
        <v>11041</v>
      </c>
      <c r="D77" s="941" t="s">
        <v>11037</v>
      </c>
      <c r="E77" s="1055" t="s">
        <v>11038</v>
      </c>
    </row>
    <row r="78" spans="1:5" ht="12" customHeight="1">
      <c r="A78">
        <v>77</v>
      </c>
      <c r="B78" s="941" t="s">
        <v>11040</v>
      </c>
      <c r="C78" s="941" t="s">
        <v>11041</v>
      </c>
      <c r="D78" s="941" t="s">
        <v>11037</v>
      </c>
      <c r="E78" s="1055" t="s">
        <v>11038</v>
      </c>
    </row>
    <row r="79" spans="1:5" ht="12" customHeight="1">
      <c r="A79">
        <v>78</v>
      </c>
      <c r="B79" s="941" t="s">
        <v>11040</v>
      </c>
      <c r="C79" s="941" t="s">
        <v>11041</v>
      </c>
      <c r="D79" s="941" t="s">
        <v>11037</v>
      </c>
      <c r="E79" s="1055" t="s">
        <v>11038</v>
      </c>
    </row>
    <row r="80" spans="1:5" ht="12" customHeight="1">
      <c r="A80">
        <v>79</v>
      </c>
      <c r="B80" s="941" t="s">
        <v>11040</v>
      </c>
      <c r="C80" s="941" t="s">
        <v>11041</v>
      </c>
      <c r="D80" s="941" t="s">
        <v>11037</v>
      </c>
      <c r="E80" s="1055" t="s">
        <v>11038</v>
      </c>
    </row>
    <row r="81" spans="1:5" ht="12" customHeight="1">
      <c r="A81">
        <v>80</v>
      </c>
      <c r="B81" s="941" t="s">
        <v>11040</v>
      </c>
      <c r="C81" s="941" t="s">
        <v>11041</v>
      </c>
      <c r="D81" s="941" t="s">
        <v>11037</v>
      </c>
      <c r="E81" s="1055" t="s">
        <v>11038</v>
      </c>
    </row>
    <row r="82" spans="1:5" ht="12" customHeight="1">
      <c r="A82">
        <v>81</v>
      </c>
      <c r="B82" s="941" t="s">
        <v>11040</v>
      </c>
      <c r="C82" s="941" t="s">
        <v>11041</v>
      </c>
      <c r="D82" s="941" t="s">
        <v>11037</v>
      </c>
      <c r="E82" s="1055" t="s">
        <v>11038</v>
      </c>
    </row>
    <row r="83" spans="1:5" ht="12" customHeight="1">
      <c r="A83">
        <v>82</v>
      </c>
      <c r="B83" s="941" t="s">
        <v>11040</v>
      </c>
      <c r="C83" s="941" t="s">
        <v>11041</v>
      </c>
      <c r="D83" s="941" t="s">
        <v>11037</v>
      </c>
      <c r="E83" s="1055" t="s">
        <v>11038</v>
      </c>
    </row>
    <row r="84" spans="1:5" ht="12" customHeight="1">
      <c r="A84">
        <v>83</v>
      </c>
      <c r="B84" s="941" t="s">
        <v>11040</v>
      </c>
      <c r="C84" s="941" t="s">
        <v>11041</v>
      </c>
      <c r="D84" s="941" t="s">
        <v>11037</v>
      </c>
      <c r="E84" s="1055" t="s">
        <v>11038</v>
      </c>
    </row>
    <row r="85" spans="1:5" ht="12" customHeight="1">
      <c r="A85">
        <v>84</v>
      </c>
      <c r="B85" s="941" t="s">
        <v>11040</v>
      </c>
      <c r="C85" s="941" t="s">
        <v>11041</v>
      </c>
      <c r="D85" s="941" t="s">
        <v>11037</v>
      </c>
      <c r="E85" s="1055" t="s">
        <v>11038</v>
      </c>
    </row>
    <row r="86" spans="1:5" ht="12" customHeight="1">
      <c r="A86">
        <v>85</v>
      </c>
      <c r="B86" s="941" t="s">
        <v>11040</v>
      </c>
      <c r="C86" s="941" t="s">
        <v>11041</v>
      </c>
      <c r="D86" s="941" t="s">
        <v>11037</v>
      </c>
      <c r="E86" s="1055" t="s">
        <v>11038</v>
      </c>
    </row>
    <row r="87" spans="1:5" ht="12" customHeight="1">
      <c r="A87">
        <v>86</v>
      </c>
      <c r="B87" s="941" t="s">
        <v>11040</v>
      </c>
      <c r="C87" s="941" t="s">
        <v>11041</v>
      </c>
      <c r="D87" s="941" t="s">
        <v>11037</v>
      </c>
      <c r="E87" s="1055" t="s">
        <v>11038</v>
      </c>
    </row>
    <row r="88" spans="1:5" ht="12" customHeight="1">
      <c r="A88">
        <v>87</v>
      </c>
      <c r="B88" s="941" t="s">
        <v>11040</v>
      </c>
      <c r="C88" s="941" t="s">
        <v>11041</v>
      </c>
      <c r="D88" s="941" t="s">
        <v>11037</v>
      </c>
      <c r="E88" s="1055" t="s">
        <v>11038</v>
      </c>
    </row>
    <row r="89" spans="1:5" ht="12" customHeight="1">
      <c r="A89">
        <v>88</v>
      </c>
      <c r="B89" s="941" t="s">
        <v>11040</v>
      </c>
      <c r="C89" s="941" t="s">
        <v>11041</v>
      </c>
      <c r="D89" s="941" t="s">
        <v>11037</v>
      </c>
      <c r="E89" s="1055" t="s">
        <v>11038</v>
      </c>
    </row>
    <row r="90" spans="1:5" ht="12" customHeight="1">
      <c r="A90">
        <v>89</v>
      </c>
      <c r="B90" s="941" t="s">
        <v>11040</v>
      </c>
      <c r="C90" s="941" t="s">
        <v>11041</v>
      </c>
      <c r="D90" s="941" t="s">
        <v>11037</v>
      </c>
      <c r="E90" s="1055" t="s">
        <v>11038</v>
      </c>
    </row>
    <row r="91" spans="1:5" ht="12" customHeight="1">
      <c r="A91">
        <v>90</v>
      </c>
      <c r="B91" s="941" t="s">
        <v>11040</v>
      </c>
      <c r="C91" s="941" t="s">
        <v>11041</v>
      </c>
      <c r="D91" s="941" t="s">
        <v>11037</v>
      </c>
      <c r="E91" s="1055" t="s">
        <v>11038</v>
      </c>
    </row>
    <row r="92" spans="1:5" ht="12" customHeight="1">
      <c r="A92">
        <v>91</v>
      </c>
      <c r="B92" s="941" t="s">
        <v>11040</v>
      </c>
      <c r="C92" s="941" t="s">
        <v>11041</v>
      </c>
      <c r="D92" s="941" t="s">
        <v>11037</v>
      </c>
      <c r="E92" s="1055" t="s">
        <v>11038</v>
      </c>
    </row>
    <row r="93" spans="1:5" ht="12" customHeight="1">
      <c r="A93">
        <v>92</v>
      </c>
      <c r="B93" s="941" t="s">
        <v>11040</v>
      </c>
      <c r="C93" s="941" t="s">
        <v>11041</v>
      </c>
      <c r="D93" s="941" t="s">
        <v>11037</v>
      </c>
      <c r="E93" s="1055" t="s">
        <v>11038</v>
      </c>
    </row>
    <row r="94" spans="1:5" ht="12" customHeight="1">
      <c r="A94">
        <v>93</v>
      </c>
      <c r="B94" s="941" t="s">
        <v>11040</v>
      </c>
      <c r="C94" s="941" t="s">
        <v>11041</v>
      </c>
      <c r="D94" s="941" t="s">
        <v>11037</v>
      </c>
      <c r="E94" s="1055" t="s">
        <v>11038</v>
      </c>
    </row>
    <row r="95" spans="1:5" ht="12" customHeight="1">
      <c r="A95">
        <v>94</v>
      </c>
      <c r="B95" s="941" t="s">
        <v>11040</v>
      </c>
      <c r="C95" s="941" t="s">
        <v>11041</v>
      </c>
      <c r="D95" s="941" t="s">
        <v>11037</v>
      </c>
      <c r="E95" s="1055" t="s">
        <v>11038</v>
      </c>
    </row>
    <row r="96" spans="1:5" ht="12" customHeight="1">
      <c r="A96">
        <v>95</v>
      </c>
      <c r="B96" s="941" t="s">
        <v>11040</v>
      </c>
      <c r="C96" s="941" t="s">
        <v>11041</v>
      </c>
      <c r="D96" s="941" t="s">
        <v>11037</v>
      </c>
      <c r="E96" s="1055" t="s">
        <v>11038</v>
      </c>
    </row>
    <row r="97" spans="1:5" ht="12" customHeight="1">
      <c r="A97">
        <v>96</v>
      </c>
      <c r="B97" s="941" t="s">
        <v>11040</v>
      </c>
      <c r="C97" s="941" t="s">
        <v>11041</v>
      </c>
      <c r="D97" s="941" t="s">
        <v>11037</v>
      </c>
      <c r="E97" s="1055" t="s">
        <v>11038</v>
      </c>
    </row>
    <row r="98" spans="1:5" ht="12" customHeight="1">
      <c r="A98">
        <v>97</v>
      </c>
      <c r="B98" s="941" t="s">
        <v>11040</v>
      </c>
      <c r="C98" s="941" t="s">
        <v>11041</v>
      </c>
      <c r="D98" s="941" t="s">
        <v>11037</v>
      </c>
      <c r="E98" s="1055" t="s">
        <v>11038</v>
      </c>
    </row>
    <row r="99" spans="1:5" ht="12" customHeight="1">
      <c r="A99">
        <v>98</v>
      </c>
      <c r="B99" s="941" t="s">
        <v>11040</v>
      </c>
      <c r="C99" s="941" t="s">
        <v>11041</v>
      </c>
      <c r="D99" s="941" t="s">
        <v>11037</v>
      </c>
      <c r="E99" s="1055" t="s">
        <v>11038</v>
      </c>
    </row>
    <row r="100" spans="1:5" ht="12" customHeight="1">
      <c r="A100">
        <v>99</v>
      </c>
      <c r="B100" s="941" t="s">
        <v>11040</v>
      </c>
      <c r="C100" s="941" t="s">
        <v>11041</v>
      </c>
      <c r="D100" s="941" t="s">
        <v>11037</v>
      </c>
      <c r="E100" s="1055" t="s">
        <v>11038</v>
      </c>
    </row>
    <row r="101" spans="1:5" ht="12" customHeight="1">
      <c r="A101">
        <v>100</v>
      </c>
      <c r="B101" s="941" t="s">
        <v>11040</v>
      </c>
      <c r="C101" s="941" t="s">
        <v>11041</v>
      </c>
      <c r="D101" s="941" t="s">
        <v>11037</v>
      </c>
      <c r="E101" s="1055" t="s">
        <v>11038</v>
      </c>
    </row>
    <row r="102" spans="1:5" ht="12" customHeight="1">
      <c r="A102">
        <v>101</v>
      </c>
      <c r="B102" s="941" t="s">
        <v>11040</v>
      </c>
      <c r="C102" s="941" t="s">
        <v>11041</v>
      </c>
      <c r="D102" s="941" t="s">
        <v>11037</v>
      </c>
      <c r="E102" s="1055" t="s">
        <v>11038</v>
      </c>
    </row>
    <row r="103" spans="1:5" ht="12" customHeight="1">
      <c r="A103">
        <v>102</v>
      </c>
      <c r="B103" s="941" t="s">
        <v>11040</v>
      </c>
      <c r="C103" s="941" t="s">
        <v>11041</v>
      </c>
      <c r="D103" s="941" t="s">
        <v>11037</v>
      </c>
      <c r="E103" s="1055" t="s">
        <v>11038</v>
      </c>
    </row>
    <row r="104" spans="1:5" ht="12" customHeight="1">
      <c r="A104">
        <v>103</v>
      </c>
      <c r="B104" s="941" t="s">
        <v>11040</v>
      </c>
      <c r="C104" s="941" t="s">
        <v>11041</v>
      </c>
      <c r="D104" s="941" t="s">
        <v>11037</v>
      </c>
      <c r="E104" s="1055" t="s">
        <v>11038</v>
      </c>
    </row>
    <row r="105" spans="1:5" ht="12" customHeight="1">
      <c r="A105">
        <v>104</v>
      </c>
      <c r="B105" s="941" t="s">
        <v>11040</v>
      </c>
      <c r="C105" s="941" t="s">
        <v>11041</v>
      </c>
      <c r="D105" s="941" t="s">
        <v>11037</v>
      </c>
      <c r="E105" s="1055" t="s">
        <v>11038</v>
      </c>
    </row>
    <row r="106" spans="1:5" ht="12" customHeight="1">
      <c r="A106">
        <v>105</v>
      </c>
      <c r="B106" s="941" t="s">
        <v>11040</v>
      </c>
      <c r="C106" s="941" t="s">
        <v>11041</v>
      </c>
      <c r="D106" s="941" t="s">
        <v>11037</v>
      </c>
      <c r="E106" s="1055" t="s">
        <v>11038</v>
      </c>
    </row>
    <row r="107" spans="1:5" ht="12" customHeight="1">
      <c r="A107">
        <v>106</v>
      </c>
      <c r="B107" s="941" t="s">
        <v>11040</v>
      </c>
      <c r="C107" s="941" t="s">
        <v>11041</v>
      </c>
      <c r="D107" s="941" t="s">
        <v>11037</v>
      </c>
      <c r="E107" s="1055" t="s">
        <v>11038</v>
      </c>
    </row>
    <row r="108" spans="1:5" ht="12" customHeight="1">
      <c r="A108">
        <v>107</v>
      </c>
      <c r="B108" s="941" t="s">
        <v>11040</v>
      </c>
      <c r="C108" s="941" t="s">
        <v>11041</v>
      </c>
      <c r="D108" s="941" t="s">
        <v>11037</v>
      </c>
      <c r="E108" s="1055" t="s">
        <v>11038</v>
      </c>
    </row>
    <row r="109" spans="1:5" ht="12" customHeight="1">
      <c r="A109">
        <v>108</v>
      </c>
      <c r="B109" s="941" t="s">
        <v>11040</v>
      </c>
      <c r="C109" s="941" t="s">
        <v>11041</v>
      </c>
      <c r="D109" s="941" t="s">
        <v>11037</v>
      </c>
      <c r="E109" s="1055" t="s">
        <v>11038</v>
      </c>
    </row>
    <row r="110" spans="1:5" ht="12" customHeight="1">
      <c r="A110">
        <v>109</v>
      </c>
      <c r="B110" s="941" t="s">
        <v>11040</v>
      </c>
      <c r="C110" s="941" t="s">
        <v>11041</v>
      </c>
      <c r="D110" s="941" t="s">
        <v>11037</v>
      </c>
      <c r="E110" s="1055" t="s">
        <v>11038</v>
      </c>
    </row>
    <row r="111" spans="1:5" ht="12" customHeight="1">
      <c r="A111">
        <v>110</v>
      </c>
      <c r="B111" s="941" t="s">
        <v>11040</v>
      </c>
      <c r="C111" s="941" t="s">
        <v>11041</v>
      </c>
      <c r="D111" s="941" t="s">
        <v>11037</v>
      </c>
      <c r="E111" s="1055" t="s">
        <v>11038</v>
      </c>
    </row>
    <row r="112" spans="1:5" ht="12" customHeight="1">
      <c r="A112">
        <v>111</v>
      </c>
      <c r="B112" s="941" t="s">
        <v>11040</v>
      </c>
      <c r="C112" s="941" t="s">
        <v>11041</v>
      </c>
      <c r="D112" s="941" t="s">
        <v>11037</v>
      </c>
      <c r="E112" s="1055" t="s">
        <v>11038</v>
      </c>
    </row>
    <row r="113" spans="1:5" ht="12" customHeight="1">
      <c r="A113">
        <v>112</v>
      </c>
      <c r="B113" s="941" t="s">
        <v>11040</v>
      </c>
      <c r="C113" s="941" t="s">
        <v>11041</v>
      </c>
      <c r="D113" s="941" t="s">
        <v>11037</v>
      </c>
      <c r="E113" s="1055" t="s">
        <v>11038</v>
      </c>
    </row>
    <row r="114" spans="1:5" ht="12" customHeight="1">
      <c r="A114">
        <v>113</v>
      </c>
      <c r="B114" s="941" t="s">
        <v>11040</v>
      </c>
      <c r="C114" s="941" t="s">
        <v>11041</v>
      </c>
      <c r="D114" s="941" t="s">
        <v>11037</v>
      </c>
      <c r="E114" s="1055" t="s">
        <v>11038</v>
      </c>
    </row>
    <row r="115" spans="1:5" ht="12" customHeight="1">
      <c r="A115">
        <v>114</v>
      </c>
      <c r="B115" s="941" t="s">
        <v>11040</v>
      </c>
      <c r="C115" s="941" t="s">
        <v>11041</v>
      </c>
      <c r="D115" s="941" t="s">
        <v>11037</v>
      </c>
      <c r="E115" s="1055" t="s">
        <v>11038</v>
      </c>
    </row>
    <row r="116" spans="1:5" ht="12" customHeight="1">
      <c r="A116">
        <v>115</v>
      </c>
      <c r="B116" s="941" t="s">
        <v>11040</v>
      </c>
      <c r="C116" s="941" t="s">
        <v>11041</v>
      </c>
      <c r="D116" s="941" t="s">
        <v>11037</v>
      </c>
      <c r="E116" s="1055" t="s">
        <v>11038</v>
      </c>
    </row>
    <row r="117" spans="1:5" ht="12" customHeight="1">
      <c r="A117">
        <v>116</v>
      </c>
      <c r="B117" s="941" t="s">
        <v>11040</v>
      </c>
      <c r="C117" s="941" t="s">
        <v>11041</v>
      </c>
      <c r="D117" s="941" t="s">
        <v>11037</v>
      </c>
      <c r="E117" s="1055" t="s">
        <v>11038</v>
      </c>
    </row>
    <row r="118" spans="1:5" ht="12" customHeight="1">
      <c r="A118">
        <v>117</v>
      </c>
      <c r="B118" s="941" t="s">
        <v>11040</v>
      </c>
      <c r="C118" s="941" t="s">
        <v>11041</v>
      </c>
      <c r="D118" s="941" t="s">
        <v>11037</v>
      </c>
      <c r="E118" s="1055" t="s">
        <v>11038</v>
      </c>
    </row>
    <row r="119" spans="1:5" ht="12" customHeight="1">
      <c r="A119">
        <v>118</v>
      </c>
      <c r="B119" s="941" t="s">
        <v>11040</v>
      </c>
      <c r="C119" s="941" t="s">
        <v>11041</v>
      </c>
      <c r="D119" s="941" t="s">
        <v>11037</v>
      </c>
      <c r="E119" s="1055" t="s">
        <v>11038</v>
      </c>
    </row>
    <row r="120" spans="1:5" ht="12" customHeight="1">
      <c r="A120">
        <v>119</v>
      </c>
      <c r="B120" s="941" t="s">
        <v>11040</v>
      </c>
      <c r="C120" s="941" t="s">
        <v>11041</v>
      </c>
      <c r="D120" s="941" t="s">
        <v>11037</v>
      </c>
      <c r="E120" s="1055" t="s">
        <v>11038</v>
      </c>
    </row>
    <row r="121" spans="1:5" ht="12" customHeight="1">
      <c r="A121">
        <v>120</v>
      </c>
      <c r="B121" s="941" t="s">
        <v>11040</v>
      </c>
      <c r="C121" s="941" t="s">
        <v>11041</v>
      </c>
      <c r="D121" s="941" t="s">
        <v>11037</v>
      </c>
      <c r="E121" s="1055" t="s">
        <v>11038</v>
      </c>
    </row>
    <row r="122" spans="1:5" ht="12" customHeight="1">
      <c r="A122">
        <v>121</v>
      </c>
      <c r="B122" s="941" t="s">
        <v>11040</v>
      </c>
      <c r="C122" s="941" t="s">
        <v>11041</v>
      </c>
      <c r="D122" s="941" t="s">
        <v>11037</v>
      </c>
      <c r="E122" s="1055" t="s">
        <v>11038</v>
      </c>
    </row>
    <row r="123" spans="1:5" ht="12" customHeight="1">
      <c r="A123">
        <v>122</v>
      </c>
      <c r="B123" s="941" t="s">
        <v>11040</v>
      </c>
      <c r="C123" s="941" t="s">
        <v>11041</v>
      </c>
      <c r="D123" s="941" t="s">
        <v>11037</v>
      </c>
      <c r="E123" s="1055" t="s">
        <v>11038</v>
      </c>
    </row>
    <row r="124" spans="1:5" ht="12" customHeight="1">
      <c r="A124">
        <v>123</v>
      </c>
      <c r="B124" s="941" t="s">
        <v>11040</v>
      </c>
      <c r="C124" s="941" t="s">
        <v>11041</v>
      </c>
      <c r="D124" s="941" t="s">
        <v>11037</v>
      </c>
      <c r="E124" s="1055" t="s">
        <v>11038</v>
      </c>
    </row>
    <row r="125" spans="1:5" ht="12" customHeight="1">
      <c r="A125">
        <v>124</v>
      </c>
      <c r="B125" s="941" t="s">
        <v>11040</v>
      </c>
      <c r="C125" s="941" t="s">
        <v>11041</v>
      </c>
      <c r="D125" s="941" t="s">
        <v>11037</v>
      </c>
      <c r="E125" s="1055" t="s">
        <v>11038</v>
      </c>
    </row>
    <row r="126" spans="1:5" ht="12" customHeight="1">
      <c r="A126">
        <v>125</v>
      </c>
      <c r="B126" s="941" t="s">
        <v>11040</v>
      </c>
      <c r="C126" s="941" t="s">
        <v>11041</v>
      </c>
      <c r="D126" s="941" t="s">
        <v>11037</v>
      </c>
      <c r="E126" s="1055" t="s">
        <v>11038</v>
      </c>
    </row>
    <row r="127" spans="1:5" ht="12" customHeight="1">
      <c r="A127">
        <v>126</v>
      </c>
      <c r="B127" s="941" t="s">
        <v>11040</v>
      </c>
      <c r="C127" s="941" t="s">
        <v>11041</v>
      </c>
      <c r="D127" s="941" t="s">
        <v>11037</v>
      </c>
      <c r="E127" s="1055" t="s">
        <v>11038</v>
      </c>
    </row>
    <row r="128" spans="1:5" ht="12" customHeight="1">
      <c r="A128">
        <v>127</v>
      </c>
      <c r="B128" s="941" t="s">
        <v>11040</v>
      </c>
      <c r="C128" s="941" t="s">
        <v>11041</v>
      </c>
      <c r="D128" s="941" t="s">
        <v>11037</v>
      </c>
      <c r="E128" s="1055" t="s">
        <v>11038</v>
      </c>
    </row>
    <row r="129" spans="1:5" ht="12" customHeight="1">
      <c r="A129">
        <v>128</v>
      </c>
      <c r="B129" s="941" t="s">
        <v>11040</v>
      </c>
      <c r="C129" s="941" t="s">
        <v>11041</v>
      </c>
      <c r="D129" s="941" t="s">
        <v>11037</v>
      </c>
      <c r="E129" s="1055" t="s">
        <v>11038</v>
      </c>
    </row>
    <row r="130" spans="1:5" ht="12" customHeight="1">
      <c r="A130">
        <v>129</v>
      </c>
      <c r="B130" s="941" t="s">
        <v>11040</v>
      </c>
      <c r="C130" s="941" t="s">
        <v>11041</v>
      </c>
      <c r="D130" s="941" t="s">
        <v>11037</v>
      </c>
      <c r="E130" s="1055" t="s">
        <v>11038</v>
      </c>
    </row>
    <row r="131" spans="1:5" ht="12" customHeight="1">
      <c r="A131">
        <v>130</v>
      </c>
      <c r="B131" s="941" t="s">
        <v>11040</v>
      </c>
      <c r="C131" s="941" t="s">
        <v>11041</v>
      </c>
      <c r="D131" s="941" t="s">
        <v>11037</v>
      </c>
      <c r="E131" s="1055" t="s">
        <v>11038</v>
      </c>
    </row>
    <row r="132" spans="1:5" ht="12" customHeight="1">
      <c r="A132">
        <v>131</v>
      </c>
      <c r="B132" s="941" t="s">
        <v>11040</v>
      </c>
      <c r="C132" s="941" t="s">
        <v>11041</v>
      </c>
      <c r="D132" s="941" t="s">
        <v>11037</v>
      </c>
      <c r="E132" s="1055" t="s">
        <v>11038</v>
      </c>
    </row>
    <row r="133" spans="1:5" ht="12" customHeight="1">
      <c r="A133">
        <v>132</v>
      </c>
      <c r="B133" s="941" t="s">
        <v>11040</v>
      </c>
      <c r="C133" s="941" t="s">
        <v>11041</v>
      </c>
      <c r="D133" s="941" t="s">
        <v>11037</v>
      </c>
      <c r="E133" s="1055" t="s">
        <v>11038</v>
      </c>
    </row>
    <row r="134" spans="1:5" ht="12" customHeight="1">
      <c r="A134">
        <v>133</v>
      </c>
      <c r="B134" s="941" t="s">
        <v>11040</v>
      </c>
      <c r="C134" s="941" t="s">
        <v>11041</v>
      </c>
      <c r="D134" s="941" t="s">
        <v>11037</v>
      </c>
      <c r="E134" s="1055" t="s">
        <v>11038</v>
      </c>
    </row>
    <row r="135" spans="1:5" ht="12" customHeight="1">
      <c r="A135">
        <v>134</v>
      </c>
      <c r="B135" s="941" t="s">
        <v>11040</v>
      </c>
      <c r="C135" s="941" t="s">
        <v>11041</v>
      </c>
      <c r="D135" s="941" t="s">
        <v>11037</v>
      </c>
      <c r="E135" s="1055" t="s">
        <v>11038</v>
      </c>
    </row>
    <row r="136" spans="1:5" ht="12" customHeight="1">
      <c r="A136">
        <v>135</v>
      </c>
      <c r="B136" s="941" t="s">
        <v>11040</v>
      </c>
      <c r="C136" s="941" t="s">
        <v>11041</v>
      </c>
      <c r="D136" s="941" t="s">
        <v>11037</v>
      </c>
      <c r="E136" s="1055" t="s">
        <v>11038</v>
      </c>
    </row>
    <row r="137" spans="1:5" ht="12" customHeight="1">
      <c r="A137">
        <v>136</v>
      </c>
      <c r="B137" s="941" t="s">
        <v>11040</v>
      </c>
      <c r="C137" s="941" t="s">
        <v>11041</v>
      </c>
      <c r="D137" s="941" t="s">
        <v>11037</v>
      </c>
      <c r="E137" s="1055" t="s">
        <v>11038</v>
      </c>
    </row>
    <row r="138" spans="1:5" ht="12" customHeight="1">
      <c r="A138">
        <v>137</v>
      </c>
      <c r="B138" s="941" t="s">
        <v>11040</v>
      </c>
      <c r="C138" s="941" t="s">
        <v>11041</v>
      </c>
      <c r="D138" s="941" t="s">
        <v>11037</v>
      </c>
      <c r="E138" s="1055" t="s">
        <v>11038</v>
      </c>
    </row>
    <row r="139" spans="1:5" ht="12" customHeight="1">
      <c r="A139">
        <v>138</v>
      </c>
      <c r="B139" s="941" t="s">
        <v>11040</v>
      </c>
      <c r="C139" s="941" t="s">
        <v>11041</v>
      </c>
      <c r="D139" s="941" t="s">
        <v>11037</v>
      </c>
      <c r="E139" s="1055" t="s">
        <v>11038</v>
      </c>
    </row>
    <row r="140" spans="1:5" ht="12" customHeight="1">
      <c r="A140">
        <v>139</v>
      </c>
      <c r="B140" s="941" t="s">
        <v>11040</v>
      </c>
      <c r="C140" s="941" t="s">
        <v>11041</v>
      </c>
      <c r="D140" s="941" t="s">
        <v>11037</v>
      </c>
      <c r="E140" s="1055" t="s">
        <v>11038</v>
      </c>
    </row>
    <row r="141" spans="1:5" ht="12" customHeight="1">
      <c r="A141">
        <v>140</v>
      </c>
      <c r="B141" s="941" t="s">
        <v>11040</v>
      </c>
      <c r="C141" s="941" t="s">
        <v>11041</v>
      </c>
      <c r="D141" s="941" t="s">
        <v>11037</v>
      </c>
      <c r="E141" s="1055" t="s">
        <v>11038</v>
      </c>
    </row>
    <row r="142" spans="1:5" ht="12" customHeight="1">
      <c r="A142">
        <v>141</v>
      </c>
      <c r="B142" s="941" t="s">
        <v>11040</v>
      </c>
      <c r="C142" s="941" t="s">
        <v>11041</v>
      </c>
      <c r="D142" s="941" t="s">
        <v>11037</v>
      </c>
      <c r="E142" s="1055" t="s">
        <v>11038</v>
      </c>
    </row>
    <row r="143" spans="1:5" ht="12" customHeight="1">
      <c r="A143">
        <v>142</v>
      </c>
      <c r="B143" s="941" t="s">
        <v>11040</v>
      </c>
      <c r="C143" s="941" t="s">
        <v>11041</v>
      </c>
      <c r="D143" s="941" t="s">
        <v>11037</v>
      </c>
      <c r="E143" s="1055" t="s">
        <v>11038</v>
      </c>
    </row>
    <row r="144" spans="1:5" ht="12" customHeight="1">
      <c r="A144">
        <v>143</v>
      </c>
      <c r="B144" s="941" t="s">
        <v>11040</v>
      </c>
      <c r="C144" s="941" t="s">
        <v>11041</v>
      </c>
      <c r="D144" s="941" t="s">
        <v>11037</v>
      </c>
      <c r="E144" s="1055" t="s">
        <v>11038</v>
      </c>
    </row>
    <row r="145" spans="1:5" ht="12" customHeight="1">
      <c r="A145">
        <v>144</v>
      </c>
      <c r="B145" s="941" t="s">
        <v>11040</v>
      </c>
      <c r="C145" s="941" t="s">
        <v>11041</v>
      </c>
      <c r="D145" s="941" t="s">
        <v>11037</v>
      </c>
      <c r="E145" s="1055" t="s">
        <v>11038</v>
      </c>
    </row>
    <row r="146" spans="1:5" ht="12" customHeight="1">
      <c r="A146">
        <v>145</v>
      </c>
      <c r="B146" s="941" t="s">
        <v>11040</v>
      </c>
      <c r="C146" s="941" t="s">
        <v>11041</v>
      </c>
      <c r="D146" s="941" t="s">
        <v>11037</v>
      </c>
      <c r="E146" s="1055" t="s">
        <v>11038</v>
      </c>
    </row>
    <row r="147" spans="1:5" ht="12" customHeight="1">
      <c r="A147">
        <v>146</v>
      </c>
      <c r="B147" s="941" t="s">
        <v>11040</v>
      </c>
      <c r="C147" s="941" t="s">
        <v>11041</v>
      </c>
      <c r="D147" s="941" t="s">
        <v>11037</v>
      </c>
      <c r="E147" s="1055" t="s">
        <v>11038</v>
      </c>
    </row>
    <row r="148" spans="1:5" ht="12" customHeight="1">
      <c r="A148">
        <v>147</v>
      </c>
      <c r="B148" s="941" t="s">
        <v>11040</v>
      </c>
      <c r="C148" s="941" t="s">
        <v>11041</v>
      </c>
      <c r="D148" s="941" t="s">
        <v>11037</v>
      </c>
      <c r="E148" s="1055" t="s">
        <v>11038</v>
      </c>
    </row>
    <row r="149" spans="1:5" ht="12" customHeight="1">
      <c r="A149">
        <v>148</v>
      </c>
      <c r="B149" s="941" t="s">
        <v>11040</v>
      </c>
      <c r="C149" s="941" t="s">
        <v>11041</v>
      </c>
      <c r="D149" s="941" t="s">
        <v>11037</v>
      </c>
      <c r="E149" s="1055" t="s">
        <v>11038</v>
      </c>
    </row>
    <row r="150" spans="1:5" ht="12" customHeight="1">
      <c r="A150">
        <v>149</v>
      </c>
      <c r="B150" s="941" t="s">
        <v>11040</v>
      </c>
      <c r="C150" s="941" t="s">
        <v>11041</v>
      </c>
      <c r="D150" s="941" t="s">
        <v>11037</v>
      </c>
      <c r="E150" s="1055" t="s">
        <v>11038</v>
      </c>
    </row>
    <row r="151" spans="1:5" ht="12" customHeight="1">
      <c r="A151">
        <v>150</v>
      </c>
      <c r="B151" s="941" t="s">
        <v>11040</v>
      </c>
      <c r="C151" s="941" t="s">
        <v>11041</v>
      </c>
      <c r="D151" s="941" t="s">
        <v>11037</v>
      </c>
      <c r="E151" s="1055" t="s">
        <v>11038</v>
      </c>
    </row>
    <row r="152" spans="1:5" ht="12" customHeight="1">
      <c r="A152">
        <v>151</v>
      </c>
      <c r="B152" s="941" t="s">
        <v>11040</v>
      </c>
      <c r="C152" s="941" t="s">
        <v>11041</v>
      </c>
      <c r="D152" s="941" t="s">
        <v>11037</v>
      </c>
      <c r="E152" s="1055" t="s">
        <v>11038</v>
      </c>
    </row>
    <row r="153" spans="1:5" ht="12" customHeight="1">
      <c r="A153">
        <v>152</v>
      </c>
      <c r="B153" s="941" t="s">
        <v>11040</v>
      </c>
      <c r="C153" s="941" t="s">
        <v>11041</v>
      </c>
      <c r="D153" s="941" t="s">
        <v>11037</v>
      </c>
      <c r="E153" s="1055" t="s">
        <v>11038</v>
      </c>
    </row>
    <row r="154" spans="1:5" ht="12" customHeight="1">
      <c r="A154">
        <v>153</v>
      </c>
      <c r="B154" s="941" t="s">
        <v>11040</v>
      </c>
      <c r="C154" s="941" t="s">
        <v>11041</v>
      </c>
      <c r="D154" s="941" t="s">
        <v>11037</v>
      </c>
      <c r="E154" s="1055" t="s">
        <v>11038</v>
      </c>
    </row>
    <row r="155" spans="1:5" ht="12" customHeight="1">
      <c r="A155">
        <v>154</v>
      </c>
      <c r="B155" s="941" t="s">
        <v>11040</v>
      </c>
      <c r="C155" s="941" t="s">
        <v>11041</v>
      </c>
      <c r="D155" s="941" t="s">
        <v>11037</v>
      </c>
      <c r="E155" s="1055" t="s">
        <v>11038</v>
      </c>
    </row>
    <row r="156" spans="1:5" ht="12" customHeight="1">
      <c r="A156">
        <v>155</v>
      </c>
      <c r="B156" s="941" t="s">
        <v>11040</v>
      </c>
      <c r="C156" s="941" t="s">
        <v>11041</v>
      </c>
      <c r="D156" s="941" t="s">
        <v>11037</v>
      </c>
      <c r="E156" s="1055" t="s">
        <v>11038</v>
      </c>
    </row>
    <row r="157" spans="1:5" ht="12" customHeight="1">
      <c r="A157">
        <v>156</v>
      </c>
      <c r="B157" s="941" t="s">
        <v>11040</v>
      </c>
      <c r="C157" s="941" t="s">
        <v>11041</v>
      </c>
      <c r="D157" s="941" t="s">
        <v>11037</v>
      </c>
      <c r="E157" s="1055" t="s">
        <v>11038</v>
      </c>
    </row>
    <row r="158" spans="1:5" ht="12" customHeight="1">
      <c r="A158">
        <v>157</v>
      </c>
      <c r="B158" s="941" t="s">
        <v>11040</v>
      </c>
      <c r="C158" s="941" t="s">
        <v>11041</v>
      </c>
      <c r="D158" s="941" t="s">
        <v>11037</v>
      </c>
      <c r="E158" s="1055" t="s">
        <v>11038</v>
      </c>
    </row>
    <row r="159" spans="1:5" ht="12" customHeight="1">
      <c r="A159">
        <v>158</v>
      </c>
      <c r="B159" s="941" t="s">
        <v>11040</v>
      </c>
      <c r="C159" s="941" t="s">
        <v>11041</v>
      </c>
      <c r="D159" s="941" t="s">
        <v>11037</v>
      </c>
      <c r="E159" s="1055" t="s">
        <v>11038</v>
      </c>
    </row>
    <row r="160" spans="1:5" ht="12" customHeight="1">
      <c r="A160">
        <v>159</v>
      </c>
      <c r="B160" s="941" t="s">
        <v>11040</v>
      </c>
      <c r="C160" s="941" t="s">
        <v>11041</v>
      </c>
      <c r="D160" s="941" t="s">
        <v>11037</v>
      </c>
      <c r="E160" s="1055" t="s">
        <v>11038</v>
      </c>
    </row>
    <row r="161" spans="1:5" ht="12" customHeight="1">
      <c r="A161">
        <v>160</v>
      </c>
      <c r="B161" s="941" t="s">
        <v>11040</v>
      </c>
      <c r="C161" s="941" t="s">
        <v>11041</v>
      </c>
      <c r="D161" s="941" t="s">
        <v>11037</v>
      </c>
      <c r="E161" s="1055" t="s">
        <v>11038</v>
      </c>
    </row>
    <row r="162" spans="1:5" ht="12" customHeight="1">
      <c r="A162">
        <v>161</v>
      </c>
      <c r="B162" s="941" t="s">
        <v>11040</v>
      </c>
      <c r="C162" s="941" t="s">
        <v>11041</v>
      </c>
      <c r="D162" s="941" t="s">
        <v>11037</v>
      </c>
      <c r="E162" s="1055" t="s">
        <v>11038</v>
      </c>
    </row>
    <row r="163" spans="1:5" ht="12" customHeight="1">
      <c r="A163">
        <v>162</v>
      </c>
      <c r="B163" s="941" t="s">
        <v>11040</v>
      </c>
      <c r="C163" s="941" t="s">
        <v>11041</v>
      </c>
      <c r="D163" s="941" t="s">
        <v>11037</v>
      </c>
      <c r="E163" s="1055" t="s">
        <v>11038</v>
      </c>
    </row>
    <row r="164" spans="1:5" ht="12" customHeight="1">
      <c r="A164">
        <v>163</v>
      </c>
      <c r="B164" s="941" t="s">
        <v>11040</v>
      </c>
      <c r="C164" s="941" t="s">
        <v>11041</v>
      </c>
      <c r="D164" s="941" t="s">
        <v>11037</v>
      </c>
      <c r="E164" s="1055" t="s">
        <v>11038</v>
      </c>
    </row>
    <row r="165" spans="1:5" ht="12" customHeight="1">
      <c r="A165">
        <v>164</v>
      </c>
      <c r="B165" s="941" t="s">
        <v>11040</v>
      </c>
      <c r="C165" s="941" t="s">
        <v>11041</v>
      </c>
      <c r="D165" s="941" t="s">
        <v>11037</v>
      </c>
      <c r="E165" s="1055" t="s">
        <v>11038</v>
      </c>
    </row>
    <row r="166" spans="1:5" ht="12" customHeight="1">
      <c r="A166">
        <v>165</v>
      </c>
      <c r="B166" s="941" t="s">
        <v>11040</v>
      </c>
      <c r="C166" s="941" t="s">
        <v>11041</v>
      </c>
      <c r="D166" s="941" t="s">
        <v>11037</v>
      </c>
      <c r="E166" s="1055" t="s">
        <v>11038</v>
      </c>
    </row>
    <row r="167" spans="1:5" ht="12" customHeight="1">
      <c r="A167">
        <v>166</v>
      </c>
      <c r="B167" s="941" t="s">
        <v>11040</v>
      </c>
      <c r="C167" s="941" t="s">
        <v>11041</v>
      </c>
      <c r="D167" s="941" t="s">
        <v>11037</v>
      </c>
      <c r="E167" s="1055" t="s">
        <v>11038</v>
      </c>
    </row>
    <row r="168" spans="1:5" ht="12" customHeight="1">
      <c r="A168">
        <v>167</v>
      </c>
      <c r="B168" s="941" t="s">
        <v>11040</v>
      </c>
      <c r="C168" s="941" t="s">
        <v>11041</v>
      </c>
      <c r="D168" s="941" t="s">
        <v>11037</v>
      </c>
      <c r="E168" s="1055" t="s">
        <v>11038</v>
      </c>
    </row>
    <row r="169" spans="1:5" ht="12" customHeight="1">
      <c r="A169">
        <v>168</v>
      </c>
      <c r="B169" s="941" t="s">
        <v>11040</v>
      </c>
      <c r="C169" s="941" t="s">
        <v>11041</v>
      </c>
      <c r="D169" s="941" t="s">
        <v>11037</v>
      </c>
      <c r="E169" s="1055" t="s">
        <v>11038</v>
      </c>
    </row>
    <row r="170" spans="1:5" ht="12" customHeight="1">
      <c r="A170">
        <v>169</v>
      </c>
      <c r="B170" s="941" t="s">
        <v>11040</v>
      </c>
      <c r="C170" s="941" t="s">
        <v>11041</v>
      </c>
      <c r="D170" s="941" t="s">
        <v>11037</v>
      </c>
      <c r="E170" s="1055" t="s">
        <v>11038</v>
      </c>
    </row>
    <row r="171" spans="1:5" ht="12" customHeight="1">
      <c r="A171">
        <v>170</v>
      </c>
      <c r="B171" s="941" t="s">
        <v>11040</v>
      </c>
      <c r="C171" s="941" t="s">
        <v>11041</v>
      </c>
      <c r="D171" s="941" t="s">
        <v>11037</v>
      </c>
      <c r="E171" s="1055" t="s">
        <v>11038</v>
      </c>
    </row>
    <row r="172" spans="1:5" ht="12" customHeight="1">
      <c r="A172">
        <v>171</v>
      </c>
      <c r="B172" s="941" t="s">
        <v>11040</v>
      </c>
      <c r="C172" s="941" t="s">
        <v>11041</v>
      </c>
      <c r="D172" s="941" t="s">
        <v>11037</v>
      </c>
      <c r="E172" s="1055" t="s">
        <v>11038</v>
      </c>
    </row>
    <row r="173" spans="1:5" ht="12" customHeight="1">
      <c r="A173">
        <v>172</v>
      </c>
      <c r="B173" s="941" t="s">
        <v>11040</v>
      </c>
      <c r="C173" s="941" t="s">
        <v>11041</v>
      </c>
      <c r="D173" s="941" t="s">
        <v>11037</v>
      </c>
      <c r="E173" s="1055" t="s">
        <v>11038</v>
      </c>
    </row>
    <row r="174" spans="1:5" ht="12" customHeight="1">
      <c r="A174">
        <v>173</v>
      </c>
      <c r="B174" s="941" t="s">
        <v>11040</v>
      </c>
      <c r="C174" s="941" t="s">
        <v>11041</v>
      </c>
      <c r="D174" s="941" t="s">
        <v>11037</v>
      </c>
      <c r="E174" s="1055" t="s">
        <v>11038</v>
      </c>
    </row>
    <row r="175" spans="1:5" ht="12" customHeight="1">
      <c r="A175">
        <v>174</v>
      </c>
      <c r="B175" s="941" t="s">
        <v>11040</v>
      </c>
      <c r="C175" s="941" t="s">
        <v>11041</v>
      </c>
      <c r="D175" s="941" t="s">
        <v>11037</v>
      </c>
      <c r="E175" s="1055" t="s">
        <v>11038</v>
      </c>
    </row>
    <row r="176" spans="1:5" ht="12" customHeight="1">
      <c r="A176">
        <v>175</v>
      </c>
      <c r="B176" s="941" t="s">
        <v>11040</v>
      </c>
      <c r="C176" s="941" t="s">
        <v>11041</v>
      </c>
      <c r="D176" s="941" t="s">
        <v>11037</v>
      </c>
      <c r="E176" s="1055" t="s">
        <v>11038</v>
      </c>
    </row>
    <row r="177" spans="1:5" ht="12" customHeight="1">
      <c r="A177">
        <v>176</v>
      </c>
      <c r="B177" s="941" t="s">
        <v>11040</v>
      </c>
      <c r="C177" s="941" t="s">
        <v>11041</v>
      </c>
      <c r="D177" s="941" t="s">
        <v>11037</v>
      </c>
      <c r="E177" s="1055" t="s">
        <v>11038</v>
      </c>
    </row>
    <row r="178" spans="1:5" ht="12" customHeight="1">
      <c r="A178">
        <v>177</v>
      </c>
      <c r="B178" s="941" t="s">
        <v>11040</v>
      </c>
      <c r="C178" s="941" t="s">
        <v>11041</v>
      </c>
      <c r="D178" s="941" t="s">
        <v>11037</v>
      </c>
      <c r="E178" s="1055" t="s">
        <v>11038</v>
      </c>
    </row>
    <row r="179" spans="1:5" ht="12" customHeight="1">
      <c r="A179">
        <v>178</v>
      </c>
      <c r="B179" s="941" t="s">
        <v>11040</v>
      </c>
      <c r="C179" s="941" t="s">
        <v>11041</v>
      </c>
      <c r="D179" s="941" t="s">
        <v>11037</v>
      </c>
      <c r="E179" s="1055" t="s">
        <v>11038</v>
      </c>
    </row>
    <row r="180" spans="1:5" ht="12" customHeight="1">
      <c r="A180">
        <v>179</v>
      </c>
      <c r="B180" s="941" t="s">
        <v>11040</v>
      </c>
      <c r="C180" s="941" t="s">
        <v>11041</v>
      </c>
      <c r="D180" s="941" t="s">
        <v>11037</v>
      </c>
      <c r="E180" s="1055" t="s">
        <v>11038</v>
      </c>
    </row>
    <row r="181" spans="1:5" ht="12" customHeight="1">
      <c r="A181">
        <v>180</v>
      </c>
      <c r="B181" s="941" t="s">
        <v>11040</v>
      </c>
      <c r="C181" s="941" t="s">
        <v>11041</v>
      </c>
      <c r="D181" s="941" t="s">
        <v>11037</v>
      </c>
      <c r="E181" s="1055" t="s">
        <v>11038</v>
      </c>
    </row>
    <row r="182" spans="1:5" ht="12" customHeight="1">
      <c r="A182">
        <v>181</v>
      </c>
      <c r="B182" s="941" t="s">
        <v>11040</v>
      </c>
      <c r="C182" s="941" t="s">
        <v>11041</v>
      </c>
      <c r="D182" s="941" t="s">
        <v>11037</v>
      </c>
      <c r="E182" s="1055" t="s">
        <v>11038</v>
      </c>
    </row>
    <row r="183" spans="1:5" ht="12" customHeight="1">
      <c r="A183">
        <v>182</v>
      </c>
      <c r="B183" s="941" t="s">
        <v>11040</v>
      </c>
      <c r="C183" s="941" t="s">
        <v>11041</v>
      </c>
      <c r="D183" s="941" t="s">
        <v>11037</v>
      </c>
      <c r="E183" s="1055" t="s">
        <v>11038</v>
      </c>
    </row>
    <row r="184" spans="1:5" ht="12" customHeight="1">
      <c r="A184">
        <v>183</v>
      </c>
      <c r="B184" s="941" t="s">
        <v>11040</v>
      </c>
      <c r="C184" s="941" t="s">
        <v>11041</v>
      </c>
      <c r="D184" s="941" t="s">
        <v>11037</v>
      </c>
      <c r="E184" s="1055" t="s">
        <v>11038</v>
      </c>
    </row>
    <row r="185" spans="1:5" ht="12" customHeight="1">
      <c r="A185">
        <v>184</v>
      </c>
      <c r="B185" s="941" t="s">
        <v>11040</v>
      </c>
      <c r="C185" s="941" t="s">
        <v>11041</v>
      </c>
      <c r="D185" s="941" t="s">
        <v>11037</v>
      </c>
      <c r="E185" s="1055" t="s">
        <v>11038</v>
      </c>
    </row>
    <row r="186" spans="1:5" ht="12" customHeight="1">
      <c r="A186">
        <v>185</v>
      </c>
      <c r="B186" s="941" t="s">
        <v>11040</v>
      </c>
      <c r="C186" s="941" t="s">
        <v>11041</v>
      </c>
      <c r="D186" s="941" t="s">
        <v>11037</v>
      </c>
      <c r="E186" s="1055" t="s">
        <v>11038</v>
      </c>
    </row>
    <row r="187" spans="1:5" ht="12" customHeight="1">
      <c r="A187">
        <v>186</v>
      </c>
      <c r="B187" s="941" t="s">
        <v>11040</v>
      </c>
      <c r="C187" s="941" t="s">
        <v>11041</v>
      </c>
      <c r="D187" s="941" t="s">
        <v>11037</v>
      </c>
      <c r="E187" s="1055" t="s">
        <v>11038</v>
      </c>
    </row>
    <row r="188" spans="1:5" ht="12" customHeight="1">
      <c r="A188">
        <v>187</v>
      </c>
      <c r="B188" s="941" t="s">
        <v>11040</v>
      </c>
      <c r="C188" s="941" t="s">
        <v>11041</v>
      </c>
      <c r="D188" s="941" t="s">
        <v>11037</v>
      </c>
      <c r="E188" s="1055" t="s">
        <v>11038</v>
      </c>
    </row>
    <row r="189" spans="1:5" ht="12" customHeight="1">
      <c r="A189">
        <v>188</v>
      </c>
      <c r="B189" s="941" t="s">
        <v>11040</v>
      </c>
      <c r="C189" s="941" t="s">
        <v>11041</v>
      </c>
      <c r="D189" s="941" t="s">
        <v>11037</v>
      </c>
      <c r="E189" s="1055" t="s">
        <v>11038</v>
      </c>
    </row>
    <row r="190" spans="1:5" ht="12" customHeight="1">
      <c r="A190">
        <v>189</v>
      </c>
      <c r="B190" s="941" t="s">
        <v>11040</v>
      </c>
      <c r="C190" s="941" t="s">
        <v>11041</v>
      </c>
      <c r="D190" s="941" t="s">
        <v>11037</v>
      </c>
      <c r="E190" s="1055" t="s">
        <v>11038</v>
      </c>
    </row>
    <row r="191" spans="1:5" ht="12" customHeight="1">
      <c r="A191">
        <v>190</v>
      </c>
      <c r="B191" s="941" t="s">
        <v>11040</v>
      </c>
      <c r="C191" s="941" t="s">
        <v>11041</v>
      </c>
      <c r="D191" s="941" t="s">
        <v>11037</v>
      </c>
      <c r="E191" s="1055" t="s">
        <v>11038</v>
      </c>
    </row>
    <row r="192" spans="1:5" ht="12" customHeight="1">
      <c r="A192">
        <v>191</v>
      </c>
      <c r="B192" s="941" t="s">
        <v>11040</v>
      </c>
      <c r="C192" s="941" t="s">
        <v>11041</v>
      </c>
      <c r="D192" s="941" t="s">
        <v>11037</v>
      </c>
      <c r="E192" s="1055" t="s">
        <v>11038</v>
      </c>
    </row>
    <row r="193" spans="1:5" ht="12" customHeight="1">
      <c r="A193">
        <v>192</v>
      </c>
      <c r="B193" s="941" t="s">
        <v>11040</v>
      </c>
      <c r="C193" s="941" t="s">
        <v>11041</v>
      </c>
      <c r="D193" s="941" t="s">
        <v>11037</v>
      </c>
      <c r="E193" s="1055" t="s">
        <v>11038</v>
      </c>
    </row>
    <row r="194" spans="1:5" ht="12" customHeight="1">
      <c r="A194">
        <v>193</v>
      </c>
      <c r="B194" s="941" t="s">
        <v>11040</v>
      </c>
      <c r="C194" s="941" t="s">
        <v>11041</v>
      </c>
      <c r="D194" s="941" t="s">
        <v>11037</v>
      </c>
      <c r="E194" s="1055" t="s">
        <v>11038</v>
      </c>
    </row>
    <row r="195" spans="1:5" ht="12" customHeight="1">
      <c r="A195">
        <v>194</v>
      </c>
      <c r="B195" s="941" t="s">
        <v>11040</v>
      </c>
      <c r="C195" s="941" t="s">
        <v>11041</v>
      </c>
      <c r="D195" s="941" t="s">
        <v>11037</v>
      </c>
      <c r="E195" s="1055" t="s">
        <v>11038</v>
      </c>
    </row>
    <row r="196" spans="1:5" ht="12" customHeight="1">
      <c r="A196">
        <v>195</v>
      </c>
      <c r="B196" s="941" t="s">
        <v>11040</v>
      </c>
      <c r="C196" s="941" t="s">
        <v>11041</v>
      </c>
      <c r="D196" s="941" t="s">
        <v>11037</v>
      </c>
      <c r="E196" s="1055" t="s">
        <v>11038</v>
      </c>
    </row>
    <row r="197" spans="1:5" ht="12" customHeight="1">
      <c r="A197">
        <v>196</v>
      </c>
      <c r="B197" s="941" t="s">
        <v>11040</v>
      </c>
      <c r="C197" s="941" t="s">
        <v>11041</v>
      </c>
      <c r="D197" s="941" t="s">
        <v>11037</v>
      </c>
      <c r="E197" s="1055" t="s">
        <v>11038</v>
      </c>
    </row>
    <row r="198" spans="1:5" ht="12" customHeight="1">
      <c r="A198">
        <v>197</v>
      </c>
      <c r="B198" s="941" t="s">
        <v>11040</v>
      </c>
      <c r="C198" s="941" t="s">
        <v>11041</v>
      </c>
      <c r="D198" s="941" t="s">
        <v>11037</v>
      </c>
      <c r="E198" s="1055" t="s">
        <v>11038</v>
      </c>
    </row>
    <row r="199" spans="1:5" ht="12" customHeight="1">
      <c r="A199">
        <v>198</v>
      </c>
      <c r="B199" s="941" t="s">
        <v>11040</v>
      </c>
      <c r="C199" s="941" t="s">
        <v>11041</v>
      </c>
      <c r="D199" s="941" t="s">
        <v>11037</v>
      </c>
      <c r="E199" s="1055" t="s">
        <v>11038</v>
      </c>
    </row>
    <row r="200" spans="1:5" ht="12" customHeight="1">
      <c r="A200">
        <v>199</v>
      </c>
      <c r="B200" s="941" t="s">
        <v>11040</v>
      </c>
      <c r="C200" s="941" t="s">
        <v>11041</v>
      </c>
      <c r="D200" s="941" t="s">
        <v>11037</v>
      </c>
      <c r="E200" s="1055" t="s">
        <v>11038</v>
      </c>
    </row>
    <row r="201" spans="1:5" ht="12" customHeight="1">
      <c r="A201">
        <v>200</v>
      </c>
      <c r="B201" s="941" t="s">
        <v>11040</v>
      </c>
      <c r="C201" s="941" t="s">
        <v>11041</v>
      </c>
      <c r="D201" s="941" t="s">
        <v>11037</v>
      </c>
      <c r="E201" s="1055" t="s">
        <v>11038</v>
      </c>
    </row>
    <row r="202" spans="1:5" ht="12" customHeight="1">
      <c r="A202">
        <v>201</v>
      </c>
      <c r="B202" s="941" t="s">
        <v>11040</v>
      </c>
      <c r="C202" s="941" t="s">
        <v>11041</v>
      </c>
      <c r="D202" s="941" t="s">
        <v>11037</v>
      </c>
      <c r="E202" s="1055" t="s">
        <v>11038</v>
      </c>
    </row>
    <row r="203" spans="1:5" ht="12" customHeight="1">
      <c r="A203">
        <v>202</v>
      </c>
      <c r="B203" s="941" t="s">
        <v>11040</v>
      </c>
      <c r="C203" s="941" t="s">
        <v>11041</v>
      </c>
      <c r="D203" s="941" t="s">
        <v>11037</v>
      </c>
      <c r="E203" s="1055" t="s">
        <v>11038</v>
      </c>
    </row>
    <row r="204" spans="1:5" ht="12" customHeight="1">
      <c r="A204">
        <v>203</v>
      </c>
      <c r="B204" s="941" t="s">
        <v>11040</v>
      </c>
      <c r="C204" s="941" t="s">
        <v>11041</v>
      </c>
      <c r="D204" s="941" t="s">
        <v>11037</v>
      </c>
      <c r="E204" s="1055" t="s">
        <v>11038</v>
      </c>
    </row>
    <row r="205" spans="1:5" ht="12" customHeight="1">
      <c r="A205">
        <v>204</v>
      </c>
      <c r="B205" s="941" t="s">
        <v>11040</v>
      </c>
      <c r="C205" s="941" t="s">
        <v>11041</v>
      </c>
      <c r="D205" s="941" t="s">
        <v>11037</v>
      </c>
      <c r="E205" s="1055" t="s">
        <v>11038</v>
      </c>
    </row>
    <row r="206" spans="1:5" ht="12" customHeight="1">
      <c r="A206">
        <v>205</v>
      </c>
      <c r="B206" s="941" t="s">
        <v>11040</v>
      </c>
      <c r="C206" s="941" t="s">
        <v>11041</v>
      </c>
      <c r="D206" s="941" t="s">
        <v>11037</v>
      </c>
      <c r="E206" s="1055" t="s">
        <v>11038</v>
      </c>
    </row>
    <row r="207" spans="1:5" ht="12" customHeight="1">
      <c r="A207">
        <v>206</v>
      </c>
      <c r="B207" s="941" t="s">
        <v>11040</v>
      </c>
      <c r="C207" s="941" t="s">
        <v>11041</v>
      </c>
      <c r="D207" s="941" t="s">
        <v>11037</v>
      </c>
      <c r="E207" s="1055" t="s">
        <v>11038</v>
      </c>
    </row>
    <row r="208" spans="1:5" ht="12" customHeight="1">
      <c r="A208">
        <v>207</v>
      </c>
      <c r="B208" s="941" t="s">
        <v>11040</v>
      </c>
      <c r="C208" s="941" t="s">
        <v>11041</v>
      </c>
      <c r="D208" s="941" t="s">
        <v>11037</v>
      </c>
      <c r="E208" s="1055" t="s">
        <v>11038</v>
      </c>
    </row>
    <row r="209" spans="1:5" ht="12" customHeight="1">
      <c r="A209">
        <v>208</v>
      </c>
      <c r="B209" s="941" t="s">
        <v>11040</v>
      </c>
      <c r="C209" s="941" t="s">
        <v>11041</v>
      </c>
      <c r="D209" s="941" t="s">
        <v>11037</v>
      </c>
      <c r="E209" s="1055" t="s">
        <v>11038</v>
      </c>
    </row>
    <row r="210" spans="1:5" ht="12" customHeight="1">
      <c r="A210">
        <v>209</v>
      </c>
      <c r="B210" s="941" t="s">
        <v>11040</v>
      </c>
      <c r="C210" s="941" t="s">
        <v>11041</v>
      </c>
      <c r="D210" s="941" t="s">
        <v>11037</v>
      </c>
      <c r="E210" s="1055" t="s">
        <v>11038</v>
      </c>
    </row>
    <row r="211" spans="1:5" ht="12" customHeight="1">
      <c r="A211">
        <v>210</v>
      </c>
      <c r="B211" s="941" t="s">
        <v>11040</v>
      </c>
      <c r="C211" s="941" t="s">
        <v>11041</v>
      </c>
      <c r="D211" s="941" t="s">
        <v>11037</v>
      </c>
      <c r="E211" s="1055" t="s">
        <v>11038</v>
      </c>
    </row>
    <row r="212" spans="1:5" ht="12" customHeight="1">
      <c r="A212">
        <v>211</v>
      </c>
      <c r="B212" s="941" t="s">
        <v>11040</v>
      </c>
      <c r="C212" s="941" t="s">
        <v>11041</v>
      </c>
      <c r="D212" s="941" t="s">
        <v>11037</v>
      </c>
      <c r="E212" s="1055" t="s">
        <v>11038</v>
      </c>
    </row>
    <row r="213" spans="1:5" ht="12" customHeight="1">
      <c r="A213">
        <v>212</v>
      </c>
      <c r="B213" s="941" t="s">
        <v>11040</v>
      </c>
      <c r="C213" s="941" t="s">
        <v>11041</v>
      </c>
      <c r="D213" s="941" t="s">
        <v>11037</v>
      </c>
      <c r="E213" s="1055" t="s">
        <v>11038</v>
      </c>
    </row>
    <row r="214" spans="1:5" ht="12" customHeight="1">
      <c r="A214">
        <v>213</v>
      </c>
      <c r="B214" s="941" t="s">
        <v>11040</v>
      </c>
      <c r="C214" s="941" t="s">
        <v>11041</v>
      </c>
      <c r="D214" s="941" t="s">
        <v>11037</v>
      </c>
      <c r="E214" s="1055" t="s">
        <v>11038</v>
      </c>
    </row>
    <row r="215" spans="1:5" ht="12" customHeight="1">
      <c r="A215">
        <v>214</v>
      </c>
      <c r="B215" s="941" t="s">
        <v>11040</v>
      </c>
      <c r="C215" s="941" t="s">
        <v>11041</v>
      </c>
      <c r="D215" s="941" t="s">
        <v>11037</v>
      </c>
      <c r="E215" s="1055" t="s">
        <v>11038</v>
      </c>
    </row>
    <row r="216" spans="1:5" ht="12" customHeight="1">
      <c r="A216">
        <v>215</v>
      </c>
      <c r="B216" s="941" t="s">
        <v>11040</v>
      </c>
      <c r="C216" s="941" t="s">
        <v>11041</v>
      </c>
      <c r="D216" s="941" t="s">
        <v>11037</v>
      </c>
      <c r="E216" s="1055" t="s">
        <v>11038</v>
      </c>
    </row>
    <row r="217" spans="1:5" ht="12" customHeight="1">
      <c r="A217">
        <v>216</v>
      </c>
      <c r="B217" s="941" t="s">
        <v>11040</v>
      </c>
      <c r="C217" s="941" t="s">
        <v>11041</v>
      </c>
      <c r="D217" s="941" t="s">
        <v>11037</v>
      </c>
      <c r="E217" s="1055" t="s">
        <v>11038</v>
      </c>
    </row>
    <row r="218" spans="1:5" ht="12" customHeight="1">
      <c r="A218">
        <v>217</v>
      </c>
      <c r="B218" s="941" t="s">
        <v>11040</v>
      </c>
      <c r="C218" s="941" t="s">
        <v>11041</v>
      </c>
      <c r="D218" s="941" t="s">
        <v>11037</v>
      </c>
      <c r="E218" s="1055" t="s">
        <v>11038</v>
      </c>
    </row>
    <row r="219" spans="1:5" ht="12" customHeight="1">
      <c r="A219">
        <v>218</v>
      </c>
      <c r="B219" s="941" t="s">
        <v>11040</v>
      </c>
      <c r="C219" s="941" t="s">
        <v>11041</v>
      </c>
      <c r="D219" s="941" t="s">
        <v>11037</v>
      </c>
      <c r="E219" s="1055" t="s">
        <v>11038</v>
      </c>
    </row>
    <row r="220" spans="1:5" ht="12" customHeight="1">
      <c r="A220">
        <v>219</v>
      </c>
      <c r="B220" s="941" t="s">
        <v>11040</v>
      </c>
      <c r="C220" s="941" t="s">
        <v>11041</v>
      </c>
      <c r="D220" s="941" t="s">
        <v>11037</v>
      </c>
      <c r="E220" s="1055" t="s">
        <v>11038</v>
      </c>
    </row>
    <row r="221" spans="1:5" ht="12" customHeight="1">
      <c r="A221">
        <v>220</v>
      </c>
      <c r="B221" s="941" t="s">
        <v>11040</v>
      </c>
      <c r="C221" s="941" t="s">
        <v>11041</v>
      </c>
      <c r="D221" s="941" t="s">
        <v>11037</v>
      </c>
      <c r="E221" s="1055" t="s">
        <v>11038</v>
      </c>
    </row>
    <row r="222" spans="1:5" ht="12" customHeight="1">
      <c r="A222">
        <v>221</v>
      </c>
      <c r="B222" s="941" t="s">
        <v>11040</v>
      </c>
      <c r="C222" s="941" t="s">
        <v>11041</v>
      </c>
      <c r="D222" s="941" t="s">
        <v>11037</v>
      </c>
      <c r="E222" s="1055" t="s">
        <v>11038</v>
      </c>
    </row>
    <row r="223" spans="1:5" ht="12" customHeight="1">
      <c r="A223">
        <v>222</v>
      </c>
      <c r="B223" s="941" t="s">
        <v>11040</v>
      </c>
      <c r="C223" s="941" t="s">
        <v>11041</v>
      </c>
      <c r="D223" s="941" t="s">
        <v>11037</v>
      </c>
      <c r="E223" s="1055" t="s">
        <v>11038</v>
      </c>
    </row>
    <row r="224" spans="1:5" ht="12" customHeight="1">
      <c r="A224">
        <v>223</v>
      </c>
      <c r="B224" s="941" t="s">
        <v>11040</v>
      </c>
      <c r="C224" s="941" t="s">
        <v>11041</v>
      </c>
      <c r="D224" s="941" t="s">
        <v>11037</v>
      </c>
      <c r="E224" s="1055" t="s">
        <v>11038</v>
      </c>
    </row>
    <row r="225" spans="1:5" ht="12" customHeight="1">
      <c r="A225">
        <v>224</v>
      </c>
      <c r="B225" s="941" t="s">
        <v>11040</v>
      </c>
      <c r="C225" s="941" t="s">
        <v>11041</v>
      </c>
      <c r="D225" s="941" t="s">
        <v>11037</v>
      </c>
      <c r="E225" s="1055" t="s">
        <v>11038</v>
      </c>
    </row>
    <row r="226" spans="1:5" ht="12" customHeight="1">
      <c r="A226">
        <v>225</v>
      </c>
      <c r="B226" s="941" t="s">
        <v>11040</v>
      </c>
      <c r="C226" s="941" t="s">
        <v>11041</v>
      </c>
      <c r="D226" s="941" t="s">
        <v>11037</v>
      </c>
      <c r="E226" s="1055" t="s">
        <v>11038</v>
      </c>
    </row>
    <row r="227" spans="1:5" ht="12" customHeight="1">
      <c r="A227">
        <v>226</v>
      </c>
      <c r="B227" s="941" t="s">
        <v>11040</v>
      </c>
      <c r="C227" s="941" t="s">
        <v>11041</v>
      </c>
      <c r="D227" s="941" t="s">
        <v>11037</v>
      </c>
      <c r="E227" s="1055" t="s">
        <v>11038</v>
      </c>
    </row>
    <row r="228" spans="1:5" ht="12" customHeight="1">
      <c r="A228">
        <v>227</v>
      </c>
      <c r="B228" s="941" t="s">
        <v>11040</v>
      </c>
      <c r="C228" s="941" t="s">
        <v>11041</v>
      </c>
      <c r="D228" s="941" t="s">
        <v>11037</v>
      </c>
      <c r="E228" s="1055" t="s">
        <v>11038</v>
      </c>
    </row>
    <row r="229" spans="1:5" ht="12" customHeight="1">
      <c r="A229">
        <v>228</v>
      </c>
      <c r="B229" s="941" t="s">
        <v>11040</v>
      </c>
      <c r="C229" s="941" t="s">
        <v>11041</v>
      </c>
      <c r="D229" s="941" t="s">
        <v>11037</v>
      </c>
      <c r="E229" s="1055" t="s">
        <v>11038</v>
      </c>
    </row>
    <row r="230" spans="1:5" ht="12" customHeight="1">
      <c r="A230">
        <v>229</v>
      </c>
      <c r="B230" s="941" t="s">
        <v>11040</v>
      </c>
      <c r="C230" s="941" t="s">
        <v>11041</v>
      </c>
      <c r="D230" s="941" t="s">
        <v>11037</v>
      </c>
      <c r="E230" s="1055" t="s">
        <v>11038</v>
      </c>
    </row>
    <row r="231" spans="1:5" ht="12" customHeight="1">
      <c r="A231">
        <v>230</v>
      </c>
      <c r="B231" s="941" t="s">
        <v>11040</v>
      </c>
      <c r="C231" s="941" t="s">
        <v>11041</v>
      </c>
      <c r="D231" s="941" t="s">
        <v>11037</v>
      </c>
      <c r="E231" s="1055" t="s">
        <v>11038</v>
      </c>
    </row>
    <row r="232" spans="1:5" ht="12" customHeight="1">
      <c r="A232">
        <v>231</v>
      </c>
      <c r="B232" s="941" t="s">
        <v>11040</v>
      </c>
      <c r="C232" s="941" t="s">
        <v>11041</v>
      </c>
      <c r="D232" s="941" t="s">
        <v>11037</v>
      </c>
      <c r="E232" s="1055" t="s">
        <v>11038</v>
      </c>
    </row>
    <row r="233" spans="1:5" ht="12" customHeight="1">
      <c r="A233">
        <v>232</v>
      </c>
      <c r="B233" s="941" t="s">
        <v>11040</v>
      </c>
      <c r="C233" s="941" t="s">
        <v>11041</v>
      </c>
      <c r="D233" s="941" t="s">
        <v>11037</v>
      </c>
      <c r="E233" s="1055" t="s">
        <v>11038</v>
      </c>
    </row>
    <row r="234" spans="1:5" ht="12" customHeight="1">
      <c r="A234">
        <v>233</v>
      </c>
      <c r="B234" s="941" t="s">
        <v>11040</v>
      </c>
      <c r="C234" s="941" t="s">
        <v>11041</v>
      </c>
      <c r="D234" s="941" t="s">
        <v>11037</v>
      </c>
      <c r="E234" s="1055" t="s">
        <v>11038</v>
      </c>
    </row>
    <row r="235" spans="1:5" ht="12" customHeight="1">
      <c r="A235">
        <v>234</v>
      </c>
      <c r="B235" s="941" t="s">
        <v>11040</v>
      </c>
      <c r="C235" s="941" t="s">
        <v>11041</v>
      </c>
      <c r="D235" s="941" t="s">
        <v>11037</v>
      </c>
      <c r="E235" s="1055" t="s">
        <v>11038</v>
      </c>
    </row>
    <row r="236" spans="1:5" ht="12" customHeight="1">
      <c r="A236">
        <v>235</v>
      </c>
      <c r="B236" s="941" t="s">
        <v>11040</v>
      </c>
      <c r="C236" s="941" t="s">
        <v>11041</v>
      </c>
      <c r="D236" s="941" t="s">
        <v>11037</v>
      </c>
      <c r="E236" s="1055" t="s">
        <v>11038</v>
      </c>
    </row>
    <row r="237" spans="1:5" ht="12" customHeight="1">
      <c r="A237">
        <v>236</v>
      </c>
      <c r="B237" s="941" t="s">
        <v>11040</v>
      </c>
      <c r="C237" s="941" t="s">
        <v>11041</v>
      </c>
      <c r="D237" s="941" t="s">
        <v>11037</v>
      </c>
      <c r="E237" s="1055" t="s">
        <v>11038</v>
      </c>
    </row>
    <row r="238" spans="1:5" ht="12" customHeight="1">
      <c r="A238">
        <v>237</v>
      </c>
      <c r="B238" s="941" t="s">
        <v>11040</v>
      </c>
      <c r="C238" s="941" t="s">
        <v>11041</v>
      </c>
      <c r="D238" s="941" t="s">
        <v>11037</v>
      </c>
      <c r="E238" s="1055" t="s">
        <v>11038</v>
      </c>
    </row>
    <row r="239" spans="1:5" ht="12" customHeight="1">
      <c r="A239">
        <v>238</v>
      </c>
      <c r="B239" s="941" t="s">
        <v>11040</v>
      </c>
      <c r="C239" s="941" t="s">
        <v>11041</v>
      </c>
      <c r="D239" s="941" t="s">
        <v>11037</v>
      </c>
      <c r="E239" s="1055" t="s">
        <v>11038</v>
      </c>
    </row>
    <row r="240" spans="1:5" ht="12" customHeight="1">
      <c r="A240">
        <v>239</v>
      </c>
      <c r="B240" s="941" t="s">
        <v>11040</v>
      </c>
      <c r="C240" s="941" t="s">
        <v>11041</v>
      </c>
      <c r="D240" s="941" t="s">
        <v>11037</v>
      </c>
      <c r="E240" s="1055" t="s">
        <v>11038</v>
      </c>
    </row>
    <row r="241" spans="1:5" ht="12" customHeight="1">
      <c r="A241">
        <v>240</v>
      </c>
      <c r="B241" s="941" t="s">
        <v>11040</v>
      </c>
      <c r="C241" s="941" t="s">
        <v>11041</v>
      </c>
      <c r="D241" s="941" t="s">
        <v>11037</v>
      </c>
      <c r="E241" s="1055" t="s">
        <v>11038</v>
      </c>
    </row>
    <row r="242" spans="1:5" ht="12" customHeight="1">
      <c r="A242">
        <v>241</v>
      </c>
      <c r="B242" s="941" t="s">
        <v>11040</v>
      </c>
      <c r="C242" s="941" t="s">
        <v>11041</v>
      </c>
      <c r="D242" s="941" t="s">
        <v>11037</v>
      </c>
      <c r="E242" s="1055" t="s">
        <v>11038</v>
      </c>
    </row>
    <row r="243" spans="1:5" ht="12" customHeight="1">
      <c r="A243">
        <v>242</v>
      </c>
      <c r="B243" s="941" t="s">
        <v>11040</v>
      </c>
      <c r="C243" s="941" t="s">
        <v>11041</v>
      </c>
      <c r="D243" s="941" t="s">
        <v>11037</v>
      </c>
      <c r="E243" s="1055" t="s">
        <v>11038</v>
      </c>
    </row>
    <row r="244" spans="1:5" ht="12" customHeight="1">
      <c r="A244">
        <v>243</v>
      </c>
      <c r="B244" s="941" t="s">
        <v>11040</v>
      </c>
      <c r="C244" s="941" t="s">
        <v>11041</v>
      </c>
      <c r="D244" s="941" t="s">
        <v>11037</v>
      </c>
      <c r="E244" s="1055" t="s">
        <v>11038</v>
      </c>
    </row>
    <row r="245" spans="1:5" ht="12" customHeight="1">
      <c r="A245">
        <v>244</v>
      </c>
      <c r="B245" s="941" t="s">
        <v>11040</v>
      </c>
      <c r="C245" s="941" t="s">
        <v>11041</v>
      </c>
      <c r="D245" s="941" t="s">
        <v>11037</v>
      </c>
      <c r="E245" s="1055" t="s">
        <v>11038</v>
      </c>
    </row>
    <row r="246" spans="1:5" ht="12" customHeight="1">
      <c r="A246">
        <v>245</v>
      </c>
      <c r="B246" s="941" t="s">
        <v>11040</v>
      </c>
      <c r="C246" s="941" t="s">
        <v>11041</v>
      </c>
      <c r="D246" s="941" t="s">
        <v>11037</v>
      </c>
      <c r="E246" s="1055" t="s">
        <v>11038</v>
      </c>
    </row>
    <row r="247" spans="1:5" ht="12" customHeight="1">
      <c r="A247">
        <v>246</v>
      </c>
      <c r="B247" s="941" t="s">
        <v>11040</v>
      </c>
      <c r="C247" s="941" t="s">
        <v>11041</v>
      </c>
      <c r="D247" s="941" t="s">
        <v>11037</v>
      </c>
      <c r="E247" s="1055" t="s">
        <v>11038</v>
      </c>
    </row>
    <row r="248" spans="1:5" ht="12" customHeight="1">
      <c r="A248">
        <v>247</v>
      </c>
      <c r="B248" s="941" t="s">
        <v>11040</v>
      </c>
      <c r="C248" s="941" t="s">
        <v>11041</v>
      </c>
      <c r="D248" s="941" t="s">
        <v>11037</v>
      </c>
      <c r="E248" s="1055" t="s">
        <v>11038</v>
      </c>
    </row>
    <row r="249" spans="1:5" ht="12" customHeight="1">
      <c r="A249">
        <v>248</v>
      </c>
      <c r="B249" s="941" t="s">
        <v>11040</v>
      </c>
      <c r="C249" s="941" t="s">
        <v>11041</v>
      </c>
      <c r="D249" s="941" t="s">
        <v>11037</v>
      </c>
      <c r="E249" s="1055" t="s">
        <v>11038</v>
      </c>
    </row>
    <row r="250" spans="1:5" ht="12" customHeight="1">
      <c r="A250">
        <v>249</v>
      </c>
      <c r="B250" s="941" t="s">
        <v>11040</v>
      </c>
      <c r="C250" s="941" t="s">
        <v>11041</v>
      </c>
      <c r="D250" s="941" t="s">
        <v>11037</v>
      </c>
      <c r="E250" s="1055" t="s">
        <v>11038</v>
      </c>
    </row>
    <row r="251" spans="1:5" ht="12" customHeight="1">
      <c r="A251">
        <v>250</v>
      </c>
      <c r="B251" s="941" t="s">
        <v>11040</v>
      </c>
      <c r="C251" s="941" t="s">
        <v>11041</v>
      </c>
      <c r="D251" s="941" t="s">
        <v>11037</v>
      </c>
      <c r="E251" s="1055" t="s">
        <v>11038</v>
      </c>
    </row>
    <row r="252" spans="1:5" ht="12" customHeight="1">
      <c r="A252">
        <v>251</v>
      </c>
      <c r="B252" s="941" t="s">
        <v>11040</v>
      </c>
      <c r="C252" s="941" t="s">
        <v>11041</v>
      </c>
      <c r="D252" s="941" t="s">
        <v>11037</v>
      </c>
      <c r="E252" s="1055" t="s">
        <v>11038</v>
      </c>
    </row>
    <row r="253" spans="1:5" ht="12" customHeight="1">
      <c r="A253">
        <v>252</v>
      </c>
      <c r="B253" s="941" t="s">
        <v>11040</v>
      </c>
      <c r="C253" s="941" t="s">
        <v>11041</v>
      </c>
      <c r="D253" s="941" t="s">
        <v>11037</v>
      </c>
      <c r="E253" s="1055" t="s">
        <v>11038</v>
      </c>
    </row>
    <row r="254" spans="1:5" ht="12" customHeight="1">
      <c r="A254">
        <v>253</v>
      </c>
      <c r="B254" s="941" t="s">
        <v>11040</v>
      </c>
      <c r="C254" s="941" t="s">
        <v>11041</v>
      </c>
      <c r="D254" s="941" t="s">
        <v>11037</v>
      </c>
      <c r="E254" s="1055" t="s">
        <v>11038</v>
      </c>
    </row>
    <row r="255" spans="1:5" ht="12" customHeight="1">
      <c r="A255">
        <v>254</v>
      </c>
      <c r="B255" s="941" t="s">
        <v>11040</v>
      </c>
      <c r="C255" s="941" t="s">
        <v>11041</v>
      </c>
      <c r="D255" s="941" t="s">
        <v>11037</v>
      </c>
      <c r="E255" s="1055" t="s">
        <v>11038</v>
      </c>
    </row>
    <row r="256" spans="1:5" ht="12" customHeight="1">
      <c r="A256">
        <v>255</v>
      </c>
      <c r="B256" s="941" t="s">
        <v>11040</v>
      </c>
      <c r="C256" s="941" t="s">
        <v>11041</v>
      </c>
      <c r="D256" s="941" t="s">
        <v>11037</v>
      </c>
      <c r="E256" s="1055" t="s">
        <v>11038</v>
      </c>
    </row>
    <row r="257" spans="1:5" ht="12" customHeight="1">
      <c r="A257">
        <v>256</v>
      </c>
      <c r="B257" s="941" t="s">
        <v>11040</v>
      </c>
      <c r="C257" s="941" t="s">
        <v>11041</v>
      </c>
      <c r="D257" s="941" t="s">
        <v>11037</v>
      </c>
      <c r="E257" s="1055" t="s">
        <v>11038</v>
      </c>
    </row>
    <row r="258" spans="1:5" ht="12" customHeight="1">
      <c r="A258">
        <v>257</v>
      </c>
      <c r="B258" s="941" t="s">
        <v>11040</v>
      </c>
      <c r="C258" s="941" t="s">
        <v>11041</v>
      </c>
      <c r="D258" s="941" t="s">
        <v>11037</v>
      </c>
      <c r="E258" s="1055" t="s">
        <v>11038</v>
      </c>
    </row>
    <row r="259" spans="1:5" ht="12" customHeight="1">
      <c r="A259">
        <v>258</v>
      </c>
      <c r="B259" s="941" t="s">
        <v>11040</v>
      </c>
      <c r="C259" s="941" t="s">
        <v>11041</v>
      </c>
      <c r="D259" s="941" t="s">
        <v>11037</v>
      </c>
      <c r="E259" s="1055" t="s">
        <v>11038</v>
      </c>
    </row>
    <row r="260" spans="1:5" ht="12" customHeight="1">
      <c r="A260">
        <v>259</v>
      </c>
      <c r="B260" s="941" t="s">
        <v>11040</v>
      </c>
      <c r="C260" s="941" t="s">
        <v>11041</v>
      </c>
      <c r="D260" s="941" t="s">
        <v>11037</v>
      </c>
      <c r="E260" s="1055" t="s">
        <v>11038</v>
      </c>
    </row>
    <row r="261" spans="1:5" ht="12" customHeight="1">
      <c r="A261">
        <v>260</v>
      </c>
      <c r="B261" s="941" t="s">
        <v>11040</v>
      </c>
      <c r="C261" s="941" t="s">
        <v>11041</v>
      </c>
      <c r="D261" s="941" t="s">
        <v>11037</v>
      </c>
      <c r="E261" s="1055" t="s">
        <v>11038</v>
      </c>
    </row>
    <row r="262" spans="1:5" ht="12" customHeight="1">
      <c r="A262">
        <v>261</v>
      </c>
      <c r="B262" s="941" t="s">
        <v>11040</v>
      </c>
      <c r="C262" s="941" t="s">
        <v>11041</v>
      </c>
      <c r="D262" s="941" t="s">
        <v>11037</v>
      </c>
      <c r="E262" s="1055" t="s">
        <v>11038</v>
      </c>
    </row>
    <row r="263" spans="1:5" ht="12" customHeight="1">
      <c r="A263">
        <v>262</v>
      </c>
      <c r="B263" s="941" t="s">
        <v>11040</v>
      </c>
      <c r="C263" s="941" t="s">
        <v>11041</v>
      </c>
      <c r="D263" s="941" t="s">
        <v>11037</v>
      </c>
      <c r="E263" s="1055" t="s">
        <v>11038</v>
      </c>
    </row>
    <row r="264" spans="1:5" ht="12" customHeight="1">
      <c r="A264">
        <v>263</v>
      </c>
      <c r="B264" s="941" t="s">
        <v>11040</v>
      </c>
      <c r="C264" s="941" t="s">
        <v>11041</v>
      </c>
      <c r="D264" s="941" t="s">
        <v>11037</v>
      </c>
      <c r="E264" s="1055" t="s">
        <v>11038</v>
      </c>
    </row>
    <row r="265" spans="1:5" ht="12" customHeight="1">
      <c r="A265">
        <v>264</v>
      </c>
      <c r="B265" s="941" t="s">
        <v>11040</v>
      </c>
      <c r="C265" s="941" t="s">
        <v>11041</v>
      </c>
      <c r="D265" s="941" t="s">
        <v>11037</v>
      </c>
      <c r="E265" s="1055" t="s">
        <v>11038</v>
      </c>
    </row>
    <row r="266" spans="1:5" ht="12" customHeight="1">
      <c r="A266">
        <v>265</v>
      </c>
      <c r="B266" s="941" t="s">
        <v>11040</v>
      </c>
      <c r="C266" s="941" t="s">
        <v>11041</v>
      </c>
      <c r="D266" s="941" t="s">
        <v>11037</v>
      </c>
      <c r="E266" s="1055" t="s">
        <v>11038</v>
      </c>
    </row>
    <row r="267" spans="1:5" ht="12" customHeight="1">
      <c r="A267">
        <v>266</v>
      </c>
      <c r="B267" s="941" t="s">
        <v>11040</v>
      </c>
      <c r="C267" s="941" t="s">
        <v>11041</v>
      </c>
      <c r="D267" s="941" t="s">
        <v>11037</v>
      </c>
      <c r="E267" s="1055" t="s">
        <v>11038</v>
      </c>
    </row>
    <row r="268" spans="1:5" ht="12" customHeight="1">
      <c r="A268">
        <v>267</v>
      </c>
      <c r="B268" s="941" t="s">
        <v>11040</v>
      </c>
      <c r="C268" s="941" t="s">
        <v>11041</v>
      </c>
      <c r="D268" s="941" t="s">
        <v>11037</v>
      </c>
      <c r="E268" s="1055" t="s">
        <v>11038</v>
      </c>
    </row>
    <row r="269" spans="1:5" ht="12" customHeight="1">
      <c r="A269">
        <v>268</v>
      </c>
      <c r="B269" s="941" t="s">
        <v>11040</v>
      </c>
      <c r="C269" s="941" t="s">
        <v>11041</v>
      </c>
      <c r="D269" s="941" t="s">
        <v>11037</v>
      </c>
      <c r="E269" s="1055" t="s">
        <v>11038</v>
      </c>
    </row>
    <row r="270" spans="1:5" ht="12" customHeight="1">
      <c r="A270">
        <v>269</v>
      </c>
      <c r="B270" s="941" t="s">
        <v>11040</v>
      </c>
      <c r="C270" s="941" t="s">
        <v>11041</v>
      </c>
      <c r="D270" s="941" t="s">
        <v>11037</v>
      </c>
      <c r="E270" s="1055" t="s">
        <v>11038</v>
      </c>
    </row>
    <row r="271" spans="1:5" ht="12" customHeight="1">
      <c r="A271">
        <v>270</v>
      </c>
      <c r="B271" s="941" t="s">
        <v>11040</v>
      </c>
      <c r="C271" s="941" t="s">
        <v>11041</v>
      </c>
      <c r="D271" s="941" t="s">
        <v>11037</v>
      </c>
      <c r="E271" s="1055" t="s">
        <v>11038</v>
      </c>
    </row>
    <row r="272" spans="1:5" ht="12" customHeight="1">
      <c r="A272">
        <v>271</v>
      </c>
      <c r="B272" s="941" t="s">
        <v>11040</v>
      </c>
      <c r="C272" s="941" t="s">
        <v>11041</v>
      </c>
      <c r="D272" s="941" t="s">
        <v>11037</v>
      </c>
      <c r="E272" s="1055" t="s">
        <v>11038</v>
      </c>
    </row>
    <row r="273" spans="1:5" ht="12" customHeight="1">
      <c r="A273">
        <v>272</v>
      </c>
      <c r="B273" s="941" t="s">
        <v>11040</v>
      </c>
      <c r="C273" s="941" t="s">
        <v>11041</v>
      </c>
      <c r="D273" s="941" t="s">
        <v>11037</v>
      </c>
      <c r="E273" s="1055" t="s">
        <v>11038</v>
      </c>
    </row>
    <row r="274" spans="1:5" ht="12" customHeight="1">
      <c r="A274">
        <v>273</v>
      </c>
      <c r="B274" s="941" t="s">
        <v>11040</v>
      </c>
      <c r="C274" s="941" t="s">
        <v>11041</v>
      </c>
      <c r="D274" s="941" t="s">
        <v>11037</v>
      </c>
      <c r="E274" s="1055" t="s">
        <v>11038</v>
      </c>
    </row>
    <row r="275" spans="1:5" ht="12" customHeight="1">
      <c r="A275">
        <v>274</v>
      </c>
      <c r="B275" s="941" t="s">
        <v>11040</v>
      </c>
      <c r="C275" s="941" t="s">
        <v>11041</v>
      </c>
      <c r="D275" s="941" t="s">
        <v>11037</v>
      </c>
      <c r="E275" s="1055" t="s">
        <v>11038</v>
      </c>
    </row>
    <row r="276" spans="1:5" ht="12" customHeight="1">
      <c r="A276">
        <v>275</v>
      </c>
      <c r="B276" s="941" t="s">
        <v>11040</v>
      </c>
      <c r="C276" s="941" t="s">
        <v>11041</v>
      </c>
      <c r="D276" s="941" t="s">
        <v>11037</v>
      </c>
      <c r="E276" s="1055" t="s">
        <v>11038</v>
      </c>
    </row>
    <row r="277" spans="1:5" ht="12" customHeight="1">
      <c r="A277">
        <v>276</v>
      </c>
      <c r="B277" s="941" t="s">
        <v>11040</v>
      </c>
      <c r="C277" s="941" t="s">
        <v>11041</v>
      </c>
      <c r="D277" s="941" t="s">
        <v>11037</v>
      </c>
      <c r="E277" s="1055" t="s">
        <v>11038</v>
      </c>
    </row>
    <row r="278" spans="1:5" ht="12" customHeight="1">
      <c r="A278">
        <v>277</v>
      </c>
      <c r="B278" s="941" t="s">
        <v>11040</v>
      </c>
      <c r="C278" s="941" t="s">
        <v>11041</v>
      </c>
      <c r="D278" s="941" t="s">
        <v>11037</v>
      </c>
      <c r="E278" s="1055" t="s">
        <v>11038</v>
      </c>
    </row>
    <row r="279" spans="1:5" ht="12" customHeight="1">
      <c r="A279">
        <v>278</v>
      </c>
      <c r="B279" s="941" t="s">
        <v>11040</v>
      </c>
      <c r="C279" s="941" t="s">
        <v>11041</v>
      </c>
      <c r="D279" s="941" t="s">
        <v>11037</v>
      </c>
      <c r="E279" s="1055" t="s">
        <v>11038</v>
      </c>
    </row>
    <row r="280" spans="1:5" ht="12" customHeight="1">
      <c r="A280">
        <v>279</v>
      </c>
      <c r="B280" s="941" t="s">
        <v>11040</v>
      </c>
      <c r="C280" s="941" t="s">
        <v>11041</v>
      </c>
      <c r="D280" s="941" t="s">
        <v>11037</v>
      </c>
      <c r="E280" s="1055" t="s">
        <v>11038</v>
      </c>
    </row>
    <row r="281" spans="1:5" ht="12" customHeight="1">
      <c r="A281">
        <v>280</v>
      </c>
      <c r="B281" s="941" t="s">
        <v>11040</v>
      </c>
      <c r="C281" s="941" t="s">
        <v>11041</v>
      </c>
      <c r="D281" s="941" t="s">
        <v>11037</v>
      </c>
      <c r="E281" s="1055" t="s">
        <v>11038</v>
      </c>
    </row>
    <row r="282" spans="1:5" ht="12" customHeight="1">
      <c r="A282">
        <v>281</v>
      </c>
      <c r="B282" s="941" t="s">
        <v>11040</v>
      </c>
      <c r="C282" s="941" t="s">
        <v>11041</v>
      </c>
      <c r="D282" s="941" t="s">
        <v>11037</v>
      </c>
      <c r="E282" s="1055" t="s">
        <v>11038</v>
      </c>
    </row>
    <row r="283" spans="1:5" ht="12" customHeight="1">
      <c r="A283">
        <v>282</v>
      </c>
      <c r="B283" s="941" t="s">
        <v>11040</v>
      </c>
      <c r="C283" s="941" t="s">
        <v>11041</v>
      </c>
      <c r="D283" s="941" t="s">
        <v>11037</v>
      </c>
      <c r="E283" s="1055" t="s">
        <v>11038</v>
      </c>
    </row>
    <row r="284" spans="1:5" ht="12" customHeight="1">
      <c r="A284">
        <v>283</v>
      </c>
      <c r="B284" s="941" t="s">
        <v>11040</v>
      </c>
      <c r="C284" s="941" t="s">
        <v>11041</v>
      </c>
      <c r="D284" s="941" t="s">
        <v>11037</v>
      </c>
      <c r="E284" s="1055" t="s">
        <v>11038</v>
      </c>
    </row>
    <row r="285" spans="1:5" ht="12" customHeight="1">
      <c r="A285">
        <v>284</v>
      </c>
      <c r="B285" s="941" t="s">
        <v>11040</v>
      </c>
      <c r="C285" s="941" t="s">
        <v>11041</v>
      </c>
      <c r="D285" s="941" t="s">
        <v>11037</v>
      </c>
      <c r="E285" s="1055" t="s">
        <v>11038</v>
      </c>
    </row>
    <row r="286" spans="1:5" ht="12" customHeight="1">
      <c r="A286">
        <v>285</v>
      </c>
      <c r="B286" s="941" t="s">
        <v>11040</v>
      </c>
      <c r="C286" s="941" t="s">
        <v>11041</v>
      </c>
      <c r="D286" s="941" t="s">
        <v>11037</v>
      </c>
      <c r="E286" s="1055" t="s">
        <v>11038</v>
      </c>
    </row>
    <row r="287" spans="1:5" ht="12" customHeight="1">
      <c r="A287">
        <v>286</v>
      </c>
      <c r="B287" s="941" t="s">
        <v>11040</v>
      </c>
      <c r="C287" s="941" t="s">
        <v>11041</v>
      </c>
      <c r="D287" s="941" t="s">
        <v>11037</v>
      </c>
      <c r="E287" s="1055" t="s">
        <v>11038</v>
      </c>
    </row>
    <row r="288" spans="1:5" ht="12" customHeight="1">
      <c r="A288">
        <v>287</v>
      </c>
      <c r="B288" s="941" t="s">
        <v>11040</v>
      </c>
      <c r="C288" s="941" t="s">
        <v>11041</v>
      </c>
      <c r="D288" s="941" t="s">
        <v>11037</v>
      </c>
      <c r="E288" s="1055" t="s">
        <v>11038</v>
      </c>
    </row>
    <row r="289" spans="1:5" ht="12" customHeight="1">
      <c r="A289">
        <v>288</v>
      </c>
      <c r="B289" s="941" t="s">
        <v>11040</v>
      </c>
      <c r="C289" s="941" t="s">
        <v>11041</v>
      </c>
      <c r="D289" s="941" t="s">
        <v>11037</v>
      </c>
      <c r="E289" s="1055" t="s">
        <v>11038</v>
      </c>
    </row>
    <row r="290" spans="1:5" ht="12" customHeight="1">
      <c r="A290">
        <v>289</v>
      </c>
      <c r="B290" s="941" t="s">
        <v>11040</v>
      </c>
      <c r="C290" s="941" t="s">
        <v>11041</v>
      </c>
      <c r="D290" s="941" t="s">
        <v>11037</v>
      </c>
      <c r="E290" s="1055" t="s">
        <v>11038</v>
      </c>
    </row>
    <row r="291" spans="1:5" ht="12" customHeight="1">
      <c r="A291">
        <v>290</v>
      </c>
      <c r="B291" s="941" t="s">
        <v>11040</v>
      </c>
      <c r="C291" s="941" t="s">
        <v>11041</v>
      </c>
      <c r="D291" s="941" t="s">
        <v>11037</v>
      </c>
      <c r="E291" s="1055" t="s">
        <v>11038</v>
      </c>
    </row>
    <row r="292" spans="1:5" ht="12" customHeight="1">
      <c r="A292">
        <v>291</v>
      </c>
      <c r="B292" s="941" t="s">
        <v>11040</v>
      </c>
      <c r="C292" s="941" t="s">
        <v>11041</v>
      </c>
      <c r="D292" s="941" t="s">
        <v>11037</v>
      </c>
      <c r="E292" s="1055" t="s">
        <v>11038</v>
      </c>
    </row>
    <row r="293" spans="1:5" ht="12" customHeight="1">
      <c r="A293">
        <v>292</v>
      </c>
      <c r="B293" s="941" t="s">
        <v>11040</v>
      </c>
      <c r="C293" s="941" t="s">
        <v>11041</v>
      </c>
      <c r="D293" s="941" t="s">
        <v>11037</v>
      </c>
      <c r="E293" s="1055" t="s">
        <v>11038</v>
      </c>
    </row>
    <row r="294" spans="1:5" ht="12" customHeight="1">
      <c r="A294">
        <v>293</v>
      </c>
      <c r="B294" s="941" t="s">
        <v>11040</v>
      </c>
      <c r="C294" s="941" t="s">
        <v>11041</v>
      </c>
      <c r="D294" s="941" t="s">
        <v>11037</v>
      </c>
      <c r="E294" s="1055" t="s">
        <v>11038</v>
      </c>
    </row>
    <row r="295" spans="1:5" ht="12" customHeight="1">
      <c r="A295">
        <v>294</v>
      </c>
      <c r="B295" s="941" t="s">
        <v>11040</v>
      </c>
      <c r="C295" s="941" t="s">
        <v>11041</v>
      </c>
      <c r="D295" s="941" t="s">
        <v>11037</v>
      </c>
      <c r="E295" s="1055" t="s">
        <v>11038</v>
      </c>
    </row>
    <row r="296" spans="1:5" ht="12" customHeight="1">
      <c r="A296">
        <v>295</v>
      </c>
      <c r="B296" s="941" t="s">
        <v>11040</v>
      </c>
      <c r="C296" s="941" t="s">
        <v>11041</v>
      </c>
      <c r="D296" s="941" t="s">
        <v>11037</v>
      </c>
      <c r="E296" s="1055" t="s">
        <v>11038</v>
      </c>
    </row>
    <row r="297" spans="1:5" ht="12" customHeight="1">
      <c r="A297">
        <v>296</v>
      </c>
      <c r="B297" s="941" t="s">
        <v>11040</v>
      </c>
      <c r="C297" s="941" t="s">
        <v>11041</v>
      </c>
      <c r="D297" s="941" t="s">
        <v>11037</v>
      </c>
      <c r="E297" s="1055" t="s">
        <v>11038</v>
      </c>
    </row>
    <row r="298" spans="1:5" ht="12" customHeight="1">
      <c r="A298">
        <v>297</v>
      </c>
      <c r="B298" s="941" t="s">
        <v>11040</v>
      </c>
      <c r="C298" s="941" t="s">
        <v>11041</v>
      </c>
      <c r="D298" s="941" t="s">
        <v>11037</v>
      </c>
      <c r="E298" s="1055" t="s">
        <v>11038</v>
      </c>
    </row>
    <row r="299" spans="1:5" ht="12" customHeight="1">
      <c r="A299">
        <v>298</v>
      </c>
      <c r="B299" s="941" t="s">
        <v>11040</v>
      </c>
      <c r="C299" s="941" t="s">
        <v>11041</v>
      </c>
      <c r="D299" s="941" t="s">
        <v>11037</v>
      </c>
      <c r="E299" s="1055" t="s">
        <v>11038</v>
      </c>
    </row>
    <row r="300" spans="1:5" ht="12" customHeight="1">
      <c r="A300">
        <v>299</v>
      </c>
      <c r="B300" s="941" t="s">
        <v>11040</v>
      </c>
      <c r="C300" s="941" t="s">
        <v>11041</v>
      </c>
      <c r="D300" s="941" t="s">
        <v>11037</v>
      </c>
      <c r="E300" s="1055" t="s">
        <v>11038</v>
      </c>
    </row>
    <row r="301" spans="1:5" ht="12" customHeight="1">
      <c r="A301">
        <v>300</v>
      </c>
      <c r="B301" s="941" t="s">
        <v>11040</v>
      </c>
      <c r="C301" s="941" t="s">
        <v>11041</v>
      </c>
      <c r="D301" s="941" t="s">
        <v>11037</v>
      </c>
      <c r="E301" s="1055" t="s">
        <v>11038</v>
      </c>
    </row>
    <row r="302" spans="1:5" ht="12" customHeight="1">
      <c r="A302">
        <v>301</v>
      </c>
      <c r="B302" s="941" t="s">
        <v>11040</v>
      </c>
      <c r="C302" s="941" t="s">
        <v>11041</v>
      </c>
      <c r="D302" s="941" t="s">
        <v>11037</v>
      </c>
      <c r="E302" s="1055" t="s">
        <v>11038</v>
      </c>
    </row>
    <row r="303" spans="1:5" ht="12" customHeight="1">
      <c r="A303">
        <v>302</v>
      </c>
      <c r="B303" s="941" t="s">
        <v>11040</v>
      </c>
      <c r="C303" s="941" t="s">
        <v>11041</v>
      </c>
      <c r="D303" s="941" t="s">
        <v>11037</v>
      </c>
      <c r="E303" s="1055" t="s">
        <v>11038</v>
      </c>
    </row>
    <row r="304" spans="1:5" ht="12" customHeight="1">
      <c r="A304">
        <v>303</v>
      </c>
      <c r="B304" s="941" t="s">
        <v>11040</v>
      </c>
      <c r="C304" s="941" t="s">
        <v>11041</v>
      </c>
      <c r="D304" s="941" t="s">
        <v>11037</v>
      </c>
      <c r="E304" s="1055" t="s">
        <v>11038</v>
      </c>
    </row>
    <row r="305" spans="1:5" ht="12" customHeight="1">
      <c r="A305">
        <v>304</v>
      </c>
      <c r="B305" s="941" t="s">
        <v>11040</v>
      </c>
      <c r="C305" s="941" t="s">
        <v>11041</v>
      </c>
      <c r="D305" s="941" t="s">
        <v>11037</v>
      </c>
      <c r="E305" s="1055" t="s">
        <v>11038</v>
      </c>
    </row>
    <row r="306" spans="1:5" ht="12" customHeight="1">
      <c r="A306">
        <v>305</v>
      </c>
      <c r="B306" s="941" t="s">
        <v>11040</v>
      </c>
      <c r="C306" s="941" t="s">
        <v>11041</v>
      </c>
      <c r="D306" s="941" t="s">
        <v>11037</v>
      </c>
      <c r="E306" s="1055" t="s">
        <v>11038</v>
      </c>
    </row>
    <row r="307" spans="1:5" ht="12" customHeight="1">
      <c r="A307">
        <v>306</v>
      </c>
      <c r="B307" s="941" t="s">
        <v>11040</v>
      </c>
      <c r="C307" s="941" t="s">
        <v>11041</v>
      </c>
      <c r="D307" s="941" t="s">
        <v>11037</v>
      </c>
      <c r="E307" s="1055" t="s">
        <v>11038</v>
      </c>
    </row>
    <row r="308" spans="1:5" ht="12" customHeight="1">
      <c r="A308">
        <v>307</v>
      </c>
      <c r="B308" s="941" t="s">
        <v>11040</v>
      </c>
      <c r="C308" s="941" t="s">
        <v>11041</v>
      </c>
      <c r="D308" s="941" t="s">
        <v>11037</v>
      </c>
      <c r="E308" s="1055" t="s">
        <v>11038</v>
      </c>
    </row>
    <row r="309" spans="1:5" ht="12" customHeight="1">
      <c r="A309">
        <v>308</v>
      </c>
      <c r="B309" s="941" t="s">
        <v>11040</v>
      </c>
      <c r="C309" s="941" t="s">
        <v>11041</v>
      </c>
      <c r="D309" s="941" t="s">
        <v>11037</v>
      </c>
      <c r="E309" s="1055" t="s">
        <v>11038</v>
      </c>
    </row>
    <row r="310" spans="1:5" ht="12" customHeight="1">
      <c r="A310">
        <v>309</v>
      </c>
      <c r="B310" s="941" t="s">
        <v>11040</v>
      </c>
      <c r="C310" s="941" t="s">
        <v>11041</v>
      </c>
      <c r="D310" s="941" t="s">
        <v>11037</v>
      </c>
      <c r="E310" s="1055" t="s">
        <v>11038</v>
      </c>
    </row>
    <row r="311" spans="1:5" ht="12" customHeight="1">
      <c r="A311">
        <v>310</v>
      </c>
      <c r="B311" s="941" t="s">
        <v>11040</v>
      </c>
      <c r="C311" s="941" t="s">
        <v>11041</v>
      </c>
      <c r="D311" s="941" t="s">
        <v>11037</v>
      </c>
      <c r="E311" s="1055" t="s">
        <v>11038</v>
      </c>
    </row>
    <row r="312" spans="1:5" ht="12" customHeight="1">
      <c r="A312">
        <v>311</v>
      </c>
      <c r="B312" s="941" t="s">
        <v>11040</v>
      </c>
      <c r="C312" s="941" t="s">
        <v>11041</v>
      </c>
      <c r="D312" s="941" t="s">
        <v>11037</v>
      </c>
      <c r="E312" s="1055" t="s">
        <v>11038</v>
      </c>
    </row>
    <row r="313" spans="1:5" ht="12" customHeight="1">
      <c r="A313">
        <v>312</v>
      </c>
      <c r="B313" s="941" t="s">
        <v>11040</v>
      </c>
      <c r="C313" s="941" t="s">
        <v>11041</v>
      </c>
      <c r="D313" s="941" t="s">
        <v>11037</v>
      </c>
      <c r="E313" s="1055" t="s">
        <v>11038</v>
      </c>
    </row>
    <row r="314" spans="1:5" ht="12" customHeight="1">
      <c r="A314">
        <v>313</v>
      </c>
      <c r="B314" s="941" t="s">
        <v>11040</v>
      </c>
      <c r="C314" s="941" t="s">
        <v>11041</v>
      </c>
      <c r="D314" s="941" t="s">
        <v>11037</v>
      </c>
      <c r="E314" s="1055" t="s">
        <v>11038</v>
      </c>
    </row>
    <row r="315" spans="1:5" ht="12" customHeight="1">
      <c r="A315">
        <v>314</v>
      </c>
      <c r="B315" s="941" t="s">
        <v>11040</v>
      </c>
      <c r="C315" s="941" t="s">
        <v>11041</v>
      </c>
      <c r="D315" s="941" t="s">
        <v>11037</v>
      </c>
      <c r="E315" s="1055" t="s">
        <v>11038</v>
      </c>
    </row>
    <row r="316" spans="1:5" ht="12" customHeight="1">
      <c r="A316">
        <v>315</v>
      </c>
      <c r="B316" s="941" t="s">
        <v>11040</v>
      </c>
      <c r="C316" s="941" t="s">
        <v>11041</v>
      </c>
      <c r="D316" s="941" t="s">
        <v>11037</v>
      </c>
      <c r="E316" s="1055" t="s">
        <v>11038</v>
      </c>
    </row>
    <row r="317" spans="1:5" ht="12" customHeight="1">
      <c r="A317">
        <v>316</v>
      </c>
      <c r="B317" s="941" t="s">
        <v>11040</v>
      </c>
      <c r="C317" s="941" t="s">
        <v>11041</v>
      </c>
      <c r="D317" s="941" t="s">
        <v>11037</v>
      </c>
      <c r="E317" s="1055" t="s">
        <v>11038</v>
      </c>
    </row>
    <row r="318" spans="1:5" ht="12" customHeight="1">
      <c r="A318">
        <v>317</v>
      </c>
      <c r="B318" s="941" t="s">
        <v>11040</v>
      </c>
      <c r="C318" s="941" t="s">
        <v>11041</v>
      </c>
      <c r="D318" s="941" t="s">
        <v>11037</v>
      </c>
      <c r="E318" s="1055" t="s">
        <v>11038</v>
      </c>
    </row>
    <row r="319" spans="1:5" ht="12" customHeight="1">
      <c r="A319">
        <v>318</v>
      </c>
      <c r="B319" s="941" t="s">
        <v>11040</v>
      </c>
      <c r="C319" s="941" t="s">
        <v>11041</v>
      </c>
      <c r="D319" s="941" t="s">
        <v>11037</v>
      </c>
      <c r="E319" s="1055" t="s">
        <v>11038</v>
      </c>
    </row>
    <row r="320" spans="1:5" ht="12" customHeight="1">
      <c r="A320">
        <v>319</v>
      </c>
      <c r="B320" s="941" t="s">
        <v>11040</v>
      </c>
      <c r="C320" s="941" t="s">
        <v>11041</v>
      </c>
      <c r="D320" s="941" t="s">
        <v>11037</v>
      </c>
      <c r="E320" s="1055" t="s">
        <v>11038</v>
      </c>
    </row>
    <row r="321" spans="1:5" ht="12" customHeight="1">
      <c r="A321">
        <v>320</v>
      </c>
      <c r="B321" s="941" t="s">
        <v>11040</v>
      </c>
      <c r="C321" s="941" t="s">
        <v>11041</v>
      </c>
      <c r="D321" s="941" t="s">
        <v>11037</v>
      </c>
      <c r="E321" s="1055" t="s">
        <v>11038</v>
      </c>
    </row>
    <row r="322" spans="1:5" ht="12" customHeight="1">
      <c r="A322">
        <v>321</v>
      </c>
      <c r="B322" s="941" t="s">
        <v>11040</v>
      </c>
      <c r="C322" s="941" t="s">
        <v>11041</v>
      </c>
      <c r="D322" s="941" t="s">
        <v>11037</v>
      </c>
      <c r="E322" s="1055" t="s">
        <v>11038</v>
      </c>
    </row>
    <row r="323" spans="1:5" ht="12" customHeight="1">
      <c r="A323">
        <v>322</v>
      </c>
      <c r="B323" s="941" t="s">
        <v>11040</v>
      </c>
      <c r="C323" s="941" t="s">
        <v>11041</v>
      </c>
      <c r="D323" s="941" t="s">
        <v>11037</v>
      </c>
      <c r="E323" s="1055" t="s">
        <v>11038</v>
      </c>
    </row>
    <row r="324" spans="1:5" ht="12" customHeight="1">
      <c r="A324">
        <v>323</v>
      </c>
      <c r="B324" s="941" t="s">
        <v>11040</v>
      </c>
      <c r="C324" s="941" t="s">
        <v>11041</v>
      </c>
      <c r="D324" s="941" t="s">
        <v>11037</v>
      </c>
      <c r="E324" s="1055" t="s">
        <v>11038</v>
      </c>
    </row>
    <row r="325" spans="1:5" ht="12" customHeight="1">
      <c r="A325">
        <v>324</v>
      </c>
      <c r="B325" s="941" t="s">
        <v>11040</v>
      </c>
      <c r="C325" s="941" t="s">
        <v>11041</v>
      </c>
      <c r="D325" s="941" t="s">
        <v>11037</v>
      </c>
      <c r="E325" s="1055" t="s">
        <v>11038</v>
      </c>
    </row>
    <row r="326" spans="1:5" ht="12" customHeight="1">
      <c r="A326">
        <v>325</v>
      </c>
      <c r="B326" s="941" t="s">
        <v>11040</v>
      </c>
      <c r="C326" s="941" t="s">
        <v>11041</v>
      </c>
      <c r="D326" s="941" t="s">
        <v>11037</v>
      </c>
      <c r="E326" s="1055" t="s">
        <v>11038</v>
      </c>
    </row>
    <row r="327" spans="1:5" ht="12" customHeight="1">
      <c r="A327">
        <v>326</v>
      </c>
      <c r="B327" s="941" t="s">
        <v>11040</v>
      </c>
      <c r="C327" s="941" t="s">
        <v>11041</v>
      </c>
      <c r="D327" s="941" t="s">
        <v>11037</v>
      </c>
      <c r="E327" s="1055" t="s">
        <v>11038</v>
      </c>
    </row>
    <row r="328" spans="1:5" ht="12" customHeight="1">
      <c r="A328">
        <v>327</v>
      </c>
      <c r="B328" s="941" t="s">
        <v>11040</v>
      </c>
      <c r="C328" s="941" t="s">
        <v>11041</v>
      </c>
      <c r="D328" s="941" t="s">
        <v>11037</v>
      </c>
      <c r="E328" s="1055" t="s">
        <v>11038</v>
      </c>
    </row>
    <row r="329" spans="1:5" ht="12" customHeight="1">
      <c r="A329">
        <v>328</v>
      </c>
      <c r="B329" s="941" t="s">
        <v>11040</v>
      </c>
      <c r="C329" s="941" t="s">
        <v>11041</v>
      </c>
      <c r="D329" s="941" t="s">
        <v>11037</v>
      </c>
      <c r="E329" s="1055" t="s">
        <v>11038</v>
      </c>
    </row>
    <row r="330" spans="1:5" ht="12" customHeight="1">
      <c r="A330">
        <v>329</v>
      </c>
      <c r="B330" s="941" t="s">
        <v>11040</v>
      </c>
      <c r="C330" s="941" t="s">
        <v>11041</v>
      </c>
      <c r="D330" s="941" t="s">
        <v>11037</v>
      </c>
      <c r="E330" s="1055" t="s">
        <v>11038</v>
      </c>
    </row>
    <row r="331" spans="1:5" ht="12" customHeight="1">
      <c r="A331">
        <v>330</v>
      </c>
      <c r="B331" s="941" t="s">
        <v>11040</v>
      </c>
      <c r="C331" s="941" t="s">
        <v>11041</v>
      </c>
      <c r="D331" s="941" t="s">
        <v>11037</v>
      </c>
      <c r="E331" s="1055" t="s">
        <v>11038</v>
      </c>
    </row>
    <row r="332" spans="1:5" ht="12" customHeight="1">
      <c r="A332">
        <v>331</v>
      </c>
      <c r="B332" s="941" t="s">
        <v>11040</v>
      </c>
      <c r="C332" s="941" t="s">
        <v>11041</v>
      </c>
      <c r="D332" s="941" t="s">
        <v>11037</v>
      </c>
      <c r="E332" s="1055" t="s">
        <v>11038</v>
      </c>
    </row>
    <row r="333" spans="1:5" ht="12" customHeight="1">
      <c r="A333">
        <v>332</v>
      </c>
      <c r="B333" s="941" t="s">
        <v>11040</v>
      </c>
      <c r="C333" s="941" t="s">
        <v>11041</v>
      </c>
      <c r="D333" s="941" t="s">
        <v>11037</v>
      </c>
      <c r="E333" s="1055" t="s">
        <v>11038</v>
      </c>
    </row>
    <row r="334" spans="1:5" ht="12" customHeight="1">
      <c r="A334">
        <v>333</v>
      </c>
      <c r="B334" s="941" t="s">
        <v>11040</v>
      </c>
      <c r="C334" s="941" t="s">
        <v>11041</v>
      </c>
      <c r="D334" s="941" t="s">
        <v>11037</v>
      </c>
      <c r="E334" s="1055" t="s">
        <v>11038</v>
      </c>
    </row>
    <row r="335" spans="1:5" ht="12" customHeight="1">
      <c r="A335">
        <v>334</v>
      </c>
      <c r="B335" s="941" t="s">
        <v>11040</v>
      </c>
      <c r="C335" s="941" t="s">
        <v>11041</v>
      </c>
      <c r="D335" s="941" t="s">
        <v>11037</v>
      </c>
      <c r="E335" s="1055" t="s">
        <v>11038</v>
      </c>
    </row>
    <row r="336" spans="1:5" ht="12" customHeight="1">
      <c r="A336">
        <v>335</v>
      </c>
      <c r="B336" s="941" t="s">
        <v>11040</v>
      </c>
      <c r="C336" s="941" t="s">
        <v>11041</v>
      </c>
      <c r="D336" s="941" t="s">
        <v>11037</v>
      </c>
      <c r="E336" s="1055" t="s">
        <v>11038</v>
      </c>
    </row>
    <row r="337" spans="1:5" ht="12" customHeight="1">
      <c r="A337">
        <v>336</v>
      </c>
      <c r="B337" s="941" t="s">
        <v>11040</v>
      </c>
      <c r="C337" s="941" t="s">
        <v>11041</v>
      </c>
      <c r="D337" s="941" t="s">
        <v>11037</v>
      </c>
      <c r="E337" s="1055" t="s">
        <v>11038</v>
      </c>
    </row>
    <row r="338" spans="1:5" ht="12" customHeight="1">
      <c r="A338">
        <v>337</v>
      </c>
      <c r="B338" s="941" t="s">
        <v>11040</v>
      </c>
      <c r="C338" s="941" t="s">
        <v>11041</v>
      </c>
      <c r="D338" s="941" t="s">
        <v>11037</v>
      </c>
      <c r="E338" s="1055" t="s">
        <v>11038</v>
      </c>
    </row>
    <row r="339" spans="1:5" ht="12" customHeight="1">
      <c r="A339">
        <v>338</v>
      </c>
      <c r="B339" s="941" t="s">
        <v>11040</v>
      </c>
      <c r="C339" s="941" t="s">
        <v>11041</v>
      </c>
      <c r="D339" s="941" t="s">
        <v>11037</v>
      </c>
      <c r="E339" s="1055" t="s">
        <v>11038</v>
      </c>
    </row>
    <row r="340" spans="1:5" ht="12" customHeight="1">
      <c r="A340">
        <v>339</v>
      </c>
      <c r="B340" s="941" t="s">
        <v>11040</v>
      </c>
      <c r="C340" s="941" t="s">
        <v>11041</v>
      </c>
      <c r="D340" s="941" t="s">
        <v>11037</v>
      </c>
      <c r="E340" s="1055" t="s">
        <v>11038</v>
      </c>
    </row>
    <row r="341" spans="1:5" ht="12" customHeight="1">
      <c r="A341">
        <v>340</v>
      </c>
      <c r="B341" s="941" t="s">
        <v>11040</v>
      </c>
      <c r="C341" s="941" t="s">
        <v>11041</v>
      </c>
      <c r="D341" s="941" t="s">
        <v>11037</v>
      </c>
      <c r="E341" s="1055" t="s">
        <v>11038</v>
      </c>
    </row>
    <row r="342" spans="1:5" ht="12" customHeight="1">
      <c r="A342">
        <v>341</v>
      </c>
      <c r="B342" s="941" t="s">
        <v>11040</v>
      </c>
      <c r="C342" s="941" t="s">
        <v>11041</v>
      </c>
      <c r="D342" s="941" t="s">
        <v>11037</v>
      </c>
      <c r="E342" s="1055" t="s">
        <v>11038</v>
      </c>
    </row>
    <row r="343" spans="1:5" ht="12" customHeight="1">
      <c r="A343">
        <v>342</v>
      </c>
      <c r="B343" s="941" t="s">
        <v>11040</v>
      </c>
      <c r="C343" s="941" t="s">
        <v>11041</v>
      </c>
      <c r="D343" s="941" t="s">
        <v>11037</v>
      </c>
      <c r="E343" s="1055" t="s">
        <v>11038</v>
      </c>
    </row>
    <row r="344" spans="1:5" ht="12" customHeight="1">
      <c r="A344">
        <v>343</v>
      </c>
      <c r="B344" s="941" t="s">
        <v>11040</v>
      </c>
      <c r="C344" s="941" t="s">
        <v>11041</v>
      </c>
      <c r="D344" s="941" t="s">
        <v>11037</v>
      </c>
      <c r="E344" s="1055" t="s">
        <v>11038</v>
      </c>
    </row>
    <row r="345" spans="1:5" ht="12" customHeight="1">
      <c r="A345">
        <v>344</v>
      </c>
      <c r="B345" s="941" t="s">
        <v>11040</v>
      </c>
      <c r="C345" s="941" t="s">
        <v>11041</v>
      </c>
      <c r="D345" s="941" t="s">
        <v>11037</v>
      </c>
      <c r="E345" s="1055" t="s">
        <v>11038</v>
      </c>
    </row>
    <row r="346" spans="1:5" ht="12" customHeight="1">
      <c r="A346">
        <v>345</v>
      </c>
      <c r="B346" s="941" t="s">
        <v>11040</v>
      </c>
      <c r="C346" s="941" t="s">
        <v>11041</v>
      </c>
      <c r="D346" s="941" t="s">
        <v>11037</v>
      </c>
      <c r="E346" s="1055" t="s">
        <v>11038</v>
      </c>
    </row>
    <row r="347" spans="1:5" ht="12" customHeight="1">
      <c r="A347">
        <v>346</v>
      </c>
      <c r="B347" s="941" t="s">
        <v>11040</v>
      </c>
      <c r="C347" s="941" t="s">
        <v>11041</v>
      </c>
      <c r="D347" s="941" t="s">
        <v>11037</v>
      </c>
      <c r="E347" s="1055" t="s">
        <v>11038</v>
      </c>
    </row>
    <row r="348" spans="1:5" ht="12" customHeight="1">
      <c r="A348">
        <v>347</v>
      </c>
      <c r="B348" s="941" t="s">
        <v>11040</v>
      </c>
      <c r="C348" s="941" t="s">
        <v>11041</v>
      </c>
      <c r="D348" s="941" t="s">
        <v>11037</v>
      </c>
      <c r="E348" s="1055" t="s">
        <v>11038</v>
      </c>
    </row>
    <row r="349" spans="1:5" ht="12" customHeight="1">
      <c r="A349">
        <v>348</v>
      </c>
      <c r="B349" s="941" t="s">
        <v>11040</v>
      </c>
      <c r="C349" s="941" t="s">
        <v>11041</v>
      </c>
      <c r="D349" s="941" t="s">
        <v>11037</v>
      </c>
      <c r="E349" s="1055" t="s">
        <v>11038</v>
      </c>
    </row>
    <row r="350" spans="1:5" ht="12" customHeight="1">
      <c r="A350">
        <v>349</v>
      </c>
      <c r="B350" s="941" t="s">
        <v>11040</v>
      </c>
      <c r="C350" s="941" t="s">
        <v>11041</v>
      </c>
      <c r="D350" s="941" t="s">
        <v>11037</v>
      </c>
      <c r="E350" s="1055" t="s">
        <v>11038</v>
      </c>
    </row>
    <row r="351" spans="1:5" ht="12" customHeight="1">
      <c r="A351">
        <v>350</v>
      </c>
      <c r="B351" s="941" t="s">
        <v>11040</v>
      </c>
      <c r="C351" s="941" t="s">
        <v>11041</v>
      </c>
      <c r="D351" s="941" t="s">
        <v>11037</v>
      </c>
      <c r="E351" s="1055" t="s">
        <v>11038</v>
      </c>
    </row>
    <row r="352" spans="1:5" ht="12" customHeight="1">
      <c r="A352">
        <v>351</v>
      </c>
      <c r="B352" s="941" t="s">
        <v>11040</v>
      </c>
      <c r="C352" s="941" t="s">
        <v>11041</v>
      </c>
      <c r="D352" s="941" t="s">
        <v>11037</v>
      </c>
      <c r="E352" s="1055" t="s">
        <v>11038</v>
      </c>
    </row>
    <row r="353" spans="1:5" ht="12" customHeight="1">
      <c r="A353">
        <v>352</v>
      </c>
      <c r="B353" s="941" t="s">
        <v>11040</v>
      </c>
      <c r="C353" s="941" t="s">
        <v>11041</v>
      </c>
      <c r="D353" s="941" t="s">
        <v>11037</v>
      </c>
      <c r="E353" s="1055" t="s">
        <v>11038</v>
      </c>
    </row>
    <row r="354" spans="1:5" ht="12" customHeight="1">
      <c r="A354">
        <v>353</v>
      </c>
      <c r="B354" s="941" t="s">
        <v>11040</v>
      </c>
      <c r="C354" s="941" t="s">
        <v>11041</v>
      </c>
      <c r="D354" s="941" t="s">
        <v>11037</v>
      </c>
      <c r="E354" s="1055" t="s">
        <v>11038</v>
      </c>
    </row>
    <row r="355" spans="1:5" ht="12" customHeight="1">
      <c r="A355">
        <v>354</v>
      </c>
      <c r="B355" s="941" t="s">
        <v>11040</v>
      </c>
      <c r="C355" s="941" t="s">
        <v>11041</v>
      </c>
      <c r="D355" s="941" t="s">
        <v>11037</v>
      </c>
      <c r="E355" s="1055" t="s">
        <v>11038</v>
      </c>
    </row>
    <row r="356" spans="1:5" ht="12" customHeight="1">
      <c r="A356">
        <v>355</v>
      </c>
      <c r="B356" s="941" t="s">
        <v>11040</v>
      </c>
      <c r="C356" s="941" t="s">
        <v>11041</v>
      </c>
      <c r="D356" s="941" t="s">
        <v>11037</v>
      </c>
      <c r="E356" s="1055" t="s">
        <v>11038</v>
      </c>
    </row>
    <row r="357" spans="1:5" ht="12" customHeight="1">
      <c r="A357">
        <v>356</v>
      </c>
      <c r="B357" s="941" t="s">
        <v>11040</v>
      </c>
      <c r="C357" s="941" t="s">
        <v>11041</v>
      </c>
      <c r="D357" s="941" t="s">
        <v>11037</v>
      </c>
      <c r="E357" s="1055" t="s">
        <v>11038</v>
      </c>
    </row>
    <row r="358" spans="1:5" ht="12" customHeight="1">
      <c r="A358">
        <v>357</v>
      </c>
      <c r="B358" s="941" t="s">
        <v>11040</v>
      </c>
      <c r="C358" s="941" t="s">
        <v>11041</v>
      </c>
      <c r="D358" s="941" t="s">
        <v>11037</v>
      </c>
      <c r="E358" s="1055" t="s">
        <v>11038</v>
      </c>
    </row>
    <row r="359" spans="1:5" ht="12" customHeight="1">
      <c r="A359">
        <v>358</v>
      </c>
      <c r="B359" s="941" t="s">
        <v>11040</v>
      </c>
      <c r="C359" s="941" t="s">
        <v>11041</v>
      </c>
      <c r="D359" s="941" t="s">
        <v>11037</v>
      </c>
      <c r="E359" s="1055" t="s">
        <v>11038</v>
      </c>
    </row>
    <row r="360" spans="1:5" ht="12" customHeight="1">
      <c r="A360">
        <v>359</v>
      </c>
      <c r="B360" s="941" t="s">
        <v>11040</v>
      </c>
      <c r="C360" s="941" t="s">
        <v>11041</v>
      </c>
      <c r="D360" s="941" t="s">
        <v>11037</v>
      </c>
      <c r="E360" s="1055" t="s">
        <v>11038</v>
      </c>
    </row>
    <row r="361" spans="1:5" ht="12" customHeight="1">
      <c r="A361">
        <v>360</v>
      </c>
      <c r="B361" s="941" t="s">
        <v>11040</v>
      </c>
      <c r="C361" s="941" t="s">
        <v>11041</v>
      </c>
      <c r="D361" s="941" t="s">
        <v>11037</v>
      </c>
      <c r="E361" s="1055" t="s">
        <v>11038</v>
      </c>
    </row>
    <row r="362" spans="1:5" ht="12" customHeight="1">
      <c r="A362">
        <v>361</v>
      </c>
      <c r="B362" s="941" t="s">
        <v>11040</v>
      </c>
      <c r="C362" s="941" t="s">
        <v>11041</v>
      </c>
      <c r="D362" s="941" t="s">
        <v>11037</v>
      </c>
      <c r="E362" s="1055" t="s">
        <v>11038</v>
      </c>
    </row>
    <row r="363" spans="1:5" ht="12" customHeight="1">
      <c r="A363">
        <v>362</v>
      </c>
      <c r="B363" s="941" t="s">
        <v>11040</v>
      </c>
      <c r="C363" s="941" t="s">
        <v>11041</v>
      </c>
      <c r="D363" s="941" t="s">
        <v>11037</v>
      </c>
      <c r="E363" s="1055" t="s">
        <v>11038</v>
      </c>
    </row>
    <row r="364" spans="1:5" ht="12" customHeight="1">
      <c r="A364">
        <v>363</v>
      </c>
      <c r="B364" s="941" t="s">
        <v>11040</v>
      </c>
      <c r="C364" s="941" t="s">
        <v>11041</v>
      </c>
      <c r="D364" s="941" t="s">
        <v>11037</v>
      </c>
      <c r="E364" s="1055" t="s">
        <v>11038</v>
      </c>
    </row>
    <row r="365" spans="1:5" ht="12" customHeight="1">
      <c r="A365">
        <v>364</v>
      </c>
      <c r="B365" s="941" t="s">
        <v>11040</v>
      </c>
      <c r="C365" s="941" t="s">
        <v>11041</v>
      </c>
      <c r="D365" s="941" t="s">
        <v>11037</v>
      </c>
      <c r="E365" s="1055" t="s">
        <v>11038</v>
      </c>
    </row>
    <row r="366" spans="1:5" ht="12" customHeight="1">
      <c r="A366">
        <v>365</v>
      </c>
      <c r="B366" s="941" t="s">
        <v>11040</v>
      </c>
      <c r="C366" s="941" t="s">
        <v>11041</v>
      </c>
      <c r="D366" s="941" t="s">
        <v>11037</v>
      </c>
      <c r="E366" s="1055" t="s">
        <v>11038</v>
      </c>
    </row>
    <row r="367" spans="1:5" ht="12" customHeight="1">
      <c r="A367">
        <v>366</v>
      </c>
      <c r="B367" s="941" t="s">
        <v>11040</v>
      </c>
      <c r="C367" s="941" t="s">
        <v>11041</v>
      </c>
      <c r="D367" s="941" t="s">
        <v>11037</v>
      </c>
      <c r="E367" s="1055" t="s">
        <v>11038</v>
      </c>
    </row>
    <row r="368" spans="1:5" ht="12" customHeight="1">
      <c r="A368">
        <v>367</v>
      </c>
      <c r="B368" s="941" t="s">
        <v>11040</v>
      </c>
      <c r="C368" s="941" t="s">
        <v>11041</v>
      </c>
      <c r="D368" s="941" t="s">
        <v>11037</v>
      </c>
      <c r="E368" s="1055" t="s">
        <v>11038</v>
      </c>
    </row>
    <row r="369" spans="1:5" ht="12" customHeight="1">
      <c r="A369">
        <v>368</v>
      </c>
      <c r="B369" s="941" t="s">
        <v>11040</v>
      </c>
      <c r="C369" s="941" t="s">
        <v>11041</v>
      </c>
      <c r="D369" s="941" t="s">
        <v>11037</v>
      </c>
      <c r="E369" s="1055" t="s">
        <v>11038</v>
      </c>
    </row>
    <row r="370" spans="1:5" ht="12" customHeight="1">
      <c r="A370">
        <v>369</v>
      </c>
      <c r="B370" s="941" t="s">
        <v>11040</v>
      </c>
      <c r="C370" s="941" t="s">
        <v>11041</v>
      </c>
      <c r="D370" s="941" t="s">
        <v>11037</v>
      </c>
      <c r="E370" s="1055" t="s">
        <v>11038</v>
      </c>
    </row>
    <row r="371" spans="1:5" ht="12" customHeight="1">
      <c r="A371">
        <v>370</v>
      </c>
      <c r="B371" s="941" t="s">
        <v>11040</v>
      </c>
      <c r="C371" s="941" t="s">
        <v>11041</v>
      </c>
      <c r="D371" s="941" t="s">
        <v>11037</v>
      </c>
      <c r="E371" s="1055" t="s">
        <v>11038</v>
      </c>
    </row>
    <row r="372" spans="1:5" ht="12" customHeight="1">
      <c r="A372">
        <v>371</v>
      </c>
      <c r="B372" s="941" t="s">
        <v>11040</v>
      </c>
      <c r="C372" s="941" t="s">
        <v>11041</v>
      </c>
      <c r="D372" s="941" t="s">
        <v>11037</v>
      </c>
      <c r="E372" s="1055" t="s">
        <v>11038</v>
      </c>
    </row>
    <row r="373" spans="1:5" ht="12" customHeight="1">
      <c r="A373">
        <v>372</v>
      </c>
      <c r="B373" s="941" t="s">
        <v>11040</v>
      </c>
      <c r="C373" s="941" t="s">
        <v>11041</v>
      </c>
      <c r="D373" s="941" t="s">
        <v>11037</v>
      </c>
      <c r="E373" s="1055" t="s">
        <v>11038</v>
      </c>
    </row>
    <row r="374" spans="1:5" ht="12" customHeight="1">
      <c r="A374">
        <v>373</v>
      </c>
      <c r="B374" s="941" t="s">
        <v>11040</v>
      </c>
      <c r="C374" s="941" t="s">
        <v>11041</v>
      </c>
      <c r="D374" s="941" t="s">
        <v>11037</v>
      </c>
      <c r="E374" s="1055" t="s">
        <v>11038</v>
      </c>
    </row>
    <row r="375" spans="1:5" ht="12" customHeight="1">
      <c r="A375">
        <v>374</v>
      </c>
      <c r="B375" s="941" t="s">
        <v>11040</v>
      </c>
      <c r="C375" s="941" t="s">
        <v>11041</v>
      </c>
      <c r="D375" s="941" t="s">
        <v>11037</v>
      </c>
      <c r="E375" s="1055" t="s">
        <v>11038</v>
      </c>
    </row>
    <row r="376" spans="1:5" ht="12" customHeight="1">
      <c r="A376">
        <v>375</v>
      </c>
      <c r="B376" s="941" t="s">
        <v>11040</v>
      </c>
      <c r="C376" s="941" t="s">
        <v>11041</v>
      </c>
      <c r="D376" s="941" t="s">
        <v>11037</v>
      </c>
      <c r="E376" s="1055" t="s">
        <v>11038</v>
      </c>
    </row>
    <row r="377" spans="1:5" ht="12" customHeight="1">
      <c r="A377">
        <v>376</v>
      </c>
      <c r="B377" s="941" t="s">
        <v>11040</v>
      </c>
      <c r="C377" s="941" t="s">
        <v>11041</v>
      </c>
      <c r="D377" s="941" t="s">
        <v>11037</v>
      </c>
      <c r="E377" s="1055" t="s">
        <v>11038</v>
      </c>
    </row>
    <row r="378" spans="1:5" ht="12" customHeight="1">
      <c r="A378">
        <v>377</v>
      </c>
      <c r="B378" s="941" t="s">
        <v>11040</v>
      </c>
      <c r="C378" s="941" t="s">
        <v>11041</v>
      </c>
      <c r="D378" s="941" t="s">
        <v>11037</v>
      </c>
      <c r="E378" s="1055" t="s">
        <v>11038</v>
      </c>
    </row>
    <row r="379" spans="1:5" ht="12" customHeight="1">
      <c r="A379">
        <v>378</v>
      </c>
      <c r="B379" s="941" t="s">
        <v>11040</v>
      </c>
      <c r="C379" s="941" t="s">
        <v>11041</v>
      </c>
      <c r="D379" s="941" t="s">
        <v>11037</v>
      </c>
      <c r="E379" s="1055" t="s">
        <v>11038</v>
      </c>
    </row>
    <row r="380" spans="1:5" ht="12" customHeight="1">
      <c r="A380">
        <v>379</v>
      </c>
      <c r="B380" s="941" t="s">
        <v>11040</v>
      </c>
      <c r="C380" s="941" t="s">
        <v>11041</v>
      </c>
      <c r="D380" s="941" t="s">
        <v>11037</v>
      </c>
      <c r="E380" s="1055" t="s">
        <v>11038</v>
      </c>
    </row>
    <row r="381" spans="1:5" ht="12" customHeight="1">
      <c r="A381">
        <v>380</v>
      </c>
      <c r="B381" s="941" t="s">
        <v>11040</v>
      </c>
      <c r="C381" s="941" t="s">
        <v>11041</v>
      </c>
      <c r="D381" s="941" t="s">
        <v>11037</v>
      </c>
      <c r="E381" s="1055" t="s">
        <v>11038</v>
      </c>
    </row>
    <row r="382" spans="1:5" ht="12" customHeight="1">
      <c r="A382">
        <v>381</v>
      </c>
      <c r="B382" s="941" t="s">
        <v>11040</v>
      </c>
      <c r="C382" s="941" t="s">
        <v>11041</v>
      </c>
      <c r="D382" s="941" t="s">
        <v>11037</v>
      </c>
      <c r="E382" s="1055" t="s">
        <v>11038</v>
      </c>
    </row>
    <row r="383" spans="1:5" ht="12" customHeight="1">
      <c r="A383">
        <v>382</v>
      </c>
      <c r="B383" s="941" t="s">
        <v>11040</v>
      </c>
      <c r="C383" s="941" t="s">
        <v>11041</v>
      </c>
      <c r="D383" s="941" t="s">
        <v>11037</v>
      </c>
      <c r="E383" s="1055" t="s">
        <v>11038</v>
      </c>
    </row>
    <row r="384" spans="1:5" ht="12" customHeight="1">
      <c r="A384">
        <v>383</v>
      </c>
      <c r="B384" s="941" t="s">
        <v>11040</v>
      </c>
      <c r="C384" s="941" t="s">
        <v>11041</v>
      </c>
      <c r="D384" s="941" t="s">
        <v>11037</v>
      </c>
      <c r="E384" s="1055" t="s">
        <v>11038</v>
      </c>
    </row>
    <row r="385" spans="1:5" ht="12" customHeight="1">
      <c r="A385">
        <v>384</v>
      </c>
      <c r="B385" s="941" t="s">
        <v>11040</v>
      </c>
      <c r="C385" s="941" t="s">
        <v>11041</v>
      </c>
      <c r="D385" s="941" t="s">
        <v>11037</v>
      </c>
      <c r="E385" s="1055" t="s">
        <v>11038</v>
      </c>
    </row>
    <row r="386" spans="1:5" ht="12" customHeight="1">
      <c r="A386">
        <v>385</v>
      </c>
      <c r="B386" s="941" t="s">
        <v>11040</v>
      </c>
      <c r="C386" s="941" t="s">
        <v>11041</v>
      </c>
      <c r="D386" s="941" t="s">
        <v>11037</v>
      </c>
      <c r="E386" s="1055" t="s">
        <v>11038</v>
      </c>
    </row>
    <row r="387" spans="1:5" ht="12" customHeight="1">
      <c r="A387">
        <v>386</v>
      </c>
      <c r="B387" s="941" t="s">
        <v>11040</v>
      </c>
      <c r="C387" s="941" t="s">
        <v>11041</v>
      </c>
      <c r="D387" s="941" t="s">
        <v>11037</v>
      </c>
      <c r="E387" s="1055" t="s">
        <v>11038</v>
      </c>
    </row>
    <row r="388" spans="1:5" ht="12" customHeight="1">
      <c r="A388">
        <v>387</v>
      </c>
      <c r="B388" s="941" t="s">
        <v>11040</v>
      </c>
      <c r="C388" s="941" t="s">
        <v>11041</v>
      </c>
      <c r="D388" s="941" t="s">
        <v>11037</v>
      </c>
      <c r="E388" s="1055" t="s">
        <v>11038</v>
      </c>
    </row>
    <row r="389" spans="1:5" ht="12" customHeight="1">
      <c r="A389">
        <v>388</v>
      </c>
      <c r="B389" s="941" t="s">
        <v>11040</v>
      </c>
      <c r="C389" s="941" t="s">
        <v>11041</v>
      </c>
      <c r="D389" s="941" t="s">
        <v>11037</v>
      </c>
      <c r="E389" s="1055" t="s">
        <v>11038</v>
      </c>
    </row>
    <row r="390" spans="1:5" ht="12" customHeight="1">
      <c r="A390">
        <v>389</v>
      </c>
      <c r="B390" s="941" t="s">
        <v>11040</v>
      </c>
      <c r="C390" s="941" t="s">
        <v>11041</v>
      </c>
      <c r="D390" s="941" t="s">
        <v>11037</v>
      </c>
      <c r="E390" s="1055" t="s">
        <v>11038</v>
      </c>
    </row>
    <row r="391" spans="1:5" ht="12" customHeight="1">
      <c r="A391">
        <v>390</v>
      </c>
      <c r="B391" s="941" t="s">
        <v>11040</v>
      </c>
      <c r="C391" s="941" t="s">
        <v>11041</v>
      </c>
      <c r="D391" s="941" t="s">
        <v>11037</v>
      </c>
      <c r="E391" s="1055" t="s">
        <v>11038</v>
      </c>
    </row>
    <row r="392" spans="1:5" ht="12" customHeight="1">
      <c r="A392">
        <v>391</v>
      </c>
      <c r="B392" s="941" t="s">
        <v>11040</v>
      </c>
      <c r="C392" s="941" t="s">
        <v>11041</v>
      </c>
      <c r="D392" s="941" t="s">
        <v>11037</v>
      </c>
      <c r="E392" s="1055" t="s">
        <v>11038</v>
      </c>
    </row>
    <row r="393" spans="1:5" ht="12" customHeight="1">
      <c r="A393">
        <v>392</v>
      </c>
      <c r="B393" s="941" t="s">
        <v>11040</v>
      </c>
      <c r="C393" s="941" t="s">
        <v>11041</v>
      </c>
      <c r="D393" s="941" t="s">
        <v>11037</v>
      </c>
      <c r="E393" s="1055" t="s">
        <v>11038</v>
      </c>
    </row>
    <row r="394" spans="1:5" ht="12" customHeight="1">
      <c r="A394">
        <v>393</v>
      </c>
      <c r="B394" s="941" t="s">
        <v>11040</v>
      </c>
      <c r="C394" s="941" t="s">
        <v>11041</v>
      </c>
      <c r="D394" s="941" t="s">
        <v>11037</v>
      </c>
      <c r="E394" s="1055" t="s">
        <v>11038</v>
      </c>
    </row>
    <row r="395" spans="1:5" ht="12" customHeight="1">
      <c r="A395">
        <v>394</v>
      </c>
      <c r="B395" s="941" t="s">
        <v>11040</v>
      </c>
      <c r="C395" s="941" t="s">
        <v>11041</v>
      </c>
      <c r="D395" s="941" t="s">
        <v>11037</v>
      </c>
      <c r="E395" s="1055" t="s">
        <v>11038</v>
      </c>
    </row>
    <row r="396" spans="1:5" ht="12" customHeight="1">
      <c r="A396">
        <v>395</v>
      </c>
      <c r="B396" s="941" t="s">
        <v>11040</v>
      </c>
      <c r="C396" s="941" t="s">
        <v>11041</v>
      </c>
      <c r="D396" s="941" t="s">
        <v>11037</v>
      </c>
      <c r="E396" s="1055" t="s">
        <v>11038</v>
      </c>
    </row>
    <row r="397" spans="1:5" ht="12" customHeight="1">
      <c r="A397">
        <v>396</v>
      </c>
      <c r="B397" s="941" t="s">
        <v>11040</v>
      </c>
      <c r="C397" s="941" t="s">
        <v>11041</v>
      </c>
      <c r="D397" s="941" t="s">
        <v>11037</v>
      </c>
      <c r="E397" s="1055" t="s">
        <v>11038</v>
      </c>
    </row>
    <row r="398" spans="1:5" ht="12" customHeight="1">
      <c r="A398">
        <v>397</v>
      </c>
      <c r="B398" s="941" t="s">
        <v>11040</v>
      </c>
      <c r="C398" s="941" t="s">
        <v>11041</v>
      </c>
      <c r="D398" s="941" t="s">
        <v>11037</v>
      </c>
      <c r="E398" s="1055" t="s">
        <v>11038</v>
      </c>
    </row>
    <row r="399" spans="1:5" ht="12" customHeight="1">
      <c r="A399">
        <v>398</v>
      </c>
      <c r="B399" s="941" t="s">
        <v>11040</v>
      </c>
      <c r="C399" s="941" t="s">
        <v>11041</v>
      </c>
      <c r="D399" s="941" t="s">
        <v>11037</v>
      </c>
      <c r="E399" s="1055" t="s">
        <v>11038</v>
      </c>
    </row>
    <row r="400" spans="1:5" ht="12" customHeight="1">
      <c r="A400">
        <v>399</v>
      </c>
      <c r="B400" s="941" t="s">
        <v>11040</v>
      </c>
      <c r="C400" s="941" t="s">
        <v>11041</v>
      </c>
      <c r="D400" s="941" t="s">
        <v>11037</v>
      </c>
      <c r="E400" s="1055" t="s">
        <v>11038</v>
      </c>
    </row>
    <row r="401" spans="1:5" ht="12" customHeight="1">
      <c r="A401">
        <v>400</v>
      </c>
      <c r="B401" s="941" t="s">
        <v>11040</v>
      </c>
      <c r="C401" s="941" t="s">
        <v>11041</v>
      </c>
      <c r="D401" s="941" t="s">
        <v>11037</v>
      </c>
      <c r="E401" s="1055" t="s">
        <v>11038</v>
      </c>
    </row>
    <row r="402" spans="1:5" ht="12" customHeight="1">
      <c r="A402">
        <v>401</v>
      </c>
      <c r="B402" s="941" t="s">
        <v>11040</v>
      </c>
      <c r="C402" s="941" t="s">
        <v>11041</v>
      </c>
      <c r="D402" s="941" t="s">
        <v>11037</v>
      </c>
      <c r="E402" s="1055" t="s">
        <v>11038</v>
      </c>
    </row>
    <row r="403" spans="1:5" ht="12" customHeight="1">
      <c r="A403">
        <v>402</v>
      </c>
      <c r="B403" s="941" t="s">
        <v>11040</v>
      </c>
      <c r="C403" s="941" t="s">
        <v>11041</v>
      </c>
      <c r="D403" s="941" t="s">
        <v>11037</v>
      </c>
      <c r="E403" s="1055" t="s">
        <v>11038</v>
      </c>
    </row>
    <row r="404" spans="1:5" ht="12" customHeight="1">
      <c r="A404">
        <v>403</v>
      </c>
      <c r="B404" s="941" t="s">
        <v>11040</v>
      </c>
      <c r="C404" s="941" t="s">
        <v>11041</v>
      </c>
      <c r="D404" s="941" t="s">
        <v>11037</v>
      </c>
      <c r="E404" s="1055" t="s">
        <v>11038</v>
      </c>
    </row>
    <row r="405" spans="1:5" ht="12" customHeight="1">
      <c r="A405">
        <v>404</v>
      </c>
      <c r="B405" s="941" t="s">
        <v>11040</v>
      </c>
      <c r="C405" s="941" t="s">
        <v>11041</v>
      </c>
      <c r="D405" s="941" t="s">
        <v>11037</v>
      </c>
      <c r="E405" s="1055" t="s">
        <v>11038</v>
      </c>
    </row>
    <row r="406" spans="1:5" ht="12" customHeight="1">
      <c r="A406">
        <v>405</v>
      </c>
      <c r="B406" s="941" t="s">
        <v>11040</v>
      </c>
      <c r="C406" s="941" t="s">
        <v>11041</v>
      </c>
      <c r="D406" s="941" t="s">
        <v>11037</v>
      </c>
      <c r="E406" s="1055" t="s">
        <v>11038</v>
      </c>
    </row>
    <row r="407" spans="1:5" ht="12" customHeight="1">
      <c r="A407">
        <v>406</v>
      </c>
      <c r="B407" s="941" t="s">
        <v>11040</v>
      </c>
      <c r="C407" s="941" t="s">
        <v>11041</v>
      </c>
      <c r="D407" s="941" t="s">
        <v>11037</v>
      </c>
      <c r="E407" s="1055" t="s">
        <v>11038</v>
      </c>
    </row>
    <row r="408" spans="1:5" ht="12" customHeight="1">
      <c r="A408">
        <v>407</v>
      </c>
      <c r="B408" s="941" t="s">
        <v>11040</v>
      </c>
      <c r="C408" s="941" t="s">
        <v>11041</v>
      </c>
      <c r="D408" s="941" t="s">
        <v>11037</v>
      </c>
      <c r="E408" s="1055" t="s">
        <v>11038</v>
      </c>
    </row>
    <row r="409" spans="1:5" ht="12" customHeight="1">
      <c r="A409">
        <v>408</v>
      </c>
      <c r="B409" s="941" t="s">
        <v>11040</v>
      </c>
      <c r="C409" s="941" t="s">
        <v>11041</v>
      </c>
      <c r="D409" s="941" t="s">
        <v>11037</v>
      </c>
      <c r="E409" s="1055" t="s">
        <v>11038</v>
      </c>
    </row>
    <row r="410" spans="1:5" ht="12" customHeight="1">
      <c r="A410">
        <v>409</v>
      </c>
      <c r="B410" s="941" t="s">
        <v>11040</v>
      </c>
      <c r="C410" s="941" t="s">
        <v>11041</v>
      </c>
      <c r="D410" s="941" t="s">
        <v>11037</v>
      </c>
      <c r="E410" s="1055" t="s">
        <v>11038</v>
      </c>
    </row>
    <row r="411" spans="1:5" ht="12" customHeight="1">
      <c r="A411">
        <v>410</v>
      </c>
      <c r="B411" s="941" t="s">
        <v>11040</v>
      </c>
      <c r="C411" s="941" t="s">
        <v>11041</v>
      </c>
      <c r="D411" s="941" t="s">
        <v>11037</v>
      </c>
      <c r="E411" s="1055" t="s">
        <v>11038</v>
      </c>
    </row>
    <row r="412" spans="1:5" ht="12" customHeight="1">
      <c r="A412">
        <v>411</v>
      </c>
      <c r="B412" s="941" t="s">
        <v>11040</v>
      </c>
      <c r="C412" s="941" t="s">
        <v>11041</v>
      </c>
      <c r="D412" s="941" t="s">
        <v>11037</v>
      </c>
      <c r="E412" s="1055" t="s">
        <v>11038</v>
      </c>
    </row>
    <row r="413" spans="1:5" ht="12" customHeight="1">
      <c r="A413">
        <v>412</v>
      </c>
      <c r="B413" s="941" t="s">
        <v>11040</v>
      </c>
      <c r="C413" s="941" t="s">
        <v>11041</v>
      </c>
      <c r="D413" s="941" t="s">
        <v>11037</v>
      </c>
      <c r="E413" s="1055" t="s">
        <v>11038</v>
      </c>
    </row>
    <row r="414" spans="1:5" ht="12" customHeight="1">
      <c r="A414">
        <v>413</v>
      </c>
      <c r="B414" s="941" t="s">
        <v>11040</v>
      </c>
      <c r="C414" s="941" t="s">
        <v>11041</v>
      </c>
      <c r="D414" s="941" t="s">
        <v>11037</v>
      </c>
      <c r="E414" s="1055" t="s">
        <v>11038</v>
      </c>
    </row>
    <row r="415" spans="1:5" ht="12" customHeight="1">
      <c r="A415">
        <v>414</v>
      </c>
      <c r="B415" s="941" t="s">
        <v>11040</v>
      </c>
      <c r="C415" s="941" t="s">
        <v>11041</v>
      </c>
      <c r="D415" s="941" t="s">
        <v>11037</v>
      </c>
      <c r="E415" s="1055" t="s">
        <v>11038</v>
      </c>
    </row>
    <row r="416" spans="1:5" ht="12" customHeight="1">
      <c r="A416">
        <v>415</v>
      </c>
      <c r="B416" s="941" t="s">
        <v>11040</v>
      </c>
      <c r="C416" s="941" t="s">
        <v>11041</v>
      </c>
      <c r="D416" s="941" t="s">
        <v>11037</v>
      </c>
      <c r="E416" s="1055" t="s">
        <v>11038</v>
      </c>
    </row>
    <row r="417" spans="1:5" ht="12" customHeight="1">
      <c r="A417">
        <v>416</v>
      </c>
      <c r="B417" s="941" t="s">
        <v>11040</v>
      </c>
      <c r="C417" s="941" t="s">
        <v>11041</v>
      </c>
      <c r="D417" s="941" t="s">
        <v>11037</v>
      </c>
      <c r="E417" s="1055" t="s">
        <v>11038</v>
      </c>
    </row>
    <row r="418" spans="1:5" ht="12" customHeight="1">
      <c r="A418">
        <v>417</v>
      </c>
      <c r="B418" s="941" t="s">
        <v>11040</v>
      </c>
      <c r="C418" s="941" t="s">
        <v>11041</v>
      </c>
      <c r="D418" s="941" t="s">
        <v>11037</v>
      </c>
      <c r="E418" s="1055" t="s">
        <v>11038</v>
      </c>
    </row>
    <row r="419" spans="1:5" ht="12" customHeight="1">
      <c r="A419">
        <v>418</v>
      </c>
      <c r="B419" s="941" t="s">
        <v>11040</v>
      </c>
      <c r="C419" s="941" t="s">
        <v>11041</v>
      </c>
      <c r="D419" s="941" t="s">
        <v>11037</v>
      </c>
      <c r="E419" s="1055" t="s">
        <v>11038</v>
      </c>
    </row>
    <row r="420" spans="1:5" ht="12" customHeight="1">
      <c r="A420">
        <v>419</v>
      </c>
      <c r="B420" s="941" t="s">
        <v>11040</v>
      </c>
      <c r="C420" s="941" t="s">
        <v>11041</v>
      </c>
      <c r="D420" s="941" t="s">
        <v>11037</v>
      </c>
      <c r="E420" s="1055" t="s">
        <v>11038</v>
      </c>
    </row>
    <row r="421" spans="1:5" ht="12" customHeight="1">
      <c r="A421">
        <v>420</v>
      </c>
      <c r="B421" s="941" t="s">
        <v>11040</v>
      </c>
      <c r="C421" s="941" t="s">
        <v>11041</v>
      </c>
      <c r="D421" s="941" t="s">
        <v>11037</v>
      </c>
      <c r="E421" s="1055" t="s">
        <v>11038</v>
      </c>
    </row>
    <row r="422" spans="1:5" ht="12" customHeight="1">
      <c r="A422">
        <v>421</v>
      </c>
      <c r="B422" s="941" t="s">
        <v>11040</v>
      </c>
      <c r="C422" s="941" t="s">
        <v>11041</v>
      </c>
      <c r="D422" s="941" t="s">
        <v>11037</v>
      </c>
      <c r="E422" s="1055" t="s">
        <v>11038</v>
      </c>
    </row>
    <row r="423" spans="1:5" ht="12" customHeight="1">
      <c r="A423">
        <v>422</v>
      </c>
      <c r="B423" s="941" t="s">
        <v>11040</v>
      </c>
      <c r="C423" s="941" t="s">
        <v>11041</v>
      </c>
      <c r="D423" s="941" t="s">
        <v>11037</v>
      </c>
      <c r="E423" s="1055" t="s">
        <v>11038</v>
      </c>
    </row>
    <row r="424" spans="1:5" ht="12" customHeight="1">
      <c r="A424">
        <v>423</v>
      </c>
      <c r="B424" s="941" t="s">
        <v>11040</v>
      </c>
      <c r="C424" s="941" t="s">
        <v>11041</v>
      </c>
      <c r="D424" s="941" t="s">
        <v>11037</v>
      </c>
      <c r="E424" s="1055" t="s">
        <v>11038</v>
      </c>
    </row>
    <row r="425" spans="1:5" ht="12" customHeight="1">
      <c r="A425">
        <v>424</v>
      </c>
      <c r="B425" s="941" t="s">
        <v>11040</v>
      </c>
      <c r="C425" s="941" t="s">
        <v>11041</v>
      </c>
      <c r="D425" s="941" t="s">
        <v>11037</v>
      </c>
      <c r="E425" s="1055" t="s">
        <v>11038</v>
      </c>
    </row>
    <row r="426" spans="1:5" ht="12" customHeight="1">
      <c r="A426">
        <v>425</v>
      </c>
      <c r="B426" s="941" t="s">
        <v>11040</v>
      </c>
      <c r="C426" s="941" t="s">
        <v>11041</v>
      </c>
      <c r="D426" s="941" t="s">
        <v>11037</v>
      </c>
      <c r="E426" s="1055" t="s">
        <v>11038</v>
      </c>
    </row>
    <row r="427" spans="1:5" ht="12" customHeight="1">
      <c r="A427">
        <v>426</v>
      </c>
      <c r="B427" s="941" t="s">
        <v>11040</v>
      </c>
      <c r="C427" s="941" t="s">
        <v>11041</v>
      </c>
      <c r="D427" s="941" t="s">
        <v>11037</v>
      </c>
      <c r="E427" s="1055" t="s">
        <v>11038</v>
      </c>
    </row>
    <row r="428" spans="1:5" ht="12" customHeight="1">
      <c r="A428">
        <v>427</v>
      </c>
      <c r="B428" s="941" t="s">
        <v>11040</v>
      </c>
      <c r="C428" s="941" t="s">
        <v>11041</v>
      </c>
      <c r="D428" s="941" t="s">
        <v>11037</v>
      </c>
      <c r="E428" s="1055" t="s">
        <v>11038</v>
      </c>
    </row>
    <row r="429" spans="1:5" ht="12" customHeight="1">
      <c r="A429">
        <v>428</v>
      </c>
      <c r="B429" s="941" t="s">
        <v>11040</v>
      </c>
      <c r="C429" s="941" t="s">
        <v>11041</v>
      </c>
      <c r="D429" s="941" t="s">
        <v>11037</v>
      </c>
      <c r="E429" s="1055" t="s">
        <v>11038</v>
      </c>
    </row>
    <row r="430" spans="1:5" ht="12" customHeight="1">
      <c r="A430">
        <v>429</v>
      </c>
      <c r="B430" s="941" t="s">
        <v>11040</v>
      </c>
      <c r="C430" s="941" t="s">
        <v>11041</v>
      </c>
      <c r="D430" s="941" t="s">
        <v>11037</v>
      </c>
      <c r="E430" s="1055" t="s">
        <v>11038</v>
      </c>
    </row>
    <row r="431" spans="1:5" ht="12" customHeight="1">
      <c r="A431">
        <v>430</v>
      </c>
      <c r="B431" s="941" t="s">
        <v>11040</v>
      </c>
      <c r="C431" s="941" t="s">
        <v>11041</v>
      </c>
      <c r="D431" s="941" t="s">
        <v>11037</v>
      </c>
      <c r="E431" s="1055" t="s">
        <v>11038</v>
      </c>
    </row>
    <row r="432" spans="1:5" ht="12" customHeight="1">
      <c r="A432">
        <v>431</v>
      </c>
      <c r="B432" s="941" t="s">
        <v>11040</v>
      </c>
      <c r="C432" s="941" t="s">
        <v>11041</v>
      </c>
      <c r="D432" s="941" t="s">
        <v>11037</v>
      </c>
      <c r="E432" s="1055" t="s">
        <v>11038</v>
      </c>
    </row>
    <row r="433" spans="1:5" ht="12" customHeight="1">
      <c r="A433">
        <v>432</v>
      </c>
      <c r="B433" s="941" t="s">
        <v>11040</v>
      </c>
      <c r="C433" s="941" t="s">
        <v>11041</v>
      </c>
      <c r="D433" s="941" t="s">
        <v>11037</v>
      </c>
      <c r="E433" s="1055" t="s">
        <v>11038</v>
      </c>
    </row>
    <row r="434" spans="1:5" ht="12" customHeight="1">
      <c r="A434">
        <v>433</v>
      </c>
      <c r="B434" s="941" t="s">
        <v>11040</v>
      </c>
      <c r="C434" s="941" t="s">
        <v>11041</v>
      </c>
      <c r="D434" s="941" t="s">
        <v>11037</v>
      </c>
      <c r="E434" s="1055" t="s">
        <v>11038</v>
      </c>
    </row>
    <row r="435" spans="1:5" ht="12" customHeight="1">
      <c r="A435">
        <v>434</v>
      </c>
      <c r="B435" s="941" t="s">
        <v>11040</v>
      </c>
      <c r="C435" s="941" t="s">
        <v>11041</v>
      </c>
      <c r="D435" s="941" t="s">
        <v>11037</v>
      </c>
      <c r="E435" s="1055" t="s">
        <v>11038</v>
      </c>
    </row>
    <row r="436" spans="1:5" ht="12" customHeight="1">
      <c r="A436">
        <v>435</v>
      </c>
      <c r="B436" s="941" t="s">
        <v>11040</v>
      </c>
      <c r="C436" s="941" t="s">
        <v>11041</v>
      </c>
      <c r="D436" s="941" t="s">
        <v>11037</v>
      </c>
      <c r="E436" s="1055" t="s">
        <v>11038</v>
      </c>
    </row>
    <row r="437" spans="1:5" ht="12" customHeight="1">
      <c r="A437">
        <v>436</v>
      </c>
      <c r="B437" s="941" t="s">
        <v>11040</v>
      </c>
      <c r="C437" s="941" t="s">
        <v>11041</v>
      </c>
      <c r="D437" s="941" t="s">
        <v>11037</v>
      </c>
      <c r="E437" s="1055" t="s">
        <v>11038</v>
      </c>
    </row>
    <row r="438" spans="1:5" ht="12" customHeight="1">
      <c r="A438">
        <v>437</v>
      </c>
      <c r="B438" s="941" t="s">
        <v>11040</v>
      </c>
      <c r="C438" s="941" t="s">
        <v>11041</v>
      </c>
      <c r="D438" s="941" t="s">
        <v>11037</v>
      </c>
      <c r="E438" s="1055" t="s">
        <v>11038</v>
      </c>
    </row>
    <row r="439" spans="1:5" ht="12" customHeight="1">
      <c r="A439">
        <v>438</v>
      </c>
      <c r="B439" s="941" t="s">
        <v>11040</v>
      </c>
      <c r="C439" s="941" t="s">
        <v>11041</v>
      </c>
      <c r="D439" s="941" t="s">
        <v>11037</v>
      </c>
      <c r="E439" s="1055" t="s">
        <v>11038</v>
      </c>
    </row>
    <row r="440" spans="1:5" ht="12" customHeight="1">
      <c r="A440">
        <v>439</v>
      </c>
      <c r="B440" s="941" t="s">
        <v>11040</v>
      </c>
      <c r="C440" s="941" t="s">
        <v>11041</v>
      </c>
      <c r="D440" s="941" t="s">
        <v>11037</v>
      </c>
      <c r="E440" s="1055" t="s">
        <v>11038</v>
      </c>
    </row>
    <row r="441" spans="1:5" ht="12" customHeight="1">
      <c r="A441">
        <v>440</v>
      </c>
      <c r="B441" s="941" t="s">
        <v>11040</v>
      </c>
      <c r="C441" s="941" t="s">
        <v>11041</v>
      </c>
      <c r="D441" s="941" t="s">
        <v>11037</v>
      </c>
      <c r="E441" s="1055" t="s">
        <v>11038</v>
      </c>
    </row>
    <row r="442" spans="1:5" ht="12" customHeight="1">
      <c r="A442">
        <v>441</v>
      </c>
      <c r="B442" s="941" t="s">
        <v>11040</v>
      </c>
      <c r="C442" s="941" t="s">
        <v>11041</v>
      </c>
      <c r="D442" s="941" t="s">
        <v>11037</v>
      </c>
      <c r="E442" s="1055" t="s">
        <v>11038</v>
      </c>
    </row>
    <row r="443" spans="1:5" ht="12" customHeight="1">
      <c r="A443">
        <v>442</v>
      </c>
      <c r="B443" s="941" t="s">
        <v>11040</v>
      </c>
      <c r="C443" s="941" t="s">
        <v>11041</v>
      </c>
      <c r="D443" s="941" t="s">
        <v>11037</v>
      </c>
      <c r="E443" s="1055" t="s">
        <v>11038</v>
      </c>
    </row>
    <row r="444" spans="1:5" ht="12" customHeight="1">
      <c r="A444">
        <v>443</v>
      </c>
      <c r="B444" s="941" t="s">
        <v>11040</v>
      </c>
      <c r="C444" s="941" t="s">
        <v>11041</v>
      </c>
      <c r="D444" s="941" t="s">
        <v>11037</v>
      </c>
      <c r="E444" s="1055" t="s">
        <v>11038</v>
      </c>
    </row>
    <row r="445" spans="1:5" ht="12" customHeight="1">
      <c r="A445">
        <v>444</v>
      </c>
      <c r="B445" s="941" t="s">
        <v>11040</v>
      </c>
      <c r="C445" s="941" t="s">
        <v>11041</v>
      </c>
      <c r="D445" s="941" t="s">
        <v>11037</v>
      </c>
      <c r="E445" s="1055" t="s">
        <v>11038</v>
      </c>
    </row>
    <row r="446" spans="1:5" ht="12" customHeight="1">
      <c r="A446">
        <v>445</v>
      </c>
      <c r="B446" s="941" t="s">
        <v>11040</v>
      </c>
      <c r="C446" s="941" t="s">
        <v>11041</v>
      </c>
      <c r="D446" s="941" t="s">
        <v>11037</v>
      </c>
      <c r="E446" s="1055" t="s">
        <v>11038</v>
      </c>
    </row>
    <row r="447" spans="1:5" ht="12" customHeight="1">
      <c r="A447">
        <v>446</v>
      </c>
      <c r="B447" s="941" t="s">
        <v>11040</v>
      </c>
      <c r="C447" s="941" t="s">
        <v>11041</v>
      </c>
      <c r="D447" s="941" t="s">
        <v>11037</v>
      </c>
      <c r="E447" s="1055" t="s">
        <v>11038</v>
      </c>
    </row>
    <row r="448" spans="1:5" ht="12" customHeight="1">
      <c r="A448">
        <v>447</v>
      </c>
      <c r="B448" s="941" t="s">
        <v>11040</v>
      </c>
      <c r="C448" s="941" t="s">
        <v>11041</v>
      </c>
      <c r="D448" s="941" t="s">
        <v>11037</v>
      </c>
      <c r="E448" s="1055" t="s">
        <v>11038</v>
      </c>
    </row>
    <row r="449" spans="1:5" ht="12" customHeight="1">
      <c r="A449">
        <v>448</v>
      </c>
      <c r="B449" s="941" t="s">
        <v>11040</v>
      </c>
      <c r="C449" s="941" t="s">
        <v>11041</v>
      </c>
      <c r="D449" s="941" t="s">
        <v>11037</v>
      </c>
      <c r="E449" s="1055" t="s">
        <v>11038</v>
      </c>
    </row>
    <row r="450" spans="1:5" ht="12" customHeight="1">
      <c r="A450">
        <v>449</v>
      </c>
      <c r="B450" s="941" t="s">
        <v>11040</v>
      </c>
      <c r="C450" s="941" t="s">
        <v>11041</v>
      </c>
      <c r="D450" s="941" t="s">
        <v>11037</v>
      </c>
      <c r="E450" s="1055" t="s">
        <v>11038</v>
      </c>
    </row>
    <row r="451" spans="1:5" ht="12" customHeight="1">
      <c r="A451">
        <v>450</v>
      </c>
      <c r="B451" s="941" t="s">
        <v>11040</v>
      </c>
      <c r="C451" s="941" t="s">
        <v>11041</v>
      </c>
      <c r="D451" s="941" t="s">
        <v>11037</v>
      </c>
      <c r="E451" s="1055" t="s">
        <v>11038</v>
      </c>
    </row>
    <row r="452" spans="1:5" ht="12" customHeight="1">
      <c r="A452">
        <v>451</v>
      </c>
      <c r="B452" s="941" t="s">
        <v>11040</v>
      </c>
      <c r="C452" s="941" t="s">
        <v>11041</v>
      </c>
      <c r="D452" s="941" t="s">
        <v>11037</v>
      </c>
      <c r="E452" s="1055" t="s">
        <v>11038</v>
      </c>
    </row>
    <row r="453" spans="1:5" ht="12" customHeight="1">
      <c r="A453">
        <v>452</v>
      </c>
      <c r="B453" s="941" t="s">
        <v>11040</v>
      </c>
      <c r="C453" s="941" t="s">
        <v>11041</v>
      </c>
      <c r="D453" s="941" t="s">
        <v>11037</v>
      </c>
      <c r="E453" s="1055" t="s">
        <v>11038</v>
      </c>
    </row>
    <row r="454" spans="1:5" ht="12" customHeight="1">
      <c r="A454">
        <v>453</v>
      </c>
      <c r="B454" s="941" t="s">
        <v>11040</v>
      </c>
      <c r="C454" s="941" t="s">
        <v>11041</v>
      </c>
      <c r="D454" s="941" t="s">
        <v>11037</v>
      </c>
      <c r="E454" s="1055" t="s">
        <v>11038</v>
      </c>
    </row>
    <row r="455" spans="1:5" ht="12" customHeight="1">
      <c r="A455">
        <v>454</v>
      </c>
      <c r="B455" s="941" t="s">
        <v>11040</v>
      </c>
      <c r="C455" s="941" t="s">
        <v>11041</v>
      </c>
      <c r="D455" s="941" t="s">
        <v>11037</v>
      </c>
      <c r="E455" s="1055" t="s">
        <v>11038</v>
      </c>
    </row>
    <row r="456" spans="1:5" ht="12" customHeight="1">
      <c r="A456">
        <v>455</v>
      </c>
      <c r="B456" s="941" t="s">
        <v>11040</v>
      </c>
      <c r="C456" s="941" t="s">
        <v>11041</v>
      </c>
      <c r="D456" s="941" t="s">
        <v>11037</v>
      </c>
      <c r="E456" s="1055" t="s">
        <v>11038</v>
      </c>
    </row>
    <row r="457" spans="1:5" ht="12" customHeight="1">
      <c r="A457">
        <v>456</v>
      </c>
      <c r="B457" s="941" t="s">
        <v>11040</v>
      </c>
      <c r="C457" s="941" t="s">
        <v>11041</v>
      </c>
      <c r="D457" s="941" t="s">
        <v>11037</v>
      </c>
      <c r="E457" s="1055" t="s">
        <v>11038</v>
      </c>
    </row>
    <row r="458" spans="1:5" ht="12" customHeight="1">
      <c r="A458">
        <v>457</v>
      </c>
      <c r="B458" s="941" t="s">
        <v>11040</v>
      </c>
      <c r="C458" s="941" t="s">
        <v>11041</v>
      </c>
      <c r="D458" s="941" t="s">
        <v>11037</v>
      </c>
      <c r="E458" s="1055" t="s">
        <v>11038</v>
      </c>
    </row>
    <row r="459" spans="1:5" ht="12" customHeight="1">
      <c r="A459">
        <v>458</v>
      </c>
      <c r="B459" s="941" t="s">
        <v>11040</v>
      </c>
      <c r="C459" s="941" t="s">
        <v>11041</v>
      </c>
      <c r="D459" s="941" t="s">
        <v>11037</v>
      </c>
      <c r="E459" s="1055" t="s">
        <v>11038</v>
      </c>
    </row>
    <row r="460" spans="1:5" ht="12" customHeight="1">
      <c r="A460">
        <v>459</v>
      </c>
      <c r="B460" s="941" t="s">
        <v>11040</v>
      </c>
      <c r="C460" s="941" t="s">
        <v>11041</v>
      </c>
      <c r="D460" s="941" t="s">
        <v>11037</v>
      </c>
      <c r="E460" s="1055" t="s">
        <v>11038</v>
      </c>
    </row>
    <row r="461" spans="1:5" ht="12" customHeight="1">
      <c r="A461">
        <v>460</v>
      </c>
      <c r="B461" s="941" t="s">
        <v>11040</v>
      </c>
      <c r="C461" s="941" t="s">
        <v>11041</v>
      </c>
      <c r="D461" s="941" t="s">
        <v>11037</v>
      </c>
      <c r="E461" s="1055" t="s">
        <v>11038</v>
      </c>
    </row>
    <row r="462" spans="1:5" ht="12" customHeight="1">
      <c r="A462">
        <v>461</v>
      </c>
      <c r="B462" s="941" t="s">
        <v>11040</v>
      </c>
      <c r="C462" s="941" t="s">
        <v>11041</v>
      </c>
      <c r="D462" s="941" t="s">
        <v>11037</v>
      </c>
      <c r="E462" s="1055" t="s">
        <v>11038</v>
      </c>
    </row>
    <row r="463" spans="1:5" ht="12" customHeight="1">
      <c r="A463">
        <v>462</v>
      </c>
      <c r="B463" s="941" t="s">
        <v>11040</v>
      </c>
      <c r="C463" s="941" t="s">
        <v>11041</v>
      </c>
      <c r="D463" s="941" t="s">
        <v>11037</v>
      </c>
      <c r="E463" s="1055" t="s">
        <v>11038</v>
      </c>
    </row>
    <row r="464" spans="1:5" ht="12" customHeight="1">
      <c r="A464">
        <v>463</v>
      </c>
      <c r="B464" s="941" t="s">
        <v>11040</v>
      </c>
      <c r="C464" s="941" t="s">
        <v>11041</v>
      </c>
      <c r="D464" s="941" t="s">
        <v>11037</v>
      </c>
      <c r="E464" s="1055" t="s">
        <v>11038</v>
      </c>
    </row>
    <row r="465" spans="1:5" ht="12" customHeight="1">
      <c r="A465">
        <v>464</v>
      </c>
      <c r="B465" s="941" t="s">
        <v>11040</v>
      </c>
      <c r="C465" s="941" t="s">
        <v>11041</v>
      </c>
      <c r="D465" s="941" t="s">
        <v>11037</v>
      </c>
      <c r="E465" s="1055" t="s">
        <v>11038</v>
      </c>
    </row>
    <row r="466" spans="1:5" ht="12" customHeight="1">
      <c r="A466">
        <v>465</v>
      </c>
      <c r="B466" s="941" t="s">
        <v>11040</v>
      </c>
      <c r="C466" s="941" t="s">
        <v>11041</v>
      </c>
      <c r="D466" s="941" t="s">
        <v>11037</v>
      </c>
      <c r="E466" s="1055" t="s">
        <v>11038</v>
      </c>
    </row>
    <row r="467" spans="1:5" ht="12" customHeight="1">
      <c r="A467">
        <v>466</v>
      </c>
      <c r="B467" s="941" t="s">
        <v>11040</v>
      </c>
      <c r="C467" s="941" t="s">
        <v>11041</v>
      </c>
      <c r="D467" s="941" t="s">
        <v>11037</v>
      </c>
      <c r="E467" s="1055" t="s">
        <v>11038</v>
      </c>
    </row>
    <row r="468" spans="1:5" ht="12" customHeight="1">
      <c r="A468">
        <v>467</v>
      </c>
      <c r="B468" s="941" t="s">
        <v>11040</v>
      </c>
      <c r="C468" s="941" t="s">
        <v>11041</v>
      </c>
      <c r="D468" s="941" t="s">
        <v>11037</v>
      </c>
      <c r="E468" s="1055" t="s">
        <v>11038</v>
      </c>
    </row>
    <row r="469" spans="1:5" ht="12" customHeight="1">
      <c r="A469">
        <v>468</v>
      </c>
      <c r="B469" s="941" t="s">
        <v>11040</v>
      </c>
      <c r="C469" s="941" t="s">
        <v>11041</v>
      </c>
      <c r="D469" s="941" t="s">
        <v>11037</v>
      </c>
      <c r="E469" s="1055" t="s">
        <v>11038</v>
      </c>
    </row>
    <row r="470" spans="1:5" ht="12" customHeight="1">
      <c r="A470">
        <v>469</v>
      </c>
      <c r="B470" s="941" t="s">
        <v>11040</v>
      </c>
      <c r="C470" s="941" t="s">
        <v>11041</v>
      </c>
      <c r="D470" s="941" t="s">
        <v>11037</v>
      </c>
      <c r="E470" s="1055" t="s">
        <v>11038</v>
      </c>
    </row>
    <row r="471" spans="1:5" ht="12" customHeight="1">
      <c r="A471">
        <v>470</v>
      </c>
      <c r="B471" s="941" t="s">
        <v>11040</v>
      </c>
      <c r="C471" s="941" t="s">
        <v>11041</v>
      </c>
      <c r="D471" s="941" t="s">
        <v>11037</v>
      </c>
      <c r="E471" s="1055" t="s">
        <v>11038</v>
      </c>
    </row>
    <row r="472" spans="1:5" ht="12" customHeight="1">
      <c r="A472">
        <v>471</v>
      </c>
      <c r="B472" s="941" t="s">
        <v>11040</v>
      </c>
      <c r="C472" s="941" t="s">
        <v>11041</v>
      </c>
      <c r="D472" s="941" t="s">
        <v>11037</v>
      </c>
      <c r="E472" s="1055" t="s">
        <v>11038</v>
      </c>
    </row>
    <row r="473" spans="1:5" ht="12" customHeight="1">
      <c r="A473">
        <v>472</v>
      </c>
      <c r="B473" s="941" t="s">
        <v>11040</v>
      </c>
      <c r="C473" s="941" t="s">
        <v>11041</v>
      </c>
      <c r="D473" s="941" t="s">
        <v>11037</v>
      </c>
      <c r="E473" s="1055" t="s">
        <v>11038</v>
      </c>
    </row>
    <row r="474" spans="1:5" ht="12" customHeight="1">
      <c r="A474">
        <v>473</v>
      </c>
      <c r="B474" s="941" t="s">
        <v>11040</v>
      </c>
      <c r="C474" s="941" t="s">
        <v>11041</v>
      </c>
      <c r="D474" s="941" t="s">
        <v>11037</v>
      </c>
      <c r="E474" s="1055" t="s">
        <v>11038</v>
      </c>
    </row>
    <row r="475" spans="1:5" ht="12" customHeight="1">
      <c r="A475">
        <v>474</v>
      </c>
      <c r="B475" s="941" t="s">
        <v>11040</v>
      </c>
      <c r="C475" s="941" t="s">
        <v>11041</v>
      </c>
      <c r="D475" s="941" t="s">
        <v>11037</v>
      </c>
      <c r="E475" s="1055" t="s">
        <v>11038</v>
      </c>
    </row>
    <row r="476" spans="1:5" ht="12" customHeight="1">
      <c r="A476">
        <v>475</v>
      </c>
      <c r="B476" s="941" t="s">
        <v>11040</v>
      </c>
      <c r="C476" s="941" t="s">
        <v>11041</v>
      </c>
      <c r="D476" s="941" t="s">
        <v>11037</v>
      </c>
      <c r="E476" s="1055" t="s">
        <v>11038</v>
      </c>
    </row>
    <row r="477" spans="1:5" ht="12" customHeight="1">
      <c r="A477">
        <v>476</v>
      </c>
      <c r="B477" s="941" t="s">
        <v>11040</v>
      </c>
      <c r="C477" s="941" t="s">
        <v>11041</v>
      </c>
      <c r="D477" s="941" t="s">
        <v>11037</v>
      </c>
      <c r="E477" s="1055" t="s">
        <v>11038</v>
      </c>
    </row>
    <row r="478" spans="1:5" ht="12" customHeight="1">
      <c r="A478">
        <v>477</v>
      </c>
      <c r="B478" s="941" t="s">
        <v>11040</v>
      </c>
      <c r="C478" s="941" t="s">
        <v>11041</v>
      </c>
      <c r="D478" s="941" t="s">
        <v>11037</v>
      </c>
      <c r="E478" s="1055" t="s">
        <v>11038</v>
      </c>
    </row>
    <row r="479" spans="1:5" ht="12" customHeight="1">
      <c r="A479">
        <v>478</v>
      </c>
      <c r="B479" s="941" t="s">
        <v>11040</v>
      </c>
      <c r="C479" s="941" t="s">
        <v>11041</v>
      </c>
      <c r="D479" s="941" t="s">
        <v>11037</v>
      </c>
      <c r="E479" s="1055" t="s">
        <v>11038</v>
      </c>
    </row>
    <row r="480" spans="1:5" ht="12" customHeight="1">
      <c r="A480">
        <v>479</v>
      </c>
      <c r="B480" s="941" t="s">
        <v>11040</v>
      </c>
      <c r="C480" s="941" t="s">
        <v>11041</v>
      </c>
      <c r="D480" s="941" t="s">
        <v>11037</v>
      </c>
      <c r="E480" s="1055" t="s">
        <v>11038</v>
      </c>
    </row>
    <row r="481" spans="1:5" ht="12" customHeight="1">
      <c r="A481">
        <v>480</v>
      </c>
      <c r="B481" s="941" t="s">
        <v>11040</v>
      </c>
      <c r="C481" s="941" t="s">
        <v>11041</v>
      </c>
      <c r="D481" s="941" t="s">
        <v>11037</v>
      </c>
      <c r="E481" s="1055" t="s">
        <v>11038</v>
      </c>
    </row>
    <row r="482" spans="1:5" ht="12" customHeight="1">
      <c r="A482">
        <v>481</v>
      </c>
      <c r="B482" s="941" t="s">
        <v>11040</v>
      </c>
      <c r="C482" s="941" t="s">
        <v>11041</v>
      </c>
      <c r="D482" s="941" t="s">
        <v>11037</v>
      </c>
      <c r="E482" s="1055" t="s">
        <v>11038</v>
      </c>
    </row>
    <row r="483" spans="1:5" ht="12" customHeight="1">
      <c r="A483">
        <v>482</v>
      </c>
      <c r="B483" s="941" t="s">
        <v>11040</v>
      </c>
      <c r="C483" s="941" t="s">
        <v>11041</v>
      </c>
      <c r="D483" s="941" t="s">
        <v>11037</v>
      </c>
      <c r="E483" s="1055" t="s">
        <v>11038</v>
      </c>
    </row>
    <row r="484" spans="1:5" ht="12" customHeight="1">
      <c r="A484">
        <v>483</v>
      </c>
      <c r="B484" s="941" t="s">
        <v>11040</v>
      </c>
      <c r="C484" s="941" t="s">
        <v>11041</v>
      </c>
      <c r="D484" s="941" t="s">
        <v>11037</v>
      </c>
      <c r="E484" s="1055" t="s">
        <v>11038</v>
      </c>
    </row>
    <row r="485" spans="1:5" ht="12" customHeight="1">
      <c r="A485">
        <v>484</v>
      </c>
      <c r="B485" s="941" t="s">
        <v>11040</v>
      </c>
      <c r="C485" s="941" t="s">
        <v>11041</v>
      </c>
      <c r="D485" s="941" t="s">
        <v>11037</v>
      </c>
      <c r="E485" s="1055" t="s">
        <v>11038</v>
      </c>
    </row>
    <row r="486" spans="1:5" ht="12" customHeight="1">
      <c r="A486">
        <v>485</v>
      </c>
      <c r="B486" s="941" t="s">
        <v>11040</v>
      </c>
      <c r="C486" s="941" t="s">
        <v>11041</v>
      </c>
      <c r="D486" s="941" t="s">
        <v>11037</v>
      </c>
      <c r="E486" s="1055" t="s">
        <v>11038</v>
      </c>
    </row>
    <row r="487" spans="1:5" ht="12" customHeight="1">
      <c r="A487">
        <v>486</v>
      </c>
      <c r="B487" s="941" t="s">
        <v>11040</v>
      </c>
      <c r="C487" s="941" t="s">
        <v>11041</v>
      </c>
      <c r="D487" s="941" t="s">
        <v>11037</v>
      </c>
      <c r="E487" s="1055" t="s">
        <v>11038</v>
      </c>
    </row>
    <row r="488" spans="1:5" ht="12" customHeight="1">
      <c r="A488">
        <v>487</v>
      </c>
      <c r="B488" s="941" t="s">
        <v>11040</v>
      </c>
      <c r="C488" s="941" t="s">
        <v>11041</v>
      </c>
      <c r="D488" s="941" t="s">
        <v>11037</v>
      </c>
      <c r="E488" s="1055" t="s">
        <v>11038</v>
      </c>
    </row>
    <row r="489" spans="1:5" ht="12" customHeight="1">
      <c r="A489">
        <v>488</v>
      </c>
      <c r="B489" s="941" t="s">
        <v>11040</v>
      </c>
      <c r="C489" s="941" t="s">
        <v>11041</v>
      </c>
      <c r="D489" s="941" t="s">
        <v>11037</v>
      </c>
      <c r="E489" s="1055" t="s">
        <v>11038</v>
      </c>
    </row>
    <row r="490" spans="1:5" ht="12" customHeight="1">
      <c r="A490">
        <v>489</v>
      </c>
      <c r="B490" s="941" t="s">
        <v>11040</v>
      </c>
      <c r="C490" s="941" t="s">
        <v>11041</v>
      </c>
      <c r="D490" s="941" t="s">
        <v>11037</v>
      </c>
      <c r="E490" s="1055" t="s">
        <v>11038</v>
      </c>
    </row>
    <row r="491" spans="1:5" ht="12" customHeight="1">
      <c r="A491">
        <v>490</v>
      </c>
      <c r="B491" s="941" t="s">
        <v>11040</v>
      </c>
      <c r="C491" s="941" t="s">
        <v>11041</v>
      </c>
      <c r="D491" s="941" t="s">
        <v>11037</v>
      </c>
      <c r="E491" s="1055" t="s">
        <v>11038</v>
      </c>
    </row>
    <row r="492" spans="1:5" ht="12" customHeight="1">
      <c r="A492">
        <v>491</v>
      </c>
      <c r="B492" s="941" t="s">
        <v>11040</v>
      </c>
      <c r="C492" s="941" t="s">
        <v>11041</v>
      </c>
      <c r="D492" s="941" t="s">
        <v>11037</v>
      </c>
      <c r="E492" s="1055" t="s">
        <v>11038</v>
      </c>
    </row>
    <row r="493" spans="1:5" ht="12" customHeight="1">
      <c r="A493">
        <v>492</v>
      </c>
      <c r="B493" s="941" t="s">
        <v>11040</v>
      </c>
      <c r="C493" s="941" t="s">
        <v>11041</v>
      </c>
      <c r="D493" s="941" t="s">
        <v>11037</v>
      </c>
      <c r="E493" s="1055" t="s">
        <v>11038</v>
      </c>
    </row>
    <row r="494" spans="1:5" ht="12" customHeight="1">
      <c r="A494">
        <v>493</v>
      </c>
      <c r="B494" s="941" t="s">
        <v>11040</v>
      </c>
      <c r="C494" s="941" t="s">
        <v>11041</v>
      </c>
      <c r="D494" s="941" t="s">
        <v>11037</v>
      </c>
      <c r="E494" s="1055" t="s">
        <v>11038</v>
      </c>
    </row>
    <row r="495" spans="1:5" ht="12" customHeight="1">
      <c r="A495">
        <v>494</v>
      </c>
      <c r="B495" s="941" t="s">
        <v>11040</v>
      </c>
      <c r="C495" s="941" t="s">
        <v>11041</v>
      </c>
      <c r="D495" s="941" t="s">
        <v>11037</v>
      </c>
      <c r="E495" s="1055" t="s">
        <v>11038</v>
      </c>
    </row>
    <row r="496" spans="1:5" ht="12" customHeight="1">
      <c r="A496">
        <v>495</v>
      </c>
      <c r="B496" s="941" t="s">
        <v>11040</v>
      </c>
      <c r="C496" s="941" t="s">
        <v>11041</v>
      </c>
      <c r="D496" s="941" t="s">
        <v>11037</v>
      </c>
      <c r="E496" s="1055" t="s">
        <v>11038</v>
      </c>
    </row>
    <row r="497" spans="1:5" ht="12" customHeight="1">
      <c r="A497">
        <v>496</v>
      </c>
      <c r="B497" s="941" t="s">
        <v>11040</v>
      </c>
      <c r="C497" s="941" t="s">
        <v>11041</v>
      </c>
      <c r="D497" s="941" t="s">
        <v>11037</v>
      </c>
      <c r="E497" s="1055" t="s">
        <v>11038</v>
      </c>
    </row>
    <row r="498" spans="1:5" ht="12" customHeight="1">
      <c r="A498">
        <v>497</v>
      </c>
      <c r="B498" s="941" t="s">
        <v>11040</v>
      </c>
      <c r="C498" s="941" t="s">
        <v>11041</v>
      </c>
      <c r="D498" s="941" t="s">
        <v>11037</v>
      </c>
      <c r="E498" s="1055" t="s">
        <v>11038</v>
      </c>
    </row>
    <row r="499" spans="1:5" ht="12" customHeight="1">
      <c r="A499">
        <v>498</v>
      </c>
      <c r="B499" s="941" t="s">
        <v>11040</v>
      </c>
      <c r="C499" s="941" t="s">
        <v>11041</v>
      </c>
      <c r="D499" s="941" t="s">
        <v>11037</v>
      </c>
      <c r="E499" s="1055" t="s">
        <v>11038</v>
      </c>
    </row>
    <row r="500" spans="1:5" ht="12" customHeight="1">
      <c r="A500">
        <v>499</v>
      </c>
      <c r="B500" s="941" t="s">
        <v>11040</v>
      </c>
      <c r="C500" s="941" t="s">
        <v>11041</v>
      </c>
      <c r="D500" s="941" t="s">
        <v>11037</v>
      </c>
      <c r="E500" s="1055" t="s">
        <v>11038</v>
      </c>
    </row>
    <row r="501" spans="1:5" ht="12" customHeight="1">
      <c r="A501">
        <v>500</v>
      </c>
      <c r="B501" s="941" t="s">
        <v>11040</v>
      </c>
      <c r="C501" s="941" t="s">
        <v>11041</v>
      </c>
      <c r="D501" s="941" t="s">
        <v>11037</v>
      </c>
      <c r="E501" s="1055" t="s">
        <v>11038</v>
      </c>
    </row>
    <row r="502" spans="1:5" ht="12" customHeight="1">
      <c r="A502">
        <v>501</v>
      </c>
      <c r="B502" s="941" t="s">
        <v>11040</v>
      </c>
      <c r="C502" s="941" t="s">
        <v>11041</v>
      </c>
      <c r="D502" s="941" t="s">
        <v>11037</v>
      </c>
      <c r="E502" s="1055" t="s">
        <v>11038</v>
      </c>
    </row>
    <row r="503" spans="1:5" ht="12" customHeight="1">
      <c r="A503">
        <v>502</v>
      </c>
      <c r="B503" s="941" t="s">
        <v>11040</v>
      </c>
      <c r="C503" s="941" t="s">
        <v>11041</v>
      </c>
      <c r="D503" s="941" t="s">
        <v>11037</v>
      </c>
      <c r="E503" s="1055" t="s">
        <v>11038</v>
      </c>
    </row>
    <row r="504" spans="1:5" ht="12" customHeight="1">
      <c r="A504">
        <v>503</v>
      </c>
      <c r="B504" s="941" t="s">
        <v>11040</v>
      </c>
      <c r="C504" s="941" t="s">
        <v>11041</v>
      </c>
      <c r="D504" s="941" t="s">
        <v>11037</v>
      </c>
      <c r="E504" s="1055" t="s">
        <v>11038</v>
      </c>
    </row>
    <row r="505" spans="1:5" ht="12" customHeight="1">
      <c r="A505">
        <v>504</v>
      </c>
      <c r="B505" s="941" t="s">
        <v>11040</v>
      </c>
      <c r="C505" s="941" t="s">
        <v>11041</v>
      </c>
      <c r="D505" s="941" t="s">
        <v>11037</v>
      </c>
      <c r="E505" s="1055" t="s">
        <v>11038</v>
      </c>
    </row>
    <row r="506" spans="1:5" ht="12" customHeight="1">
      <c r="A506">
        <v>505</v>
      </c>
      <c r="B506" s="941" t="s">
        <v>11040</v>
      </c>
      <c r="C506" s="941" t="s">
        <v>11041</v>
      </c>
      <c r="D506" s="941" t="s">
        <v>11037</v>
      </c>
      <c r="E506" s="1055" t="s">
        <v>11038</v>
      </c>
    </row>
    <row r="507" spans="1:5" ht="12" customHeight="1">
      <c r="A507">
        <v>506</v>
      </c>
      <c r="B507" s="941" t="s">
        <v>11040</v>
      </c>
      <c r="C507" s="941" t="s">
        <v>11041</v>
      </c>
      <c r="D507" s="941" t="s">
        <v>11037</v>
      </c>
      <c r="E507" s="1055" t="s">
        <v>11038</v>
      </c>
    </row>
    <row r="508" spans="1:5" ht="12" customHeight="1">
      <c r="A508">
        <v>507</v>
      </c>
      <c r="B508" s="941" t="s">
        <v>11040</v>
      </c>
      <c r="C508" s="941" t="s">
        <v>11041</v>
      </c>
      <c r="D508" s="941" t="s">
        <v>11037</v>
      </c>
      <c r="E508" s="1055" t="s">
        <v>11038</v>
      </c>
    </row>
    <row r="509" spans="1:5" ht="12" customHeight="1">
      <c r="A509">
        <v>508</v>
      </c>
      <c r="B509" s="941" t="s">
        <v>11040</v>
      </c>
      <c r="C509" s="941" t="s">
        <v>11041</v>
      </c>
      <c r="D509" s="941" t="s">
        <v>11037</v>
      </c>
      <c r="E509" s="1055" t="s">
        <v>11038</v>
      </c>
    </row>
    <row r="510" spans="1:5" ht="12" customHeight="1">
      <c r="A510">
        <v>509</v>
      </c>
      <c r="B510" s="941" t="s">
        <v>11040</v>
      </c>
      <c r="C510" s="941" t="s">
        <v>11041</v>
      </c>
      <c r="D510" s="941" t="s">
        <v>11037</v>
      </c>
      <c r="E510" s="1055" t="s">
        <v>11038</v>
      </c>
    </row>
    <row r="511" spans="1:5" ht="12" customHeight="1">
      <c r="A511">
        <v>510</v>
      </c>
      <c r="B511" s="941" t="s">
        <v>11040</v>
      </c>
      <c r="C511" s="941" t="s">
        <v>11041</v>
      </c>
      <c r="D511" s="941" t="s">
        <v>11037</v>
      </c>
      <c r="E511" s="1055" t="s">
        <v>11038</v>
      </c>
    </row>
    <row r="512" spans="1:5" ht="12" customHeight="1">
      <c r="A512">
        <v>511</v>
      </c>
      <c r="B512" s="941" t="s">
        <v>11040</v>
      </c>
      <c r="C512" s="941" t="s">
        <v>11041</v>
      </c>
      <c r="D512" s="941" t="s">
        <v>11037</v>
      </c>
      <c r="E512" s="1055" t="s">
        <v>11038</v>
      </c>
    </row>
    <row r="513" spans="1:5" ht="12" customHeight="1">
      <c r="A513">
        <v>512</v>
      </c>
      <c r="B513" s="941" t="s">
        <v>11040</v>
      </c>
      <c r="C513" s="941" t="s">
        <v>11041</v>
      </c>
      <c r="D513" s="941" t="s">
        <v>11037</v>
      </c>
      <c r="E513" s="1055" t="s">
        <v>11038</v>
      </c>
    </row>
    <row r="514" spans="1:5" ht="12" customHeight="1">
      <c r="A514">
        <v>513</v>
      </c>
      <c r="B514" s="941" t="s">
        <v>11040</v>
      </c>
      <c r="C514" s="941" t="s">
        <v>11041</v>
      </c>
      <c r="D514" s="941" t="s">
        <v>11037</v>
      </c>
      <c r="E514" s="1055" t="s">
        <v>11038</v>
      </c>
    </row>
    <row r="515" spans="1:5" ht="12" customHeight="1">
      <c r="A515">
        <v>514</v>
      </c>
      <c r="B515" s="941" t="s">
        <v>11040</v>
      </c>
      <c r="C515" s="941" t="s">
        <v>11041</v>
      </c>
      <c r="D515" s="941" t="s">
        <v>11037</v>
      </c>
      <c r="E515" s="1055" t="s">
        <v>11038</v>
      </c>
    </row>
    <row r="516" spans="1:5" ht="12" customHeight="1">
      <c r="A516">
        <v>515</v>
      </c>
      <c r="B516" s="941" t="s">
        <v>11040</v>
      </c>
      <c r="C516" s="941" t="s">
        <v>11041</v>
      </c>
      <c r="D516" s="941" t="s">
        <v>11037</v>
      </c>
      <c r="E516" s="1055" t="s">
        <v>11038</v>
      </c>
    </row>
    <row r="517" spans="1:5" ht="12" customHeight="1">
      <c r="A517">
        <v>516</v>
      </c>
      <c r="B517" s="941" t="s">
        <v>11040</v>
      </c>
      <c r="C517" s="941" t="s">
        <v>11041</v>
      </c>
      <c r="D517" s="941" t="s">
        <v>11037</v>
      </c>
      <c r="E517" s="1055" t="s">
        <v>11038</v>
      </c>
    </row>
    <row r="518" spans="1:5" ht="12" customHeight="1">
      <c r="A518">
        <v>517</v>
      </c>
      <c r="B518" s="941" t="s">
        <v>11040</v>
      </c>
      <c r="C518" s="941" t="s">
        <v>11041</v>
      </c>
      <c r="D518" s="941" t="s">
        <v>11037</v>
      </c>
      <c r="E518" s="1055" t="s">
        <v>11038</v>
      </c>
    </row>
    <row r="519" spans="1:5" ht="12" customHeight="1">
      <c r="A519">
        <v>518</v>
      </c>
      <c r="B519" s="941" t="s">
        <v>11040</v>
      </c>
      <c r="C519" s="941" t="s">
        <v>11041</v>
      </c>
      <c r="D519" s="941" t="s">
        <v>11037</v>
      </c>
      <c r="E519" s="1055" t="s">
        <v>11038</v>
      </c>
    </row>
    <row r="520" spans="1:5" ht="12" customHeight="1">
      <c r="A520">
        <v>519</v>
      </c>
      <c r="B520" s="941" t="s">
        <v>11040</v>
      </c>
      <c r="C520" s="941" t="s">
        <v>11041</v>
      </c>
      <c r="D520" s="941" t="s">
        <v>11037</v>
      </c>
      <c r="E520" s="1055" t="s">
        <v>11038</v>
      </c>
    </row>
    <row r="521" spans="1:5" ht="12" customHeight="1">
      <c r="A521">
        <v>520</v>
      </c>
      <c r="B521" s="941" t="s">
        <v>11040</v>
      </c>
      <c r="C521" s="941" t="s">
        <v>11041</v>
      </c>
      <c r="D521" s="941" t="s">
        <v>11037</v>
      </c>
      <c r="E521" s="1055" t="s">
        <v>11038</v>
      </c>
    </row>
    <row r="522" spans="1:5" ht="12" customHeight="1">
      <c r="A522">
        <v>521</v>
      </c>
      <c r="B522" s="941" t="s">
        <v>11040</v>
      </c>
      <c r="C522" s="941" t="s">
        <v>11041</v>
      </c>
      <c r="D522" s="941" t="s">
        <v>11037</v>
      </c>
      <c r="E522" s="1055" t="s">
        <v>11038</v>
      </c>
    </row>
    <row r="523" spans="1:5" ht="12" customHeight="1">
      <c r="A523">
        <v>522</v>
      </c>
      <c r="B523" s="941" t="s">
        <v>11040</v>
      </c>
      <c r="C523" s="941" t="s">
        <v>11041</v>
      </c>
      <c r="D523" s="941" t="s">
        <v>11037</v>
      </c>
      <c r="E523" s="1055" t="s">
        <v>11038</v>
      </c>
    </row>
    <row r="524" spans="1:5" ht="12" customHeight="1">
      <c r="A524">
        <v>523</v>
      </c>
      <c r="B524" s="941" t="s">
        <v>11040</v>
      </c>
      <c r="C524" s="941" t="s">
        <v>11041</v>
      </c>
      <c r="D524" s="941" t="s">
        <v>11037</v>
      </c>
      <c r="E524" s="1055" t="s">
        <v>11038</v>
      </c>
    </row>
    <row r="525" spans="1:5" ht="12" customHeight="1">
      <c r="A525">
        <v>524</v>
      </c>
      <c r="B525" s="941" t="s">
        <v>11040</v>
      </c>
      <c r="C525" s="941" t="s">
        <v>11041</v>
      </c>
      <c r="D525" s="941" t="s">
        <v>11037</v>
      </c>
      <c r="E525" s="1055" t="s">
        <v>11038</v>
      </c>
    </row>
    <row r="526" spans="1:5" ht="12" customHeight="1">
      <c r="A526">
        <v>525</v>
      </c>
      <c r="B526" s="941" t="s">
        <v>11040</v>
      </c>
      <c r="C526" s="941" t="s">
        <v>11041</v>
      </c>
      <c r="D526" s="941" t="s">
        <v>11037</v>
      </c>
      <c r="E526" s="1055" t="s">
        <v>11038</v>
      </c>
    </row>
    <row r="527" spans="1:5" ht="12" customHeight="1">
      <c r="A527">
        <v>526</v>
      </c>
      <c r="B527" s="941" t="s">
        <v>11040</v>
      </c>
      <c r="C527" s="941" t="s">
        <v>11041</v>
      </c>
      <c r="D527" s="941" t="s">
        <v>11037</v>
      </c>
      <c r="E527" s="1055" t="s">
        <v>11038</v>
      </c>
    </row>
    <row r="528" spans="1:5" ht="12" customHeight="1">
      <c r="A528">
        <v>527</v>
      </c>
      <c r="B528" s="941" t="s">
        <v>11040</v>
      </c>
      <c r="C528" s="941" t="s">
        <v>11041</v>
      </c>
      <c r="D528" s="941" t="s">
        <v>11037</v>
      </c>
      <c r="E528" s="1055" t="s">
        <v>11038</v>
      </c>
    </row>
    <row r="529" spans="1:5" ht="12" customHeight="1">
      <c r="A529">
        <v>528</v>
      </c>
      <c r="B529" s="941" t="s">
        <v>11040</v>
      </c>
      <c r="C529" s="941" t="s">
        <v>11041</v>
      </c>
      <c r="D529" s="941" t="s">
        <v>11037</v>
      </c>
      <c r="E529" s="1055" t="s">
        <v>11038</v>
      </c>
    </row>
    <row r="530" spans="1:5" ht="12" customHeight="1">
      <c r="A530">
        <v>529</v>
      </c>
      <c r="B530" s="941" t="s">
        <v>11040</v>
      </c>
      <c r="C530" s="941" t="s">
        <v>11041</v>
      </c>
      <c r="D530" s="941" t="s">
        <v>11037</v>
      </c>
      <c r="E530" s="1055" t="s">
        <v>11038</v>
      </c>
    </row>
    <row r="531" spans="1:5" ht="12" customHeight="1">
      <c r="A531">
        <v>530</v>
      </c>
      <c r="B531" s="941" t="s">
        <v>11040</v>
      </c>
      <c r="C531" s="941" t="s">
        <v>11041</v>
      </c>
      <c r="D531" s="941" t="s">
        <v>11037</v>
      </c>
      <c r="E531" s="1055" t="s">
        <v>11038</v>
      </c>
    </row>
    <row r="532" spans="1:5" ht="12" customHeight="1">
      <c r="A532">
        <v>531</v>
      </c>
      <c r="B532" s="941" t="s">
        <v>11040</v>
      </c>
      <c r="C532" s="941" t="s">
        <v>11041</v>
      </c>
      <c r="D532" s="941" t="s">
        <v>11037</v>
      </c>
      <c r="E532" s="1055" t="s">
        <v>11038</v>
      </c>
    </row>
    <row r="533" spans="1:5" ht="12" customHeight="1">
      <c r="A533">
        <v>532</v>
      </c>
      <c r="B533" s="941" t="s">
        <v>11040</v>
      </c>
      <c r="C533" s="941" t="s">
        <v>11041</v>
      </c>
      <c r="D533" s="941" t="s">
        <v>11037</v>
      </c>
      <c r="E533" s="1055" t="s">
        <v>11038</v>
      </c>
    </row>
    <row r="534" spans="1:5" ht="12" customHeight="1">
      <c r="A534">
        <v>533</v>
      </c>
      <c r="B534" s="941" t="s">
        <v>11040</v>
      </c>
      <c r="C534" s="941" t="s">
        <v>11041</v>
      </c>
      <c r="D534" s="941" t="s">
        <v>11037</v>
      </c>
      <c r="E534" s="1055" t="s">
        <v>11038</v>
      </c>
    </row>
    <row r="535" spans="1:5" ht="12" customHeight="1">
      <c r="A535">
        <v>534</v>
      </c>
      <c r="B535" s="941" t="s">
        <v>11040</v>
      </c>
      <c r="C535" s="941" t="s">
        <v>11041</v>
      </c>
      <c r="D535" s="941" t="s">
        <v>11037</v>
      </c>
      <c r="E535" s="1055" t="s">
        <v>11038</v>
      </c>
    </row>
    <row r="536" spans="1:5" ht="12" customHeight="1">
      <c r="A536">
        <v>535</v>
      </c>
      <c r="B536" s="941" t="s">
        <v>11040</v>
      </c>
      <c r="C536" s="941" t="s">
        <v>11041</v>
      </c>
      <c r="D536" s="941" t="s">
        <v>11037</v>
      </c>
      <c r="E536" s="1055" t="s">
        <v>11038</v>
      </c>
    </row>
    <row r="537" spans="1:5" ht="12" customHeight="1">
      <c r="A537">
        <v>536</v>
      </c>
      <c r="B537" s="941" t="s">
        <v>11040</v>
      </c>
      <c r="C537" s="941" t="s">
        <v>11041</v>
      </c>
      <c r="D537" s="941" t="s">
        <v>11037</v>
      </c>
      <c r="E537" s="1055" t="s">
        <v>11038</v>
      </c>
    </row>
    <row r="538" spans="1:5" ht="12" customHeight="1">
      <c r="A538">
        <v>537</v>
      </c>
      <c r="B538" s="941" t="s">
        <v>11040</v>
      </c>
      <c r="C538" s="941" t="s">
        <v>11041</v>
      </c>
      <c r="D538" s="941" t="s">
        <v>11037</v>
      </c>
      <c r="E538" s="1055" t="s">
        <v>11038</v>
      </c>
    </row>
    <row r="539" spans="1:5" ht="12" customHeight="1">
      <c r="A539">
        <v>538</v>
      </c>
      <c r="B539" s="941" t="s">
        <v>11040</v>
      </c>
      <c r="C539" s="941" t="s">
        <v>11041</v>
      </c>
      <c r="D539" s="941" t="s">
        <v>11037</v>
      </c>
      <c r="E539" s="1055" t="s">
        <v>11038</v>
      </c>
    </row>
    <row r="540" spans="1:5" ht="12" customHeight="1">
      <c r="A540">
        <v>539</v>
      </c>
      <c r="B540" s="941" t="s">
        <v>11040</v>
      </c>
      <c r="C540" s="941" t="s">
        <v>11041</v>
      </c>
      <c r="D540" s="941" t="s">
        <v>11037</v>
      </c>
      <c r="E540" s="1055" t="s">
        <v>11038</v>
      </c>
    </row>
    <row r="541" spans="1:5" ht="12" customHeight="1">
      <c r="A541">
        <v>540</v>
      </c>
      <c r="B541" s="941" t="s">
        <v>11040</v>
      </c>
      <c r="C541" s="941" t="s">
        <v>11041</v>
      </c>
      <c r="D541" s="941" t="s">
        <v>11037</v>
      </c>
      <c r="E541" s="1055" t="s">
        <v>11038</v>
      </c>
    </row>
    <row r="542" spans="1:5" ht="12" customHeight="1">
      <c r="A542">
        <v>541</v>
      </c>
      <c r="B542" s="941" t="s">
        <v>11040</v>
      </c>
      <c r="C542" s="941" t="s">
        <v>11041</v>
      </c>
      <c r="D542" s="941" t="s">
        <v>11037</v>
      </c>
      <c r="E542" s="1055" t="s">
        <v>11038</v>
      </c>
    </row>
    <row r="543" spans="1:5" ht="12" customHeight="1">
      <c r="A543">
        <v>542</v>
      </c>
      <c r="B543" s="941" t="s">
        <v>11040</v>
      </c>
      <c r="C543" s="941" t="s">
        <v>11041</v>
      </c>
      <c r="D543" s="941" t="s">
        <v>11037</v>
      </c>
      <c r="E543" s="1055" t="s">
        <v>11038</v>
      </c>
    </row>
    <row r="544" spans="1:5" ht="12" customHeight="1">
      <c r="A544">
        <v>543</v>
      </c>
      <c r="B544" s="941" t="s">
        <v>11040</v>
      </c>
      <c r="C544" s="941" t="s">
        <v>11041</v>
      </c>
      <c r="D544" s="941" t="s">
        <v>11037</v>
      </c>
      <c r="E544" s="1055" t="s">
        <v>11038</v>
      </c>
    </row>
    <row r="545" spans="1:5" ht="12" customHeight="1">
      <c r="A545">
        <v>544</v>
      </c>
      <c r="B545" s="941" t="s">
        <v>11040</v>
      </c>
      <c r="C545" s="941" t="s">
        <v>11041</v>
      </c>
      <c r="D545" s="941" t="s">
        <v>11037</v>
      </c>
      <c r="E545" s="1055" t="s">
        <v>11038</v>
      </c>
    </row>
    <row r="546" spans="1:5" ht="12" customHeight="1">
      <c r="A546">
        <v>545</v>
      </c>
      <c r="B546" s="941" t="s">
        <v>11040</v>
      </c>
      <c r="C546" s="941" t="s">
        <v>11041</v>
      </c>
      <c r="D546" s="941" t="s">
        <v>11037</v>
      </c>
      <c r="E546" s="1055" t="s">
        <v>11038</v>
      </c>
    </row>
    <row r="547" spans="1:5" ht="12" customHeight="1">
      <c r="A547">
        <v>546</v>
      </c>
      <c r="B547" s="941" t="s">
        <v>11040</v>
      </c>
      <c r="C547" s="941" t="s">
        <v>11041</v>
      </c>
      <c r="D547" s="941" t="s">
        <v>11037</v>
      </c>
      <c r="E547" s="1055" t="s">
        <v>11038</v>
      </c>
    </row>
    <row r="548" spans="1:5" ht="12" customHeight="1">
      <c r="A548">
        <v>547</v>
      </c>
      <c r="B548" s="941" t="s">
        <v>11040</v>
      </c>
      <c r="C548" s="941" t="s">
        <v>11041</v>
      </c>
      <c r="D548" s="941" t="s">
        <v>11037</v>
      </c>
      <c r="E548" s="1055" t="s">
        <v>11038</v>
      </c>
    </row>
    <row r="549" spans="1:5" ht="12" customHeight="1">
      <c r="A549">
        <v>548</v>
      </c>
      <c r="B549" s="941" t="s">
        <v>11040</v>
      </c>
      <c r="C549" s="941" t="s">
        <v>11041</v>
      </c>
      <c r="D549" s="941" t="s">
        <v>11037</v>
      </c>
      <c r="E549" s="1055" t="s">
        <v>11038</v>
      </c>
    </row>
    <row r="550" spans="1:5" ht="12" customHeight="1">
      <c r="A550">
        <v>549</v>
      </c>
      <c r="B550" s="941" t="s">
        <v>11040</v>
      </c>
      <c r="C550" s="941" t="s">
        <v>11041</v>
      </c>
      <c r="D550" s="941" t="s">
        <v>11037</v>
      </c>
      <c r="E550" s="1055" t="s">
        <v>11038</v>
      </c>
    </row>
    <row r="551" spans="1:5" ht="12" customHeight="1">
      <c r="A551">
        <v>550</v>
      </c>
      <c r="B551" s="941" t="s">
        <v>11040</v>
      </c>
      <c r="C551" s="941" t="s">
        <v>11041</v>
      </c>
      <c r="D551" s="941" t="s">
        <v>11037</v>
      </c>
      <c r="E551" s="1055" t="s">
        <v>11038</v>
      </c>
    </row>
    <row r="552" spans="1:5" ht="12" customHeight="1">
      <c r="A552">
        <v>551</v>
      </c>
      <c r="B552" s="941" t="s">
        <v>11040</v>
      </c>
      <c r="C552" s="941" t="s">
        <v>11041</v>
      </c>
      <c r="D552" s="941" t="s">
        <v>11037</v>
      </c>
      <c r="E552" s="1055" t="s">
        <v>11038</v>
      </c>
    </row>
    <row r="553" spans="1:5" ht="12" customHeight="1">
      <c r="A553">
        <v>552</v>
      </c>
      <c r="B553" s="941" t="s">
        <v>11040</v>
      </c>
      <c r="C553" s="941" t="s">
        <v>11041</v>
      </c>
      <c r="D553" s="941" t="s">
        <v>11037</v>
      </c>
      <c r="E553" s="1055" t="s">
        <v>11038</v>
      </c>
    </row>
    <row r="554" spans="1:5" ht="12" customHeight="1">
      <c r="A554">
        <v>553</v>
      </c>
      <c r="B554" s="941" t="s">
        <v>11040</v>
      </c>
      <c r="C554" s="941" t="s">
        <v>11041</v>
      </c>
      <c r="D554" s="941" t="s">
        <v>11037</v>
      </c>
      <c r="E554" s="1055" t="s">
        <v>11038</v>
      </c>
    </row>
    <row r="555" spans="1:5" ht="12" customHeight="1">
      <c r="A555">
        <v>554</v>
      </c>
      <c r="B555" s="941" t="s">
        <v>11040</v>
      </c>
      <c r="C555" s="941" t="s">
        <v>11041</v>
      </c>
      <c r="D555" s="941" t="s">
        <v>11037</v>
      </c>
      <c r="E555" s="1055" t="s">
        <v>11038</v>
      </c>
    </row>
    <row r="556" spans="1:5" ht="12" customHeight="1">
      <c r="A556">
        <v>555</v>
      </c>
      <c r="B556" s="941" t="s">
        <v>11040</v>
      </c>
      <c r="C556" s="941" t="s">
        <v>11041</v>
      </c>
      <c r="D556" s="941" t="s">
        <v>11037</v>
      </c>
      <c r="E556" s="1055" t="s">
        <v>11038</v>
      </c>
    </row>
    <row r="557" spans="1:5" ht="12" customHeight="1">
      <c r="A557">
        <v>556</v>
      </c>
      <c r="B557" s="941" t="s">
        <v>11040</v>
      </c>
      <c r="C557" s="941" t="s">
        <v>11041</v>
      </c>
      <c r="D557" s="941" t="s">
        <v>11037</v>
      </c>
      <c r="E557" s="1055" t="s">
        <v>11038</v>
      </c>
    </row>
    <row r="558" spans="1:5" ht="12" customHeight="1">
      <c r="A558">
        <v>557</v>
      </c>
      <c r="B558" s="941" t="s">
        <v>11040</v>
      </c>
      <c r="C558" s="941" t="s">
        <v>11041</v>
      </c>
      <c r="D558" s="941" t="s">
        <v>11037</v>
      </c>
      <c r="E558" s="1055" t="s">
        <v>11038</v>
      </c>
    </row>
    <row r="559" spans="1:5" ht="12" customHeight="1">
      <c r="A559">
        <v>558</v>
      </c>
      <c r="B559" s="941" t="s">
        <v>11040</v>
      </c>
      <c r="C559" s="941" t="s">
        <v>11041</v>
      </c>
      <c r="D559" s="941" t="s">
        <v>11037</v>
      </c>
      <c r="E559" s="1055" t="s">
        <v>11038</v>
      </c>
    </row>
    <row r="560" spans="1:5" ht="12" customHeight="1">
      <c r="A560">
        <v>559</v>
      </c>
      <c r="B560" s="941" t="s">
        <v>11040</v>
      </c>
      <c r="C560" s="941" t="s">
        <v>11041</v>
      </c>
      <c r="D560" s="941" t="s">
        <v>11037</v>
      </c>
      <c r="E560" s="1055" t="s">
        <v>11038</v>
      </c>
    </row>
    <row r="561" spans="1:5" ht="12" customHeight="1">
      <c r="A561">
        <v>560</v>
      </c>
      <c r="B561" s="941" t="s">
        <v>11040</v>
      </c>
      <c r="C561" s="941" t="s">
        <v>11041</v>
      </c>
      <c r="D561" s="941" t="s">
        <v>11037</v>
      </c>
      <c r="E561" s="1055" t="s">
        <v>11038</v>
      </c>
    </row>
    <row r="562" spans="1:5" ht="12" customHeight="1">
      <c r="A562">
        <v>561</v>
      </c>
      <c r="B562" s="941" t="s">
        <v>11040</v>
      </c>
      <c r="C562" s="941" t="s">
        <v>11041</v>
      </c>
      <c r="D562" s="941" t="s">
        <v>11037</v>
      </c>
      <c r="E562" s="1055" t="s">
        <v>11038</v>
      </c>
    </row>
    <row r="563" spans="1:5" ht="12" customHeight="1">
      <c r="A563">
        <v>562</v>
      </c>
      <c r="B563" s="941" t="s">
        <v>11040</v>
      </c>
      <c r="C563" s="941" t="s">
        <v>11041</v>
      </c>
      <c r="D563" s="941" t="s">
        <v>11037</v>
      </c>
      <c r="E563" s="1055" t="s">
        <v>11038</v>
      </c>
    </row>
    <row r="564" spans="1:5" ht="12" customHeight="1">
      <c r="A564">
        <v>563</v>
      </c>
      <c r="B564" s="941" t="s">
        <v>11040</v>
      </c>
      <c r="C564" s="941" t="s">
        <v>11041</v>
      </c>
      <c r="D564" s="941" t="s">
        <v>11037</v>
      </c>
      <c r="E564" s="1055" t="s">
        <v>11038</v>
      </c>
    </row>
    <row r="565" spans="1:5" ht="12" customHeight="1">
      <c r="A565">
        <v>564</v>
      </c>
      <c r="B565" s="941" t="s">
        <v>11040</v>
      </c>
      <c r="C565" s="941" t="s">
        <v>11041</v>
      </c>
      <c r="D565" s="941" t="s">
        <v>11037</v>
      </c>
      <c r="E565" s="1055" t="s">
        <v>11038</v>
      </c>
    </row>
    <row r="566" spans="1:5" ht="12" customHeight="1">
      <c r="A566">
        <v>565</v>
      </c>
      <c r="B566" s="941" t="s">
        <v>11040</v>
      </c>
      <c r="C566" s="941" t="s">
        <v>11041</v>
      </c>
      <c r="D566" s="941" t="s">
        <v>11037</v>
      </c>
      <c r="E566" s="1055" t="s">
        <v>11038</v>
      </c>
    </row>
    <row r="567" spans="1:5" ht="12" customHeight="1">
      <c r="A567">
        <v>566</v>
      </c>
      <c r="B567" s="941" t="s">
        <v>11040</v>
      </c>
      <c r="C567" s="941" t="s">
        <v>11041</v>
      </c>
      <c r="D567" s="941" t="s">
        <v>11037</v>
      </c>
      <c r="E567" s="1055" t="s">
        <v>11038</v>
      </c>
    </row>
    <row r="568" spans="1:5" ht="12" customHeight="1">
      <c r="A568">
        <v>567</v>
      </c>
      <c r="B568" s="941" t="s">
        <v>11040</v>
      </c>
      <c r="C568" s="941" t="s">
        <v>11041</v>
      </c>
      <c r="D568" s="941" t="s">
        <v>11037</v>
      </c>
      <c r="E568" s="1055" t="s">
        <v>11038</v>
      </c>
    </row>
    <row r="569" spans="1:5" ht="12" customHeight="1">
      <c r="A569">
        <v>568</v>
      </c>
      <c r="B569" s="941" t="s">
        <v>11040</v>
      </c>
      <c r="C569" s="941" t="s">
        <v>11041</v>
      </c>
      <c r="D569" s="941" t="s">
        <v>11037</v>
      </c>
      <c r="E569" s="1055" t="s">
        <v>11038</v>
      </c>
    </row>
    <row r="570" spans="1:5" ht="12" customHeight="1">
      <c r="A570">
        <v>569</v>
      </c>
      <c r="B570" s="941" t="s">
        <v>11040</v>
      </c>
      <c r="C570" s="941" t="s">
        <v>11041</v>
      </c>
      <c r="D570" s="941" t="s">
        <v>11037</v>
      </c>
      <c r="E570" s="1055" t="s">
        <v>11038</v>
      </c>
    </row>
    <row r="571" spans="1:5" ht="12" customHeight="1">
      <c r="A571">
        <v>570</v>
      </c>
      <c r="B571" s="941" t="s">
        <v>11040</v>
      </c>
      <c r="C571" s="941" t="s">
        <v>11041</v>
      </c>
      <c r="D571" s="941" t="s">
        <v>11037</v>
      </c>
      <c r="E571" s="1055" t="s">
        <v>11038</v>
      </c>
    </row>
    <row r="572" spans="1:5" ht="12" customHeight="1">
      <c r="A572">
        <v>571</v>
      </c>
      <c r="B572" s="941" t="s">
        <v>11040</v>
      </c>
      <c r="C572" s="941" t="s">
        <v>11041</v>
      </c>
      <c r="D572" s="941" t="s">
        <v>11037</v>
      </c>
      <c r="E572" s="1055" t="s">
        <v>11038</v>
      </c>
    </row>
    <row r="573" spans="1:5" ht="12" customHeight="1">
      <c r="A573">
        <v>572</v>
      </c>
      <c r="B573" s="941" t="s">
        <v>11040</v>
      </c>
      <c r="C573" s="941" t="s">
        <v>11041</v>
      </c>
      <c r="D573" s="941" t="s">
        <v>11037</v>
      </c>
      <c r="E573" s="1055" t="s">
        <v>11038</v>
      </c>
    </row>
    <row r="574" spans="1:5" ht="12" customHeight="1">
      <c r="A574">
        <v>573</v>
      </c>
      <c r="B574" s="941" t="s">
        <v>11040</v>
      </c>
      <c r="C574" s="941" t="s">
        <v>11041</v>
      </c>
      <c r="D574" s="941" t="s">
        <v>11037</v>
      </c>
      <c r="E574" s="1055" t="s">
        <v>11038</v>
      </c>
    </row>
    <row r="575" spans="1:5" ht="12" customHeight="1">
      <c r="A575">
        <v>574</v>
      </c>
      <c r="B575" s="941" t="s">
        <v>11040</v>
      </c>
      <c r="C575" s="941" t="s">
        <v>11041</v>
      </c>
      <c r="D575" s="941" t="s">
        <v>11037</v>
      </c>
      <c r="E575" s="1055" t="s">
        <v>11038</v>
      </c>
    </row>
    <row r="576" spans="1:5" ht="12" customHeight="1">
      <c r="A576">
        <v>575</v>
      </c>
      <c r="B576" s="941" t="s">
        <v>11040</v>
      </c>
      <c r="C576" s="941" t="s">
        <v>11041</v>
      </c>
      <c r="D576" s="941" t="s">
        <v>11037</v>
      </c>
      <c r="E576" s="1055" t="s">
        <v>11038</v>
      </c>
    </row>
    <row r="577" spans="1:5" ht="12" customHeight="1">
      <c r="A577">
        <v>576</v>
      </c>
      <c r="B577" s="941" t="s">
        <v>11040</v>
      </c>
      <c r="C577" s="941" t="s">
        <v>11041</v>
      </c>
      <c r="D577" s="941" t="s">
        <v>11037</v>
      </c>
      <c r="E577" s="1055" t="s">
        <v>11038</v>
      </c>
    </row>
    <row r="578" spans="1:5" ht="12" customHeight="1">
      <c r="A578">
        <v>577</v>
      </c>
      <c r="B578" s="941" t="s">
        <v>11040</v>
      </c>
      <c r="C578" s="941" t="s">
        <v>11041</v>
      </c>
      <c r="D578" s="941" t="s">
        <v>11037</v>
      </c>
      <c r="E578" s="1055" t="s">
        <v>11038</v>
      </c>
    </row>
    <row r="579" spans="1:5" ht="12" customHeight="1">
      <c r="A579">
        <v>578</v>
      </c>
      <c r="B579" s="941" t="s">
        <v>11040</v>
      </c>
      <c r="C579" s="941" t="s">
        <v>11041</v>
      </c>
      <c r="D579" s="941" t="s">
        <v>11037</v>
      </c>
      <c r="E579" s="1055" t="s">
        <v>11038</v>
      </c>
    </row>
    <row r="580" spans="1:5" ht="12" customHeight="1">
      <c r="A580">
        <v>579</v>
      </c>
      <c r="B580" s="941" t="s">
        <v>11040</v>
      </c>
      <c r="C580" s="941" t="s">
        <v>11041</v>
      </c>
      <c r="D580" s="941" t="s">
        <v>11037</v>
      </c>
      <c r="E580" s="1055" t="s">
        <v>11038</v>
      </c>
    </row>
    <row r="581" spans="1:5" ht="12" customHeight="1">
      <c r="A581">
        <v>580</v>
      </c>
      <c r="B581" s="941" t="s">
        <v>11040</v>
      </c>
      <c r="C581" s="941" t="s">
        <v>11041</v>
      </c>
      <c r="D581" s="941" t="s">
        <v>11037</v>
      </c>
      <c r="E581" s="1055" t="s">
        <v>11038</v>
      </c>
    </row>
    <row r="582" spans="1:5" ht="12" customHeight="1">
      <c r="A582">
        <v>581</v>
      </c>
      <c r="B582" s="941" t="s">
        <v>11040</v>
      </c>
      <c r="C582" s="941" t="s">
        <v>11041</v>
      </c>
      <c r="D582" s="941" t="s">
        <v>11037</v>
      </c>
      <c r="E582" s="1055" t="s">
        <v>11038</v>
      </c>
    </row>
    <row r="583" spans="1:5" ht="12" customHeight="1">
      <c r="A583">
        <v>582</v>
      </c>
      <c r="B583" s="941" t="s">
        <v>11040</v>
      </c>
      <c r="C583" s="941" t="s">
        <v>11041</v>
      </c>
      <c r="D583" s="941" t="s">
        <v>11037</v>
      </c>
      <c r="E583" s="1055" t="s">
        <v>11038</v>
      </c>
    </row>
    <row r="584" spans="1:5" ht="12" customHeight="1">
      <c r="A584">
        <v>583</v>
      </c>
      <c r="B584" s="941" t="s">
        <v>11040</v>
      </c>
      <c r="C584" s="941" t="s">
        <v>11041</v>
      </c>
      <c r="D584" s="941" t="s">
        <v>11037</v>
      </c>
      <c r="E584" s="1055" t="s">
        <v>11038</v>
      </c>
    </row>
    <row r="585" spans="1:5" ht="12" customHeight="1">
      <c r="A585">
        <v>584</v>
      </c>
      <c r="B585" s="941" t="s">
        <v>11040</v>
      </c>
      <c r="C585" s="941" t="s">
        <v>11041</v>
      </c>
      <c r="D585" s="941" t="s">
        <v>11037</v>
      </c>
      <c r="E585" s="1055" t="s">
        <v>11038</v>
      </c>
    </row>
    <row r="586" spans="1:5" ht="12" customHeight="1">
      <c r="A586">
        <v>585</v>
      </c>
      <c r="B586" s="941" t="s">
        <v>11040</v>
      </c>
      <c r="C586" s="941" t="s">
        <v>11041</v>
      </c>
      <c r="D586" s="941" t="s">
        <v>11037</v>
      </c>
      <c r="E586" s="1055" t="s">
        <v>11038</v>
      </c>
    </row>
    <row r="587" spans="1:5" ht="12" customHeight="1">
      <c r="A587">
        <v>586</v>
      </c>
      <c r="B587" s="941" t="s">
        <v>11040</v>
      </c>
      <c r="C587" s="941" t="s">
        <v>11041</v>
      </c>
      <c r="D587" s="941" t="s">
        <v>11037</v>
      </c>
      <c r="E587" s="1055" t="s">
        <v>11038</v>
      </c>
    </row>
    <row r="588" spans="1:5" ht="12" customHeight="1">
      <c r="A588">
        <v>587</v>
      </c>
      <c r="B588" s="941" t="s">
        <v>11040</v>
      </c>
      <c r="C588" s="941" t="s">
        <v>11041</v>
      </c>
      <c r="D588" s="941" t="s">
        <v>11037</v>
      </c>
      <c r="E588" s="1055" t="s">
        <v>11038</v>
      </c>
    </row>
    <row r="589" spans="1:5" ht="12" customHeight="1">
      <c r="A589">
        <v>588</v>
      </c>
      <c r="B589" s="941" t="s">
        <v>11040</v>
      </c>
      <c r="C589" s="941" t="s">
        <v>11041</v>
      </c>
      <c r="D589" s="941" t="s">
        <v>11037</v>
      </c>
      <c r="E589" s="1055" t="s">
        <v>11038</v>
      </c>
    </row>
    <row r="590" spans="1:5" ht="12" customHeight="1">
      <c r="A590">
        <v>589</v>
      </c>
      <c r="B590" s="941" t="s">
        <v>11040</v>
      </c>
      <c r="C590" s="941" t="s">
        <v>11041</v>
      </c>
      <c r="D590" s="941" t="s">
        <v>11037</v>
      </c>
      <c r="E590" s="1055" t="s">
        <v>11038</v>
      </c>
    </row>
    <row r="591" spans="1:5" ht="12" customHeight="1">
      <c r="A591">
        <v>590</v>
      </c>
      <c r="B591" s="941" t="s">
        <v>11040</v>
      </c>
      <c r="C591" s="941" t="s">
        <v>11041</v>
      </c>
      <c r="D591" s="941" t="s">
        <v>11037</v>
      </c>
      <c r="E591" s="1055" t="s">
        <v>11038</v>
      </c>
    </row>
    <row r="592" spans="1:5" ht="12" customHeight="1">
      <c r="A592">
        <v>591</v>
      </c>
      <c r="B592" s="941" t="s">
        <v>11040</v>
      </c>
      <c r="C592" s="941" t="s">
        <v>11041</v>
      </c>
      <c r="D592" s="941" t="s">
        <v>11037</v>
      </c>
      <c r="E592" s="1055" t="s">
        <v>11038</v>
      </c>
    </row>
    <row r="593" spans="1:5" ht="12" customHeight="1">
      <c r="A593">
        <v>592</v>
      </c>
      <c r="B593" s="941" t="s">
        <v>11040</v>
      </c>
      <c r="C593" s="941" t="s">
        <v>11041</v>
      </c>
      <c r="D593" s="941" t="s">
        <v>11037</v>
      </c>
      <c r="E593" s="1055" t="s">
        <v>11038</v>
      </c>
    </row>
    <row r="594" spans="1:5" ht="12" customHeight="1">
      <c r="A594">
        <v>593</v>
      </c>
      <c r="B594" s="941" t="s">
        <v>11040</v>
      </c>
      <c r="C594" s="941" t="s">
        <v>11041</v>
      </c>
      <c r="D594" s="941" t="s">
        <v>11037</v>
      </c>
      <c r="E594" s="1055" t="s">
        <v>11038</v>
      </c>
    </row>
    <row r="595" spans="1:5" ht="12" customHeight="1">
      <c r="A595">
        <v>594</v>
      </c>
      <c r="B595" s="941" t="s">
        <v>11040</v>
      </c>
      <c r="C595" s="941" t="s">
        <v>11041</v>
      </c>
      <c r="D595" s="941" t="s">
        <v>11037</v>
      </c>
      <c r="E595" s="1055" t="s">
        <v>11038</v>
      </c>
    </row>
    <row r="596" spans="1:5" ht="12" customHeight="1">
      <c r="A596">
        <v>595</v>
      </c>
      <c r="B596" s="941" t="s">
        <v>11040</v>
      </c>
      <c r="C596" s="941" t="s">
        <v>11041</v>
      </c>
      <c r="D596" s="941" t="s">
        <v>11037</v>
      </c>
      <c r="E596" s="1055" t="s">
        <v>11038</v>
      </c>
    </row>
    <row r="597" spans="1:5" ht="12" customHeight="1">
      <c r="A597">
        <v>596</v>
      </c>
      <c r="B597" s="941" t="s">
        <v>11040</v>
      </c>
      <c r="C597" s="941" t="s">
        <v>11041</v>
      </c>
      <c r="D597" s="941" t="s">
        <v>11037</v>
      </c>
      <c r="E597" s="1055" t="s">
        <v>11038</v>
      </c>
    </row>
    <row r="598" spans="1:5" ht="12" customHeight="1">
      <c r="A598">
        <v>597</v>
      </c>
      <c r="B598" s="941" t="s">
        <v>11040</v>
      </c>
      <c r="C598" s="941" t="s">
        <v>11041</v>
      </c>
      <c r="D598" s="941" t="s">
        <v>11037</v>
      </c>
      <c r="E598" s="1055" t="s">
        <v>11038</v>
      </c>
    </row>
    <row r="599" spans="1:5" ht="12" customHeight="1">
      <c r="A599">
        <v>598</v>
      </c>
      <c r="B599" s="941" t="s">
        <v>11040</v>
      </c>
      <c r="C599" s="941" t="s">
        <v>11041</v>
      </c>
      <c r="D599" s="941" t="s">
        <v>11037</v>
      </c>
      <c r="E599" s="1055" t="s">
        <v>11038</v>
      </c>
    </row>
    <row r="600" spans="1:5" ht="12" customHeight="1">
      <c r="A600">
        <v>599</v>
      </c>
      <c r="B600" s="941" t="s">
        <v>11040</v>
      </c>
      <c r="C600" s="941" t="s">
        <v>11041</v>
      </c>
      <c r="D600" s="941" t="s">
        <v>11037</v>
      </c>
      <c r="E600" s="1055" t="s">
        <v>11038</v>
      </c>
    </row>
    <row r="601" spans="1:5" ht="12" customHeight="1">
      <c r="A601">
        <v>600</v>
      </c>
      <c r="B601" s="941" t="s">
        <v>11040</v>
      </c>
      <c r="C601" s="941" t="s">
        <v>11041</v>
      </c>
      <c r="D601" s="941" t="s">
        <v>11037</v>
      </c>
      <c r="E601" s="1055" t="s">
        <v>11038</v>
      </c>
    </row>
    <row r="602" spans="1:5" ht="12" customHeight="1">
      <c r="A602">
        <v>601</v>
      </c>
      <c r="B602" s="941" t="s">
        <v>11040</v>
      </c>
      <c r="C602" s="941" t="s">
        <v>11041</v>
      </c>
      <c r="D602" s="941" t="s">
        <v>11037</v>
      </c>
      <c r="E602" s="1055" t="s">
        <v>11038</v>
      </c>
    </row>
    <row r="603" spans="1:5" ht="12" customHeight="1">
      <c r="A603">
        <v>602</v>
      </c>
      <c r="B603" s="941" t="s">
        <v>11040</v>
      </c>
      <c r="C603" s="941" t="s">
        <v>11041</v>
      </c>
      <c r="D603" s="941" t="s">
        <v>11037</v>
      </c>
      <c r="E603" s="1055" t="s">
        <v>11038</v>
      </c>
    </row>
    <row r="604" spans="1:5" ht="12" customHeight="1">
      <c r="A604">
        <v>603</v>
      </c>
      <c r="B604" s="941" t="s">
        <v>11040</v>
      </c>
      <c r="C604" s="941" t="s">
        <v>11041</v>
      </c>
      <c r="D604" s="941" t="s">
        <v>11037</v>
      </c>
      <c r="E604" s="1055" t="s">
        <v>11038</v>
      </c>
    </row>
    <row r="605" spans="1:5" ht="12" customHeight="1">
      <c r="A605">
        <v>604</v>
      </c>
      <c r="B605" s="941" t="s">
        <v>11040</v>
      </c>
      <c r="C605" s="941" t="s">
        <v>11041</v>
      </c>
      <c r="D605" s="941" t="s">
        <v>11037</v>
      </c>
      <c r="E605" s="1055" t="s">
        <v>11038</v>
      </c>
    </row>
    <row r="606" spans="1:5" ht="12" customHeight="1">
      <c r="A606">
        <v>605</v>
      </c>
      <c r="B606" s="941" t="s">
        <v>11040</v>
      </c>
      <c r="C606" s="941" t="s">
        <v>11041</v>
      </c>
      <c r="D606" s="941" t="s">
        <v>11037</v>
      </c>
      <c r="E606" s="1055" t="s">
        <v>11038</v>
      </c>
    </row>
    <row r="607" spans="1:5" ht="12" customHeight="1">
      <c r="A607">
        <v>606</v>
      </c>
      <c r="B607" s="941" t="s">
        <v>11040</v>
      </c>
      <c r="C607" s="941" t="s">
        <v>11041</v>
      </c>
      <c r="D607" s="941" t="s">
        <v>11037</v>
      </c>
      <c r="E607" s="1055" t="s">
        <v>11038</v>
      </c>
    </row>
    <row r="608" spans="1:5" ht="12" customHeight="1">
      <c r="A608">
        <v>607</v>
      </c>
      <c r="B608" s="941" t="s">
        <v>11040</v>
      </c>
      <c r="C608" s="941" t="s">
        <v>11041</v>
      </c>
      <c r="D608" s="941" t="s">
        <v>11037</v>
      </c>
      <c r="E608" s="1055" t="s">
        <v>11038</v>
      </c>
    </row>
    <row r="609" spans="1:5" ht="12" customHeight="1">
      <c r="A609">
        <v>608</v>
      </c>
      <c r="B609" s="941" t="s">
        <v>11040</v>
      </c>
      <c r="C609" s="941" t="s">
        <v>11041</v>
      </c>
      <c r="D609" s="941" t="s">
        <v>11037</v>
      </c>
      <c r="E609" s="1055" t="s">
        <v>11038</v>
      </c>
    </row>
    <row r="610" spans="1:5" ht="12" customHeight="1">
      <c r="A610">
        <v>609</v>
      </c>
      <c r="B610" s="941" t="s">
        <v>11040</v>
      </c>
      <c r="C610" s="941" t="s">
        <v>11041</v>
      </c>
      <c r="D610" s="941" t="s">
        <v>11037</v>
      </c>
      <c r="E610" s="1055" t="s">
        <v>11038</v>
      </c>
    </row>
    <row r="611" spans="1:5" ht="12" customHeight="1">
      <c r="A611">
        <v>610</v>
      </c>
      <c r="B611" s="941" t="s">
        <v>11040</v>
      </c>
      <c r="C611" s="941" t="s">
        <v>11041</v>
      </c>
      <c r="D611" s="941" t="s">
        <v>11037</v>
      </c>
      <c r="E611" s="1055" t="s">
        <v>11038</v>
      </c>
    </row>
    <row r="612" spans="1:5" ht="12" customHeight="1">
      <c r="A612">
        <v>611</v>
      </c>
      <c r="B612" s="941" t="s">
        <v>11040</v>
      </c>
      <c r="C612" s="941" t="s">
        <v>11041</v>
      </c>
      <c r="D612" s="941" t="s">
        <v>11037</v>
      </c>
      <c r="E612" s="1055" t="s">
        <v>11038</v>
      </c>
    </row>
    <row r="613" spans="1:5" ht="12" customHeight="1">
      <c r="A613">
        <v>612</v>
      </c>
      <c r="B613" s="941" t="s">
        <v>11040</v>
      </c>
      <c r="C613" s="941" t="s">
        <v>11041</v>
      </c>
      <c r="D613" s="941" t="s">
        <v>11037</v>
      </c>
      <c r="E613" s="1055" t="s">
        <v>11038</v>
      </c>
    </row>
    <row r="614" spans="1:5" ht="12" customHeight="1">
      <c r="A614">
        <v>613</v>
      </c>
      <c r="B614" s="941" t="s">
        <v>11040</v>
      </c>
      <c r="C614" s="941" t="s">
        <v>11041</v>
      </c>
      <c r="D614" s="941" t="s">
        <v>11037</v>
      </c>
      <c r="E614" s="1055" t="s">
        <v>11038</v>
      </c>
    </row>
    <row r="615" spans="1:5" ht="12" customHeight="1">
      <c r="A615">
        <v>614</v>
      </c>
      <c r="B615" s="941" t="s">
        <v>11040</v>
      </c>
      <c r="C615" s="941" t="s">
        <v>11041</v>
      </c>
      <c r="D615" s="941" t="s">
        <v>11037</v>
      </c>
      <c r="E615" s="1055" t="s">
        <v>11038</v>
      </c>
    </row>
    <row r="616" spans="1:5" ht="12" customHeight="1">
      <c r="A616">
        <v>615</v>
      </c>
      <c r="B616" s="941" t="s">
        <v>11040</v>
      </c>
      <c r="C616" s="941" t="s">
        <v>11041</v>
      </c>
      <c r="D616" s="941" t="s">
        <v>11037</v>
      </c>
      <c r="E616" s="1055" t="s">
        <v>11038</v>
      </c>
    </row>
    <row r="617" spans="1:5" ht="12" customHeight="1">
      <c r="A617">
        <v>616</v>
      </c>
      <c r="B617" s="941" t="s">
        <v>11040</v>
      </c>
      <c r="C617" s="941" t="s">
        <v>11041</v>
      </c>
      <c r="D617" s="941" t="s">
        <v>11037</v>
      </c>
      <c r="E617" s="1055" t="s">
        <v>11038</v>
      </c>
    </row>
    <row r="618" spans="1:5" ht="12" customHeight="1">
      <c r="A618">
        <v>617</v>
      </c>
      <c r="B618" s="941" t="s">
        <v>11040</v>
      </c>
      <c r="C618" s="941" t="s">
        <v>11041</v>
      </c>
      <c r="D618" s="941" t="s">
        <v>11037</v>
      </c>
      <c r="E618" s="1055" t="s">
        <v>11038</v>
      </c>
    </row>
    <row r="619" spans="1:5" ht="12" customHeight="1">
      <c r="A619">
        <v>618</v>
      </c>
      <c r="B619" s="941" t="s">
        <v>11040</v>
      </c>
      <c r="C619" s="941" t="s">
        <v>11041</v>
      </c>
      <c r="D619" s="941" t="s">
        <v>11037</v>
      </c>
      <c r="E619" s="1055" t="s">
        <v>11038</v>
      </c>
    </row>
    <row r="620" spans="1:5" ht="12" customHeight="1">
      <c r="A620">
        <v>619</v>
      </c>
      <c r="B620" s="941" t="s">
        <v>11040</v>
      </c>
      <c r="C620" s="941" t="s">
        <v>11041</v>
      </c>
      <c r="D620" s="941" t="s">
        <v>11037</v>
      </c>
      <c r="E620" s="1055" t="s">
        <v>11038</v>
      </c>
    </row>
    <row r="621" spans="1:5" ht="12" customHeight="1">
      <c r="A621">
        <v>620</v>
      </c>
      <c r="B621" s="941" t="s">
        <v>11040</v>
      </c>
      <c r="C621" s="941" t="s">
        <v>11041</v>
      </c>
      <c r="D621" s="941" t="s">
        <v>11037</v>
      </c>
      <c r="E621" s="1055" t="s">
        <v>11038</v>
      </c>
    </row>
    <row r="622" spans="1:5" ht="12" customHeight="1">
      <c r="A622">
        <v>621</v>
      </c>
      <c r="B622" s="941" t="s">
        <v>11040</v>
      </c>
      <c r="C622" s="941" t="s">
        <v>11041</v>
      </c>
      <c r="D622" s="941" t="s">
        <v>11037</v>
      </c>
      <c r="E622" s="1055" t="s">
        <v>11038</v>
      </c>
    </row>
    <row r="623" spans="1:5" ht="12" customHeight="1">
      <c r="A623">
        <v>622</v>
      </c>
      <c r="B623" s="941" t="s">
        <v>11040</v>
      </c>
      <c r="C623" s="941" t="s">
        <v>11041</v>
      </c>
      <c r="D623" s="941" t="s">
        <v>11037</v>
      </c>
      <c r="E623" s="1055" t="s">
        <v>11038</v>
      </c>
    </row>
    <row r="624" spans="1:5" ht="12" customHeight="1">
      <c r="A624">
        <v>623</v>
      </c>
      <c r="B624" s="941" t="s">
        <v>11040</v>
      </c>
      <c r="C624" s="941" t="s">
        <v>11041</v>
      </c>
      <c r="D624" s="941" t="s">
        <v>11037</v>
      </c>
      <c r="E624" s="1055" t="s">
        <v>11038</v>
      </c>
    </row>
    <row r="625" spans="1:5" ht="12" customHeight="1">
      <c r="A625">
        <v>624</v>
      </c>
      <c r="B625" s="941" t="s">
        <v>11040</v>
      </c>
      <c r="C625" s="941" t="s">
        <v>11041</v>
      </c>
      <c r="D625" s="941" t="s">
        <v>11037</v>
      </c>
      <c r="E625" s="1055" t="s">
        <v>11038</v>
      </c>
    </row>
    <row r="626" spans="1:5" ht="12" customHeight="1">
      <c r="A626">
        <v>625</v>
      </c>
      <c r="B626" s="941" t="s">
        <v>11040</v>
      </c>
      <c r="C626" s="941" t="s">
        <v>11041</v>
      </c>
      <c r="D626" s="941" t="s">
        <v>11037</v>
      </c>
      <c r="E626" s="1055" t="s">
        <v>11038</v>
      </c>
    </row>
    <row r="627" spans="1:5" ht="12" customHeight="1">
      <c r="A627">
        <v>626</v>
      </c>
      <c r="B627" s="941" t="s">
        <v>11040</v>
      </c>
      <c r="C627" s="941" t="s">
        <v>11041</v>
      </c>
      <c r="D627" s="941" t="s">
        <v>11037</v>
      </c>
      <c r="E627" s="1055" t="s">
        <v>11038</v>
      </c>
    </row>
    <row r="628" spans="1:5" ht="12" customHeight="1">
      <c r="A628">
        <v>627</v>
      </c>
      <c r="B628" s="941" t="s">
        <v>11040</v>
      </c>
      <c r="C628" s="941" t="s">
        <v>11041</v>
      </c>
      <c r="D628" s="941" t="s">
        <v>11037</v>
      </c>
      <c r="E628" s="1055" t="s">
        <v>11038</v>
      </c>
    </row>
    <row r="629" spans="1:5" ht="12" customHeight="1">
      <c r="A629">
        <v>628</v>
      </c>
      <c r="B629" s="941" t="s">
        <v>11040</v>
      </c>
      <c r="C629" s="941" t="s">
        <v>11041</v>
      </c>
      <c r="D629" s="941" t="s">
        <v>11037</v>
      </c>
      <c r="E629" s="1055" t="s">
        <v>11038</v>
      </c>
    </row>
    <row r="630" spans="1:5" ht="12" customHeight="1">
      <c r="A630">
        <v>629</v>
      </c>
      <c r="B630" s="941" t="s">
        <v>11040</v>
      </c>
      <c r="C630" s="941" t="s">
        <v>11041</v>
      </c>
      <c r="D630" s="941" t="s">
        <v>11037</v>
      </c>
      <c r="E630" s="1055" t="s">
        <v>11038</v>
      </c>
    </row>
    <row r="631" spans="1:5" ht="12" customHeight="1">
      <c r="A631">
        <v>630</v>
      </c>
      <c r="B631" s="941" t="s">
        <v>11040</v>
      </c>
      <c r="C631" s="941" t="s">
        <v>11041</v>
      </c>
      <c r="D631" s="941" t="s">
        <v>11037</v>
      </c>
      <c r="E631" s="1055" t="s">
        <v>11038</v>
      </c>
    </row>
    <row r="632" spans="1:5" ht="12" customHeight="1">
      <c r="A632">
        <v>631</v>
      </c>
      <c r="B632" s="941" t="s">
        <v>11040</v>
      </c>
      <c r="C632" s="941" t="s">
        <v>11041</v>
      </c>
      <c r="D632" s="941" t="s">
        <v>11037</v>
      </c>
      <c r="E632" s="1055" t="s">
        <v>11038</v>
      </c>
    </row>
    <row r="633" spans="1:5" ht="12" customHeight="1">
      <c r="A633">
        <v>632</v>
      </c>
      <c r="B633" s="941" t="s">
        <v>11040</v>
      </c>
      <c r="C633" s="941" t="s">
        <v>11041</v>
      </c>
      <c r="D633" s="941" t="s">
        <v>11037</v>
      </c>
      <c r="E633" s="1055" t="s">
        <v>11038</v>
      </c>
    </row>
    <row r="634" spans="1:5" ht="12" customHeight="1">
      <c r="A634">
        <v>633</v>
      </c>
      <c r="B634" s="941" t="s">
        <v>11040</v>
      </c>
      <c r="C634" s="941" t="s">
        <v>11041</v>
      </c>
      <c r="D634" s="941" t="s">
        <v>11037</v>
      </c>
      <c r="E634" s="1055" t="s">
        <v>11038</v>
      </c>
    </row>
    <row r="635" spans="1:5" ht="12" customHeight="1">
      <c r="A635">
        <v>634</v>
      </c>
      <c r="B635" s="941" t="s">
        <v>11040</v>
      </c>
      <c r="C635" s="941" t="s">
        <v>11041</v>
      </c>
      <c r="D635" s="941" t="s">
        <v>11037</v>
      </c>
      <c r="E635" s="1055" t="s">
        <v>11038</v>
      </c>
    </row>
    <row r="636" spans="1:5" ht="12" customHeight="1">
      <c r="A636">
        <v>635</v>
      </c>
      <c r="B636" s="941" t="s">
        <v>11040</v>
      </c>
      <c r="C636" s="941" t="s">
        <v>11041</v>
      </c>
      <c r="D636" s="941" t="s">
        <v>11037</v>
      </c>
      <c r="E636" s="1055" t="s">
        <v>11038</v>
      </c>
    </row>
    <row r="637" spans="1:5" ht="12" customHeight="1">
      <c r="A637">
        <v>636</v>
      </c>
      <c r="B637" s="941" t="s">
        <v>11040</v>
      </c>
      <c r="C637" s="941" t="s">
        <v>11041</v>
      </c>
      <c r="D637" s="941" t="s">
        <v>11037</v>
      </c>
      <c r="E637" s="1055" t="s">
        <v>11038</v>
      </c>
    </row>
    <row r="638" spans="1:5" ht="12" customHeight="1">
      <c r="A638">
        <v>637</v>
      </c>
      <c r="B638" s="941" t="s">
        <v>11040</v>
      </c>
      <c r="C638" s="941" t="s">
        <v>11041</v>
      </c>
      <c r="D638" s="941" t="s">
        <v>11037</v>
      </c>
      <c r="E638" s="1055" t="s">
        <v>11038</v>
      </c>
    </row>
    <row r="639" spans="1:5" ht="12" customHeight="1">
      <c r="A639">
        <v>638</v>
      </c>
      <c r="B639" s="941" t="s">
        <v>11040</v>
      </c>
      <c r="C639" s="941" t="s">
        <v>11041</v>
      </c>
      <c r="D639" s="941" t="s">
        <v>11037</v>
      </c>
      <c r="E639" s="1055" t="s">
        <v>11038</v>
      </c>
    </row>
    <row r="640" spans="1:5" ht="12" customHeight="1">
      <c r="A640">
        <v>639</v>
      </c>
      <c r="B640" s="941" t="s">
        <v>11040</v>
      </c>
      <c r="C640" s="941" t="s">
        <v>11041</v>
      </c>
      <c r="D640" s="941" t="s">
        <v>11037</v>
      </c>
      <c r="E640" s="1055" t="s">
        <v>11038</v>
      </c>
    </row>
    <row r="641" spans="1:5" ht="12" customHeight="1">
      <c r="A641">
        <v>640</v>
      </c>
      <c r="B641" s="941" t="s">
        <v>11040</v>
      </c>
      <c r="C641" s="941" t="s">
        <v>11041</v>
      </c>
      <c r="D641" s="941" t="s">
        <v>11037</v>
      </c>
      <c r="E641" s="1055" t="s">
        <v>11038</v>
      </c>
    </row>
    <row r="642" spans="1:5" ht="12" customHeight="1">
      <c r="A642">
        <v>641</v>
      </c>
      <c r="B642" s="941" t="s">
        <v>11040</v>
      </c>
      <c r="C642" s="941" t="s">
        <v>11041</v>
      </c>
      <c r="D642" s="941" t="s">
        <v>11037</v>
      </c>
      <c r="E642" s="1055" t="s">
        <v>11038</v>
      </c>
    </row>
    <row r="643" spans="1:5" ht="12" customHeight="1">
      <c r="A643">
        <v>642</v>
      </c>
      <c r="B643" s="941" t="s">
        <v>11040</v>
      </c>
      <c r="C643" s="941" t="s">
        <v>11041</v>
      </c>
      <c r="D643" s="941" t="s">
        <v>11037</v>
      </c>
      <c r="E643" s="1055" t="s">
        <v>11038</v>
      </c>
    </row>
    <row r="644" spans="1:5" ht="12" customHeight="1">
      <c r="A644">
        <v>643</v>
      </c>
      <c r="B644" s="941" t="s">
        <v>11040</v>
      </c>
      <c r="C644" s="941" t="s">
        <v>11041</v>
      </c>
      <c r="D644" s="941" t="s">
        <v>11037</v>
      </c>
      <c r="E644" s="1055" t="s">
        <v>11038</v>
      </c>
    </row>
    <row r="645" spans="1:5" ht="12" customHeight="1">
      <c r="A645">
        <v>644</v>
      </c>
      <c r="B645" s="941" t="s">
        <v>11040</v>
      </c>
      <c r="C645" s="941" t="s">
        <v>11041</v>
      </c>
      <c r="D645" s="941" t="s">
        <v>11037</v>
      </c>
      <c r="E645" s="1055" t="s">
        <v>11038</v>
      </c>
    </row>
    <row r="646" spans="1:5" ht="12" customHeight="1">
      <c r="A646">
        <v>645</v>
      </c>
      <c r="B646" s="941" t="s">
        <v>11040</v>
      </c>
      <c r="C646" s="941" t="s">
        <v>11041</v>
      </c>
      <c r="D646" s="941" t="s">
        <v>11037</v>
      </c>
      <c r="E646" s="1055" t="s">
        <v>11038</v>
      </c>
    </row>
    <row r="647" spans="1:5" ht="12" customHeight="1">
      <c r="A647">
        <v>646</v>
      </c>
      <c r="B647" s="941" t="s">
        <v>11040</v>
      </c>
      <c r="C647" s="941" t="s">
        <v>11041</v>
      </c>
      <c r="D647" s="941" t="s">
        <v>11037</v>
      </c>
      <c r="E647" s="1055" t="s">
        <v>11038</v>
      </c>
    </row>
    <row r="648" spans="1:5" ht="12" customHeight="1">
      <c r="A648">
        <v>647</v>
      </c>
      <c r="B648" s="941" t="s">
        <v>11040</v>
      </c>
      <c r="C648" s="941" t="s">
        <v>11041</v>
      </c>
      <c r="D648" s="941" t="s">
        <v>11037</v>
      </c>
      <c r="E648" s="1055" t="s">
        <v>11038</v>
      </c>
    </row>
    <row r="649" spans="1:5" ht="12" customHeight="1">
      <c r="A649">
        <v>648</v>
      </c>
      <c r="B649" s="941" t="s">
        <v>11040</v>
      </c>
      <c r="C649" s="941" t="s">
        <v>11041</v>
      </c>
      <c r="D649" s="941" t="s">
        <v>11037</v>
      </c>
      <c r="E649" s="1055" t="s">
        <v>11038</v>
      </c>
    </row>
    <row r="650" spans="1:5" ht="12" customHeight="1">
      <c r="A650">
        <v>649</v>
      </c>
      <c r="B650" s="941" t="s">
        <v>11040</v>
      </c>
      <c r="C650" s="941" t="s">
        <v>11041</v>
      </c>
      <c r="D650" s="941" t="s">
        <v>11037</v>
      </c>
      <c r="E650" s="1055" t="s">
        <v>11038</v>
      </c>
    </row>
    <row r="651" spans="1:5" ht="12" customHeight="1">
      <c r="A651">
        <v>650</v>
      </c>
      <c r="B651" s="941" t="s">
        <v>11040</v>
      </c>
      <c r="C651" s="941" t="s">
        <v>11041</v>
      </c>
      <c r="D651" s="941" t="s">
        <v>11037</v>
      </c>
      <c r="E651" s="1055" t="s">
        <v>11038</v>
      </c>
    </row>
    <row r="652" spans="1:5" ht="12" customHeight="1">
      <c r="A652">
        <v>651</v>
      </c>
      <c r="B652" s="941" t="s">
        <v>11040</v>
      </c>
      <c r="C652" s="941" t="s">
        <v>11041</v>
      </c>
      <c r="D652" s="941" t="s">
        <v>11037</v>
      </c>
      <c r="E652" s="1055" t="s">
        <v>11038</v>
      </c>
    </row>
    <row r="653" spans="1:5" ht="12" customHeight="1">
      <c r="A653">
        <v>652</v>
      </c>
      <c r="B653" s="941" t="s">
        <v>11040</v>
      </c>
      <c r="C653" s="941" t="s">
        <v>11041</v>
      </c>
      <c r="D653" s="941" t="s">
        <v>11037</v>
      </c>
      <c r="E653" s="1055" t="s">
        <v>11038</v>
      </c>
    </row>
    <row r="654" spans="1:5" ht="12" customHeight="1">
      <c r="A654">
        <v>653</v>
      </c>
      <c r="B654" s="941" t="s">
        <v>11040</v>
      </c>
      <c r="C654" s="941" t="s">
        <v>11041</v>
      </c>
      <c r="D654" s="941" t="s">
        <v>11037</v>
      </c>
      <c r="E654" s="1055" t="s">
        <v>11038</v>
      </c>
    </row>
    <row r="655" spans="1:5" ht="12" customHeight="1">
      <c r="A655">
        <v>654</v>
      </c>
      <c r="B655" s="941" t="s">
        <v>11040</v>
      </c>
      <c r="C655" s="941" t="s">
        <v>11041</v>
      </c>
      <c r="D655" s="941" t="s">
        <v>11037</v>
      </c>
      <c r="E655" s="1055" t="s">
        <v>11038</v>
      </c>
    </row>
    <row r="656" spans="1:5" ht="12" customHeight="1">
      <c r="A656">
        <v>655</v>
      </c>
      <c r="B656" s="941" t="s">
        <v>11040</v>
      </c>
      <c r="C656" s="941" t="s">
        <v>11041</v>
      </c>
      <c r="D656" s="941" t="s">
        <v>11037</v>
      </c>
      <c r="E656" s="1055" t="s">
        <v>11038</v>
      </c>
    </row>
    <row r="657" spans="1:5" ht="12" customHeight="1">
      <c r="A657">
        <v>656</v>
      </c>
      <c r="B657" s="941" t="s">
        <v>11040</v>
      </c>
      <c r="C657" s="941" t="s">
        <v>11041</v>
      </c>
      <c r="D657" s="941" t="s">
        <v>11037</v>
      </c>
      <c r="E657" s="1055" t="s">
        <v>11038</v>
      </c>
    </row>
    <row r="658" spans="1:5" ht="12" customHeight="1">
      <c r="A658">
        <v>657</v>
      </c>
      <c r="B658" s="941" t="s">
        <v>11040</v>
      </c>
      <c r="C658" s="941" t="s">
        <v>11041</v>
      </c>
      <c r="D658" s="941" t="s">
        <v>11037</v>
      </c>
      <c r="E658" s="1055" t="s">
        <v>11038</v>
      </c>
    </row>
    <row r="659" spans="1:5" ht="12" customHeight="1">
      <c r="A659">
        <v>658</v>
      </c>
      <c r="B659" s="941" t="s">
        <v>11040</v>
      </c>
      <c r="C659" s="941" t="s">
        <v>11041</v>
      </c>
      <c r="D659" s="941" t="s">
        <v>11037</v>
      </c>
      <c r="E659" s="1055" t="s">
        <v>11038</v>
      </c>
    </row>
    <row r="660" spans="1:5" ht="12" customHeight="1">
      <c r="A660">
        <v>659</v>
      </c>
      <c r="B660" s="941" t="s">
        <v>11040</v>
      </c>
      <c r="C660" s="941" t="s">
        <v>11041</v>
      </c>
      <c r="D660" s="941" t="s">
        <v>11037</v>
      </c>
      <c r="E660" s="1055" t="s">
        <v>11038</v>
      </c>
    </row>
    <row r="661" spans="1:5" ht="12" customHeight="1">
      <c r="A661">
        <v>660</v>
      </c>
      <c r="B661" s="941" t="s">
        <v>11040</v>
      </c>
      <c r="C661" s="941" t="s">
        <v>11041</v>
      </c>
      <c r="D661" s="941" t="s">
        <v>11037</v>
      </c>
      <c r="E661" s="1055" t="s">
        <v>11038</v>
      </c>
    </row>
    <row r="662" spans="1:5" ht="12" customHeight="1">
      <c r="A662">
        <v>661</v>
      </c>
      <c r="B662" s="941" t="s">
        <v>11040</v>
      </c>
      <c r="C662" s="941" t="s">
        <v>11041</v>
      </c>
      <c r="D662" s="941" t="s">
        <v>11037</v>
      </c>
      <c r="E662" s="1055" t="s">
        <v>11038</v>
      </c>
    </row>
    <row r="663" spans="1:5" ht="12" customHeight="1">
      <c r="A663">
        <v>662</v>
      </c>
      <c r="B663" s="941" t="s">
        <v>11040</v>
      </c>
      <c r="C663" s="941" t="s">
        <v>11041</v>
      </c>
      <c r="D663" s="941" t="s">
        <v>11037</v>
      </c>
      <c r="E663" s="1055" t="s">
        <v>11038</v>
      </c>
    </row>
    <row r="664" spans="1:5" ht="12" customHeight="1">
      <c r="A664">
        <v>663</v>
      </c>
      <c r="B664" s="941" t="s">
        <v>11040</v>
      </c>
      <c r="C664" s="941" t="s">
        <v>11041</v>
      </c>
      <c r="D664" s="941" t="s">
        <v>11037</v>
      </c>
      <c r="E664" s="1055" t="s">
        <v>11038</v>
      </c>
    </row>
    <row r="665" spans="1:5" ht="12" customHeight="1">
      <c r="A665">
        <v>664</v>
      </c>
      <c r="B665" s="941" t="s">
        <v>11040</v>
      </c>
      <c r="C665" s="941" t="s">
        <v>11041</v>
      </c>
      <c r="D665" s="941" t="s">
        <v>11037</v>
      </c>
      <c r="E665" s="1055" t="s">
        <v>11038</v>
      </c>
    </row>
    <row r="666" spans="1:5" ht="12" customHeight="1">
      <c r="A666">
        <v>665</v>
      </c>
      <c r="B666" s="941" t="s">
        <v>11040</v>
      </c>
      <c r="C666" s="941" t="s">
        <v>11041</v>
      </c>
      <c r="D666" s="941" t="s">
        <v>11037</v>
      </c>
      <c r="E666" s="1055" t="s">
        <v>11038</v>
      </c>
    </row>
    <row r="667" spans="1:5" ht="12" customHeight="1">
      <c r="A667">
        <v>666</v>
      </c>
      <c r="B667" s="941" t="s">
        <v>11040</v>
      </c>
      <c r="C667" s="941" t="s">
        <v>11041</v>
      </c>
      <c r="D667" s="941" t="s">
        <v>11037</v>
      </c>
      <c r="E667" s="1055" t="s">
        <v>11038</v>
      </c>
    </row>
    <row r="668" spans="1:5" ht="12" customHeight="1">
      <c r="A668">
        <v>667</v>
      </c>
      <c r="B668" s="941" t="s">
        <v>11040</v>
      </c>
      <c r="C668" s="941" t="s">
        <v>11041</v>
      </c>
      <c r="D668" s="941" t="s">
        <v>11037</v>
      </c>
      <c r="E668" s="1055" t="s">
        <v>11038</v>
      </c>
    </row>
    <row r="669" spans="1:5" ht="12" customHeight="1">
      <c r="A669">
        <v>668</v>
      </c>
      <c r="B669" s="941" t="s">
        <v>11040</v>
      </c>
      <c r="C669" s="941" t="s">
        <v>11041</v>
      </c>
      <c r="D669" s="941" t="s">
        <v>11037</v>
      </c>
      <c r="E669" s="1055" t="s">
        <v>11038</v>
      </c>
    </row>
    <row r="670" spans="1:5" ht="12" customHeight="1">
      <c r="A670">
        <v>669</v>
      </c>
      <c r="B670" s="941" t="s">
        <v>11040</v>
      </c>
      <c r="C670" s="941" t="s">
        <v>11041</v>
      </c>
      <c r="D670" s="941" t="s">
        <v>11037</v>
      </c>
      <c r="E670" s="1055" t="s">
        <v>11038</v>
      </c>
    </row>
    <row r="671" spans="1:5" ht="12" customHeight="1">
      <c r="A671">
        <v>670</v>
      </c>
      <c r="B671" s="941" t="s">
        <v>11040</v>
      </c>
      <c r="C671" s="941" t="s">
        <v>11041</v>
      </c>
      <c r="D671" s="941" t="s">
        <v>11037</v>
      </c>
      <c r="E671" s="1055" t="s">
        <v>11038</v>
      </c>
    </row>
    <row r="672" spans="1:5" ht="12" customHeight="1">
      <c r="A672">
        <v>671</v>
      </c>
      <c r="B672" s="941" t="s">
        <v>11040</v>
      </c>
      <c r="C672" s="941" t="s">
        <v>11041</v>
      </c>
      <c r="D672" s="941" t="s">
        <v>11037</v>
      </c>
      <c r="E672" s="1055" t="s">
        <v>11038</v>
      </c>
    </row>
    <row r="673" spans="1:5" ht="12" customHeight="1">
      <c r="A673">
        <v>672</v>
      </c>
      <c r="B673" s="941" t="s">
        <v>11040</v>
      </c>
      <c r="C673" s="941" t="s">
        <v>11041</v>
      </c>
      <c r="D673" s="941" t="s">
        <v>11037</v>
      </c>
      <c r="E673" s="1055" t="s">
        <v>11038</v>
      </c>
    </row>
    <row r="674" spans="1:5" ht="12" customHeight="1">
      <c r="A674">
        <v>673</v>
      </c>
      <c r="B674" s="941" t="s">
        <v>11040</v>
      </c>
      <c r="C674" s="941" t="s">
        <v>11041</v>
      </c>
      <c r="D674" s="941" t="s">
        <v>11037</v>
      </c>
      <c r="E674" s="1055" t="s">
        <v>11038</v>
      </c>
    </row>
    <row r="675" spans="1:5" ht="12" customHeight="1">
      <c r="A675">
        <v>674</v>
      </c>
      <c r="B675" s="941" t="s">
        <v>11040</v>
      </c>
      <c r="C675" s="941" t="s">
        <v>11041</v>
      </c>
      <c r="D675" s="941" t="s">
        <v>11037</v>
      </c>
      <c r="E675" s="1055" t="s">
        <v>11038</v>
      </c>
    </row>
    <row r="676" spans="1:5" ht="12" customHeight="1">
      <c r="A676">
        <v>675</v>
      </c>
      <c r="B676" s="941" t="s">
        <v>11040</v>
      </c>
      <c r="C676" s="941" t="s">
        <v>11041</v>
      </c>
      <c r="D676" s="941" t="s">
        <v>11037</v>
      </c>
      <c r="E676" s="1055" t="s">
        <v>11038</v>
      </c>
    </row>
    <row r="677" spans="1:5" ht="12" customHeight="1">
      <c r="A677">
        <v>676</v>
      </c>
      <c r="B677" s="941" t="s">
        <v>11040</v>
      </c>
      <c r="C677" s="941" t="s">
        <v>11041</v>
      </c>
      <c r="D677" s="941" t="s">
        <v>11037</v>
      </c>
      <c r="E677" s="1055" t="s">
        <v>11038</v>
      </c>
    </row>
    <row r="678" spans="1:5" ht="12" customHeight="1">
      <c r="A678">
        <v>677</v>
      </c>
      <c r="B678" s="941" t="s">
        <v>11040</v>
      </c>
      <c r="C678" s="941" t="s">
        <v>11041</v>
      </c>
      <c r="D678" s="941" t="s">
        <v>11037</v>
      </c>
      <c r="E678" s="1055" t="s">
        <v>11038</v>
      </c>
    </row>
    <row r="679" spans="1:5" ht="12" customHeight="1">
      <c r="A679">
        <v>678</v>
      </c>
      <c r="B679" s="941" t="s">
        <v>11040</v>
      </c>
      <c r="C679" s="941" t="s">
        <v>11041</v>
      </c>
      <c r="D679" s="941" t="s">
        <v>11037</v>
      </c>
      <c r="E679" s="1055" t="s">
        <v>11038</v>
      </c>
    </row>
    <row r="680" spans="1:5" ht="12" customHeight="1">
      <c r="A680">
        <v>679</v>
      </c>
      <c r="B680" s="941" t="s">
        <v>11040</v>
      </c>
      <c r="C680" s="941" t="s">
        <v>11041</v>
      </c>
      <c r="D680" s="941" t="s">
        <v>11037</v>
      </c>
      <c r="E680" s="1055" t="s">
        <v>11038</v>
      </c>
    </row>
    <row r="681" spans="1:5" ht="12" customHeight="1">
      <c r="A681">
        <v>680</v>
      </c>
      <c r="B681" s="941" t="s">
        <v>11040</v>
      </c>
      <c r="C681" s="941" t="s">
        <v>11041</v>
      </c>
      <c r="D681" s="941" t="s">
        <v>11037</v>
      </c>
      <c r="E681" s="1055" t="s">
        <v>11038</v>
      </c>
    </row>
    <row r="682" spans="1:5" ht="12" customHeight="1">
      <c r="A682">
        <v>681</v>
      </c>
      <c r="B682" s="941" t="s">
        <v>11040</v>
      </c>
      <c r="C682" s="941" t="s">
        <v>11041</v>
      </c>
      <c r="D682" s="941" t="s">
        <v>11037</v>
      </c>
      <c r="E682" s="1055" t="s">
        <v>11038</v>
      </c>
    </row>
    <row r="683" spans="1:5" ht="12" customHeight="1">
      <c r="A683">
        <v>682</v>
      </c>
      <c r="B683" s="941" t="s">
        <v>11040</v>
      </c>
      <c r="C683" s="941" t="s">
        <v>11041</v>
      </c>
      <c r="D683" s="941" t="s">
        <v>11037</v>
      </c>
      <c r="E683" s="1055" t="s">
        <v>11038</v>
      </c>
    </row>
    <row r="684" spans="1:5" ht="12" customHeight="1">
      <c r="A684">
        <v>683</v>
      </c>
      <c r="B684" s="941" t="s">
        <v>11040</v>
      </c>
      <c r="C684" s="941" t="s">
        <v>11041</v>
      </c>
      <c r="D684" s="941" t="s">
        <v>11037</v>
      </c>
      <c r="E684" s="1055" t="s">
        <v>11038</v>
      </c>
    </row>
    <row r="685" spans="1:5" ht="12" customHeight="1">
      <c r="A685">
        <v>684</v>
      </c>
      <c r="B685" s="941" t="s">
        <v>11040</v>
      </c>
      <c r="C685" s="941" t="s">
        <v>11041</v>
      </c>
      <c r="D685" s="941" t="s">
        <v>11037</v>
      </c>
      <c r="E685" s="1055" t="s">
        <v>11038</v>
      </c>
    </row>
    <row r="686" spans="1:5" ht="12" customHeight="1">
      <c r="A686">
        <v>685</v>
      </c>
      <c r="B686" s="941" t="s">
        <v>11040</v>
      </c>
      <c r="C686" s="941" t="s">
        <v>11041</v>
      </c>
      <c r="D686" s="941" t="s">
        <v>11037</v>
      </c>
      <c r="E686" s="1055" t="s">
        <v>11038</v>
      </c>
    </row>
    <row r="687" spans="1:5" ht="12" customHeight="1">
      <c r="A687">
        <v>686</v>
      </c>
      <c r="B687" s="941" t="s">
        <v>11040</v>
      </c>
      <c r="C687" s="941" t="s">
        <v>11041</v>
      </c>
      <c r="D687" s="941" t="s">
        <v>11037</v>
      </c>
      <c r="E687" s="1055" t="s">
        <v>11038</v>
      </c>
    </row>
    <row r="688" spans="1:5" ht="12" customHeight="1">
      <c r="A688">
        <v>687</v>
      </c>
      <c r="B688" s="941" t="s">
        <v>11040</v>
      </c>
      <c r="C688" s="941" t="s">
        <v>11041</v>
      </c>
      <c r="D688" s="941" t="s">
        <v>11037</v>
      </c>
      <c r="E688" s="1055" t="s">
        <v>11038</v>
      </c>
    </row>
    <row r="689" spans="1:5" ht="12" customHeight="1">
      <c r="A689">
        <v>688</v>
      </c>
      <c r="B689" s="941" t="s">
        <v>11040</v>
      </c>
      <c r="C689" s="941" t="s">
        <v>11041</v>
      </c>
      <c r="D689" s="941" t="s">
        <v>11037</v>
      </c>
      <c r="E689" s="1055" t="s">
        <v>11038</v>
      </c>
    </row>
    <row r="690" spans="1:5" ht="12" customHeight="1">
      <c r="A690">
        <v>689</v>
      </c>
      <c r="B690" s="941" t="s">
        <v>11040</v>
      </c>
      <c r="C690" s="941" t="s">
        <v>11041</v>
      </c>
      <c r="D690" s="941" t="s">
        <v>11037</v>
      </c>
      <c r="E690" s="1055" t="s">
        <v>11038</v>
      </c>
    </row>
    <row r="691" spans="1:5" ht="12" customHeight="1">
      <c r="A691">
        <v>690</v>
      </c>
      <c r="B691" s="941" t="s">
        <v>11040</v>
      </c>
      <c r="C691" s="941" t="s">
        <v>11041</v>
      </c>
      <c r="D691" s="941" t="s">
        <v>11037</v>
      </c>
      <c r="E691" s="1055" t="s">
        <v>11038</v>
      </c>
    </row>
    <row r="692" spans="1:5" ht="12" customHeight="1">
      <c r="A692">
        <v>691</v>
      </c>
      <c r="B692" s="941" t="s">
        <v>11040</v>
      </c>
      <c r="C692" s="941" t="s">
        <v>11041</v>
      </c>
      <c r="D692" s="941" t="s">
        <v>11037</v>
      </c>
      <c r="E692" s="1055" t="s">
        <v>11038</v>
      </c>
    </row>
    <row r="693" spans="1:5" ht="12" customHeight="1">
      <c r="A693">
        <v>692</v>
      </c>
      <c r="B693" s="941" t="s">
        <v>11040</v>
      </c>
      <c r="C693" s="941" t="s">
        <v>11041</v>
      </c>
      <c r="D693" s="941" t="s">
        <v>11037</v>
      </c>
      <c r="E693" s="1055" t="s">
        <v>11038</v>
      </c>
    </row>
    <row r="694" spans="1:5" ht="12" customHeight="1">
      <c r="A694">
        <v>693</v>
      </c>
      <c r="B694" s="941" t="s">
        <v>11040</v>
      </c>
      <c r="C694" s="941" t="s">
        <v>11041</v>
      </c>
      <c r="D694" s="941" t="s">
        <v>11037</v>
      </c>
      <c r="E694" s="1055" t="s">
        <v>11038</v>
      </c>
    </row>
    <row r="695" spans="1:5" ht="12" customHeight="1">
      <c r="A695">
        <v>694</v>
      </c>
      <c r="B695" s="941" t="s">
        <v>11040</v>
      </c>
      <c r="C695" s="941" t="s">
        <v>11041</v>
      </c>
      <c r="D695" s="941" t="s">
        <v>11037</v>
      </c>
      <c r="E695" s="1055" t="s">
        <v>11038</v>
      </c>
    </row>
    <row r="696" spans="1:5" ht="12" customHeight="1">
      <c r="A696">
        <v>695</v>
      </c>
      <c r="B696" s="941" t="s">
        <v>11040</v>
      </c>
      <c r="C696" s="941" t="s">
        <v>11041</v>
      </c>
      <c r="D696" s="941" t="s">
        <v>11037</v>
      </c>
      <c r="E696" s="1055" t="s">
        <v>11038</v>
      </c>
    </row>
    <row r="697" spans="1:5" ht="12" customHeight="1">
      <c r="A697">
        <v>696</v>
      </c>
      <c r="B697" s="941" t="s">
        <v>11040</v>
      </c>
      <c r="C697" s="941" t="s">
        <v>11041</v>
      </c>
      <c r="D697" s="941" t="s">
        <v>11037</v>
      </c>
      <c r="E697" s="1055" t="s">
        <v>11038</v>
      </c>
    </row>
    <row r="698" spans="1:5" ht="12" customHeight="1">
      <c r="A698">
        <v>697</v>
      </c>
      <c r="B698" s="941" t="s">
        <v>11040</v>
      </c>
      <c r="C698" s="941" t="s">
        <v>11041</v>
      </c>
      <c r="D698" s="941" t="s">
        <v>11037</v>
      </c>
      <c r="E698" s="1055" t="s">
        <v>11038</v>
      </c>
    </row>
    <row r="699" spans="1:5" ht="12" customHeight="1">
      <c r="A699">
        <v>698</v>
      </c>
      <c r="B699" s="941" t="s">
        <v>11040</v>
      </c>
      <c r="C699" s="941" t="s">
        <v>11041</v>
      </c>
      <c r="D699" s="941" t="s">
        <v>11037</v>
      </c>
      <c r="E699" s="1055" t="s">
        <v>11038</v>
      </c>
    </row>
    <row r="700" spans="1:5" ht="12" customHeight="1">
      <c r="A700">
        <v>699</v>
      </c>
      <c r="B700" s="941" t="s">
        <v>11040</v>
      </c>
      <c r="C700" s="941" t="s">
        <v>11041</v>
      </c>
      <c r="D700" s="941" t="s">
        <v>11037</v>
      </c>
      <c r="E700" s="1055" t="s">
        <v>11038</v>
      </c>
    </row>
    <row r="701" spans="1:5" ht="12" customHeight="1">
      <c r="A701">
        <v>700</v>
      </c>
      <c r="B701" s="941" t="s">
        <v>11040</v>
      </c>
      <c r="C701" s="941" t="s">
        <v>11041</v>
      </c>
      <c r="D701" s="941" t="s">
        <v>11037</v>
      </c>
      <c r="E701" s="1055" t="s">
        <v>11038</v>
      </c>
    </row>
    <row r="702" spans="1:5" ht="12" customHeight="1">
      <c r="A702">
        <v>701</v>
      </c>
      <c r="B702" s="941" t="s">
        <v>11040</v>
      </c>
      <c r="C702" s="941" t="s">
        <v>11041</v>
      </c>
      <c r="D702" s="941" t="s">
        <v>11037</v>
      </c>
      <c r="E702" s="1055" t="s">
        <v>11038</v>
      </c>
    </row>
    <row r="703" spans="1:5" ht="12" customHeight="1">
      <c r="A703">
        <v>702</v>
      </c>
      <c r="B703" s="941" t="s">
        <v>11040</v>
      </c>
      <c r="C703" s="941" t="s">
        <v>11041</v>
      </c>
      <c r="D703" s="941" t="s">
        <v>11037</v>
      </c>
      <c r="E703" s="1055" t="s">
        <v>11038</v>
      </c>
    </row>
    <row r="704" spans="1:5" ht="12" customHeight="1">
      <c r="A704">
        <v>703</v>
      </c>
      <c r="B704" s="941" t="s">
        <v>11040</v>
      </c>
      <c r="C704" s="941" t="s">
        <v>11041</v>
      </c>
      <c r="D704" s="941" t="s">
        <v>11037</v>
      </c>
      <c r="E704" s="1055" t="s">
        <v>11038</v>
      </c>
    </row>
    <row r="705" spans="1:5" ht="12" customHeight="1">
      <c r="A705">
        <v>704</v>
      </c>
      <c r="B705" s="941" t="s">
        <v>11040</v>
      </c>
      <c r="C705" s="941" t="s">
        <v>11041</v>
      </c>
      <c r="D705" s="941" t="s">
        <v>11037</v>
      </c>
      <c r="E705" s="1055" t="s">
        <v>11038</v>
      </c>
    </row>
    <row r="706" spans="1:5" ht="12" customHeight="1">
      <c r="A706">
        <v>705</v>
      </c>
      <c r="B706" s="941" t="s">
        <v>11040</v>
      </c>
      <c r="C706" s="941" t="s">
        <v>11041</v>
      </c>
      <c r="D706" s="941" t="s">
        <v>11037</v>
      </c>
      <c r="E706" s="1055" t="s">
        <v>11038</v>
      </c>
    </row>
    <row r="707" spans="1:5" ht="12" customHeight="1">
      <c r="A707">
        <v>706</v>
      </c>
      <c r="B707" s="941" t="s">
        <v>11040</v>
      </c>
      <c r="C707" s="941" t="s">
        <v>11041</v>
      </c>
      <c r="D707" s="941" t="s">
        <v>11037</v>
      </c>
      <c r="E707" s="1055" t="s">
        <v>11038</v>
      </c>
    </row>
    <row r="708" spans="1:5" ht="12" customHeight="1">
      <c r="A708">
        <v>707</v>
      </c>
      <c r="B708" s="941" t="s">
        <v>11040</v>
      </c>
      <c r="C708" s="941" t="s">
        <v>11041</v>
      </c>
      <c r="D708" s="941" t="s">
        <v>11037</v>
      </c>
      <c r="E708" s="1055" t="s">
        <v>11038</v>
      </c>
    </row>
    <row r="709" spans="1:5" ht="12" customHeight="1">
      <c r="A709">
        <v>708</v>
      </c>
      <c r="B709" s="941" t="s">
        <v>11040</v>
      </c>
      <c r="C709" s="941" t="s">
        <v>11041</v>
      </c>
      <c r="D709" s="941" t="s">
        <v>11037</v>
      </c>
      <c r="E709" s="1055" t="s">
        <v>11038</v>
      </c>
    </row>
    <row r="710" spans="1:5" ht="12" customHeight="1">
      <c r="A710">
        <v>709</v>
      </c>
      <c r="B710" s="941" t="s">
        <v>11040</v>
      </c>
      <c r="C710" s="941" t="s">
        <v>11041</v>
      </c>
      <c r="D710" s="941" t="s">
        <v>11037</v>
      </c>
      <c r="E710" s="1055" t="s">
        <v>11038</v>
      </c>
    </row>
    <row r="711" spans="1:5" ht="12" customHeight="1">
      <c r="A711">
        <v>710</v>
      </c>
      <c r="B711" s="941" t="s">
        <v>11040</v>
      </c>
      <c r="C711" s="941" t="s">
        <v>11041</v>
      </c>
      <c r="D711" s="941" t="s">
        <v>11037</v>
      </c>
      <c r="E711" s="1055" t="s">
        <v>11038</v>
      </c>
    </row>
    <row r="712" spans="1:5" ht="12" customHeight="1">
      <c r="A712">
        <v>711</v>
      </c>
      <c r="B712" s="941" t="s">
        <v>11040</v>
      </c>
      <c r="C712" s="941" t="s">
        <v>11041</v>
      </c>
      <c r="D712" s="941" t="s">
        <v>11037</v>
      </c>
      <c r="E712" s="1055" t="s">
        <v>11038</v>
      </c>
    </row>
    <row r="713" spans="1:5" ht="12" customHeight="1">
      <c r="A713">
        <v>712</v>
      </c>
      <c r="B713" s="941" t="s">
        <v>11040</v>
      </c>
      <c r="C713" s="941" t="s">
        <v>11041</v>
      </c>
      <c r="D713" s="941" t="s">
        <v>11037</v>
      </c>
      <c r="E713" s="1055" t="s">
        <v>11038</v>
      </c>
    </row>
    <row r="714" spans="1:5" ht="12" customHeight="1">
      <c r="A714">
        <v>713</v>
      </c>
      <c r="B714" s="941" t="s">
        <v>11040</v>
      </c>
      <c r="C714" s="941" t="s">
        <v>11041</v>
      </c>
      <c r="D714" s="941" t="s">
        <v>11037</v>
      </c>
      <c r="E714" s="1055" t="s">
        <v>11038</v>
      </c>
    </row>
    <row r="715" spans="1:5" ht="12" customHeight="1">
      <c r="A715">
        <v>714</v>
      </c>
      <c r="B715" s="941" t="s">
        <v>11040</v>
      </c>
      <c r="C715" s="941" t="s">
        <v>11041</v>
      </c>
      <c r="D715" s="941" t="s">
        <v>11037</v>
      </c>
      <c r="E715" s="1055" t="s">
        <v>11038</v>
      </c>
    </row>
    <row r="716" spans="1:5" ht="12" customHeight="1">
      <c r="A716">
        <v>715</v>
      </c>
      <c r="B716" s="941" t="s">
        <v>11040</v>
      </c>
      <c r="C716" s="941" t="s">
        <v>11041</v>
      </c>
      <c r="D716" s="941" t="s">
        <v>11037</v>
      </c>
      <c r="E716" s="1055" t="s">
        <v>11038</v>
      </c>
    </row>
    <row r="717" spans="1:5" ht="12" customHeight="1">
      <c r="A717">
        <v>716</v>
      </c>
      <c r="B717" s="941" t="s">
        <v>11040</v>
      </c>
      <c r="C717" s="941" t="s">
        <v>11041</v>
      </c>
      <c r="D717" s="941" t="s">
        <v>11037</v>
      </c>
      <c r="E717" s="1055" t="s">
        <v>11038</v>
      </c>
    </row>
    <row r="718" spans="1:5" ht="12" customHeight="1">
      <c r="A718">
        <v>717</v>
      </c>
      <c r="B718" s="941" t="s">
        <v>11040</v>
      </c>
      <c r="C718" s="941" t="s">
        <v>11041</v>
      </c>
      <c r="D718" s="941" t="s">
        <v>11037</v>
      </c>
      <c r="E718" s="1055" t="s">
        <v>11038</v>
      </c>
    </row>
    <row r="719" spans="1:5" ht="12" customHeight="1">
      <c r="A719">
        <v>718</v>
      </c>
      <c r="B719" s="941" t="s">
        <v>11040</v>
      </c>
      <c r="C719" s="941" t="s">
        <v>11041</v>
      </c>
      <c r="D719" s="941" t="s">
        <v>11037</v>
      </c>
      <c r="E719" s="1055" t="s">
        <v>11038</v>
      </c>
    </row>
    <row r="720" spans="1:5" ht="12" customHeight="1">
      <c r="A720">
        <v>719</v>
      </c>
      <c r="B720" s="941" t="s">
        <v>11040</v>
      </c>
      <c r="C720" s="941" t="s">
        <v>11041</v>
      </c>
      <c r="D720" s="941" t="s">
        <v>11037</v>
      </c>
      <c r="E720" s="1055" t="s">
        <v>11038</v>
      </c>
    </row>
    <row r="721" spans="1:5" ht="12" customHeight="1">
      <c r="A721">
        <v>720</v>
      </c>
      <c r="B721" s="941" t="s">
        <v>11040</v>
      </c>
      <c r="C721" s="941" t="s">
        <v>11041</v>
      </c>
      <c r="D721" s="941" t="s">
        <v>11037</v>
      </c>
      <c r="E721" s="1055" t="s">
        <v>11038</v>
      </c>
    </row>
    <row r="722" spans="1:5" ht="12" customHeight="1">
      <c r="A722">
        <v>721</v>
      </c>
      <c r="B722" s="941" t="s">
        <v>11040</v>
      </c>
      <c r="C722" s="941" t="s">
        <v>11041</v>
      </c>
      <c r="D722" s="941" t="s">
        <v>11037</v>
      </c>
      <c r="E722" s="1055" t="s">
        <v>11038</v>
      </c>
    </row>
    <row r="723" spans="1:5" ht="12" customHeight="1">
      <c r="A723">
        <v>722</v>
      </c>
      <c r="B723" s="941" t="s">
        <v>11040</v>
      </c>
      <c r="C723" s="941" t="s">
        <v>11041</v>
      </c>
      <c r="D723" s="941" t="s">
        <v>11037</v>
      </c>
      <c r="E723" s="1055" t="s">
        <v>11038</v>
      </c>
    </row>
    <row r="724" spans="1:5" ht="12" customHeight="1">
      <c r="A724">
        <v>723</v>
      </c>
      <c r="B724" s="941" t="s">
        <v>11040</v>
      </c>
      <c r="C724" s="941" t="s">
        <v>11041</v>
      </c>
      <c r="D724" s="941" t="s">
        <v>11037</v>
      </c>
      <c r="E724" s="1055" t="s">
        <v>11038</v>
      </c>
    </row>
    <row r="725" spans="1:5" ht="12" customHeight="1">
      <c r="A725">
        <v>724</v>
      </c>
      <c r="B725" s="941" t="s">
        <v>11040</v>
      </c>
      <c r="C725" s="941" t="s">
        <v>11041</v>
      </c>
      <c r="D725" s="941" t="s">
        <v>11037</v>
      </c>
      <c r="E725" s="1055" t="s">
        <v>11038</v>
      </c>
    </row>
    <row r="726" spans="1:5" ht="12" customHeight="1">
      <c r="A726">
        <v>725</v>
      </c>
      <c r="B726" s="941" t="s">
        <v>11040</v>
      </c>
      <c r="C726" s="941" t="s">
        <v>11041</v>
      </c>
      <c r="D726" s="941" t="s">
        <v>11037</v>
      </c>
      <c r="E726" s="1055" t="s">
        <v>11038</v>
      </c>
    </row>
    <row r="727" spans="1:5" ht="12" customHeight="1">
      <c r="A727">
        <v>726</v>
      </c>
      <c r="B727" s="941" t="s">
        <v>11040</v>
      </c>
      <c r="C727" s="941" t="s">
        <v>11041</v>
      </c>
      <c r="D727" s="941" t="s">
        <v>11037</v>
      </c>
      <c r="E727" s="1055" t="s">
        <v>11038</v>
      </c>
    </row>
    <row r="728" spans="1:5" ht="12" customHeight="1">
      <c r="A728">
        <v>727</v>
      </c>
      <c r="B728" s="941" t="s">
        <v>11040</v>
      </c>
      <c r="C728" s="941" t="s">
        <v>11041</v>
      </c>
      <c r="D728" s="941" t="s">
        <v>11037</v>
      </c>
      <c r="E728" s="1055" t="s">
        <v>11038</v>
      </c>
    </row>
    <row r="729" spans="1:5" ht="12" customHeight="1">
      <c r="A729">
        <v>728</v>
      </c>
      <c r="B729" s="941" t="s">
        <v>11040</v>
      </c>
      <c r="C729" s="941" t="s">
        <v>11041</v>
      </c>
      <c r="D729" s="941" t="s">
        <v>11037</v>
      </c>
      <c r="E729" s="1055" t="s">
        <v>11038</v>
      </c>
    </row>
    <row r="730" spans="1:5" ht="12" customHeight="1">
      <c r="A730">
        <v>729</v>
      </c>
      <c r="B730" s="941" t="s">
        <v>11040</v>
      </c>
      <c r="C730" s="941" t="s">
        <v>11041</v>
      </c>
      <c r="D730" s="941" t="s">
        <v>11037</v>
      </c>
      <c r="E730" s="1055" t="s">
        <v>11038</v>
      </c>
    </row>
    <row r="731" spans="1:5" ht="12" customHeight="1">
      <c r="A731">
        <v>730</v>
      </c>
      <c r="B731" s="941" t="s">
        <v>11040</v>
      </c>
      <c r="C731" s="941" t="s">
        <v>11041</v>
      </c>
      <c r="D731" s="941" t="s">
        <v>11037</v>
      </c>
      <c r="E731" s="1055" t="s">
        <v>11038</v>
      </c>
    </row>
    <row r="732" spans="1:5" ht="12" customHeight="1">
      <c r="A732">
        <v>731</v>
      </c>
      <c r="B732" s="941" t="s">
        <v>11040</v>
      </c>
      <c r="C732" s="941" t="s">
        <v>11041</v>
      </c>
      <c r="D732" s="941" t="s">
        <v>11037</v>
      </c>
      <c r="E732" s="1055" t="s">
        <v>11038</v>
      </c>
    </row>
    <row r="733" spans="1:5" ht="12" customHeight="1">
      <c r="A733">
        <v>732</v>
      </c>
      <c r="B733" s="941" t="s">
        <v>11040</v>
      </c>
      <c r="C733" s="941" t="s">
        <v>11041</v>
      </c>
      <c r="D733" s="941" t="s">
        <v>11037</v>
      </c>
      <c r="E733" s="1055" t="s">
        <v>11038</v>
      </c>
    </row>
    <row r="734" spans="1:5" ht="12" customHeight="1">
      <c r="A734">
        <v>733</v>
      </c>
      <c r="B734" s="941" t="s">
        <v>11040</v>
      </c>
      <c r="C734" s="941" t="s">
        <v>11041</v>
      </c>
      <c r="D734" s="941" t="s">
        <v>11037</v>
      </c>
      <c r="E734" s="1055" t="s">
        <v>11038</v>
      </c>
    </row>
    <row r="735" spans="1:5" ht="12" customHeight="1">
      <c r="A735">
        <v>734</v>
      </c>
      <c r="B735" s="941" t="s">
        <v>11040</v>
      </c>
      <c r="C735" s="941" t="s">
        <v>11041</v>
      </c>
      <c r="D735" s="941" t="s">
        <v>11037</v>
      </c>
      <c r="E735" s="1055" t="s">
        <v>11038</v>
      </c>
    </row>
    <row r="736" spans="1:5" ht="12" customHeight="1">
      <c r="A736">
        <v>735</v>
      </c>
      <c r="B736" s="941" t="s">
        <v>11040</v>
      </c>
      <c r="C736" s="941" t="s">
        <v>11041</v>
      </c>
      <c r="D736" s="941" t="s">
        <v>11037</v>
      </c>
      <c r="E736" s="1055" t="s">
        <v>11038</v>
      </c>
    </row>
    <row r="737" spans="1:5" ht="12" customHeight="1">
      <c r="A737">
        <v>736</v>
      </c>
      <c r="B737" s="941" t="s">
        <v>11040</v>
      </c>
      <c r="C737" s="941" t="s">
        <v>11041</v>
      </c>
      <c r="D737" s="941" t="s">
        <v>11037</v>
      </c>
      <c r="E737" s="1055" t="s">
        <v>11038</v>
      </c>
    </row>
    <row r="738" spans="1:5" ht="12" customHeight="1">
      <c r="A738">
        <v>737</v>
      </c>
      <c r="B738" s="941" t="s">
        <v>11040</v>
      </c>
      <c r="C738" s="941" t="s">
        <v>11041</v>
      </c>
      <c r="D738" s="941" t="s">
        <v>11037</v>
      </c>
      <c r="E738" s="1055" t="s">
        <v>11038</v>
      </c>
    </row>
    <row r="739" spans="1:5" ht="12" customHeight="1">
      <c r="A739">
        <v>738</v>
      </c>
      <c r="B739" s="941" t="s">
        <v>11040</v>
      </c>
      <c r="C739" s="941" t="s">
        <v>11041</v>
      </c>
      <c r="D739" s="941" t="s">
        <v>11037</v>
      </c>
      <c r="E739" s="1055" t="s">
        <v>11038</v>
      </c>
    </row>
    <row r="740" spans="1:5" ht="12" customHeight="1">
      <c r="A740">
        <v>739</v>
      </c>
      <c r="B740" s="941" t="s">
        <v>11040</v>
      </c>
      <c r="C740" s="941" t="s">
        <v>11041</v>
      </c>
      <c r="D740" s="941" t="s">
        <v>11037</v>
      </c>
      <c r="E740" s="1055" t="s">
        <v>11038</v>
      </c>
    </row>
    <row r="741" spans="1:5" ht="12" customHeight="1">
      <c r="A741">
        <v>740</v>
      </c>
      <c r="B741" s="941" t="s">
        <v>11040</v>
      </c>
      <c r="C741" s="941" t="s">
        <v>11041</v>
      </c>
      <c r="D741" s="941" t="s">
        <v>11037</v>
      </c>
      <c r="E741" s="1055" t="s">
        <v>11038</v>
      </c>
    </row>
    <row r="742" spans="1:5" ht="12" customHeight="1">
      <c r="A742">
        <v>741</v>
      </c>
      <c r="B742" s="941" t="s">
        <v>11040</v>
      </c>
      <c r="C742" s="941" t="s">
        <v>11041</v>
      </c>
      <c r="D742" s="941" t="s">
        <v>11037</v>
      </c>
      <c r="E742" s="1055" t="s">
        <v>11038</v>
      </c>
    </row>
    <row r="743" spans="1:5" ht="12" customHeight="1">
      <c r="A743">
        <v>742</v>
      </c>
      <c r="B743" s="941" t="s">
        <v>11040</v>
      </c>
      <c r="C743" s="941" t="s">
        <v>11041</v>
      </c>
      <c r="D743" s="941" t="s">
        <v>11037</v>
      </c>
      <c r="E743" s="1055" t="s">
        <v>11038</v>
      </c>
    </row>
    <row r="744" spans="1:5" ht="12" customHeight="1">
      <c r="A744">
        <v>743</v>
      </c>
      <c r="B744" s="941" t="s">
        <v>11040</v>
      </c>
      <c r="C744" s="941" t="s">
        <v>11041</v>
      </c>
      <c r="D744" s="941" t="s">
        <v>11037</v>
      </c>
      <c r="E744" s="1055" t="s">
        <v>11038</v>
      </c>
    </row>
    <row r="745" spans="1:5" ht="12" customHeight="1">
      <c r="A745">
        <v>744</v>
      </c>
      <c r="B745" s="941" t="s">
        <v>11040</v>
      </c>
      <c r="C745" s="941" t="s">
        <v>11041</v>
      </c>
      <c r="D745" s="941" t="s">
        <v>11037</v>
      </c>
      <c r="E745" s="1055" t="s">
        <v>11038</v>
      </c>
    </row>
    <row r="746" spans="1:5" ht="12" customHeight="1">
      <c r="A746">
        <v>745</v>
      </c>
      <c r="B746" s="941" t="s">
        <v>11040</v>
      </c>
      <c r="C746" s="941" t="s">
        <v>11041</v>
      </c>
      <c r="D746" s="941" t="s">
        <v>11037</v>
      </c>
      <c r="E746" s="1055" t="s">
        <v>11038</v>
      </c>
    </row>
    <row r="747" spans="1:5" ht="12" customHeight="1">
      <c r="A747">
        <v>746</v>
      </c>
      <c r="B747" s="941" t="s">
        <v>11040</v>
      </c>
      <c r="C747" s="941" t="s">
        <v>11041</v>
      </c>
      <c r="D747" s="941" t="s">
        <v>11037</v>
      </c>
      <c r="E747" s="1055" t="s">
        <v>11038</v>
      </c>
    </row>
    <row r="748" spans="1:5" ht="12" customHeight="1">
      <c r="A748">
        <v>747</v>
      </c>
      <c r="B748" s="941" t="s">
        <v>11040</v>
      </c>
      <c r="C748" s="941" t="s">
        <v>11041</v>
      </c>
      <c r="D748" s="941" t="s">
        <v>11037</v>
      </c>
      <c r="E748" s="1055" t="s">
        <v>11038</v>
      </c>
    </row>
    <row r="749" spans="1:5" ht="12" customHeight="1">
      <c r="A749">
        <v>748</v>
      </c>
      <c r="B749" s="941" t="s">
        <v>11040</v>
      </c>
      <c r="C749" s="941" t="s">
        <v>11041</v>
      </c>
      <c r="D749" s="941" t="s">
        <v>11037</v>
      </c>
      <c r="E749" s="1055" t="s">
        <v>11038</v>
      </c>
    </row>
    <row r="750" spans="1:5" ht="12" customHeight="1">
      <c r="A750">
        <v>749</v>
      </c>
      <c r="B750" s="941" t="s">
        <v>11040</v>
      </c>
      <c r="C750" s="941" t="s">
        <v>11041</v>
      </c>
      <c r="D750" s="941" t="s">
        <v>11037</v>
      </c>
      <c r="E750" s="1055" t="s">
        <v>11038</v>
      </c>
    </row>
    <row r="751" spans="1:5" ht="12" customHeight="1">
      <c r="A751">
        <v>750</v>
      </c>
      <c r="B751" s="941" t="s">
        <v>11040</v>
      </c>
      <c r="C751" s="941" t="s">
        <v>11041</v>
      </c>
      <c r="D751" s="941" t="s">
        <v>11037</v>
      </c>
      <c r="E751" s="1055" t="s">
        <v>11038</v>
      </c>
    </row>
    <row r="752" spans="1:5" ht="12" customHeight="1">
      <c r="A752">
        <v>751</v>
      </c>
      <c r="B752" s="941" t="s">
        <v>11040</v>
      </c>
      <c r="C752" s="941" t="s">
        <v>11041</v>
      </c>
      <c r="D752" s="941" t="s">
        <v>11037</v>
      </c>
      <c r="E752" s="1055" t="s">
        <v>11038</v>
      </c>
    </row>
    <row r="753" spans="1:5" ht="12" customHeight="1">
      <c r="A753">
        <v>752</v>
      </c>
      <c r="B753" s="941" t="s">
        <v>11040</v>
      </c>
      <c r="C753" s="941" t="s">
        <v>11041</v>
      </c>
      <c r="D753" s="941" t="s">
        <v>11037</v>
      </c>
      <c r="E753" s="1055" t="s">
        <v>11038</v>
      </c>
    </row>
    <row r="754" spans="1:5" ht="12" customHeight="1">
      <c r="A754">
        <v>753</v>
      </c>
      <c r="B754" s="941" t="s">
        <v>11040</v>
      </c>
      <c r="C754" s="941" t="s">
        <v>11041</v>
      </c>
      <c r="D754" s="941" t="s">
        <v>11037</v>
      </c>
      <c r="E754" s="1055" t="s">
        <v>11038</v>
      </c>
    </row>
    <row r="755" spans="1:5" ht="12" customHeight="1">
      <c r="A755">
        <v>754</v>
      </c>
      <c r="B755" s="941" t="s">
        <v>11040</v>
      </c>
      <c r="C755" s="941" t="s">
        <v>11041</v>
      </c>
      <c r="D755" s="941" t="s">
        <v>11037</v>
      </c>
      <c r="E755" s="1055" t="s">
        <v>11038</v>
      </c>
    </row>
    <row r="756" spans="1:5" ht="12" customHeight="1">
      <c r="A756">
        <v>755</v>
      </c>
      <c r="B756" s="941" t="s">
        <v>11040</v>
      </c>
      <c r="C756" s="941" t="s">
        <v>11041</v>
      </c>
      <c r="D756" s="941" t="s">
        <v>11037</v>
      </c>
      <c r="E756" s="1055" t="s">
        <v>11038</v>
      </c>
    </row>
    <row r="757" spans="1:5" ht="12" customHeight="1">
      <c r="A757">
        <v>756</v>
      </c>
      <c r="B757" s="941" t="s">
        <v>11040</v>
      </c>
      <c r="C757" s="941" t="s">
        <v>11041</v>
      </c>
      <c r="D757" s="941" t="s">
        <v>11037</v>
      </c>
      <c r="E757" s="1055" t="s">
        <v>11038</v>
      </c>
    </row>
    <row r="758" spans="1:5" ht="12" customHeight="1">
      <c r="A758">
        <v>757</v>
      </c>
      <c r="B758" s="941" t="s">
        <v>11040</v>
      </c>
      <c r="C758" s="941" t="s">
        <v>11041</v>
      </c>
      <c r="D758" s="941" t="s">
        <v>11037</v>
      </c>
      <c r="E758" s="1055" t="s">
        <v>11038</v>
      </c>
    </row>
    <row r="759" spans="1:5" ht="12" customHeight="1">
      <c r="A759">
        <v>758</v>
      </c>
      <c r="B759" s="941" t="s">
        <v>11040</v>
      </c>
      <c r="C759" s="941" t="s">
        <v>11041</v>
      </c>
      <c r="D759" s="941" t="s">
        <v>11037</v>
      </c>
      <c r="E759" s="1055" t="s">
        <v>11038</v>
      </c>
    </row>
    <row r="760" spans="1:5" ht="12" customHeight="1">
      <c r="A760">
        <v>759</v>
      </c>
      <c r="B760" s="941" t="s">
        <v>11040</v>
      </c>
      <c r="C760" s="941" t="s">
        <v>11041</v>
      </c>
      <c r="D760" s="941" t="s">
        <v>11037</v>
      </c>
      <c r="E760" s="1055" t="s">
        <v>11038</v>
      </c>
    </row>
    <row r="761" spans="1:5" ht="12" customHeight="1">
      <c r="A761">
        <v>760</v>
      </c>
      <c r="B761" s="941" t="s">
        <v>11040</v>
      </c>
      <c r="C761" s="941" t="s">
        <v>11041</v>
      </c>
      <c r="D761" s="941" t="s">
        <v>11037</v>
      </c>
      <c r="E761" s="1055" t="s">
        <v>11038</v>
      </c>
    </row>
    <row r="762" spans="1:5" ht="12" customHeight="1">
      <c r="A762">
        <v>761</v>
      </c>
      <c r="B762" s="941" t="s">
        <v>11040</v>
      </c>
      <c r="C762" s="941" t="s">
        <v>11041</v>
      </c>
      <c r="D762" s="941" t="s">
        <v>11037</v>
      </c>
      <c r="E762" s="1055" t="s">
        <v>11038</v>
      </c>
    </row>
    <row r="763" spans="1:5" ht="12" customHeight="1">
      <c r="A763">
        <v>762</v>
      </c>
      <c r="B763" s="941" t="s">
        <v>11040</v>
      </c>
      <c r="C763" s="941" t="s">
        <v>11041</v>
      </c>
      <c r="D763" s="941" t="s">
        <v>11037</v>
      </c>
      <c r="E763" s="1055" t="s">
        <v>11038</v>
      </c>
    </row>
    <row r="764" spans="1:5" ht="12" customHeight="1">
      <c r="A764">
        <v>763</v>
      </c>
      <c r="B764" s="941" t="s">
        <v>11040</v>
      </c>
      <c r="C764" s="941" t="s">
        <v>11041</v>
      </c>
      <c r="D764" s="941" t="s">
        <v>11037</v>
      </c>
      <c r="E764" s="1055" t="s">
        <v>11038</v>
      </c>
    </row>
    <row r="765" spans="1:5" ht="12" customHeight="1">
      <c r="A765">
        <v>764</v>
      </c>
      <c r="B765" s="941" t="s">
        <v>11040</v>
      </c>
      <c r="C765" s="941" t="s">
        <v>11041</v>
      </c>
      <c r="D765" s="941" t="s">
        <v>11037</v>
      </c>
      <c r="E765" s="1055" t="s">
        <v>11038</v>
      </c>
    </row>
    <row r="766" spans="1:5" ht="12" customHeight="1">
      <c r="A766">
        <v>765</v>
      </c>
      <c r="B766" s="941" t="s">
        <v>11040</v>
      </c>
      <c r="C766" s="941" t="s">
        <v>11041</v>
      </c>
      <c r="D766" s="941" t="s">
        <v>11037</v>
      </c>
      <c r="E766" s="1055" t="s">
        <v>11038</v>
      </c>
    </row>
    <row r="767" spans="1:5" ht="12" customHeight="1">
      <c r="A767">
        <v>766</v>
      </c>
      <c r="B767" s="941" t="s">
        <v>11040</v>
      </c>
      <c r="C767" s="941" t="s">
        <v>11041</v>
      </c>
      <c r="D767" s="941" t="s">
        <v>11037</v>
      </c>
      <c r="E767" s="1055" t="s">
        <v>11038</v>
      </c>
    </row>
    <row r="768" spans="1:5" ht="12" customHeight="1">
      <c r="A768">
        <v>767</v>
      </c>
      <c r="B768" s="941" t="s">
        <v>11040</v>
      </c>
      <c r="C768" s="941" t="s">
        <v>11041</v>
      </c>
      <c r="D768" s="941" t="s">
        <v>11037</v>
      </c>
      <c r="E768" s="1055" t="s">
        <v>11038</v>
      </c>
    </row>
    <row r="769" spans="1:5" ht="12" customHeight="1">
      <c r="A769">
        <v>768</v>
      </c>
      <c r="B769" s="941" t="s">
        <v>11040</v>
      </c>
      <c r="C769" s="941" t="s">
        <v>11041</v>
      </c>
      <c r="D769" s="941" t="s">
        <v>11037</v>
      </c>
      <c r="E769" s="1055" t="s">
        <v>11038</v>
      </c>
    </row>
    <row r="770" spans="1:5" ht="12" customHeight="1">
      <c r="A770">
        <v>769</v>
      </c>
      <c r="B770" s="941" t="s">
        <v>11040</v>
      </c>
      <c r="C770" s="941" t="s">
        <v>11041</v>
      </c>
      <c r="D770" s="941" t="s">
        <v>11037</v>
      </c>
      <c r="E770" s="1055" t="s">
        <v>11038</v>
      </c>
    </row>
    <row r="771" spans="1:5" ht="12" customHeight="1">
      <c r="A771">
        <v>770</v>
      </c>
      <c r="B771" s="941" t="s">
        <v>11040</v>
      </c>
      <c r="C771" s="941" t="s">
        <v>11041</v>
      </c>
      <c r="D771" s="941" t="s">
        <v>11037</v>
      </c>
      <c r="E771" s="1055" t="s">
        <v>11038</v>
      </c>
    </row>
    <row r="772" spans="1:5" ht="12" customHeight="1">
      <c r="A772">
        <v>771</v>
      </c>
      <c r="B772" s="941" t="s">
        <v>11040</v>
      </c>
      <c r="C772" s="941" t="s">
        <v>11041</v>
      </c>
      <c r="D772" s="941" t="s">
        <v>11037</v>
      </c>
      <c r="E772" s="1055" t="s">
        <v>11038</v>
      </c>
    </row>
    <row r="773" spans="1:5" ht="12" customHeight="1">
      <c r="A773">
        <v>772</v>
      </c>
      <c r="B773" s="941" t="s">
        <v>11040</v>
      </c>
      <c r="C773" s="941" t="s">
        <v>11041</v>
      </c>
      <c r="D773" s="941" t="s">
        <v>11037</v>
      </c>
      <c r="E773" s="1055" t="s">
        <v>11038</v>
      </c>
    </row>
    <row r="774" spans="1:5" ht="12" customHeight="1">
      <c r="A774">
        <v>773</v>
      </c>
      <c r="B774" s="941" t="s">
        <v>11040</v>
      </c>
      <c r="C774" s="941" t="s">
        <v>11041</v>
      </c>
      <c r="D774" s="941" t="s">
        <v>11037</v>
      </c>
      <c r="E774" s="1055" t="s">
        <v>11038</v>
      </c>
    </row>
    <row r="775" spans="1:5" ht="12" customHeight="1">
      <c r="A775">
        <v>774</v>
      </c>
      <c r="B775" s="941" t="s">
        <v>11040</v>
      </c>
      <c r="C775" s="941" t="s">
        <v>11041</v>
      </c>
      <c r="D775" s="941" t="s">
        <v>11037</v>
      </c>
      <c r="E775" s="1055" t="s">
        <v>11038</v>
      </c>
    </row>
    <row r="776" spans="1:5" ht="12" customHeight="1">
      <c r="A776">
        <v>775</v>
      </c>
      <c r="B776" s="941" t="s">
        <v>11040</v>
      </c>
      <c r="C776" s="941" t="s">
        <v>11041</v>
      </c>
      <c r="D776" s="941" t="s">
        <v>11037</v>
      </c>
      <c r="E776" s="1055" t="s">
        <v>11038</v>
      </c>
    </row>
    <row r="777" spans="1:5" ht="12" customHeight="1">
      <c r="A777">
        <v>776</v>
      </c>
      <c r="B777" s="941" t="s">
        <v>11040</v>
      </c>
      <c r="C777" s="941" t="s">
        <v>11041</v>
      </c>
      <c r="D777" s="941" t="s">
        <v>11037</v>
      </c>
      <c r="E777" s="1055" t="s">
        <v>11038</v>
      </c>
    </row>
    <row r="778" spans="1:5" ht="12" customHeight="1">
      <c r="A778">
        <v>777</v>
      </c>
      <c r="B778" s="941" t="s">
        <v>11040</v>
      </c>
      <c r="C778" s="941" t="s">
        <v>11041</v>
      </c>
      <c r="D778" s="941" t="s">
        <v>11037</v>
      </c>
      <c r="E778" s="1055" t="s">
        <v>11038</v>
      </c>
    </row>
    <row r="779" spans="1:5" ht="12" customHeight="1">
      <c r="A779">
        <v>778</v>
      </c>
      <c r="B779" s="941" t="s">
        <v>11040</v>
      </c>
      <c r="C779" s="941" t="s">
        <v>11041</v>
      </c>
      <c r="D779" s="941" t="s">
        <v>11037</v>
      </c>
      <c r="E779" s="1055" t="s">
        <v>11038</v>
      </c>
    </row>
    <row r="780" spans="1:5" ht="12" customHeight="1">
      <c r="A780">
        <v>779</v>
      </c>
      <c r="B780" s="941" t="s">
        <v>11040</v>
      </c>
      <c r="C780" s="941" t="s">
        <v>11041</v>
      </c>
      <c r="D780" s="941" t="s">
        <v>11037</v>
      </c>
      <c r="E780" s="1055" t="s">
        <v>11038</v>
      </c>
    </row>
    <row r="781" spans="1:5" ht="12" customHeight="1">
      <c r="A781">
        <v>780</v>
      </c>
      <c r="B781" s="941" t="s">
        <v>11040</v>
      </c>
      <c r="C781" s="941" t="s">
        <v>11041</v>
      </c>
      <c r="D781" s="941" t="s">
        <v>11037</v>
      </c>
      <c r="E781" s="1055" t="s">
        <v>11038</v>
      </c>
    </row>
    <row r="782" spans="1:5" ht="12" customHeight="1">
      <c r="A782">
        <v>781</v>
      </c>
      <c r="B782" s="941" t="s">
        <v>11040</v>
      </c>
      <c r="C782" s="941" t="s">
        <v>11041</v>
      </c>
      <c r="D782" s="941" t="s">
        <v>11037</v>
      </c>
      <c r="E782" s="1055" t="s">
        <v>11038</v>
      </c>
    </row>
    <row r="783" spans="1:5" ht="12" customHeight="1">
      <c r="A783">
        <v>782</v>
      </c>
      <c r="B783" s="941" t="s">
        <v>11040</v>
      </c>
      <c r="C783" s="941" t="s">
        <v>11041</v>
      </c>
      <c r="D783" s="941" t="s">
        <v>11037</v>
      </c>
      <c r="E783" s="1055" t="s">
        <v>11038</v>
      </c>
    </row>
    <row r="784" spans="1:5" ht="12" customHeight="1">
      <c r="A784">
        <v>783</v>
      </c>
      <c r="B784" s="941" t="s">
        <v>11040</v>
      </c>
      <c r="C784" s="941" t="s">
        <v>11041</v>
      </c>
      <c r="D784" s="941" t="s">
        <v>11037</v>
      </c>
      <c r="E784" s="1055" t="s">
        <v>11038</v>
      </c>
    </row>
    <row r="785" spans="1:5" ht="12" customHeight="1">
      <c r="A785">
        <v>784</v>
      </c>
      <c r="B785" s="941" t="s">
        <v>11040</v>
      </c>
      <c r="C785" s="941" t="s">
        <v>11041</v>
      </c>
      <c r="D785" s="941" t="s">
        <v>11037</v>
      </c>
      <c r="E785" s="1055" t="s">
        <v>11038</v>
      </c>
    </row>
    <row r="786" spans="1:5" ht="12" customHeight="1">
      <c r="A786">
        <v>785</v>
      </c>
      <c r="B786" s="941" t="s">
        <v>11040</v>
      </c>
      <c r="C786" s="941" t="s">
        <v>11041</v>
      </c>
      <c r="D786" s="941" t="s">
        <v>11037</v>
      </c>
      <c r="E786" s="1055" t="s">
        <v>11038</v>
      </c>
    </row>
    <row r="787" spans="1:5" ht="12" customHeight="1">
      <c r="A787">
        <v>786</v>
      </c>
      <c r="B787" s="941" t="s">
        <v>11040</v>
      </c>
      <c r="C787" s="941" t="s">
        <v>11041</v>
      </c>
      <c r="D787" s="941" t="s">
        <v>11037</v>
      </c>
      <c r="E787" s="1055" t="s">
        <v>11038</v>
      </c>
    </row>
    <row r="788" spans="1:5" ht="12" customHeight="1">
      <c r="A788">
        <v>787</v>
      </c>
      <c r="B788" s="941" t="s">
        <v>11040</v>
      </c>
      <c r="C788" s="941" t="s">
        <v>11041</v>
      </c>
      <c r="D788" s="941" t="s">
        <v>11037</v>
      </c>
      <c r="E788" s="1055" t="s">
        <v>11038</v>
      </c>
    </row>
    <row r="789" spans="1:5" ht="12" customHeight="1">
      <c r="A789">
        <v>788</v>
      </c>
      <c r="B789" s="941" t="s">
        <v>11040</v>
      </c>
      <c r="C789" s="941" t="s">
        <v>11041</v>
      </c>
      <c r="D789" s="941" t="s">
        <v>11037</v>
      </c>
      <c r="E789" s="1055" t="s">
        <v>11038</v>
      </c>
    </row>
    <row r="790" spans="1:5" ht="12" customHeight="1">
      <c r="A790">
        <v>789</v>
      </c>
      <c r="B790" s="941" t="s">
        <v>11040</v>
      </c>
      <c r="C790" s="941" t="s">
        <v>11041</v>
      </c>
      <c r="D790" s="941" t="s">
        <v>11037</v>
      </c>
      <c r="E790" s="1055" t="s">
        <v>11038</v>
      </c>
    </row>
    <row r="791" spans="1:5" ht="12" customHeight="1">
      <c r="A791">
        <v>790</v>
      </c>
      <c r="B791" s="941" t="s">
        <v>11040</v>
      </c>
      <c r="C791" s="941" t="s">
        <v>11041</v>
      </c>
      <c r="D791" s="941" t="s">
        <v>11037</v>
      </c>
      <c r="E791" s="1055" t="s">
        <v>11038</v>
      </c>
    </row>
    <row r="792" spans="1:5" ht="12" customHeight="1">
      <c r="A792">
        <v>791</v>
      </c>
      <c r="B792" s="941" t="s">
        <v>11040</v>
      </c>
      <c r="C792" s="941" t="s">
        <v>11041</v>
      </c>
      <c r="D792" s="941" t="s">
        <v>11037</v>
      </c>
      <c r="E792" s="1055" t="s">
        <v>11038</v>
      </c>
    </row>
    <row r="793" spans="1:5" ht="12" customHeight="1">
      <c r="A793">
        <v>792</v>
      </c>
      <c r="B793" s="941" t="s">
        <v>11040</v>
      </c>
      <c r="C793" s="941" t="s">
        <v>11041</v>
      </c>
      <c r="D793" s="941" t="s">
        <v>11037</v>
      </c>
      <c r="E793" s="1055" t="s">
        <v>11038</v>
      </c>
    </row>
    <row r="794" spans="1:5" ht="12" customHeight="1">
      <c r="A794">
        <v>793</v>
      </c>
      <c r="B794" s="941" t="s">
        <v>11040</v>
      </c>
      <c r="C794" s="941" t="s">
        <v>11041</v>
      </c>
      <c r="D794" s="941" t="s">
        <v>11037</v>
      </c>
      <c r="E794" s="1055" t="s">
        <v>11038</v>
      </c>
    </row>
    <row r="795" spans="1:5" ht="12" customHeight="1">
      <c r="A795">
        <v>794</v>
      </c>
      <c r="B795" s="941" t="s">
        <v>11040</v>
      </c>
      <c r="C795" s="941" t="s">
        <v>11041</v>
      </c>
      <c r="D795" s="941" t="s">
        <v>11037</v>
      </c>
      <c r="E795" s="1055" t="s">
        <v>11038</v>
      </c>
    </row>
    <row r="796" spans="1:5" ht="12" customHeight="1">
      <c r="A796">
        <v>795</v>
      </c>
      <c r="B796" s="941" t="s">
        <v>11040</v>
      </c>
      <c r="C796" s="941" t="s">
        <v>11041</v>
      </c>
      <c r="D796" s="941" t="s">
        <v>11037</v>
      </c>
      <c r="E796" s="1055" t="s">
        <v>11038</v>
      </c>
    </row>
    <row r="797" spans="1:5" ht="12" customHeight="1">
      <c r="A797">
        <v>796</v>
      </c>
      <c r="B797" s="941" t="s">
        <v>11040</v>
      </c>
      <c r="C797" s="941" t="s">
        <v>11041</v>
      </c>
      <c r="D797" s="941" t="s">
        <v>11037</v>
      </c>
      <c r="E797" s="1055" t="s">
        <v>11038</v>
      </c>
    </row>
    <row r="798" spans="1:5" ht="12" customHeight="1">
      <c r="A798">
        <v>797</v>
      </c>
      <c r="B798" s="941" t="s">
        <v>11040</v>
      </c>
      <c r="C798" s="941" t="s">
        <v>11041</v>
      </c>
      <c r="D798" s="941" t="s">
        <v>11037</v>
      </c>
      <c r="E798" s="1055" t="s">
        <v>11038</v>
      </c>
    </row>
    <row r="799" spans="1:5" ht="12" customHeight="1">
      <c r="A799">
        <v>798</v>
      </c>
      <c r="B799" s="941" t="s">
        <v>11040</v>
      </c>
      <c r="C799" s="941" t="s">
        <v>11041</v>
      </c>
      <c r="D799" s="941" t="s">
        <v>11037</v>
      </c>
      <c r="E799" s="1055" t="s">
        <v>11038</v>
      </c>
    </row>
    <row r="800" spans="1:5" ht="12" customHeight="1">
      <c r="A800">
        <v>799</v>
      </c>
      <c r="B800" s="941" t="s">
        <v>11040</v>
      </c>
      <c r="C800" s="941" t="s">
        <v>11041</v>
      </c>
      <c r="D800" s="941" t="s">
        <v>11037</v>
      </c>
      <c r="E800" s="1055" t="s">
        <v>11038</v>
      </c>
    </row>
    <row r="801" spans="1:5" ht="12" customHeight="1">
      <c r="A801">
        <v>800</v>
      </c>
      <c r="B801" s="941" t="s">
        <v>11040</v>
      </c>
      <c r="C801" s="941" t="s">
        <v>11041</v>
      </c>
      <c r="D801" s="941" t="s">
        <v>11037</v>
      </c>
      <c r="E801" s="1055" t="s">
        <v>11038</v>
      </c>
    </row>
    <row r="802" spans="1:5" ht="12" customHeight="1">
      <c r="A802">
        <v>801</v>
      </c>
      <c r="B802" s="941" t="s">
        <v>11040</v>
      </c>
      <c r="C802" s="941" t="s">
        <v>11041</v>
      </c>
      <c r="D802" s="941" t="s">
        <v>11037</v>
      </c>
      <c r="E802" s="1055" t="s">
        <v>11038</v>
      </c>
    </row>
    <row r="803" spans="1:5" ht="12" customHeight="1">
      <c r="A803">
        <v>802</v>
      </c>
      <c r="B803" s="941" t="s">
        <v>11040</v>
      </c>
      <c r="C803" s="941" t="s">
        <v>11041</v>
      </c>
      <c r="D803" s="941" t="s">
        <v>11037</v>
      </c>
      <c r="E803" s="1055" t="s">
        <v>11038</v>
      </c>
    </row>
    <row r="804" spans="1:5" ht="12" customHeight="1">
      <c r="A804">
        <v>803</v>
      </c>
      <c r="B804" s="941" t="s">
        <v>11040</v>
      </c>
      <c r="C804" s="941" t="s">
        <v>11041</v>
      </c>
      <c r="D804" s="941" t="s">
        <v>11037</v>
      </c>
      <c r="E804" s="1055" t="s">
        <v>11038</v>
      </c>
    </row>
    <row r="805" spans="1:5" ht="12" customHeight="1">
      <c r="A805">
        <v>804</v>
      </c>
      <c r="B805" s="941" t="s">
        <v>11040</v>
      </c>
      <c r="C805" s="941" t="s">
        <v>11041</v>
      </c>
      <c r="D805" s="941" t="s">
        <v>11037</v>
      </c>
      <c r="E805" s="1055" t="s">
        <v>11038</v>
      </c>
    </row>
    <row r="806" spans="1:5" ht="12" customHeight="1">
      <c r="A806">
        <v>805</v>
      </c>
      <c r="B806" s="941" t="s">
        <v>11040</v>
      </c>
      <c r="C806" s="941" t="s">
        <v>11041</v>
      </c>
      <c r="D806" s="941" t="s">
        <v>11037</v>
      </c>
      <c r="E806" s="1055" t="s">
        <v>11038</v>
      </c>
    </row>
    <row r="807" spans="1:5" ht="12" customHeight="1">
      <c r="A807">
        <v>806</v>
      </c>
      <c r="B807" s="941" t="s">
        <v>11040</v>
      </c>
      <c r="C807" s="941" t="s">
        <v>11041</v>
      </c>
      <c r="D807" s="941" t="s">
        <v>11037</v>
      </c>
      <c r="E807" s="1055" t="s">
        <v>11038</v>
      </c>
    </row>
    <row r="808" spans="1:5" ht="12" customHeight="1">
      <c r="A808">
        <v>807</v>
      </c>
      <c r="B808" s="941" t="s">
        <v>11040</v>
      </c>
      <c r="C808" s="941" t="s">
        <v>11041</v>
      </c>
      <c r="D808" s="941" t="s">
        <v>11037</v>
      </c>
      <c r="E808" s="1055" t="s">
        <v>11038</v>
      </c>
    </row>
    <row r="809" spans="1:5" ht="12" customHeight="1">
      <c r="A809">
        <v>808</v>
      </c>
      <c r="B809" s="941" t="s">
        <v>11040</v>
      </c>
      <c r="C809" s="941" t="s">
        <v>11041</v>
      </c>
      <c r="D809" s="941" t="s">
        <v>11037</v>
      </c>
      <c r="E809" s="1055" t="s">
        <v>11038</v>
      </c>
    </row>
    <row r="810" spans="1:5" ht="12" customHeight="1">
      <c r="A810">
        <v>809</v>
      </c>
      <c r="B810" s="941" t="s">
        <v>11040</v>
      </c>
      <c r="C810" s="941" t="s">
        <v>11041</v>
      </c>
      <c r="D810" s="941" t="s">
        <v>11037</v>
      </c>
      <c r="E810" s="1055" t="s">
        <v>11038</v>
      </c>
    </row>
    <row r="811" spans="1:5" ht="12" customHeight="1">
      <c r="A811">
        <v>810</v>
      </c>
      <c r="B811" s="941" t="s">
        <v>11040</v>
      </c>
      <c r="C811" s="941" t="s">
        <v>11041</v>
      </c>
      <c r="D811" s="941" t="s">
        <v>11037</v>
      </c>
      <c r="E811" s="1055" t="s">
        <v>11038</v>
      </c>
    </row>
    <row r="812" spans="1:5" ht="12" customHeight="1">
      <c r="A812">
        <v>811</v>
      </c>
      <c r="B812" s="941" t="s">
        <v>11040</v>
      </c>
      <c r="C812" s="941" t="s">
        <v>11041</v>
      </c>
      <c r="D812" s="941" t="s">
        <v>11037</v>
      </c>
      <c r="E812" s="1055" t="s">
        <v>11038</v>
      </c>
    </row>
    <row r="813" spans="1:5" ht="12" customHeight="1">
      <c r="A813">
        <v>812</v>
      </c>
      <c r="B813" s="941" t="s">
        <v>11040</v>
      </c>
      <c r="C813" s="941" t="s">
        <v>11041</v>
      </c>
      <c r="D813" s="941" t="s">
        <v>11037</v>
      </c>
      <c r="E813" s="1055" t="s">
        <v>11038</v>
      </c>
    </row>
    <row r="814" spans="1:5" ht="12" customHeight="1">
      <c r="A814">
        <v>813</v>
      </c>
      <c r="B814" s="941" t="s">
        <v>11040</v>
      </c>
      <c r="C814" s="941" t="s">
        <v>11041</v>
      </c>
      <c r="D814" s="941" t="s">
        <v>11037</v>
      </c>
      <c r="E814" s="1055" t="s">
        <v>11038</v>
      </c>
    </row>
    <row r="815" spans="1:5" ht="12" customHeight="1">
      <c r="A815">
        <v>814</v>
      </c>
      <c r="B815" s="941" t="s">
        <v>11040</v>
      </c>
      <c r="C815" s="941" t="s">
        <v>11041</v>
      </c>
      <c r="D815" s="941" t="s">
        <v>11037</v>
      </c>
      <c r="E815" s="1055" t="s">
        <v>11038</v>
      </c>
    </row>
    <row r="816" spans="1:5" ht="12" customHeight="1">
      <c r="A816">
        <v>815</v>
      </c>
      <c r="B816" s="941" t="s">
        <v>11040</v>
      </c>
      <c r="C816" s="941" t="s">
        <v>11041</v>
      </c>
      <c r="D816" s="941" t="s">
        <v>11037</v>
      </c>
      <c r="E816" s="1055" t="s">
        <v>11038</v>
      </c>
    </row>
    <row r="817" spans="1:5" ht="12" customHeight="1">
      <c r="A817">
        <v>816</v>
      </c>
      <c r="B817" s="941" t="s">
        <v>11040</v>
      </c>
      <c r="C817" s="941" t="s">
        <v>11041</v>
      </c>
      <c r="D817" s="941" t="s">
        <v>11037</v>
      </c>
      <c r="E817" s="1055" t="s">
        <v>11038</v>
      </c>
    </row>
    <row r="818" spans="1:5" ht="12" customHeight="1">
      <c r="A818">
        <v>817</v>
      </c>
      <c r="B818" s="941" t="s">
        <v>11040</v>
      </c>
      <c r="C818" s="941" t="s">
        <v>11041</v>
      </c>
      <c r="D818" s="941" t="s">
        <v>11037</v>
      </c>
      <c r="E818" s="1055" t="s">
        <v>11038</v>
      </c>
    </row>
    <row r="819" spans="1:5" ht="12" customHeight="1">
      <c r="A819">
        <v>818</v>
      </c>
      <c r="B819" s="941" t="s">
        <v>11040</v>
      </c>
      <c r="C819" s="941" t="s">
        <v>11041</v>
      </c>
      <c r="D819" s="941" t="s">
        <v>11037</v>
      </c>
      <c r="E819" s="1055" t="s">
        <v>11038</v>
      </c>
    </row>
    <row r="820" spans="1:5" ht="12" customHeight="1">
      <c r="A820">
        <v>819</v>
      </c>
      <c r="B820" s="941" t="s">
        <v>11040</v>
      </c>
      <c r="C820" s="941" t="s">
        <v>11041</v>
      </c>
      <c r="D820" s="941" t="s">
        <v>11037</v>
      </c>
      <c r="E820" s="1055" t="s">
        <v>11038</v>
      </c>
    </row>
    <row r="821" spans="1:5" ht="12" customHeight="1">
      <c r="A821">
        <v>820</v>
      </c>
      <c r="B821" s="941" t="s">
        <v>11040</v>
      </c>
      <c r="C821" s="941" t="s">
        <v>11041</v>
      </c>
      <c r="D821" s="941" t="s">
        <v>11037</v>
      </c>
      <c r="E821" s="1055" t="s">
        <v>11038</v>
      </c>
    </row>
    <row r="822" spans="1:5" ht="12" customHeight="1">
      <c r="A822">
        <v>821</v>
      </c>
      <c r="B822" s="941" t="s">
        <v>11040</v>
      </c>
      <c r="C822" s="941" t="s">
        <v>11041</v>
      </c>
      <c r="D822" s="941" t="s">
        <v>11037</v>
      </c>
      <c r="E822" s="1055" t="s">
        <v>11038</v>
      </c>
    </row>
    <row r="823" spans="1:5" ht="12" customHeight="1">
      <c r="A823">
        <v>822</v>
      </c>
      <c r="B823" s="941" t="s">
        <v>11040</v>
      </c>
      <c r="C823" s="941" t="s">
        <v>11041</v>
      </c>
      <c r="D823" s="941" t="s">
        <v>11037</v>
      </c>
      <c r="E823" s="1055" t="s">
        <v>11038</v>
      </c>
    </row>
    <row r="824" spans="1:5" ht="12" customHeight="1">
      <c r="A824">
        <v>823</v>
      </c>
      <c r="B824" s="941" t="s">
        <v>11040</v>
      </c>
      <c r="C824" s="941" t="s">
        <v>11041</v>
      </c>
      <c r="D824" s="941" t="s">
        <v>11037</v>
      </c>
      <c r="E824" s="1055" t="s">
        <v>11038</v>
      </c>
    </row>
    <row r="825" spans="1:5" ht="12" customHeight="1">
      <c r="A825">
        <v>824</v>
      </c>
      <c r="B825" s="941" t="s">
        <v>11040</v>
      </c>
      <c r="C825" s="941" t="s">
        <v>11041</v>
      </c>
      <c r="D825" s="941" t="s">
        <v>11037</v>
      </c>
      <c r="E825" s="1055" t="s">
        <v>11038</v>
      </c>
    </row>
    <row r="826" spans="1:5" ht="12" customHeight="1">
      <c r="A826">
        <v>825</v>
      </c>
      <c r="B826" s="941" t="s">
        <v>11040</v>
      </c>
      <c r="C826" s="941" t="s">
        <v>11041</v>
      </c>
      <c r="D826" s="941" t="s">
        <v>11037</v>
      </c>
      <c r="E826" s="1055" t="s">
        <v>11038</v>
      </c>
    </row>
    <row r="827" spans="1:5" ht="12" customHeight="1">
      <c r="A827">
        <v>826</v>
      </c>
      <c r="B827" s="941" t="s">
        <v>11040</v>
      </c>
      <c r="C827" s="941" t="s">
        <v>11041</v>
      </c>
      <c r="D827" s="941" t="s">
        <v>11037</v>
      </c>
      <c r="E827" s="1055" t="s">
        <v>11038</v>
      </c>
    </row>
    <row r="828" spans="1:5" ht="12" customHeight="1">
      <c r="A828">
        <v>827</v>
      </c>
      <c r="B828" s="941" t="s">
        <v>11040</v>
      </c>
      <c r="C828" s="941" t="s">
        <v>11041</v>
      </c>
      <c r="D828" s="941" t="s">
        <v>11037</v>
      </c>
      <c r="E828" s="1055" t="s">
        <v>11038</v>
      </c>
    </row>
    <row r="829" spans="1:5" ht="12" customHeight="1">
      <c r="A829">
        <v>828</v>
      </c>
      <c r="B829" s="941" t="s">
        <v>11040</v>
      </c>
      <c r="C829" s="941" t="s">
        <v>11041</v>
      </c>
      <c r="D829" s="941" t="s">
        <v>11037</v>
      </c>
      <c r="E829" s="1055" t="s">
        <v>11038</v>
      </c>
    </row>
    <row r="830" spans="1:5" ht="12" customHeight="1">
      <c r="A830">
        <v>829</v>
      </c>
      <c r="B830" s="941" t="s">
        <v>11040</v>
      </c>
      <c r="C830" s="941" t="s">
        <v>11041</v>
      </c>
      <c r="D830" s="941" t="s">
        <v>11037</v>
      </c>
      <c r="E830" s="1055" t="s">
        <v>11038</v>
      </c>
    </row>
    <row r="831" spans="1:5" ht="12" customHeight="1">
      <c r="A831">
        <v>830</v>
      </c>
      <c r="B831" s="941" t="s">
        <v>11040</v>
      </c>
      <c r="C831" s="941" t="s">
        <v>11041</v>
      </c>
      <c r="D831" s="941" t="s">
        <v>11037</v>
      </c>
      <c r="E831" s="1055" t="s">
        <v>11038</v>
      </c>
    </row>
    <row r="832" spans="1:5" ht="12" customHeight="1">
      <c r="A832">
        <v>831</v>
      </c>
      <c r="B832" s="941" t="s">
        <v>11040</v>
      </c>
      <c r="C832" s="941" t="s">
        <v>11041</v>
      </c>
      <c r="D832" s="941" t="s">
        <v>11037</v>
      </c>
      <c r="E832" s="1055" t="s">
        <v>11038</v>
      </c>
    </row>
    <row r="833" spans="1:5" ht="12" customHeight="1">
      <c r="A833">
        <v>832</v>
      </c>
      <c r="B833" s="941" t="s">
        <v>11040</v>
      </c>
      <c r="C833" s="941" t="s">
        <v>11041</v>
      </c>
      <c r="D833" s="941" t="s">
        <v>11037</v>
      </c>
      <c r="E833" s="1055" t="s">
        <v>11038</v>
      </c>
    </row>
    <row r="834" spans="1:5" ht="12" customHeight="1">
      <c r="A834">
        <v>833</v>
      </c>
      <c r="B834" s="941" t="s">
        <v>11040</v>
      </c>
      <c r="C834" s="941" t="s">
        <v>11041</v>
      </c>
      <c r="D834" s="941" t="s">
        <v>11037</v>
      </c>
      <c r="E834" s="1055" t="s">
        <v>11038</v>
      </c>
    </row>
    <row r="835" spans="1:5" ht="12" customHeight="1">
      <c r="A835">
        <v>834</v>
      </c>
      <c r="B835" s="941" t="s">
        <v>11040</v>
      </c>
      <c r="C835" s="941" t="s">
        <v>11041</v>
      </c>
      <c r="D835" s="941" t="s">
        <v>11037</v>
      </c>
      <c r="E835" s="1055" t="s">
        <v>11038</v>
      </c>
    </row>
    <row r="836" spans="1:5" ht="12" customHeight="1">
      <c r="A836">
        <v>835</v>
      </c>
      <c r="B836" s="941" t="s">
        <v>11040</v>
      </c>
      <c r="C836" s="941" t="s">
        <v>11041</v>
      </c>
      <c r="D836" s="941" t="s">
        <v>11037</v>
      </c>
      <c r="E836" s="1055" t="s">
        <v>11038</v>
      </c>
    </row>
    <row r="837" spans="1:5" ht="12" customHeight="1">
      <c r="A837">
        <v>836</v>
      </c>
      <c r="B837" s="941" t="s">
        <v>11040</v>
      </c>
      <c r="C837" s="941" t="s">
        <v>11041</v>
      </c>
      <c r="D837" s="941" t="s">
        <v>11037</v>
      </c>
      <c r="E837" s="1055" t="s">
        <v>11038</v>
      </c>
    </row>
    <row r="838" spans="1:5" ht="12" customHeight="1">
      <c r="A838">
        <v>837</v>
      </c>
      <c r="B838" s="941" t="s">
        <v>11040</v>
      </c>
      <c r="C838" s="941" t="s">
        <v>11041</v>
      </c>
      <c r="D838" s="941" t="s">
        <v>11037</v>
      </c>
      <c r="E838" s="1055" t="s">
        <v>11038</v>
      </c>
    </row>
    <row r="839" spans="1:5" ht="12" customHeight="1">
      <c r="A839">
        <v>838</v>
      </c>
      <c r="B839" s="941" t="s">
        <v>11040</v>
      </c>
      <c r="C839" s="941" t="s">
        <v>11041</v>
      </c>
      <c r="D839" s="941" t="s">
        <v>11037</v>
      </c>
      <c r="E839" s="1055" t="s">
        <v>11038</v>
      </c>
    </row>
    <row r="840" spans="1:5" ht="12" customHeight="1">
      <c r="A840">
        <v>839</v>
      </c>
      <c r="B840" s="941" t="s">
        <v>11040</v>
      </c>
      <c r="C840" s="941" t="s">
        <v>11041</v>
      </c>
      <c r="D840" s="941" t="s">
        <v>11037</v>
      </c>
      <c r="E840" s="1055" t="s">
        <v>11038</v>
      </c>
    </row>
    <row r="841" spans="1:5" ht="12" customHeight="1">
      <c r="A841">
        <v>840</v>
      </c>
      <c r="B841" s="941" t="s">
        <v>11040</v>
      </c>
      <c r="C841" s="941" t="s">
        <v>11041</v>
      </c>
      <c r="D841" s="941" t="s">
        <v>11037</v>
      </c>
      <c r="E841" s="1055" t="s">
        <v>11038</v>
      </c>
    </row>
    <row r="842" spans="1:5" ht="12" customHeight="1">
      <c r="A842">
        <v>841</v>
      </c>
      <c r="B842" s="941" t="s">
        <v>11040</v>
      </c>
      <c r="C842" s="941" t="s">
        <v>11041</v>
      </c>
      <c r="D842" s="941" t="s">
        <v>11037</v>
      </c>
      <c r="E842" s="1055" t="s">
        <v>11038</v>
      </c>
    </row>
    <row r="843" spans="1:5" ht="12" customHeight="1">
      <c r="A843">
        <v>842</v>
      </c>
      <c r="B843" s="941" t="s">
        <v>11040</v>
      </c>
      <c r="C843" s="941" t="s">
        <v>11041</v>
      </c>
      <c r="D843" s="941" t="s">
        <v>11037</v>
      </c>
      <c r="E843" s="1055" t="s">
        <v>11038</v>
      </c>
    </row>
    <row r="844" spans="1:5" ht="12" customHeight="1">
      <c r="A844">
        <v>843</v>
      </c>
      <c r="B844" s="941" t="s">
        <v>11040</v>
      </c>
      <c r="C844" s="941" t="s">
        <v>11041</v>
      </c>
      <c r="D844" s="941" t="s">
        <v>11037</v>
      </c>
      <c r="E844" s="1055" t="s">
        <v>11038</v>
      </c>
    </row>
    <row r="845" spans="1:5" ht="12" customHeight="1">
      <c r="A845">
        <v>844</v>
      </c>
      <c r="B845" s="941" t="s">
        <v>11040</v>
      </c>
      <c r="C845" s="941" t="s">
        <v>11041</v>
      </c>
      <c r="D845" s="941" t="s">
        <v>11037</v>
      </c>
      <c r="E845" s="1055" t="s">
        <v>11038</v>
      </c>
    </row>
    <row r="846" spans="1:5" ht="12" customHeight="1">
      <c r="A846">
        <v>845</v>
      </c>
      <c r="B846" s="941" t="s">
        <v>11040</v>
      </c>
      <c r="C846" s="941" t="s">
        <v>11041</v>
      </c>
      <c r="D846" s="941" t="s">
        <v>11037</v>
      </c>
      <c r="E846" s="1055" t="s">
        <v>11038</v>
      </c>
    </row>
    <row r="847" spans="1:5" ht="12" customHeight="1">
      <c r="A847">
        <v>846</v>
      </c>
      <c r="B847" s="941" t="s">
        <v>11040</v>
      </c>
      <c r="C847" s="941" t="s">
        <v>11041</v>
      </c>
      <c r="D847" s="941" t="s">
        <v>11037</v>
      </c>
      <c r="E847" s="1055" t="s">
        <v>11038</v>
      </c>
    </row>
    <row r="848" spans="1:5" ht="12" customHeight="1">
      <c r="A848">
        <v>847</v>
      </c>
      <c r="B848" s="941" t="s">
        <v>11040</v>
      </c>
      <c r="C848" s="941" t="s">
        <v>11041</v>
      </c>
      <c r="D848" s="941" t="s">
        <v>11037</v>
      </c>
      <c r="E848" s="1055" t="s">
        <v>11038</v>
      </c>
    </row>
    <row r="849" spans="1:5" ht="12" customHeight="1">
      <c r="A849">
        <v>848</v>
      </c>
      <c r="B849" s="941" t="s">
        <v>11040</v>
      </c>
      <c r="C849" s="941" t="s">
        <v>11041</v>
      </c>
      <c r="D849" s="941" t="s">
        <v>11037</v>
      </c>
      <c r="E849" s="1055" t="s">
        <v>11038</v>
      </c>
    </row>
    <row r="850" spans="1:5" ht="12" customHeight="1">
      <c r="A850">
        <v>849</v>
      </c>
      <c r="B850" s="941" t="s">
        <v>11040</v>
      </c>
      <c r="C850" s="941" t="s">
        <v>11041</v>
      </c>
      <c r="D850" s="941" t="s">
        <v>11037</v>
      </c>
      <c r="E850" s="1055" t="s">
        <v>11038</v>
      </c>
    </row>
    <row r="851" spans="1:5" ht="12" customHeight="1">
      <c r="A851">
        <v>850</v>
      </c>
      <c r="B851" s="941" t="s">
        <v>11040</v>
      </c>
      <c r="C851" s="941" t="s">
        <v>11041</v>
      </c>
      <c r="D851" s="941" t="s">
        <v>11037</v>
      </c>
      <c r="E851" s="1055" t="s">
        <v>11038</v>
      </c>
    </row>
    <row r="852" spans="1:5" ht="12" customHeight="1">
      <c r="A852">
        <v>851</v>
      </c>
      <c r="B852" s="941" t="s">
        <v>11040</v>
      </c>
      <c r="C852" s="941" t="s">
        <v>11041</v>
      </c>
      <c r="D852" s="941" t="s">
        <v>11037</v>
      </c>
      <c r="E852" s="1055" t="s">
        <v>11038</v>
      </c>
    </row>
    <row r="853" spans="1:5" ht="12" customHeight="1">
      <c r="A853">
        <v>852</v>
      </c>
      <c r="B853" s="941" t="s">
        <v>11040</v>
      </c>
      <c r="C853" s="941" t="s">
        <v>11041</v>
      </c>
      <c r="D853" s="941" t="s">
        <v>11037</v>
      </c>
      <c r="E853" s="1055" t="s">
        <v>11038</v>
      </c>
    </row>
    <row r="854" spans="1:5" ht="12" customHeight="1">
      <c r="A854">
        <v>853</v>
      </c>
      <c r="B854" s="941" t="s">
        <v>11040</v>
      </c>
      <c r="C854" s="941" t="s">
        <v>11041</v>
      </c>
      <c r="D854" s="941" t="s">
        <v>11037</v>
      </c>
      <c r="E854" s="1055" t="s">
        <v>11038</v>
      </c>
    </row>
    <row r="855" spans="1:5" ht="12" customHeight="1">
      <c r="A855">
        <v>854</v>
      </c>
      <c r="B855" s="941" t="s">
        <v>11040</v>
      </c>
      <c r="C855" s="941" t="s">
        <v>11041</v>
      </c>
      <c r="D855" s="941" t="s">
        <v>11037</v>
      </c>
      <c r="E855" s="1055" t="s">
        <v>11038</v>
      </c>
    </row>
    <row r="856" spans="1:5" ht="12" customHeight="1">
      <c r="A856">
        <v>855</v>
      </c>
      <c r="B856" s="941" t="s">
        <v>11040</v>
      </c>
      <c r="C856" s="941" t="s">
        <v>11041</v>
      </c>
      <c r="D856" s="941" t="s">
        <v>11037</v>
      </c>
      <c r="E856" s="1055" t="s">
        <v>11038</v>
      </c>
    </row>
    <row r="857" spans="1:5" ht="12" customHeight="1">
      <c r="A857">
        <v>856</v>
      </c>
      <c r="B857" s="941" t="s">
        <v>11040</v>
      </c>
      <c r="C857" s="941" t="s">
        <v>11041</v>
      </c>
      <c r="D857" s="941" t="s">
        <v>11037</v>
      </c>
      <c r="E857" s="1055" t="s">
        <v>11038</v>
      </c>
    </row>
    <row r="858" spans="1:5" ht="12" customHeight="1">
      <c r="A858">
        <v>857</v>
      </c>
      <c r="B858" s="941" t="s">
        <v>11040</v>
      </c>
      <c r="C858" s="941" t="s">
        <v>11041</v>
      </c>
      <c r="D858" s="941" t="s">
        <v>11037</v>
      </c>
      <c r="E858" s="1055" t="s">
        <v>11038</v>
      </c>
    </row>
    <row r="859" spans="1:5" ht="12" customHeight="1">
      <c r="A859">
        <v>858</v>
      </c>
      <c r="B859" s="941" t="s">
        <v>11040</v>
      </c>
      <c r="C859" s="941" t="s">
        <v>11041</v>
      </c>
      <c r="D859" s="941" t="s">
        <v>11037</v>
      </c>
      <c r="E859" s="1055" t="s">
        <v>11038</v>
      </c>
    </row>
    <row r="860" spans="1:5" ht="12" customHeight="1">
      <c r="A860">
        <v>859</v>
      </c>
      <c r="B860" s="941" t="s">
        <v>11040</v>
      </c>
      <c r="C860" s="941" t="s">
        <v>11041</v>
      </c>
      <c r="D860" s="941" t="s">
        <v>11037</v>
      </c>
      <c r="E860" s="1055" t="s">
        <v>11038</v>
      </c>
    </row>
    <row r="861" spans="1:5" ht="12" customHeight="1">
      <c r="A861">
        <v>860</v>
      </c>
      <c r="B861" s="941" t="s">
        <v>11040</v>
      </c>
      <c r="C861" s="941" t="s">
        <v>11041</v>
      </c>
      <c r="D861" s="941" t="s">
        <v>11037</v>
      </c>
      <c r="E861" s="1055" t="s">
        <v>11038</v>
      </c>
    </row>
    <row r="862" spans="1:5" ht="12" customHeight="1">
      <c r="A862">
        <v>861</v>
      </c>
      <c r="B862" s="941" t="s">
        <v>11040</v>
      </c>
      <c r="C862" s="941" t="s">
        <v>11041</v>
      </c>
      <c r="D862" s="941" t="s">
        <v>11037</v>
      </c>
      <c r="E862" s="1055" t="s">
        <v>11038</v>
      </c>
    </row>
    <row r="863" spans="1:5" ht="12" customHeight="1">
      <c r="A863">
        <v>862</v>
      </c>
      <c r="B863" s="941" t="s">
        <v>11040</v>
      </c>
      <c r="C863" s="941" t="s">
        <v>11041</v>
      </c>
      <c r="D863" s="941" t="s">
        <v>11037</v>
      </c>
      <c r="E863" s="1055" t="s">
        <v>11038</v>
      </c>
    </row>
    <row r="864" spans="1:5" ht="12" customHeight="1">
      <c r="A864">
        <v>863</v>
      </c>
      <c r="B864" s="941" t="s">
        <v>11040</v>
      </c>
      <c r="C864" s="941" t="s">
        <v>11041</v>
      </c>
      <c r="D864" s="941" t="s">
        <v>11037</v>
      </c>
      <c r="E864" s="1055" t="s">
        <v>11038</v>
      </c>
    </row>
    <row r="865" spans="1:5" ht="12" customHeight="1">
      <c r="A865">
        <v>864</v>
      </c>
      <c r="B865" s="941" t="s">
        <v>11040</v>
      </c>
      <c r="C865" s="941" t="s">
        <v>11041</v>
      </c>
      <c r="D865" s="941" t="s">
        <v>11037</v>
      </c>
      <c r="E865" s="1055" t="s">
        <v>11038</v>
      </c>
    </row>
    <row r="866" spans="1:5" ht="12" customHeight="1">
      <c r="A866">
        <v>865</v>
      </c>
      <c r="B866" s="941" t="s">
        <v>11040</v>
      </c>
      <c r="C866" s="941" t="s">
        <v>11041</v>
      </c>
      <c r="D866" s="941" t="s">
        <v>11037</v>
      </c>
      <c r="E866" s="1055" t="s">
        <v>11038</v>
      </c>
    </row>
    <row r="867" spans="1:5" ht="12" customHeight="1">
      <c r="A867">
        <v>866</v>
      </c>
      <c r="B867" s="941" t="s">
        <v>11040</v>
      </c>
      <c r="C867" s="941" t="s">
        <v>11041</v>
      </c>
      <c r="D867" s="941" t="s">
        <v>11037</v>
      </c>
      <c r="E867" s="1055" t="s">
        <v>11038</v>
      </c>
    </row>
    <row r="868" spans="1:5" ht="12" customHeight="1">
      <c r="A868">
        <v>867</v>
      </c>
      <c r="B868" s="941" t="s">
        <v>11040</v>
      </c>
      <c r="C868" s="941" t="s">
        <v>11041</v>
      </c>
      <c r="D868" s="941" t="s">
        <v>11037</v>
      </c>
      <c r="E868" s="1055" t="s">
        <v>11038</v>
      </c>
    </row>
    <row r="869" spans="1:5" ht="12" customHeight="1">
      <c r="A869">
        <v>868</v>
      </c>
      <c r="B869" s="941" t="s">
        <v>11040</v>
      </c>
      <c r="C869" s="941" t="s">
        <v>11041</v>
      </c>
      <c r="D869" s="941" t="s">
        <v>11037</v>
      </c>
      <c r="E869" s="1055" t="s">
        <v>11038</v>
      </c>
    </row>
    <row r="870" spans="1:5" ht="12" customHeight="1">
      <c r="A870">
        <v>869</v>
      </c>
      <c r="B870" s="941" t="s">
        <v>11040</v>
      </c>
      <c r="C870" s="941" t="s">
        <v>11041</v>
      </c>
      <c r="D870" s="941" t="s">
        <v>11037</v>
      </c>
      <c r="E870" s="1055" t="s">
        <v>11038</v>
      </c>
    </row>
    <row r="871" spans="1:5" ht="12" customHeight="1">
      <c r="A871">
        <v>870</v>
      </c>
      <c r="B871" s="941" t="s">
        <v>11040</v>
      </c>
      <c r="C871" s="941" t="s">
        <v>11041</v>
      </c>
      <c r="D871" s="941" t="s">
        <v>11037</v>
      </c>
      <c r="E871" s="1055" t="s">
        <v>11038</v>
      </c>
    </row>
    <row r="872" spans="1:5" ht="12" customHeight="1">
      <c r="A872">
        <v>871</v>
      </c>
      <c r="B872" s="941" t="s">
        <v>11040</v>
      </c>
      <c r="C872" s="941" t="s">
        <v>11041</v>
      </c>
      <c r="D872" s="941" t="s">
        <v>11037</v>
      </c>
      <c r="E872" s="1055" t="s">
        <v>11038</v>
      </c>
    </row>
    <row r="873" spans="1:5" ht="12" customHeight="1">
      <c r="A873">
        <v>872</v>
      </c>
      <c r="B873" s="941" t="s">
        <v>11040</v>
      </c>
      <c r="C873" s="941" t="s">
        <v>11041</v>
      </c>
      <c r="D873" s="941" t="s">
        <v>11037</v>
      </c>
      <c r="E873" s="1055" t="s">
        <v>11038</v>
      </c>
    </row>
    <row r="874" spans="1:5" ht="12" customHeight="1">
      <c r="A874">
        <v>873</v>
      </c>
      <c r="B874" s="941" t="s">
        <v>11040</v>
      </c>
      <c r="C874" s="941" t="s">
        <v>11041</v>
      </c>
      <c r="D874" s="941" t="s">
        <v>11037</v>
      </c>
      <c r="E874" s="1055" t="s">
        <v>11038</v>
      </c>
    </row>
    <row r="875" spans="1:5" ht="12" customHeight="1">
      <c r="A875">
        <v>874</v>
      </c>
      <c r="B875" s="941" t="s">
        <v>11040</v>
      </c>
      <c r="C875" s="941" t="s">
        <v>11041</v>
      </c>
      <c r="D875" s="941" t="s">
        <v>11037</v>
      </c>
      <c r="E875" s="1055" t="s">
        <v>11038</v>
      </c>
    </row>
    <row r="876" spans="1:5" ht="12" customHeight="1">
      <c r="A876">
        <v>875</v>
      </c>
      <c r="B876" s="941" t="s">
        <v>11040</v>
      </c>
      <c r="C876" s="941" t="s">
        <v>11041</v>
      </c>
      <c r="D876" s="941" t="s">
        <v>11037</v>
      </c>
      <c r="E876" s="1055" t="s">
        <v>11038</v>
      </c>
    </row>
    <row r="877" spans="1:5" ht="12" customHeight="1">
      <c r="A877">
        <v>876</v>
      </c>
      <c r="B877" s="941" t="s">
        <v>11040</v>
      </c>
      <c r="C877" s="941" t="s">
        <v>11041</v>
      </c>
      <c r="D877" s="941" t="s">
        <v>11037</v>
      </c>
      <c r="E877" s="1055" t="s">
        <v>11038</v>
      </c>
    </row>
    <row r="878" spans="1:5" ht="12" customHeight="1">
      <c r="A878">
        <v>877</v>
      </c>
      <c r="B878" s="941" t="s">
        <v>11040</v>
      </c>
      <c r="C878" s="941" t="s">
        <v>11041</v>
      </c>
      <c r="D878" s="941" t="s">
        <v>11037</v>
      </c>
      <c r="E878" s="1055" t="s">
        <v>11038</v>
      </c>
    </row>
    <row r="879" spans="1:5" ht="12" customHeight="1">
      <c r="A879">
        <v>878</v>
      </c>
      <c r="B879" s="941" t="s">
        <v>11040</v>
      </c>
      <c r="C879" s="941" t="s">
        <v>11041</v>
      </c>
      <c r="D879" s="941" t="s">
        <v>11037</v>
      </c>
      <c r="E879" s="1055" t="s">
        <v>11038</v>
      </c>
    </row>
    <row r="880" spans="1:5" ht="12" customHeight="1">
      <c r="A880">
        <v>879</v>
      </c>
      <c r="B880" s="941" t="s">
        <v>11040</v>
      </c>
      <c r="C880" s="941" t="s">
        <v>11041</v>
      </c>
      <c r="D880" s="941" t="s">
        <v>11037</v>
      </c>
      <c r="E880" s="1055" t="s">
        <v>11038</v>
      </c>
    </row>
    <row r="881" spans="1:5" ht="12" customHeight="1">
      <c r="A881">
        <v>880</v>
      </c>
      <c r="B881" s="941" t="s">
        <v>11040</v>
      </c>
      <c r="C881" s="941" t="s">
        <v>11041</v>
      </c>
      <c r="D881" s="941" t="s">
        <v>11037</v>
      </c>
      <c r="E881" s="1055" t="s">
        <v>11038</v>
      </c>
    </row>
    <row r="882" spans="1:5" ht="12" customHeight="1">
      <c r="A882">
        <v>881</v>
      </c>
      <c r="B882" s="941" t="s">
        <v>11040</v>
      </c>
      <c r="C882" s="941" t="s">
        <v>11041</v>
      </c>
      <c r="D882" s="941" t="s">
        <v>11037</v>
      </c>
      <c r="E882" s="1055" t="s">
        <v>11038</v>
      </c>
    </row>
    <row r="883" spans="1:5" ht="12" customHeight="1">
      <c r="A883">
        <v>882</v>
      </c>
      <c r="B883" s="941" t="s">
        <v>11040</v>
      </c>
      <c r="C883" s="941" t="s">
        <v>11041</v>
      </c>
      <c r="D883" s="941" t="s">
        <v>11037</v>
      </c>
      <c r="E883" s="1055" t="s">
        <v>11038</v>
      </c>
    </row>
    <row r="884" spans="1:5" ht="12" customHeight="1">
      <c r="A884">
        <v>883</v>
      </c>
      <c r="B884" s="941" t="s">
        <v>11040</v>
      </c>
      <c r="C884" s="941" t="s">
        <v>11041</v>
      </c>
      <c r="D884" s="941" t="s">
        <v>11037</v>
      </c>
      <c r="E884" s="1055" t="s">
        <v>11038</v>
      </c>
    </row>
    <row r="885" spans="1:5" ht="12" customHeight="1">
      <c r="A885">
        <v>884</v>
      </c>
      <c r="B885" s="941" t="s">
        <v>11040</v>
      </c>
      <c r="C885" s="941" t="s">
        <v>11041</v>
      </c>
      <c r="D885" s="941" t="s">
        <v>11037</v>
      </c>
      <c r="E885" s="1055" t="s">
        <v>11038</v>
      </c>
    </row>
    <row r="886" spans="1:5" ht="12" customHeight="1">
      <c r="A886">
        <v>885</v>
      </c>
      <c r="B886" s="941" t="s">
        <v>11040</v>
      </c>
      <c r="C886" s="941" t="s">
        <v>11041</v>
      </c>
      <c r="D886" s="941" t="s">
        <v>11037</v>
      </c>
      <c r="E886" s="1055" t="s">
        <v>11038</v>
      </c>
    </row>
    <row r="887" spans="1:5" ht="12" customHeight="1">
      <c r="A887">
        <v>886</v>
      </c>
      <c r="B887" s="941" t="s">
        <v>11040</v>
      </c>
      <c r="C887" s="941" t="s">
        <v>11041</v>
      </c>
      <c r="D887" s="941" t="s">
        <v>11037</v>
      </c>
      <c r="E887" s="1055" t="s">
        <v>11038</v>
      </c>
    </row>
    <row r="888" spans="1:5" ht="12" customHeight="1">
      <c r="A888">
        <v>887</v>
      </c>
      <c r="B888" s="941" t="s">
        <v>11040</v>
      </c>
      <c r="C888" s="941" t="s">
        <v>11041</v>
      </c>
      <c r="D888" s="941" t="s">
        <v>11037</v>
      </c>
      <c r="E888" s="1055" t="s">
        <v>11038</v>
      </c>
    </row>
    <row r="889" spans="1:5" ht="12" customHeight="1">
      <c r="A889">
        <v>888</v>
      </c>
      <c r="B889" s="941" t="s">
        <v>11040</v>
      </c>
      <c r="C889" s="941" t="s">
        <v>11041</v>
      </c>
      <c r="D889" s="941" t="s">
        <v>11037</v>
      </c>
      <c r="E889" s="1055" t="s">
        <v>11038</v>
      </c>
    </row>
    <row r="890" spans="1:5" ht="12" customHeight="1">
      <c r="A890">
        <v>889</v>
      </c>
      <c r="B890" s="941" t="s">
        <v>11040</v>
      </c>
      <c r="C890" s="941" t="s">
        <v>11041</v>
      </c>
      <c r="D890" s="941" t="s">
        <v>11037</v>
      </c>
      <c r="E890" s="1055" t="s">
        <v>11038</v>
      </c>
    </row>
    <row r="891" spans="1:5" ht="12" customHeight="1">
      <c r="A891">
        <v>890</v>
      </c>
      <c r="B891" s="941" t="s">
        <v>11040</v>
      </c>
      <c r="C891" s="941" t="s">
        <v>11041</v>
      </c>
      <c r="D891" s="941" t="s">
        <v>11037</v>
      </c>
      <c r="E891" s="1055" t="s">
        <v>11038</v>
      </c>
    </row>
    <row r="892" spans="1:5" ht="12" customHeight="1">
      <c r="A892">
        <v>891</v>
      </c>
      <c r="B892" s="941" t="s">
        <v>11040</v>
      </c>
      <c r="C892" s="941" t="s">
        <v>11041</v>
      </c>
      <c r="D892" s="941" t="s">
        <v>11037</v>
      </c>
      <c r="E892" s="1055" t="s">
        <v>11038</v>
      </c>
    </row>
    <row r="893" spans="1:5" ht="12" customHeight="1">
      <c r="A893">
        <v>892</v>
      </c>
      <c r="B893" s="941" t="s">
        <v>11040</v>
      </c>
      <c r="C893" s="941" t="s">
        <v>11041</v>
      </c>
      <c r="D893" s="941" t="s">
        <v>11037</v>
      </c>
      <c r="E893" s="1055" t="s">
        <v>11038</v>
      </c>
    </row>
    <row r="894" spans="1:5" ht="12" customHeight="1">
      <c r="A894">
        <v>893</v>
      </c>
      <c r="B894" s="941" t="s">
        <v>11040</v>
      </c>
      <c r="C894" s="941" t="s">
        <v>11041</v>
      </c>
      <c r="D894" s="941" t="s">
        <v>11037</v>
      </c>
      <c r="E894" s="1055" t="s">
        <v>11038</v>
      </c>
    </row>
    <row r="895" spans="1:5" ht="12" customHeight="1">
      <c r="A895">
        <v>894</v>
      </c>
      <c r="B895" s="941" t="s">
        <v>11040</v>
      </c>
      <c r="C895" s="941" t="s">
        <v>11041</v>
      </c>
      <c r="D895" s="941" t="s">
        <v>11037</v>
      </c>
      <c r="E895" s="1055" t="s">
        <v>11038</v>
      </c>
    </row>
    <row r="896" spans="1:5" ht="12" customHeight="1">
      <c r="A896">
        <v>895</v>
      </c>
      <c r="B896" s="941" t="s">
        <v>11040</v>
      </c>
      <c r="C896" s="941" t="s">
        <v>11041</v>
      </c>
      <c r="D896" s="941" t="s">
        <v>11037</v>
      </c>
      <c r="E896" s="1055" t="s">
        <v>11038</v>
      </c>
    </row>
    <row r="897" spans="1:5" ht="12" customHeight="1">
      <c r="A897">
        <v>896</v>
      </c>
      <c r="B897" s="941" t="s">
        <v>11040</v>
      </c>
      <c r="C897" s="941" t="s">
        <v>11041</v>
      </c>
      <c r="D897" s="941" t="s">
        <v>11037</v>
      </c>
      <c r="E897" s="1055" t="s">
        <v>11038</v>
      </c>
    </row>
    <row r="898" spans="1:5" ht="12" customHeight="1">
      <c r="A898">
        <v>897</v>
      </c>
      <c r="B898" s="941" t="s">
        <v>11040</v>
      </c>
      <c r="C898" s="941" t="s">
        <v>11041</v>
      </c>
      <c r="D898" s="941" t="s">
        <v>11037</v>
      </c>
      <c r="E898" s="1055" t="s">
        <v>11038</v>
      </c>
    </row>
    <row r="899" spans="1:5" ht="12" customHeight="1">
      <c r="A899">
        <v>898</v>
      </c>
      <c r="B899" s="941" t="s">
        <v>11040</v>
      </c>
      <c r="C899" s="941" t="s">
        <v>11041</v>
      </c>
      <c r="D899" s="941" t="s">
        <v>11037</v>
      </c>
      <c r="E899" s="1055" t="s">
        <v>11038</v>
      </c>
    </row>
    <row r="900" spans="1:5" ht="12" customHeight="1">
      <c r="A900">
        <v>899</v>
      </c>
      <c r="B900" s="941" t="s">
        <v>11040</v>
      </c>
      <c r="C900" s="941" t="s">
        <v>11041</v>
      </c>
      <c r="D900" s="941" t="s">
        <v>11037</v>
      </c>
      <c r="E900" s="1055" t="s">
        <v>11038</v>
      </c>
    </row>
    <row r="901" spans="1:5" ht="12" customHeight="1">
      <c r="A901">
        <v>900</v>
      </c>
      <c r="B901" s="941" t="s">
        <v>11040</v>
      </c>
      <c r="C901" s="941" t="s">
        <v>11041</v>
      </c>
      <c r="D901" s="941" t="s">
        <v>11037</v>
      </c>
      <c r="E901" s="1055" t="s">
        <v>11038</v>
      </c>
    </row>
    <row r="902" spans="1:5" ht="12" customHeight="1">
      <c r="A902">
        <v>901</v>
      </c>
      <c r="B902" s="941" t="s">
        <v>11040</v>
      </c>
      <c r="C902" s="941" t="s">
        <v>11041</v>
      </c>
      <c r="D902" s="941" t="s">
        <v>11037</v>
      </c>
      <c r="E902" s="1055" t="s">
        <v>11038</v>
      </c>
    </row>
    <row r="903" spans="1:5" ht="12" customHeight="1">
      <c r="A903">
        <v>902</v>
      </c>
      <c r="B903" s="941" t="s">
        <v>11040</v>
      </c>
      <c r="C903" s="941" t="s">
        <v>11041</v>
      </c>
      <c r="D903" s="941" t="s">
        <v>11037</v>
      </c>
      <c r="E903" s="1055" t="s">
        <v>11038</v>
      </c>
    </row>
    <row r="904" spans="1:5" ht="12" customHeight="1">
      <c r="A904">
        <v>903</v>
      </c>
      <c r="B904" s="941" t="s">
        <v>11040</v>
      </c>
      <c r="C904" s="941" t="s">
        <v>11041</v>
      </c>
      <c r="D904" s="941" t="s">
        <v>11037</v>
      </c>
      <c r="E904" s="1055" t="s">
        <v>11038</v>
      </c>
    </row>
    <row r="905" spans="1:5" ht="12" customHeight="1">
      <c r="A905">
        <v>904</v>
      </c>
      <c r="B905" s="941" t="s">
        <v>11040</v>
      </c>
      <c r="C905" s="941" t="s">
        <v>11041</v>
      </c>
      <c r="D905" s="941" t="s">
        <v>11037</v>
      </c>
      <c r="E905" s="1055" t="s">
        <v>11038</v>
      </c>
    </row>
    <row r="906" spans="1:5" ht="12" customHeight="1">
      <c r="A906">
        <v>905</v>
      </c>
      <c r="B906" s="941" t="s">
        <v>11040</v>
      </c>
      <c r="C906" s="941" t="s">
        <v>11041</v>
      </c>
      <c r="D906" s="941" t="s">
        <v>11037</v>
      </c>
      <c r="E906" s="1055" t="s">
        <v>11038</v>
      </c>
    </row>
    <row r="907" spans="1:5" ht="12" customHeight="1">
      <c r="A907">
        <v>906</v>
      </c>
      <c r="B907" s="941" t="s">
        <v>11040</v>
      </c>
      <c r="C907" s="941" t="s">
        <v>11041</v>
      </c>
      <c r="D907" s="941" t="s">
        <v>11037</v>
      </c>
      <c r="E907" s="1055" t="s">
        <v>11038</v>
      </c>
    </row>
    <row r="908" spans="1:5" ht="12" customHeight="1">
      <c r="A908">
        <v>907</v>
      </c>
      <c r="B908" s="941" t="s">
        <v>11040</v>
      </c>
      <c r="C908" s="941" t="s">
        <v>11041</v>
      </c>
      <c r="D908" s="941" t="s">
        <v>11037</v>
      </c>
      <c r="E908" s="1055" t="s">
        <v>11038</v>
      </c>
    </row>
    <row r="909" spans="1:5" ht="12" customHeight="1">
      <c r="A909">
        <v>908</v>
      </c>
      <c r="B909" s="941" t="s">
        <v>11040</v>
      </c>
      <c r="C909" s="941" t="s">
        <v>11041</v>
      </c>
      <c r="D909" s="941" t="s">
        <v>11037</v>
      </c>
      <c r="E909" s="1055" t="s">
        <v>11038</v>
      </c>
    </row>
    <row r="910" spans="1:5" ht="12" customHeight="1">
      <c r="A910">
        <v>909</v>
      </c>
      <c r="B910" s="941" t="s">
        <v>11040</v>
      </c>
      <c r="C910" s="941" t="s">
        <v>11041</v>
      </c>
      <c r="D910" s="941" t="s">
        <v>11037</v>
      </c>
      <c r="E910" s="1055" t="s">
        <v>11038</v>
      </c>
    </row>
    <row r="911" spans="1:5" ht="12" customHeight="1">
      <c r="A911">
        <v>910</v>
      </c>
      <c r="B911" s="941" t="s">
        <v>11040</v>
      </c>
      <c r="C911" s="941" t="s">
        <v>11041</v>
      </c>
      <c r="D911" s="941" t="s">
        <v>11037</v>
      </c>
      <c r="E911" s="1055" t="s">
        <v>11038</v>
      </c>
    </row>
    <row r="912" spans="1:5" ht="12" customHeight="1">
      <c r="A912">
        <v>911</v>
      </c>
      <c r="B912" s="941" t="s">
        <v>11040</v>
      </c>
      <c r="C912" s="941" t="s">
        <v>11041</v>
      </c>
      <c r="D912" s="941" t="s">
        <v>11037</v>
      </c>
      <c r="E912" s="1055" t="s">
        <v>11038</v>
      </c>
    </row>
    <row r="913" spans="1:5" ht="12" customHeight="1">
      <c r="A913">
        <v>912</v>
      </c>
      <c r="B913" s="941" t="s">
        <v>11040</v>
      </c>
      <c r="C913" s="941" t="s">
        <v>11041</v>
      </c>
      <c r="D913" s="941" t="s">
        <v>11037</v>
      </c>
      <c r="E913" s="1055" t="s">
        <v>11038</v>
      </c>
    </row>
    <row r="914" spans="1:5" ht="12" customHeight="1">
      <c r="A914">
        <v>913</v>
      </c>
      <c r="B914" s="941" t="s">
        <v>11040</v>
      </c>
      <c r="C914" s="941" t="s">
        <v>11041</v>
      </c>
      <c r="D914" s="941" t="s">
        <v>11037</v>
      </c>
      <c r="E914" s="1055" t="s">
        <v>11038</v>
      </c>
    </row>
    <row r="915" spans="1:5" ht="12" customHeight="1">
      <c r="A915">
        <v>914</v>
      </c>
      <c r="B915" s="941" t="s">
        <v>11040</v>
      </c>
      <c r="C915" s="941" t="s">
        <v>11041</v>
      </c>
      <c r="D915" s="941" t="s">
        <v>11037</v>
      </c>
      <c r="E915" s="1055" t="s">
        <v>11038</v>
      </c>
    </row>
    <row r="916" spans="1:5" ht="12" customHeight="1">
      <c r="A916">
        <v>915</v>
      </c>
      <c r="B916" s="941" t="s">
        <v>11040</v>
      </c>
      <c r="C916" s="941" t="s">
        <v>11041</v>
      </c>
      <c r="D916" s="941" t="s">
        <v>11037</v>
      </c>
      <c r="E916" s="1055" t="s">
        <v>11038</v>
      </c>
    </row>
    <row r="917" spans="1:5" ht="12" customHeight="1">
      <c r="A917">
        <v>916</v>
      </c>
      <c r="B917" s="941" t="s">
        <v>11040</v>
      </c>
      <c r="C917" s="941" t="s">
        <v>11041</v>
      </c>
      <c r="D917" s="941" t="s">
        <v>11037</v>
      </c>
      <c r="E917" s="1055" t="s">
        <v>11038</v>
      </c>
    </row>
    <row r="918" spans="1:5" ht="12" customHeight="1">
      <c r="A918">
        <v>917</v>
      </c>
      <c r="B918" s="941" t="s">
        <v>11040</v>
      </c>
      <c r="C918" s="941" t="s">
        <v>11041</v>
      </c>
      <c r="D918" s="941" t="s">
        <v>11037</v>
      </c>
      <c r="E918" s="1055" t="s">
        <v>11038</v>
      </c>
    </row>
    <row r="919" spans="1:5" ht="12" customHeight="1">
      <c r="A919">
        <v>918</v>
      </c>
      <c r="B919" s="941" t="s">
        <v>11040</v>
      </c>
      <c r="C919" s="941" t="s">
        <v>11041</v>
      </c>
      <c r="D919" s="941" t="s">
        <v>11037</v>
      </c>
      <c r="E919" s="1055" t="s">
        <v>11038</v>
      </c>
    </row>
    <row r="920" spans="1:5" ht="12" customHeight="1">
      <c r="A920">
        <v>919</v>
      </c>
      <c r="B920" s="941" t="s">
        <v>11040</v>
      </c>
      <c r="C920" s="941" t="s">
        <v>11041</v>
      </c>
      <c r="D920" s="941" t="s">
        <v>11037</v>
      </c>
      <c r="E920" s="1055" t="s">
        <v>11038</v>
      </c>
    </row>
    <row r="921" spans="1:5" ht="12" customHeight="1">
      <c r="A921">
        <v>920</v>
      </c>
      <c r="B921" s="941" t="s">
        <v>11040</v>
      </c>
      <c r="C921" s="941" t="s">
        <v>11041</v>
      </c>
      <c r="D921" s="941" t="s">
        <v>11037</v>
      </c>
      <c r="E921" s="1055" t="s">
        <v>11038</v>
      </c>
    </row>
    <row r="922" spans="1:5" ht="12" customHeight="1">
      <c r="A922">
        <v>921</v>
      </c>
      <c r="B922" s="941" t="s">
        <v>11040</v>
      </c>
      <c r="C922" s="941" t="s">
        <v>11041</v>
      </c>
      <c r="D922" s="941" t="s">
        <v>11037</v>
      </c>
      <c r="E922" s="1055" t="s">
        <v>11038</v>
      </c>
    </row>
    <row r="923" spans="1:5" ht="12" customHeight="1">
      <c r="A923">
        <v>922</v>
      </c>
      <c r="B923" s="941" t="s">
        <v>11040</v>
      </c>
      <c r="C923" s="941" t="s">
        <v>11041</v>
      </c>
      <c r="D923" s="941" t="s">
        <v>11037</v>
      </c>
      <c r="E923" s="1055" t="s">
        <v>11038</v>
      </c>
    </row>
    <row r="924" spans="1:5" ht="12" customHeight="1">
      <c r="A924">
        <v>923</v>
      </c>
      <c r="B924" s="941" t="s">
        <v>11040</v>
      </c>
      <c r="C924" s="941" t="s">
        <v>11041</v>
      </c>
      <c r="D924" s="941" t="s">
        <v>11037</v>
      </c>
      <c r="E924" s="1055" t="s">
        <v>11038</v>
      </c>
    </row>
    <row r="925" spans="1:5" ht="12" customHeight="1">
      <c r="A925">
        <v>924</v>
      </c>
      <c r="B925" s="941" t="s">
        <v>11040</v>
      </c>
      <c r="C925" s="941" t="s">
        <v>11041</v>
      </c>
      <c r="D925" s="941" t="s">
        <v>11037</v>
      </c>
      <c r="E925" s="1055" t="s">
        <v>11038</v>
      </c>
    </row>
    <row r="926" spans="1:5" ht="12" customHeight="1">
      <c r="A926">
        <v>925</v>
      </c>
      <c r="B926" s="941" t="s">
        <v>11040</v>
      </c>
      <c r="C926" s="941" t="s">
        <v>11041</v>
      </c>
      <c r="D926" s="941" t="s">
        <v>11037</v>
      </c>
      <c r="E926" s="1055" t="s">
        <v>11038</v>
      </c>
    </row>
    <row r="927" spans="1:5" ht="12" customHeight="1">
      <c r="A927">
        <v>926</v>
      </c>
      <c r="B927" s="941" t="s">
        <v>11040</v>
      </c>
      <c r="C927" s="941" t="s">
        <v>11041</v>
      </c>
      <c r="D927" s="941" t="s">
        <v>11037</v>
      </c>
      <c r="E927" s="1055" t="s">
        <v>11038</v>
      </c>
    </row>
    <row r="928" spans="1:5" ht="12" customHeight="1">
      <c r="A928">
        <v>927</v>
      </c>
      <c r="B928" s="941" t="s">
        <v>11040</v>
      </c>
      <c r="C928" s="941" t="s">
        <v>11041</v>
      </c>
      <c r="D928" s="941" t="s">
        <v>11037</v>
      </c>
      <c r="E928" s="1055" t="s">
        <v>11038</v>
      </c>
    </row>
    <row r="929" spans="1:5" ht="12" customHeight="1">
      <c r="A929">
        <v>928</v>
      </c>
      <c r="B929" s="941" t="s">
        <v>11040</v>
      </c>
      <c r="C929" s="941" t="s">
        <v>11041</v>
      </c>
      <c r="D929" s="941" t="s">
        <v>11037</v>
      </c>
      <c r="E929" s="1055" t="s">
        <v>11038</v>
      </c>
    </row>
    <row r="930" spans="1:5" ht="12" customHeight="1">
      <c r="A930">
        <v>929</v>
      </c>
      <c r="B930" s="941" t="s">
        <v>11040</v>
      </c>
      <c r="C930" s="941" t="s">
        <v>11041</v>
      </c>
      <c r="D930" s="941" t="s">
        <v>11037</v>
      </c>
      <c r="E930" s="1055" t="s">
        <v>11038</v>
      </c>
    </row>
    <row r="931" spans="1:5" ht="12" customHeight="1">
      <c r="A931">
        <v>930</v>
      </c>
      <c r="B931" s="941" t="s">
        <v>11040</v>
      </c>
      <c r="C931" s="941" t="s">
        <v>11041</v>
      </c>
      <c r="D931" s="941" t="s">
        <v>11037</v>
      </c>
      <c r="E931" s="1055" t="s">
        <v>11038</v>
      </c>
    </row>
    <row r="932" spans="1:5" ht="12" customHeight="1">
      <c r="A932">
        <v>931</v>
      </c>
      <c r="B932" s="941" t="s">
        <v>11040</v>
      </c>
      <c r="C932" s="941" t="s">
        <v>11041</v>
      </c>
      <c r="D932" s="941" t="s">
        <v>11037</v>
      </c>
      <c r="E932" s="1055" t="s">
        <v>11038</v>
      </c>
    </row>
    <row r="933" spans="1:5" ht="12" customHeight="1">
      <c r="A933">
        <v>932</v>
      </c>
      <c r="B933" s="941" t="s">
        <v>11040</v>
      </c>
      <c r="C933" s="941" t="s">
        <v>11041</v>
      </c>
      <c r="D933" s="941" t="s">
        <v>11037</v>
      </c>
      <c r="E933" s="1055" t="s">
        <v>11038</v>
      </c>
    </row>
    <row r="934" spans="1:5" ht="12" customHeight="1">
      <c r="A934">
        <v>933</v>
      </c>
      <c r="B934" s="941" t="s">
        <v>11040</v>
      </c>
      <c r="C934" s="941" t="s">
        <v>11041</v>
      </c>
      <c r="D934" s="941" t="s">
        <v>11037</v>
      </c>
      <c r="E934" s="1055" t="s">
        <v>11038</v>
      </c>
    </row>
    <row r="935" spans="1:5" ht="12" customHeight="1">
      <c r="A935">
        <v>934</v>
      </c>
      <c r="B935" s="941" t="s">
        <v>11040</v>
      </c>
      <c r="C935" s="941" t="s">
        <v>11041</v>
      </c>
      <c r="D935" s="941" t="s">
        <v>11037</v>
      </c>
      <c r="E935" s="1055" t="s">
        <v>11038</v>
      </c>
    </row>
    <row r="936" spans="1:5" ht="12" customHeight="1">
      <c r="A936">
        <v>935</v>
      </c>
      <c r="B936" s="941" t="s">
        <v>11040</v>
      </c>
      <c r="C936" s="941" t="s">
        <v>11041</v>
      </c>
      <c r="D936" s="941" t="s">
        <v>11037</v>
      </c>
      <c r="E936" s="1055" t="s">
        <v>11038</v>
      </c>
    </row>
    <row r="937" spans="1:5" ht="12" customHeight="1">
      <c r="A937">
        <v>936</v>
      </c>
      <c r="B937" s="941" t="s">
        <v>11040</v>
      </c>
      <c r="C937" s="941" t="s">
        <v>11041</v>
      </c>
      <c r="D937" s="941" t="s">
        <v>11037</v>
      </c>
      <c r="E937" s="1055" t="s">
        <v>11038</v>
      </c>
    </row>
    <row r="938" spans="1:5" ht="12" customHeight="1">
      <c r="A938">
        <v>937</v>
      </c>
      <c r="B938" s="941" t="s">
        <v>11040</v>
      </c>
      <c r="C938" s="941" t="s">
        <v>11041</v>
      </c>
      <c r="D938" s="941" t="s">
        <v>11037</v>
      </c>
      <c r="E938" s="1055" t="s">
        <v>11038</v>
      </c>
    </row>
    <row r="939" spans="1:5" ht="12" customHeight="1">
      <c r="A939">
        <v>938</v>
      </c>
      <c r="B939" s="941" t="s">
        <v>11040</v>
      </c>
      <c r="C939" s="941" t="s">
        <v>11041</v>
      </c>
      <c r="D939" s="941" t="s">
        <v>11037</v>
      </c>
      <c r="E939" s="1055" t="s">
        <v>11038</v>
      </c>
    </row>
    <row r="940" spans="1:5" ht="12" customHeight="1">
      <c r="A940">
        <v>939</v>
      </c>
      <c r="B940" s="941" t="s">
        <v>11040</v>
      </c>
      <c r="C940" s="941" t="s">
        <v>11041</v>
      </c>
      <c r="D940" s="941" t="s">
        <v>11037</v>
      </c>
      <c r="E940" s="1055" t="s">
        <v>11038</v>
      </c>
    </row>
    <row r="941" spans="1:5" ht="12" customHeight="1">
      <c r="A941">
        <v>940</v>
      </c>
      <c r="B941" s="941" t="s">
        <v>11040</v>
      </c>
      <c r="C941" s="941" t="s">
        <v>11041</v>
      </c>
      <c r="D941" s="941" t="s">
        <v>11037</v>
      </c>
      <c r="E941" s="1055" t="s">
        <v>11038</v>
      </c>
    </row>
    <row r="942" spans="1:5" ht="12" customHeight="1">
      <c r="A942">
        <v>941</v>
      </c>
      <c r="B942" s="941" t="s">
        <v>11040</v>
      </c>
      <c r="C942" s="941" t="s">
        <v>11041</v>
      </c>
      <c r="D942" s="941" t="s">
        <v>11037</v>
      </c>
      <c r="E942" s="1055" t="s">
        <v>11038</v>
      </c>
    </row>
    <row r="943" spans="1:5" ht="12" customHeight="1">
      <c r="A943">
        <v>942</v>
      </c>
      <c r="B943" s="941" t="s">
        <v>11040</v>
      </c>
      <c r="C943" s="941" t="s">
        <v>11041</v>
      </c>
      <c r="D943" s="941" t="s">
        <v>11037</v>
      </c>
      <c r="E943" s="1055" t="s">
        <v>11038</v>
      </c>
    </row>
    <row r="944" spans="1:5" ht="12" customHeight="1">
      <c r="A944">
        <v>943</v>
      </c>
      <c r="B944" s="941" t="s">
        <v>11040</v>
      </c>
      <c r="C944" s="941" t="s">
        <v>11041</v>
      </c>
      <c r="D944" s="941" t="s">
        <v>11037</v>
      </c>
      <c r="E944" s="1055" t="s">
        <v>11038</v>
      </c>
    </row>
    <row r="945" spans="1:5" ht="12" customHeight="1">
      <c r="A945">
        <v>944</v>
      </c>
      <c r="B945" s="941" t="s">
        <v>11040</v>
      </c>
      <c r="C945" s="941" t="s">
        <v>11041</v>
      </c>
      <c r="D945" s="941" t="s">
        <v>11037</v>
      </c>
      <c r="E945" s="1055" t="s">
        <v>11038</v>
      </c>
    </row>
    <row r="946" spans="1:5" ht="12" customHeight="1">
      <c r="A946">
        <v>945</v>
      </c>
      <c r="B946" s="941" t="s">
        <v>11040</v>
      </c>
      <c r="C946" s="941" t="s">
        <v>11041</v>
      </c>
      <c r="D946" s="941" t="s">
        <v>11037</v>
      </c>
      <c r="E946" s="1055" t="s">
        <v>11038</v>
      </c>
    </row>
    <row r="947" spans="1:5" ht="12" customHeight="1">
      <c r="A947">
        <v>946</v>
      </c>
      <c r="B947" s="941" t="s">
        <v>11040</v>
      </c>
      <c r="C947" s="941" t="s">
        <v>11041</v>
      </c>
      <c r="D947" s="941" t="s">
        <v>11037</v>
      </c>
      <c r="E947" s="1055" t="s">
        <v>11038</v>
      </c>
    </row>
    <row r="948" spans="1:5" ht="12" customHeight="1">
      <c r="A948">
        <v>947</v>
      </c>
      <c r="B948" s="941" t="s">
        <v>11040</v>
      </c>
      <c r="C948" s="941" t="s">
        <v>11041</v>
      </c>
      <c r="D948" s="941" t="s">
        <v>11037</v>
      </c>
      <c r="E948" s="1055" t="s">
        <v>11038</v>
      </c>
    </row>
    <row r="949" spans="1:5" ht="12" customHeight="1">
      <c r="A949">
        <v>948</v>
      </c>
      <c r="B949" s="941" t="s">
        <v>11040</v>
      </c>
      <c r="C949" s="941" t="s">
        <v>11041</v>
      </c>
      <c r="D949" s="941" t="s">
        <v>11037</v>
      </c>
      <c r="E949" s="1055" t="s">
        <v>11038</v>
      </c>
    </row>
    <row r="950" spans="1:5" ht="12" customHeight="1">
      <c r="A950">
        <v>949</v>
      </c>
      <c r="B950" s="941" t="s">
        <v>11040</v>
      </c>
      <c r="C950" s="941" t="s">
        <v>11041</v>
      </c>
      <c r="D950" s="941" t="s">
        <v>11037</v>
      </c>
      <c r="E950" s="1055" t="s">
        <v>11038</v>
      </c>
    </row>
    <row r="951" spans="1:5" ht="12" customHeight="1">
      <c r="A951">
        <v>950</v>
      </c>
      <c r="B951" s="941" t="s">
        <v>11040</v>
      </c>
      <c r="C951" s="941" t="s">
        <v>11041</v>
      </c>
      <c r="D951" s="941" t="s">
        <v>11037</v>
      </c>
      <c r="E951" s="1055" t="s">
        <v>11038</v>
      </c>
    </row>
    <row r="952" spans="1:5" ht="12" customHeight="1">
      <c r="A952">
        <v>951</v>
      </c>
      <c r="B952" s="941" t="s">
        <v>11040</v>
      </c>
      <c r="C952" s="941" t="s">
        <v>11041</v>
      </c>
      <c r="D952" s="941" t="s">
        <v>11037</v>
      </c>
      <c r="E952" s="1055" t="s">
        <v>11038</v>
      </c>
    </row>
    <row r="953" spans="1:5" ht="12" customHeight="1">
      <c r="A953">
        <v>952</v>
      </c>
      <c r="B953" s="941" t="s">
        <v>11040</v>
      </c>
      <c r="C953" s="941" t="s">
        <v>11041</v>
      </c>
      <c r="D953" s="941" t="s">
        <v>11037</v>
      </c>
      <c r="E953" s="1055" t="s">
        <v>11038</v>
      </c>
    </row>
    <row r="954" spans="1:5" ht="12" customHeight="1">
      <c r="A954">
        <v>953</v>
      </c>
      <c r="B954" s="941" t="s">
        <v>11040</v>
      </c>
      <c r="C954" s="941" t="s">
        <v>11041</v>
      </c>
      <c r="D954" s="941" t="s">
        <v>11037</v>
      </c>
      <c r="E954" s="1055" t="s">
        <v>11038</v>
      </c>
    </row>
    <row r="955" spans="1:5" ht="12" customHeight="1">
      <c r="A955">
        <v>954</v>
      </c>
      <c r="B955" s="941" t="s">
        <v>11040</v>
      </c>
      <c r="C955" s="941" t="s">
        <v>11041</v>
      </c>
      <c r="D955" s="941" t="s">
        <v>11037</v>
      </c>
      <c r="E955" s="1055" t="s">
        <v>11038</v>
      </c>
    </row>
    <row r="956" spans="1:5" ht="12" customHeight="1">
      <c r="A956">
        <v>955</v>
      </c>
      <c r="B956" s="941" t="s">
        <v>11040</v>
      </c>
      <c r="C956" s="941" t="s">
        <v>11041</v>
      </c>
      <c r="D956" s="941" t="s">
        <v>11037</v>
      </c>
      <c r="E956" s="1055" t="s">
        <v>11038</v>
      </c>
    </row>
    <row r="957" spans="1:5" ht="12" customHeight="1">
      <c r="A957">
        <v>956</v>
      </c>
      <c r="B957" s="941" t="s">
        <v>11040</v>
      </c>
      <c r="C957" s="941" t="s">
        <v>11041</v>
      </c>
      <c r="D957" s="941" t="s">
        <v>11037</v>
      </c>
      <c r="E957" s="1055" t="s">
        <v>11038</v>
      </c>
    </row>
    <row r="958" spans="1:5" ht="12" customHeight="1">
      <c r="A958">
        <v>957</v>
      </c>
      <c r="B958" s="941" t="s">
        <v>11040</v>
      </c>
      <c r="C958" s="941" t="s">
        <v>11041</v>
      </c>
      <c r="D958" s="941" t="s">
        <v>11037</v>
      </c>
      <c r="E958" s="1055" t="s">
        <v>11038</v>
      </c>
    </row>
    <row r="959" spans="1:5" ht="12" customHeight="1">
      <c r="A959">
        <v>958</v>
      </c>
      <c r="B959" s="941" t="s">
        <v>11040</v>
      </c>
      <c r="C959" s="941" t="s">
        <v>11041</v>
      </c>
      <c r="D959" s="941" t="s">
        <v>11037</v>
      </c>
      <c r="E959" s="1055" t="s">
        <v>11038</v>
      </c>
    </row>
    <row r="960" spans="1:5" ht="12" customHeight="1">
      <c r="A960">
        <v>959</v>
      </c>
      <c r="B960" s="941" t="s">
        <v>11040</v>
      </c>
      <c r="C960" s="941" t="s">
        <v>11041</v>
      </c>
      <c r="D960" s="941" t="s">
        <v>11037</v>
      </c>
      <c r="E960" s="1055" t="s">
        <v>11038</v>
      </c>
    </row>
    <row r="961" spans="1:5" ht="12" customHeight="1">
      <c r="A961">
        <v>960</v>
      </c>
      <c r="B961" s="941" t="s">
        <v>11040</v>
      </c>
      <c r="C961" s="941" t="s">
        <v>11041</v>
      </c>
      <c r="D961" s="941" t="s">
        <v>11037</v>
      </c>
      <c r="E961" s="1055" t="s">
        <v>11038</v>
      </c>
    </row>
    <row r="962" spans="1:5" ht="12" customHeight="1">
      <c r="A962">
        <v>961</v>
      </c>
      <c r="B962" s="941" t="s">
        <v>11040</v>
      </c>
      <c r="C962" s="941" t="s">
        <v>11041</v>
      </c>
      <c r="D962" s="941" t="s">
        <v>11037</v>
      </c>
      <c r="E962" s="1055" t="s">
        <v>11038</v>
      </c>
    </row>
    <row r="963" spans="1:5" ht="12" customHeight="1">
      <c r="A963">
        <v>962</v>
      </c>
      <c r="B963" s="941" t="s">
        <v>11040</v>
      </c>
      <c r="C963" s="941" t="s">
        <v>11041</v>
      </c>
      <c r="D963" s="941" t="s">
        <v>11037</v>
      </c>
      <c r="E963" s="1055" t="s">
        <v>11038</v>
      </c>
    </row>
    <row r="964" spans="1:5" ht="12" customHeight="1">
      <c r="A964">
        <v>963</v>
      </c>
      <c r="B964" s="941" t="s">
        <v>11040</v>
      </c>
      <c r="C964" s="941" t="s">
        <v>11041</v>
      </c>
      <c r="D964" s="941" t="s">
        <v>11037</v>
      </c>
      <c r="E964" s="1055" t="s">
        <v>11038</v>
      </c>
    </row>
    <row r="965" spans="1:5" ht="12" customHeight="1">
      <c r="A965">
        <v>964</v>
      </c>
      <c r="B965" s="941" t="s">
        <v>11040</v>
      </c>
      <c r="C965" s="941" t="s">
        <v>11041</v>
      </c>
      <c r="D965" s="941" t="s">
        <v>11037</v>
      </c>
      <c r="E965" s="1055" t="s">
        <v>11038</v>
      </c>
    </row>
    <row r="966" spans="1:5" ht="12" customHeight="1">
      <c r="A966">
        <v>965</v>
      </c>
      <c r="B966" s="941" t="s">
        <v>11040</v>
      </c>
      <c r="C966" s="941" t="s">
        <v>11041</v>
      </c>
      <c r="D966" s="941" t="s">
        <v>11037</v>
      </c>
      <c r="E966" s="1055" t="s">
        <v>11038</v>
      </c>
    </row>
    <row r="967" spans="1:5" ht="12" customHeight="1">
      <c r="A967">
        <v>966</v>
      </c>
      <c r="B967" s="941" t="s">
        <v>11040</v>
      </c>
      <c r="C967" s="941" t="s">
        <v>11041</v>
      </c>
      <c r="D967" s="941" t="s">
        <v>11037</v>
      </c>
      <c r="E967" s="1055" t="s">
        <v>11038</v>
      </c>
    </row>
    <row r="968" spans="1:5" ht="12" customHeight="1">
      <c r="A968">
        <v>967</v>
      </c>
      <c r="B968" s="941" t="s">
        <v>11040</v>
      </c>
      <c r="C968" s="941" t="s">
        <v>11041</v>
      </c>
      <c r="D968" s="941" t="s">
        <v>11037</v>
      </c>
      <c r="E968" s="1055" t="s">
        <v>11038</v>
      </c>
    </row>
    <row r="969" spans="1:5" ht="12" customHeight="1">
      <c r="A969">
        <v>968</v>
      </c>
      <c r="B969" s="941" t="s">
        <v>11040</v>
      </c>
      <c r="C969" s="941" t="s">
        <v>11041</v>
      </c>
      <c r="D969" s="941" t="s">
        <v>11037</v>
      </c>
      <c r="E969" s="1055" t="s">
        <v>11038</v>
      </c>
    </row>
    <row r="970" spans="1:5" ht="12" customHeight="1">
      <c r="A970">
        <v>969</v>
      </c>
      <c r="B970" s="941" t="s">
        <v>11040</v>
      </c>
      <c r="C970" s="941" t="s">
        <v>11041</v>
      </c>
      <c r="D970" s="941" t="s">
        <v>11037</v>
      </c>
      <c r="E970" s="1055" t="s">
        <v>11038</v>
      </c>
    </row>
    <row r="971" spans="1:5" ht="12" customHeight="1">
      <c r="A971">
        <v>970</v>
      </c>
      <c r="B971" s="941" t="s">
        <v>11040</v>
      </c>
      <c r="C971" s="941" t="s">
        <v>11041</v>
      </c>
      <c r="D971" s="941" t="s">
        <v>11037</v>
      </c>
      <c r="E971" s="1055" t="s">
        <v>11038</v>
      </c>
    </row>
    <row r="972" spans="1:5" ht="12" customHeight="1">
      <c r="A972">
        <v>971</v>
      </c>
      <c r="B972" s="941" t="s">
        <v>11040</v>
      </c>
      <c r="C972" s="941" t="s">
        <v>11041</v>
      </c>
      <c r="D972" s="941" t="s">
        <v>11037</v>
      </c>
      <c r="E972" s="1055" t="s">
        <v>11038</v>
      </c>
    </row>
    <row r="973" spans="1:5" ht="12" customHeight="1">
      <c r="A973">
        <v>972</v>
      </c>
      <c r="B973" s="941" t="s">
        <v>11040</v>
      </c>
      <c r="C973" s="941" t="s">
        <v>11041</v>
      </c>
      <c r="D973" s="941" t="s">
        <v>11037</v>
      </c>
      <c r="E973" s="1055" t="s">
        <v>11038</v>
      </c>
    </row>
    <row r="974" spans="1:5" ht="12" customHeight="1">
      <c r="A974">
        <v>973</v>
      </c>
      <c r="B974" s="941" t="s">
        <v>11040</v>
      </c>
      <c r="C974" s="941" t="s">
        <v>11041</v>
      </c>
      <c r="D974" s="941" t="s">
        <v>11037</v>
      </c>
      <c r="E974" s="1055" t="s">
        <v>11038</v>
      </c>
    </row>
    <row r="975" spans="1:5" ht="12" customHeight="1">
      <c r="A975">
        <v>974</v>
      </c>
      <c r="B975" s="941" t="s">
        <v>11040</v>
      </c>
      <c r="C975" s="941" t="s">
        <v>11041</v>
      </c>
      <c r="D975" s="941" t="s">
        <v>11037</v>
      </c>
      <c r="E975" s="1055" t="s">
        <v>11038</v>
      </c>
    </row>
    <row r="976" spans="1:5" ht="12" customHeight="1">
      <c r="A976">
        <v>975</v>
      </c>
      <c r="B976" s="941" t="s">
        <v>11040</v>
      </c>
      <c r="C976" s="941" t="s">
        <v>11041</v>
      </c>
      <c r="D976" s="941" t="s">
        <v>11037</v>
      </c>
      <c r="E976" s="1055" t="s">
        <v>11038</v>
      </c>
    </row>
    <row r="977" spans="1:5" ht="12" customHeight="1">
      <c r="A977">
        <v>976</v>
      </c>
      <c r="B977" s="941" t="s">
        <v>11040</v>
      </c>
      <c r="C977" s="941" t="s">
        <v>11041</v>
      </c>
      <c r="D977" s="941" t="s">
        <v>11037</v>
      </c>
      <c r="E977" s="1055" t="s">
        <v>11038</v>
      </c>
    </row>
    <row r="978" spans="1:5" ht="12" customHeight="1">
      <c r="A978">
        <v>977</v>
      </c>
      <c r="B978" s="941" t="s">
        <v>11040</v>
      </c>
      <c r="C978" s="941" t="s">
        <v>11041</v>
      </c>
      <c r="D978" s="941" t="s">
        <v>11037</v>
      </c>
      <c r="E978" s="1055" t="s">
        <v>11038</v>
      </c>
    </row>
    <row r="979" spans="1:5" ht="12" customHeight="1">
      <c r="A979">
        <v>978</v>
      </c>
      <c r="B979" s="941" t="s">
        <v>11040</v>
      </c>
      <c r="C979" s="941" t="s">
        <v>11041</v>
      </c>
      <c r="D979" s="941" t="s">
        <v>11037</v>
      </c>
      <c r="E979" s="1055" t="s">
        <v>11038</v>
      </c>
    </row>
    <row r="980" spans="1:5" ht="12" customHeight="1">
      <c r="A980">
        <v>979</v>
      </c>
      <c r="B980" s="941" t="s">
        <v>11040</v>
      </c>
      <c r="C980" s="941" t="s">
        <v>11041</v>
      </c>
      <c r="D980" s="941" t="s">
        <v>11037</v>
      </c>
      <c r="E980" s="1055" t="s">
        <v>11038</v>
      </c>
    </row>
    <row r="981" spans="1:5" ht="12" customHeight="1">
      <c r="A981">
        <v>980</v>
      </c>
      <c r="B981" s="941" t="s">
        <v>11040</v>
      </c>
      <c r="C981" s="941" t="s">
        <v>11041</v>
      </c>
      <c r="D981" s="941" t="s">
        <v>11037</v>
      </c>
      <c r="E981" s="1055" t="s">
        <v>11038</v>
      </c>
    </row>
    <row r="982" spans="1:5" ht="12" customHeight="1">
      <c r="A982">
        <v>981</v>
      </c>
      <c r="B982" s="941" t="s">
        <v>11040</v>
      </c>
      <c r="C982" s="941" t="s">
        <v>11041</v>
      </c>
      <c r="D982" s="941" t="s">
        <v>11037</v>
      </c>
      <c r="E982" s="1055" t="s">
        <v>11038</v>
      </c>
    </row>
    <row r="983" spans="1:5" ht="12" customHeight="1">
      <c r="A983">
        <v>982</v>
      </c>
      <c r="B983" s="941" t="s">
        <v>11040</v>
      </c>
      <c r="C983" s="941" t="s">
        <v>11041</v>
      </c>
      <c r="D983" s="941" t="s">
        <v>11037</v>
      </c>
      <c r="E983" s="1055" t="s">
        <v>11038</v>
      </c>
    </row>
    <row r="984" spans="1:5" ht="12" customHeight="1">
      <c r="A984">
        <v>983</v>
      </c>
      <c r="B984" s="941" t="s">
        <v>11040</v>
      </c>
      <c r="C984" s="941" t="s">
        <v>11041</v>
      </c>
      <c r="D984" s="941" t="s">
        <v>11037</v>
      </c>
      <c r="E984" s="1055" t="s">
        <v>11038</v>
      </c>
    </row>
    <row r="985" spans="1:5" ht="12" customHeight="1">
      <c r="A985">
        <v>984</v>
      </c>
      <c r="B985" s="941" t="s">
        <v>11040</v>
      </c>
      <c r="C985" s="941" t="s">
        <v>11041</v>
      </c>
      <c r="D985" s="941" t="s">
        <v>11037</v>
      </c>
      <c r="E985" s="1055" t="s">
        <v>11038</v>
      </c>
    </row>
    <row r="986" spans="1:5" ht="12" customHeight="1">
      <c r="A986">
        <v>985</v>
      </c>
      <c r="B986" s="941" t="s">
        <v>11040</v>
      </c>
      <c r="C986" s="941" t="s">
        <v>11041</v>
      </c>
      <c r="D986" s="941" t="s">
        <v>11037</v>
      </c>
      <c r="E986" s="1055" t="s">
        <v>11038</v>
      </c>
    </row>
    <row r="987" spans="1:5" ht="12" customHeight="1">
      <c r="A987">
        <v>986</v>
      </c>
      <c r="B987" s="941" t="s">
        <v>11040</v>
      </c>
      <c r="C987" s="941" t="s">
        <v>11041</v>
      </c>
      <c r="D987" s="941" t="s">
        <v>11037</v>
      </c>
      <c r="E987" s="1055" t="s">
        <v>11038</v>
      </c>
    </row>
    <row r="988" spans="1:5" ht="12" customHeight="1">
      <c r="A988">
        <v>987</v>
      </c>
      <c r="B988" s="941" t="s">
        <v>11040</v>
      </c>
      <c r="C988" s="941" t="s">
        <v>11041</v>
      </c>
      <c r="D988" s="941" t="s">
        <v>11037</v>
      </c>
      <c r="E988" s="1055" t="s">
        <v>11038</v>
      </c>
    </row>
    <row r="989" spans="1:5" ht="12" customHeight="1">
      <c r="A989">
        <v>988</v>
      </c>
      <c r="B989" s="941" t="s">
        <v>11040</v>
      </c>
      <c r="C989" s="941" t="s">
        <v>11041</v>
      </c>
      <c r="D989" s="941" t="s">
        <v>11037</v>
      </c>
      <c r="E989" s="1055" t="s">
        <v>11038</v>
      </c>
    </row>
    <row r="990" spans="1:5" ht="12" customHeight="1">
      <c r="A990">
        <v>989</v>
      </c>
      <c r="B990" s="941" t="s">
        <v>11040</v>
      </c>
      <c r="C990" s="941" t="s">
        <v>11041</v>
      </c>
      <c r="D990" s="941" t="s">
        <v>11037</v>
      </c>
      <c r="E990" s="1055" t="s">
        <v>11038</v>
      </c>
    </row>
    <row r="991" spans="1:5" ht="12" customHeight="1">
      <c r="A991">
        <v>990</v>
      </c>
      <c r="B991" s="941" t="s">
        <v>11040</v>
      </c>
      <c r="C991" s="941" t="s">
        <v>11041</v>
      </c>
      <c r="D991" s="941" t="s">
        <v>11037</v>
      </c>
      <c r="E991" s="1055" t="s">
        <v>11038</v>
      </c>
    </row>
    <row r="992" spans="1:5" ht="12" customHeight="1">
      <c r="A992">
        <v>991</v>
      </c>
      <c r="B992" s="941" t="s">
        <v>11040</v>
      </c>
      <c r="C992" s="941" t="s">
        <v>11041</v>
      </c>
      <c r="D992" s="941" t="s">
        <v>11037</v>
      </c>
      <c r="E992" s="1055" t="s">
        <v>11038</v>
      </c>
    </row>
    <row r="993" spans="1:5" ht="12" customHeight="1">
      <c r="A993">
        <v>992</v>
      </c>
      <c r="B993" s="941" t="s">
        <v>11040</v>
      </c>
      <c r="C993" s="941" t="s">
        <v>11041</v>
      </c>
      <c r="D993" s="941" t="s">
        <v>11037</v>
      </c>
      <c r="E993" s="1055" t="s">
        <v>11038</v>
      </c>
    </row>
    <row r="994" spans="1:5" ht="12" customHeight="1">
      <c r="A994">
        <v>993</v>
      </c>
      <c r="B994" s="941" t="s">
        <v>11040</v>
      </c>
      <c r="C994" s="941" t="s">
        <v>11041</v>
      </c>
      <c r="D994" s="941" t="s">
        <v>11037</v>
      </c>
      <c r="E994" s="1055" t="s">
        <v>11038</v>
      </c>
    </row>
    <row r="995" spans="1:5" ht="12" customHeight="1">
      <c r="A995">
        <v>994</v>
      </c>
      <c r="B995" s="941" t="s">
        <v>11040</v>
      </c>
      <c r="C995" s="941" t="s">
        <v>11041</v>
      </c>
      <c r="D995" s="941" t="s">
        <v>11037</v>
      </c>
      <c r="E995" s="1055" t="s">
        <v>11038</v>
      </c>
    </row>
    <row r="996" spans="1:5" ht="12" customHeight="1">
      <c r="A996">
        <v>995</v>
      </c>
      <c r="B996" s="941" t="s">
        <v>11040</v>
      </c>
      <c r="C996" s="941" t="s">
        <v>11041</v>
      </c>
      <c r="D996" s="941" t="s">
        <v>11037</v>
      </c>
      <c r="E996" s="1055" t="s">
        <v>11038</v>
      </c>
    </row>
    <row r="997" spans="1:5" ht="12" customHeight="1">
      <c r="A997">
        <v>996</v>
      </c>
      <c r="B997" s="941" t="s">
        <v>11040</v>
      </c>
      <c r="C997" s="941" t="s">
        <v>11041</v>
      </c>
      <c r="D997" s="941" t="s">
        <v>11037</v>
      </c>
      <c r="E997" s="1055" t="s">
        <v>11038</v>
      </c>
    </row>
    <row r="998" spans="1:5" ht="12" customHeight="1">
      <c r="A998">
        <v>997</v>
      </c>
      <c r="B998" s="941" t="s">
        <v>11040</v>
      </c>
      <c r="C998" s="941" t="s">
        <v>11041</v>
      </c>
      <c r="D998" s="941" t="s">
        <v>11037</v>
      </c>
      <c r="E998" s="1055" t="s">
        <v>11038</v>
      </c>
    </row>
    <row r="999" spans="1:5" ht="12" customHeight="1">
      <c r="A999">
        <v>998</v>
      </c>
      <c r="B999" s="941" t="s">
        <v>11040</v>
      </c>
      <c r="C999" s="941" t="s">
        <v>11041</v>
      </c>
      <c r="D999" s="941" t="s">
        <v>11037</v>
      </c>
      <c r="E999" s="1055" t="s">
        <v>11038</v>
      </c>
    </row>
    <row r="1000" spans="1:5" ht="12" customHeight="1">
      <c r="A1000">
        <v>999</v>
      </c>
      <c r="B1000" s="941" t="s">
        <v>11040</v>
      </c>
      <c r="C1000" s="941" t="s">
        <v>11041</v>
      </c>
      <c r="D1000" s="941" t="s">
        <v>11037</v>
      </c>
      <c r="E1000" s="1055" t="s">
        <v>11038</v>
      </c>
    </row>
    <row r="1001" spans="1:5" ht="12" customHeight="1">
      <c r="A1001">
        <v>1000</v>
      </c>
      <c r="B1001" s="941" t="s">
        <v>11040</v>
      </c>
      <c r="C1001" s="941" t="s">
        <v>11041</v>
      </c>
      <c r="D1001" s="941" t="s">
        <v>11037</v>
      </c>
      <c r="E1001" s="1055" t="s">
        <v>11038</v>
      </c>
    </row>
    <row r="1002" spans="1:5" ht="12" customHeight="1">
      <c r="A1002">
        <v>1001</v>
      </c>
      <c r="B1002" s="941" t="s">
        <v>11040</v>
      </c>
      <c r="C1002" s="941" t="s">
        <v>11041</v>
      </c>
      <c r="D1002" s="941" t="s">
        <v>11037</v>
      </c>
      <c r="E1002" s="1055" t="s">
        <v>11038</v>
      </c>
    </row>
    <row r="1003" spans="1:5" ht="12" customHeight="1">
      <c r="A1003">
        <v>1002</v>
      </c>
      <c r="B1003" s="941" t="s">
        <v>11040</v>
      </c>
      <c r="C1003" s="941" t="s">
        <v>11041</v>
      </c>
      <c r="D1003" s="941" t="s">
        <v>11037</v>
      </c>
      <c r="E1003" s="1055" t="s">
        <v>11038</v>
      </c>
    </row>
    <row r="1004" spans="1:5" ht="12" customHeight="1">
      <c r="A1004">
        <v>1003</v>
      </c>
      <c r="B1004" s="941" t="s">
        <v>11040</v>
      </c>
      <c r="C1004" s="941" t="s">
        <v>11041</v>
      </c>
      <c r="D1004" s="941" t="s">
        <v>11037</v>
      </c>
      <c r="E1004" s="1055" t="s">
        <v>11038</v>
      </c>
    </row>
    <row r="1005" spans="1:5" ht="12" customHeight="1">
      <c r="A1005">
        <v>1004</v>
      </c>
      <c r="B1005" s="941" t="s">
        <v>11040</v>
      </c>
      <c r="C1005" s="941" t="s">
        <v>11041</v>
      </c>
      <c r="D1005" s="941" t="s">
        <v>11037</v>
      </c>
      <c r="E1005" s="1055" t="s">
        <v>11038</v>
      </c>
    </row>
    <row r="1006" spans="1:5" ht="12" customHeight="1">
      <c r="A1006">
        <v>1005</v>
      </c>
      <c r="B1006" s="941" t="s">
        <v>11040</v>
      </c>
      <c r="C1006" s="941" t="s">
        <v>11041</v>
      </c>
      <c r="D1006" s="941" t="s">
        <v>11037</v>
      </c>
      <c r="E1006" s="1055" t="s">
        <v>11038</v>
      </c>
    </row>
    <row r="1007" spans="1:5" ht="12" customHeight="1">
      <c r="A1007">
        <v>1006</v>
      </c>
      <c r="B1007" s="941" t="s">
        <v>11040</v>
      </c>
      <c r="C1007" s="941" t="s">
        <v>11041</v>
      </c>
      <c r="D1007" s="941" t="s">
        <v>11037</v>
      </c>
      <c r="E1007" s="1055" t="s">
        <v>11038</v>
      </c>
    </row>
    <row r="1008" spans="1:5" ht="12" customHeight="1">
      <c r="A1008">
        <v>1007</v>
      </c>
      <c r="B1008" s="941" t="s">
        <v>11040</v>
      </c>
      <c r="C1008" s="941" t="s">
        <v>11041</v>
      </c>
      <c r="D1008" s="941" t="s">
        <v>11037</v>
      </c>
      <c r="E1008" s="1055" t="s">
        <v>11038</v>
      </c>
    </row>
    <row r="1009" spans="1:5" ht="12" customHeight="1">
      <c r="A1009">
        <v>1008</v>
      </c>
      <c r="B1009" s="941" t="s">
        <v>11040</v>
      </c>
      <c r="C1009" s="941" t="s">
        <v>11041</v>
      </c>
      <c r="D1009" s="941" t="s">
        <v>11037</v>
      </c>
      <c r="E1009" s="1055" t="s">
        <v>11038</v>
      </c>
    </row>
    <row r="1010" spans="1:5" ht="12" customHeight="1">
      <c r="A1010">
        <v>1009</v>
      </c>
      <c r="B1010" s="941" t="s">
        <v>11040</v>
      </c>
      <c r="C1010" s="941" t="s">
        <v>11041</v>
      </c>
      <c r="D1010" s="941" t="s">
        <v>11037</v>
      </c>
      <c r="E1010" s="1055" t="s">
        <v>11038</v>
      </c>
    </row>
    <row r="1011" spans="1:5" ht="12" customHeight="1">
      <c r="A1011">
        <v>1010</v>
      </c>
      <c r="B1011" s="941" t="s">
        <v>11040</v>
      </c>
      <c r="C1011" s="941" t="s">
        <v>11041</v>
      </c>
      <c r="D1011" s="941" t="s">
        <v>11037</v>
      </c>
      <c r="E1011" s="1055" t="s">
        <v>11038</v>
      </c>
    </row>
    <row r="1012" spans="1:5" ht="12" customHeight="1">
      <c r="A1012">
        <v>1011</v>
      </c>
      <c r="B1012" s="941" t="s">
        <v>11040</v>
      </c>
      <c r="C1012" s="941" t="s">
        <v>11041</v>
      </c>
      <c r="D1012" s="941" t="s">
        <v>11037</v>
      </c>
      <c r="E1012" s="1055" t="s">
        <v>11038</v>
      </c>
    </row>
    <row r="1013" spans="1:5" ht="12" customHeight="1">
      <c r="A1013">
        <v>1012</v>
      </c>
      <c r="B1013" s="941" t="s">
        <v>11040</v>
      </c>
      <c r="C1013" s="941" t="s">
        <v>11041</v>
      </c>
      <c r="D1013" s="941" t="s">
        <v>11037</v>
      </c>
      <c r="E1013" s="1055" t="s">
        <v>11038</v>
      </c>
    </row>
    <row r="1014" spans="1:5" ht="12" customHeight="1">
      <c r="A1014">
        <v>1013</v>
      </c>
      <c r="B1014" s="941" t="s">
        <v>11040</v>
      </c>
      <c r="C1014" s="941" t="s">
        <v>11041</v>
      </c>
      <c r="D1014" s="941" t="s">
        <v>11037</v>
      </c>
      <c r="E1014" s="1055" t="s">
        <v>11038</v>
      </c>
    </row>
    <row r="1015" spans="1:5" ht="12" customHeight="1">
      <c r="A1015">
        <v>1014</v>
      </c>
      <c r="B1015" s="941" t="s">
        <v>11040</v>
      </c>
      <c r="C1015" s="941" t="s">
        <v>11041</v>
      </c>
      <c r="D1015" s="941" t="s">
        <v>11037</v>
      </c>
      <c r="E1015" s="1055" t="s">
        <v>11038</v>
      </c>
    </row>
    <row r="1016" spans="1:5" ht="12" customHeight="1">
      <c r="A1016">
        <v>1015</v>
      </c>
      <c r="B1016" s="941" t="s">
        <v>11040</v>
      </c>
      <c r="C1016" s="941" t="s">
        <v>11041</v>
      </c>
      <c r="D1016" s="941" t="s">
        <v>11037</v>
      </c>
      <c r="E1016" s="1055" t="s">
        <v>11038</v>
      </c>
    </row>
    <row r="1017" spans="1:5" ht="12" customHeight="1">
      <c r="A1017">
        <v>1016</v>
      </c>
      <c r="B1017" s="941" t="s">
        <v>11040</v>
      </c>
      <c r="C1017" s="941" t="s">
        <v>11041</v>
      </c>
      <c r="D1017" s="941" t="s">
        <v>11037</v>
      </c>
      <c r="E1017" s="1055" t="s">
        <v>11038</v>
      </c>
    </row>
    <row r="1018" spans="1:5" ht="12" customHeight="1">
      <c r="A1018">
        <v>1017</v>
      </c>
      <c r="B1018" s="941" t="s">
        <v>11040</v>
      </c>
      <c r="C1018" s="941" t="s">
        <v>11041</v>
      </c>
      <c r="D1018" s="941" t="s">
        <v>11037</v>
      </c>
      <c r="E1018" s="1055" t="s">
        <v>11038</v>
      </c>
    </row>
    <row r="1019" spans="1:5" ht="12" customHeight="1">
      <c r="A1019">
        <v>1018</v>
      </c>
      <c r="B1019" s="941" t="s">
        <v>11040</v>
      </c>
      <c r="C1019" s="941" t="s">
        <v>11041</v>
      </c>
      <c r="D1019" s="941" t="s">
        <v>11037</v>
      </c>
      <c r="E1019" s="1055" t="s">
        <v>11038</v>
      </c>
    </row>
    <row r="1020" spans="1:5" ht="12" customHeight="1">
      <c r="A1020">
        <v>1019</v>
      </c>
      <c r="B1020" s="941" t="s">
        <v>11040</v>
      </c>
      <c r="C1020" s="941" t="s">
        <v>11041</v>
      </c>
      <c r="D1020" s="941" t="s">
        <v>11037</v>
      </c>
      <c r="E1020" s="1055" t="s">
        <v>11038</v>
      </c>
    </row>
    <row r="1021" spans="1:5" ht="12" customHeight="1">
      <c r="A1021">
        <v>1020</v>
      </c>
      <c r="B1021" s="941" t="s">
        <v>11040</v>
      </c>
      <c r="C1021" s="941" t="s">
        <v>11041</v>
      </c>
      <c r="D1021" s="941" t="s">
        <v>11037</v>
      </c>
      <c r="E1021" s="1055" t="s">
        <v>11038</v>
      </c>
    </row>
    <row r="1022" spans="1:5" ht="12" customHeight="1">
      <c r="A1022">
        <v>1021</v>
      </c>
      <c r="B1022" s="941" t="s">
        <v>11040</v>
      </c>
      <c r="C1022" s="941" t="s">
        <v>11041</v>
      </c>
      <c r="D1022" s="941" t="s">
        <v>11037</v>
      </c>
      <c r="E1022" s="1055" t="s">
        <v>11038</v>
      </c>
    </row>
    <row r="1023" spans="1:5" ht="12" customHeight="1">
      <c r="A1023">
        <v>1022</v>
      </c>
      <c r="B1023" s="941" t="s">
        <v>11040</v>
      </c>
      <c r="C1023" s="941" t="s">
        <v>11041</v>
      </c>
      <c r="D1023" s="941" t="s">
        <v>11037</v>
      </c>
      <c r="E1023" s="1055" t="s">
        <v>11038</v>
      </c>
    </row>
    <row r="1024" spans="1:5" ht="12" customHeight="1">
      <c r="A1024">
        <v>1023</v>
      </c>
      <c r="B1024" s="941" t="s">
        <v>11040</v>
      </c>
      <c r="C1024" s="941" t="s">
        <v>11041</v>
      </c>
      <c r="D1024" s="941" t="s">
        <v>11037</v>
      </c>
      <c r="E1024" s="1055" t="s">
        <v>11038</v>
      </c>
    </row>
    <row r="1025" spans="1:5" ht="12" customHeight="1">
      <c r="A1025">
        <v>1024</v>
      </c>
      <c r="B1025" s="941" t="s">
        <v>11040</v>
      </c>
      <c r="C1025" s="941" t="s">
        <v>11041</v>
      </c>
      <c r="D1025" s="941" t="s">
        <v>11037</v>
      </c>
      <c r="E1025" s="1055" t="s">
        <v>11038</v>
      </c>
    </row>
    <row r="1026" spans="1:5" ht="12" customHeight="1">
      <c r="A1026">
        <v>1025</v>
      </c>
      <c r="B1026" s="941" t="s">
        <v>11040</v>
      </c>
      <c r="C1026" s="941" t="s">
        <v>11041</v>
      </c>
      <c r="D1026" s="941" t="s">
        <v>11037</v>
      </c>
      <c r="E1026" s="1055" t="s">
        <v>11038</v>
      </c>
    </row>
    <row r="1027" spans="1:5" ht="12" customHeight="1">
      <c r="A1027">
        <v>1026</v>
      </c>
      <c r="B1027" s="941" t="s">
        <v>11040</v>
      </c>
      <c r="C1027" s="941" t="s">
        <v>11041</v>
      </c>
      <c r="D1027" s="941" t="s">
        <v>11037</v>
      </c>
      <c r="E1027" s="1055" t="s">
        <v>11038</v>
      </c>
    </row>
    <row r="1028" spans="1:5" ht="12" customHeight="1">
      <c r="A1028">
        <v>1027</v>
      </c>
      <c r="B1028" s="941" t="s">
        <v>11040</v>
      </c>
      <c r="C1028" s="941" t="s">
        <v>11041</v>
      </c>
      <c r="D1028" s="941" t="s">
        <v>11037</v>
      </c>
      <c r="E1028" s="1055" t="s">
        <v>11038</v>
      </c>
    </row>
    <row r="1029" spans="1:5" ht="12" customHeight="1">
      <c r="A1029">
        <v>1028</v>
      </c>
      <c r="B1029" s="941" t="s">
        <v>11040</v>
      </c>
      <c r="C1029" s="941" t="s">
        <v>11041</v>
      </c>
      <c r="D1029" s="941" t="s">
        <v>11037</v>
      </c>
      <c r="E1029" s="1055" t="s">
        <v>11038</v>
      </c>
    </row>
    <row r="1030" spans="1:5" ht="12" customHeight="1">
      <c r="A1030">
        <v>1029</v>
      </c>
      <c r="B1030" s="941" t="s">
        <v>11040</v>
      </c>
      <c r="C1030" s="941" t="s">
        <v>11041</v>
      </c>
      <c r="D1030" s="941" t="s">
        <v>11037</v>
      </c>
      <c r="E1030" s="1055" t="s">
        <v>11038</v>
      </c>
    </row>
    <row r="1031" spans="1:5" ht="12" customHeight="1">
      <c r="A1031">
        <v>1030</v>
      </c>
      <c r="B1031" s="941" t="s">
        <v>11040</v>
      </c>
      <c r="C1031" s="941" t="s">
        <v>11041</v>
      </c>
      <c r="D1031" s="941" t="s">
        <v>11037</v>
      </c>
      <c r="E1031" s="1055" t="s">
        <v>11038</v>
      </c>
    </row>
    <row r="1032" spans="1:5" ht="12" customHeight="1">
      <c r="A1032">
        <v>1031</v>
      </c>
      <c r="B1032" s="941" t="s">
        <v>11040</v>
      </c>
      <c r="C1032" s="941" t="s">
        <v>11041</v>
      </c>
      <c r="D1032" s="941" t="s">
        <v>11037</v>
      </c>
      <c r="E1032" s="1055" t="s">
        <v>11038</v>
      </c>
    </row>
    <row r="1033" spans="1:5" ht="12" customHeight="1">
      <c r="A1033">
        <v>1032</v>
      </c>
      <c r="B1033" s="941" t="s">
        <v>11040</v>
      </c>
      <c r="C1033" s="941" t="s">
        <v>11041</v>
      </c>
      <c r="D1033" s="941" t="s">
        <v>11037</v>
      </c>
      <c r="E1033" s="1055" t="s">
        <v>11038</v>
      </c>
    </row>
    <row r="1034" spans="1:5" ht="12" customHeight="1">
      <c r="A1034">
        <v>1033</v>
      </c>
      <c r="B1034" s="941" t="s">
        <v>11040</v>
      </c>
      <c r="C1034" s="941" t="s">
        <v>11041</v>
      </c>
      <c r="D1034" s="941" t="s">
        <v>11037</v>
      </c>
      <c r="E1034" s="1055" t="s">
        <v>11038</v>
      </c>
    </row>
    <row r="1035" spans="1:5" ht="12" customHeight="1">
      <c r="A1035">
        <v>1034</v>
      </c>
      <c r="B1035" s="941" t="s">
        <v>11040</v>
      </c>
      <c r="C1035" s="941" t="s">
        <v>11041</v>
      </c>
      <c r="D1035" s="941" t="s">
        <v>11037</v>
      </c>
      <c r="E1035" s="1055" t="s">
        <v>11038</v>
      </c>
    </row>
    <row r="1036" spans="1:5" ht="12" customHeight="1">
      <c r="A1036">
        <v>1035</v>
      </c>
      <c r="B1036" s="941" t="s">
        <v>11040</v>
      </c>
      <c r="C1036" s="941" t="s">
        <v>11041</v>
      </c>
      <c r="D1036" s="941" t="s">
        <v>11037</v>
      </c>
      <c r="E1036" s="1055" t="s">
        <v>11038</v>
      </c>
    </row>
    <row r="1037" spans="1:5" ht="12" customHeight="1">
      <c r="A1037">
        <v>1036</v>
      </c>
      <c r="B1037" s="941" t="s">
        <v>11040</v>
      </c>
      <c r="C1037" s="941" t="s">
        <v>11041</v>
      </c>
      <c r="D1037" s="941" t="s">
        <v>11037</v>
      </c>
      <c r="E1037" s="1055" t="s">
        <v>11038</v>
      </c>
    </row>
    <row r="1038" spans="1:5" ht="12" customHeight="1">
      <c r="A1038">
        <v>1037</v>
      </c>
      <c r="B1038" s="941" t="s">
        <v>11040</v>
      </c>
      <c r="C1038" s="941" t="s">
        <v>11041</v>
      </c>
      <c r="D1038" s="941" t="s">
        <v>11037</v>
      </c>
      <c r="E1038" s="1055" t="s">
        <v>11038</v>
      </c>
    </row>
    <row r="1039" spans="1:5" ht="12" customHeight="1">
      <c r="A1039">
        <v>1038</v>
      </c>
      <c r="B1039" s="941" t="s">
        <v>11040</v>
      </c>
      <c r="C1039" s="941" t="s">
        <v>11041</v>
      </c>
      <c r="D1039" s="941" t="s">
        <v>11037</v>
      </c>
      <c r="E1039" s="1055" t="s">
        <v>11038</v>
      </c>
    </row>
    <row r="1040" spans="1:5" ht="12" customHeight="1">
      <c r="A1040">
        <v>1039</v>
      </c>
      <c r="B1040" s="941" t="s">
        <v>11040</v>
      </c>
      <c r="C1040" s="941" t="s">
        <v>11041</v>
      </c>
      <c r="D1040" s="941" t="s">
        <v>11037</v>
      </c>
      <c r="E1040" s="1055" t="s">
        <v>11038</v>
      </c>
    </row>
    <row r="1041" spans="1:5" ht="12" customHeight="1">
      <c r="A1041">
        <v>1040</v>
      </c>
      <c r="B1041" s="941" t="s">
        <v>11040</v>
      </c>
      <c r="C1041" s="941" t="s">
        <v>11041</v>
      </c>
      <c r="D1041" s="941" t="s">
        <v>11037</v>
      </c>
      <c r="E1041" s="1055" t="s">
        <v>11038</v>
      </c>
    </row>
    <row r="1042" spans="1:5" ht="12" customHeight="1">
      <c r="A1042">
        <v>1041</v>
      </c>
      <c r="B1042" s="941" t="s">
        <v>11040</v>
      </c>
      <c r="C1042" s="941" t="s">
        <v>11041</v>
      </c>
      <c r="D1042" s="941" t="s">
        <v>11037</v>
      </c>
      <c r="E1042" s="1055" t="s">
        <v>11038</v>
      </c>
    </row>
    <row r="1043" spans="1:5" ht="12" customHeight="1">
      <c r="A1043">
        <v>1042</v>
      </c>
      <c r="B1043" s="941" t="s">
        <v>11040</v>
      </c>
      <c r="C1043" s="941" t="s">
        <v>11041</v>
      </c>
      <c r="D1043" s="941" t="s">
        <v>11037</v>
      </c>
      <c r="E1043" s="1055" t="s">
        <v>11038</v>
      </c>
    </row>
    <row r="1044" spans="1:5" ht="12" customHeight="1">
      <c r="A1044">
        <v>1043</v>
      </c>
      <c r="B1044" s="941" t="s">
        <v>11040</v>
      </c>
      <c r="C1044" s="941" t="s">
        <v>11041</v>
      </c>
      <c r="D1044" s="941" t="s">
        <v>11037</v>
      </c>
      <c r="E1044" s="1055" t="s">
        <v>11038</v>
      </c>
    </row>
    <row r="1045" spans="1:5" ht="12" customHeight="1">
      <c r="A1045">
        <v>1044</v>
      </c>
      <c r="B1045" s="941" t="s">
        <v>11040</v>
      </c>
      <c r="C1045" s="941" t="s">
        <v>11041</v>
      </c>
      <c r="D1045" s="941" t="s">
        <v>11037</v>
      </c>
      <c r="E1045" s="1055" t="s">
        <v>11038</v>
      </c>
    </row>
    <row r="1046" spans="1:5" ht="12" customHeight="1">
      <c r="A1046">
        <v>1045</v>
      </c>
      <c r="B1046" s="941" t="s">
        <v>11040</v>
      </c>
      <c r="C1046" s="941" t="s">
        <v>11041</v>
      </c>
      <c r="D1046" s="941" t="s">
        <v>11037</v>
      </c>
      <c r="E1046" s="1055" t="s">
        <v>11038</v>
      </c>
    </row>
    <row r="1047" spans="1:5" ht="12" customHeight="1">
      <c r="A1047">
        <v>1046</v>
      </c>
      <c r="B1047" s="941" t="s">
        <v>11040</v>
      </c>
      <c r="C1047" s="941" t="s">
        <v>11041</v>
      </c>
      <c r="D1047" s="941" t="s">
        <v>11037</v>
      </c>
      <c r="E1047" s="1055" t="s">
        <v>11038</v>
      </c>
    </row>
    <row r="1048" spans="1:5" ht="12" customHeight="1">
      <c r="A1048">
        <v>1047</v>
      </c>
      <c r="B1048" s="941" t="s">
        <v>11040</v>
      </c>
      <c r="C1048" s="941" t="s">
        <v>11041</v>
      </c>
      <c r="D1048" s="941" t="s">
        <v>11037</v>
      </c>
      <c r="E1048" s="1055" t="s">
        <v>11038</v>
      </c>
    </row>
    <row r="1049" spans="1:5" ht="12" customHeight="1">
      <c r="A1049">
        <v>1048</v>
      </c>
      <c r="B1049" s="941" t="s">
        <v>11040</v>
      </c>
      <c r="C1049" s="941" t="s">
        <v>11041</v>
      </c>
      <c r="D1049" s="941" t="s">
        <v>11037</v>
      </c>
      <c r="E1049" s="1055" t="s">
        <v>11038</v>
      </c>
    </row>
    <row r="1050" spans="1:5" ht="12" customHeight="1">
      <c r="A1050">
        <v>1049</v>
      </c>
      <c r="B1050" s="941" t="s">
        <v>11040</v>
      </c>
      <c r="C1050" s="941" t="s">
        <v>11041</v>
      </c>
      <c r="D1050" s="941" t="s">
        <v>11037</v>
      </c>
      <c r="E1050" s="1055" t="s">
        <v>11038</v>
      </c>
    </row>
    <row r="1051" spans="1:5" ht="12" customHeight="1">
      <c r="A1051">
        <v>1050</v>
      </c>
      <c r="B1051" s="941" t="s">
        <v>11040</v>
      </c>
      <c r="C1051" s="941" t="s">
        <v>11041</v>
      </c>
      <c r="D1051" s="941" t="s">
        <v>11037</v>
      </c>
      <c r="E1051" s="1055" t="s">
        <v>11038</v>
      </c>
    </row>
    <row r="1052" spans="1:5" ht="12" customHeight="1">
      <c r="A1052">
        <v>1051</v>
      </c>
      <c r="B1052" s="941" t="s">
        <v>11040</v>
      </c>
      <c r="C1052" s="941" t="s">
        <v>11041</v>
      </c>
      <c r="D1052" s="941" t="s">
        <v>11037</v>
      </c>
      <c r="E1052" s="1055" t="s">
        <v>11038</v>
      </c>
    </row>
    <row r="1053" spans="1:5" ht="12" customHeight="1">
      <c r="A1053">
        <v>1052</v>
      </c>
      <c r="B1053" s="941" t="s">
        <v>11040</v>
      </c>
      <c r="C1053" s="941" t="s">
        <v>11041</v>
      </c>
      <c r="D1053" s="941" t="s">
        <v>11037</v>
      </c>
      <c r="E1053" s="1055" t="s">
        <v>11038</v>
      </c>
    </row>
    <row r="1054" spans="1:5" ht="12" customHeight="1">
      <c r="A1054">
        <v>1053</v>
      </c>
      <c r="B1054" s="941" t="s">
        <v>11040</v>
      </c>
      <c r="C1054" s="941" t="s">
        <v>11041</v>
      </c>
      <c r="D1054" s="941" t="s">
        <v>11037</v>
      </c>
      <c r="E1054" s="1055" t="s">
        <v>11038</v>
      </c>
    </row>
    <row r="1055" spans="1:5" ht="12" customHeight="1">
      <c r="A1055">
        <v>1054</v>
      </c>
      <c r="B1055" s="941" t="s">
        <v>11040</v>
      </c>
      <c r="C1055" s="941" t="s">
        <v>11041</v>
      </c>
      <c r="D1055" s="941" t="s">
        <v>11037</v>
      </c>
      <c r="E1055" s="1055" t="s">
        <v>11038</v>
      </c>
    </row>
    <row r="1056" spans="1:5" ht="12" customHeight="1">
      <c r="A1056">
        <v>1055</v>
      </c>
      <c r="B1056" s="941" t="s">
        <v>11040</v>
      </c>
      <c r="C1056" s="941" t="s">
        <v>11041</v>
      </c>
      <c r="D1056" s="941" t="s">
        <v>11037</v>
      </c>
      <c r="E1056" s="1055" t="s">
        <v>11038</v>
      </c>
    </row>
    <row r="1057" spans="1:5" ht="12" customHeight="1">
      <c r="A1057">
        <v>1056</v>
      </c>
      <c r="B1057" s="941" t="s">
        <v>11040</v>
      </c>
      <c r="C1057" s="941" t="s">
        <v>11041</v>
      </c>
      <c r="D1057" s="941" t="s">
        <v>11037</v>
      </c>
      <c r="E1057" s="1055" t="s">
        <v>11038</v>
      </c>
    </row>
    <row r="1058" spans="1:5" ht="12" customHeight="1">
      <c r="A1058">
        <v>1057</v>
      </c>
      <c r="B1058" s="941" t="s">
        <v>11040</v>
      </c>
      <c r="C1058" s="941" t="s">
        <v>11041</v>
      </c>
      <c r="D1058" s="941" t="s">
        <v>11037</v>
      </c>
      <c r="E1058" s="1055" t="s">
        <v>11038</v>
      </c>
    </row>
    <row r="1059" spans="1:5" ht="12" customHeight="1">
      <c r="A1059">
        <v>1058</v>
      </c>
      <c r="B1059" s="941" t="s">
        <v>11040</v>
      </c>
      <c r="C1059" s="941" t="s">
        <v>11041</v>
      </c>
      <c r="D1059" s="941" t="s">
        <v>11037</v>
      </c>
      <c r="E1059" s="1055" t="s">
        <v>11038</v>
      </c>
    </row>
    <row r="1060" spans="1:5" ht="12" customHeight="1">
      <c r="A1060">
        <v>1059</v>
      </c>
      <c r="B1060" s="941" t="s">
        <v>11040</v>
      </c>
      <c r="C1060" s="941" t="s">
        <v>11041</v>
      </c>
      <c r="D1060" s="941" t="s">
        <v>11037</v>
      </c>
      <c r="E1060" s="1055" t="s">
        <v>11038</v>
      </c>
    </row>
    <row r="1061" spans="1:5" ht="12" customHeight="1">
      <c r="A1061">
        <v>1060</v>
      </c>
      <c r="B1061" s="941" t="s">
        <v>11040</v>
      </c>
      <c r="C1061" s="941" t="s">
        <v>11041</v>
      </c>
      <c r="D1061" s="941" t="s">
        <v>11037</v>
      </c>
      <c r="E1061" s="1055" t="s">
        <v>11038</v>
      </c>
    </row>
    <row r="1062" spans="1:5" ht="12" customHeight="1">
      <c r="A1062">
        <v>1061</v>
      </c>
      <c r="B1062" s="941" t="s">
        <v>11040</v>
      </c>
      <c r="C1062" s="941" t="s">
        <v>11041</v>
      </c>
      <c r="D1062" s="941" t="s">
        <v>11037</v>
      </c>
      <c r="E1062" s="1055" t="s">
        <v>11038</v>
      </c>
    </row>
    <row r="1063" spans="1:5" ht="12" customHeight="1">
      <c r="A1063">
        <v>1062</v>
      </c>
      <c r="B1063" s="941" t="s">
        <v>11040</v>
      </c>
      <c r="C1063" s="941" t="s">
        <v>11041</v>
      </c>
      <c r="D1063" s="941" t="s">
        <v>11037</v>
      </c>
      <c r="E1063" s="1055" t="s">
        <v>11038</v>
      </c>
    </row>
    <row r="1064" spans="1:5" ht="12" customHeight="1">
      <c r="A1064">
        <v>1063</v>
      </c>
      <c r="B1064" s="941" t="s">
        <v>11040</v>
      </c>
      <c r="C1064" s="941" t="s">
        <v>11041</v>
      </c>
      <c r="D1064" s="941" t="s">
        <v>11037</v>
      </c>
      <c r="E1064" s="1055" t="s">
        <v>11038</v>
      </c>
    </row>
    <row r="1065" spans="1:5" ht="12" customHeight="1">
      <c r="A1065">
        <v>1064</v>
      </c>
      <c r="B1065" s="941" t="s">
        <v>11040</v>
      </c>
      <c r="C1065" s="941" t="s">
        <v>11041</v>
      </c>
      <c r="D1065" s="941" t="s">
        <v>11037</v>
      </c>
      <c r="E1065" s="1055" t="s">
        <v>11038</v>
      </c>
    </row>
    <row r="1066" spans="1:5" ht="12" customHeight="1">
      <c r="A1066">
        <v>1065</v>
      </c>
      <c r="B1066" s="941" t="s">
        <v>11040</v>
      </c>
      <c r="C1066" s="941" t="s">
        <v>11041</v>
      </c>
      <c r="D1066" s="941" t="s">
        <v>11037</v>
      </c>
      <c r="E1066" s="1055" t="s">
        <v>11038</v>
      </c>
    </row>
    <row r="1067" spans="1:5" ht="12" customHeight="1">
      <c r="A1067">
        <v>1066</v>
      </c>
      <c r="B1067" s="941" t="s">
        <v>11040</v>
      </c>
      <c r="C1067" s="941" t="s">
        <v>11041</v>
      </c>
      <c r="D1067" s="941" t="s">
        <v>11037</v>
      </c>
      <c r="E1067" s="1055" t="s">
        <v>11038</v>
      </c>
    </row>
    <row r="1068" spans="1:5" ht="12" customHeight="1">
      <c r="A1068">
        <v>1067</v>
      </c>
      <c r="B1068" s="941" t="s">
        <v>11040</v>
      </c>
      <c r="C1068" s="941" t="s">
        <v>11041</v>
      </c>
      <c r="D1068" s="941" t="s">
        <v>11037</v>
      </c>
      <c r="E1068" s="1055" t="s">
        <v>11038</v>
      </c>
    </row>
    <row r="1069" spans="1:5" ht="12" customHeight="1">
      <c r="A1069">
        <v>1068</v>
      </c>
      <c r="B1069" s="941" t="s">
        <v>11040</v>
      </c>
      <c r="C1069" s="941" t="s">
        <v>11041</v>
      </c>
      <c r="D1069" s="941" t="s">
        <v>11037</v>
      </c>
      <c r="E1069" s="1055" t="s">
        <v>11038</v>
      </c>
    </row>
    <row r="1070" spans="1:5" ht="12" customHeight="1">
      <c r="A1070">
        <v>1069</v>
      </c>
      <c r="B1070" s="941" t="s">
        <v>11040</v>
      </c>
      <c r="C1070" s="941" t="s">
        <v>11041</v>
      </c>
      <c r="D1070" s="941" t="s">
        <v>11037</v>
      </c>
      <c r="E1070" s="1055" t="s">
        <v>11038</v>
      </c>
    </row>
    <row r="1071" spans="1:5" ht="12" customHeight="1">
      <c r="A1071">
        <v>1070</v>
      </c>
      <c r="B1071" s="941" t="s">
        <v>11040</v>
      </c>
      <c r="C1071" s="941" t="s">
        <v>11041</v>
      </c>
      <c r="D1071" s="941" t="s">
        <v>11037</v>
      </c>
      <c r="E1071" s="1055" t="s">
        <v>11038</v>
      </c>
    </row>
    <row r="1072" spans="1:5" ht="12" customHeight="1">
      <c r="A1072">
        <v>1071</v>
      </c>
      <c r="B1072" s="941" t="s">
        <v>11040</v>
      </c>
      <c r="C1072" s="941" t="s">
        <v>11041</v>
      </c>
      <c r="D1072" s="941" t="s">
        <v>11037</v>
      </c>
      <c r="E1072" s="1055" t="s">
        <v>11038</v>
      </c>
    </row>
    <row r="1073" spans="1:5" ht="12" customHeight="1">
      <c r="A1073">
        <v>1072</v>
      </c>
      <c r="B1073" s="941" t="s">
        <v>11040</v>
      </c>
      <c r="C1073" s="941" t="s">
        <v>11041</v>
      </c>
      <c r="D1073" s="941" t="s">
        <v>11037</v>
      </c>
      <c r="E1073" s="1055" t="s">
        <v>11038</v>
      </c>
    </row>
    <row r="1074" spans="1:5" ht="12" customHeight="1">
      <c r="A1074">
        <v>1073</v>
      </c>
      <c r="B1074" s="941" t="s">
        <v>11040</v>
      </c>
      <c r="C1074" s="941" t="s">
        <v>11041</v>
      </c>
      <c r="D1074" s="941" t="s">
        <v>11037</v>
      </c>
      <c r="E1074" s="1055" t="s">
        <v>11038</v>
      </c>
    </row>
    <row r="1075" spans="1:5" ht="12" customHeight="1">
      <c r="A1075">
        <v>1074</v>
      </c>
      <c r="B1075" s="941" t="s">
        <v>11040</v>
      </c>
      <c r="C1075" s="941" t="s">
        <v>11041</v>
      </c>
      <c r="D1075" s="941" t="s">
        <v>11037</v>
      </c>
      <c r="E1075" s="1055" t="s">
        <v>11038</v>
      </c>
    </row>
    <row r="1076" spans="1:5" ht="12" customHeight="1">
      <c r="A1076">
        <v>1075</v>
      </c>
      <c r="B1076" s="941" t="s">
        <v>11040</v>
      </c>
      <c r="C1076" s="941" t="s">
        <v>11041</v>
      </c>
      <c r="D1076" s="941" t="s">
        <v>11037</v>
      </c>
      <c r="E1076" s="1055" t="s">
        <v>11038</v>
      </c>
    </row>
    <row r="1077" spans="1:5" ht="12" customHeight="1">
      <c r="A1077">
        <v>1076</v>
      </c>
      <c r="B1077" s="941" t="s">
        <v>11040</v>
      </c>
      <c r="C1077" s="941" t="s">
        <v>11041</v>
      </c>
      <c r="D1077" s="941" t="s">
        <v>11037</v>
      </c>
      <c r="E1077" s="1055" t="s">
        <v>11038</v>
      </c>
    </row>
    <row r="1078" spans="1:5" ht="12" customHeight="1">
      <c r="A1078">
        <v>1077</v>
      </c>
      <c r="B1078" s="941" t="s">
        <v>11040</v>
      </c>
      <c r="C1078" s="941" t="s">
        <v>11041</v>
      </c>
      <c r="D1078" s="941" t="s">
        <v>11037</v>
      </c>
      <c r="E1078" s="1055" t="s">
        <v>11038</v>
      </c>
    </row>
    <row r="1079" spans="1:5" ht="12" customHeight="1">
      <c r="A1079">
        <v>1078</v>
      </c>
      <c r="B1079" s="941" t="s">
        <v>11040</v>
      </c>
      <c r="C1079" s="941" t="s">
        <v>11041</v>
      </c>
      <c r="D1079" s="941" t="s">
        <v>11037</v>
      </c>
      <c r="E1079" s="1055" t="s">
        <v>11038</v>
      </c>
    </row>
    <row r="1080" spans="1:5" ht="12" customHeight="1">
      <c r="A1080">
        <v>1079</v>
      </c>
      <c r="B1080" s="941" t="s">
        <v>11040</v>
      </c>
      <c r="C1080" s="941" t="s">
        <v>11041</v>
      </c>
      <c r="D1080" s="941" t="s">
        <v>11037</v>
      </c>
      <c r="E1080" s="1055" t="s">
        <v>11038</v>
      </c>
    </row>
    <row r="1081" spans="1:5" ht="12" customHeight="1">
      <c r="A1081">
        <v>1080</v>
      </c>
      <c r="B1081" s="941" t="s">
        <v>11040</v>
      </c>
      <c r="C1081" s="941" t="s">
        <v>11041</v>
      </c>
      <c r="D1081" s="941" t="s">
        <v>11037</v>
      </c>
      <c r="E1081" s="1055" t="s">
        <v>11038</v>
      </c>
    </row>
    <row r="1082" spans="1:5" ht="12" customHeight="1">
      <c r="A1082">
        <v>1081</v>
      </c>
      <c r="B1082" s="941" t="s">
        <v>11040</v>
      </c>
      <c r="C1082" s="941" t="s">
        <v>11041</v>
      </c>
      <c r="D1082" s="941" t="s">
        <v>11037</v>
      </c>
      <c r="E1082" s="1055" t="s">
        <v>11038</v>
      </c>
    </row>
    <row r="1083" spans="1:5" ht="12" customHeight="1">
      <c r="A1083">
        <v>1082</v>
      </c>
      <c r="B1083" s="941" t="s">
        <v>11040</v>
      </c>
      <c r="C1083" s="941" t="s">
        <v>11041</v>
      </c>
      <c r="D1083" s="941" t="s">
        <v>11037</v>
      </c>
      <c r="E1083" s="1055" t="s">
        <v>11038</v>
      </c>
    </row>
    <row r="1084" spans="1:5" ht="12" customHeight="1">
      <c r="A1084">
        <v>1083</v>
      </c>
      <c r="B1084" s="941" t="s">
        <v>11040</v>
      </c>
      <c r="C1084" s="941" t="s">
        <v>11041</v>
      </c>
      <c r="D1084" s="941" t="s">
        <v>11037</v>
      </c>
      <c r="E1084" s="1055" t="s">
        <v>11038</v>
      </c>
    </row>
    <row r="1085" spans="1:5" ht="12" customHeight="1">
      <c r="A1085">
        <v>1084</v>
      </c>
      <c r="B1085" s="941" t="s">
        <v>11040</v>
      </c>
      <c r="C1085" s="941" t="s">
        <v>11041</v>
      </c>
      <c r="D1085" s="941" t="s">
        <v>11037</v>
      </c>
      <c r="E1085" s="1055" t="s">
        <v>11038</v>
      </c>
    </row>
    <row r="1086" spans="1:5" ht="12" customHeight="1">
      <c r="A1086">
        <v>1085</v>
      </c>
      <c r="B1086" s="941" t="s">
        <v>11040</v>
      </c>
      <c r="C1086" s="941" t="s">
        <v>11041</v>
      </c>
      <c r="D1086" s="941" t="s">
        <v>11037</v>
      </c>
      <c r="E1086" s="1055" t="s">
        <v>11038</v>
      </c>
    </row>
    <row r="1087" spans="1:5" ht="12" customHeight="1">
      <c r="A1087">
        <v>1086</v>
      </c>
      <c r="B1087" s="941" t="s">
        <v>11040</v>
      </c>
      <c r="C1087" s="941" t="s">
        <v>11041</v>
      </c>
      <c r="D1087" s="941" t="s">
        <v>11037</v>
      </c>
      <c r="E1087" s="1055" t="s">
        <v>11038</v>
      </c>
    </row>
    <row r="1088" spans="1:5" ht="12" customHeight="1">
      <c r="A1088">
        <v>1087</v>
      </c>
      <c r="B1088" s="941" t="s">
        <v>11040</v>
      </c>
      <c r="C1088" s="941" t="s">
        <v>11041</v>
      </c>
      <c r="D1088" s="941" t="s">
        <v>11037</v>
      </c>
      <c r="E1088" s="1055" t="s">
        <v>11038</v>
      </c>
    </row>
    <row r="1089" spans="1:5" ht="12" customHeight="1">
      <c r="A1089">
        <v>1088</v>
      </c>
      <c r="B1089" s="941" t="s">
        <v>11040</v>
      </c>
      <c r="C1089" s="941" t="s">
        <v>11041</v>
      </c>
      <c r="D1089" s="941" t="s">
        <v>11037</v>
      </c>
      <c r="E1089" s="1055" t="s">
        <v>11038</v>
      </c>
    </row>
    <row r="1090" spans="1:5" ht="12" customHeight="1">
      <c r="A1090">
        <v>1089</v>
      </c>
      <c r="B1090" s="941" t="s">
        <v>11040</v>
      </c>
      <c r="C1090" s="941" t="s">
        <v>11041</v>
      </c>
      <c r="D1090" s="941" t="s">
        <v>11037</v>
      </c>
      <c r="E1090" s="1055" t="s">
        <v>11038</v>
      </c>
    </row>
    <row r="1091" spans="1:5" ht="12" customHeight="1">
      <c r="A1091">
        <v>1090</v>
      </c>
      <c r="B1091" s="941" t="s">
        <v>11040</v>
      </c>
      <c r="C1091" s="941" t="s">
        <v>11041</v>
      </c>
      <c r="D1091" s="941" t="s">
        <v>11037</v>
      </c>
      <c r="E1091" s="1055" t="s">
        <v>11038</v>
      </c>
    </row>
    <row r="1092" spans="1:5" ht="12" customHeight="1">
      <c r="A1092">
        <v>1091</v>
      </c>
      <c r="B1092" s="941" t="s">
        <v>11040</v>
      </c>
      <c r="C1092" s="941" t="s">
        <v>11041</v>
      </c>
      <c r="D1092" s="941" t="s">
        <v>11037</v>
      </c>
      <c r="E1092" s="1055" t="s">
        <v>11038</v>
      </c>
    </row>
    <row r="1093" spans="1:5" ht="12" customHeight="1">
      <c r="A1093">
        <v>1092</v>
      </c>
      <c r="B1093" s="941" t="s">
        <v>11040</v>
      </c>
      <c r="C1093" s="941" t="s">
        <v>11041</v>
      </c>
      <c r="D1093" s="941" t="s">
        <v>11037</v>
      </c>
      <c r="E1093" s="1055" t="s">
        <v>11038</v>
      </c>
    </row>
    <row r="1094" spans="1:5" ht="12" customHeight="1">
      <c r="A1094">
        <v>1093</v>
      </c>
      <c r="B1094" s="941" t="s">
        <v>11040</v>
      </c>
      <c r="C1094" s="941" t="s">
        <v>11041</v>
      </c>
      <c r="D1094" s="941" t="s">
        <v>11037</v>
      </c>
      <c r="E1094" s="1055" t="s">
        <v>11038</v>
      </c>
    </row>
    <row r="1095" spans="1:5" ht="12" customHeight="1">
      <c r="A1095">
        <v>1094</v>
      </c>
      <c r="B1095" s="941" t="s">
        <v>11040</v>
      </c>
      <c r="C1095" s="941" t="s">
        <v>11041</v>
      </c>
      <c r="D1095" s="941" t="s">
        <v>11037</v>
      </c>
      <c r="E1095" s="1055" t="s">
        <v>11038</v>
      </c>
    </row>
    <row r="1096" spans="1:5" ht="12" customHeight="1">
      <c r="A1096">
        <v>1095</v>
      </c>
      <c r="B1096" s="941" t="s">
        <v>11040</v>
      </c>
      <c r="C1096" s="941" t="s">
        <v>11041</v>
      </c>
      <c r="D1096" s="941" t="s">
        <v>11037</v>
      </c>
      <c r="E1096" s="1055" t="s">
        <v>11038</v>
      </c>
    </row>
    <row r="1097" spans="1:5" ht="12" customHeight="1">
      <c r="A1097">
        <v>1096</v>
      </c>
      <c r="B1097" s="941" t="s">
        <v>11040</v>
      </c>
      <c r="C1097" s="941" t="s">
        <v>11041</v>
      </c>
      <c r="D1097" s="941" t="s">
        <v>11037</v>
      </c>
      <c r="E1097" s="1055" t="s">
        <v>11038</v>
      </c>
    </row>
    <row r="1098" spans="1:5" ht="12" customHeight="1">
      <c r="A1098">
        <v>1097</v>
      </c>
      <c r="B1098" s="941" t="s">
        <v>11040</v>
      </c>
      <c r="C1098" s="941" t="s">
        <v>11041</v>
      </c>
      <c r="D1098" s="941" t="s">
        <v>11037</v>
      </c>
      <c r="E1098" s="1055" t="s">
        <v>11038</v>
      </c>
    </row>
    <row r="1099" spans="1:5" ht="12" customHeight="1">
      <c r="A1099">
        <v>1098</v>
      </c>
      <c r="B1099" s="941" t="s">
        <v>11040</v>
      </c>
      <c r="C1099" s="941" t="s">
        <v>11041</v>
      </c>
      <c r="D1099" s="941" t="s">
        <v>11037</v>
      </c>
      <c r="E1099" s="1055" t="s">
        <v>11038</v>
      </c>
    </row>
    <row r="1100" spans="1:5" ht="12" customHeight="1">
      <c r="A1100">
        <v>1099</v>
      </c>
      <c r="B1100" s="941" t="s">
        <v>11040</v>
      </c>
      <c r="C1100" s="941" t="s">
        <v>11041</v>
      </c>
      <c r="D1100" s="941" t="s">
        <v>11037</v>
      </c>
      <c r="E1100" s="1055" t="s">
        <v>11038</v>
      </c>
    </row>
    <row r="1101" spans="1:5" ht="12" customHeight="1">
      <c r="A1101">
        <v>1100</v>
      </c>
      <c r="B1101" s="941" t="s">
        <v>11040</v>
      </c>
      <c r="C1101" s="941" t="s">
        <v>11041</v>
      </c>
      <c r="D1101" s="941" t="s">
        <v>11037</v>
      </c>
      <c r="E1101" s="1055" t="s">
        <v>11038</v>
      </c>
    </row>
    <row r="1102" spans="1:5" ht="12" customHeight="1">
      <c r="A1102">
        <v>1101</v>
      </c>
      <c r="B1102" s="941" t="s">
        <v>11040</v>
      </c>
      <c r="C1102" s="941" t="s">
        <v>11041</v>
      </c>
      <c r="D1102" s="941" t="s">
        <v>11037</v>
      </c>
      <c r="E1102" s="1055" t="s">
        <v>11038</v>
      </c>
    </row>
    <row r="1103" spans="1:5" ht="12" customHeight="1">
      <c r="A1103">
        <v>1102</v>
      </c>
      <c r="B1103" s="941" t="s">
        <v>11040</v>
      </c>
      <c r="C1103" s="941" t="s">
        <v>11041</v>
      </c>
      <c r="D1103" s="941" t="s">
        <v>11037</v>
      </c>
      <c r="E1103" s="1055" t="s">
        <v>11038</v>
      </c>
    </row>
    <row r="1104" spans="1:5" ht="12" customHeight="1">
      <c r="A1104">
        <v>1103</v>
      </c>
      <c r="B1104" s="941" t="s">
        <v>11040</v>
      </c>
      <c r="C1104" s="941" t="s">
        <v>11041</v>
      </c>
      <c r="D1104" s="941" t="s">
        <v>11037</v>
      </c>
      <c r="E1104" s="1055" t="s">
        <v>11038</v>
      </c>
    </row>
    <row r="1105" spans="1:5" ht="12" customHeight="1">
      <c r="A1105">
        <v>1104</v>
      </c>
      <c r="B1105" s="941" t="s">
        <v>11040</v>
      </c>
      <c r="C1105" s="941" t="s">
        <v>11041</v>
      </c>
      <c r="D1105" s="941" t="s">
        <v>11037</v>
      </c>
      <c r="E1105" s="1055" t="s">
        <v>11038</v>
      </c>
    </row>
    <row r="1106" spans="1:5" ht="12" customHeight="1">
      <c r="A1106">
        <v>1105</v>
      </c>
      <c r="B1106" s="941" t="s">
        <v>11040</v>
      </c>
      <c r="C1106" s="941" t="s">
        <v>11041</v>
      </c>
      <c r="D1106" s="941" t="s">
        <v>11037</v>
      </c>
      <c r="E1106" s="1055" t="s">
        <v>11038</v>
      </c>
    </row>
    <row r="1107" spans="1:5" ht="12" customHeight="1">
      <c r="A1107">
        <v>1106</v>
      </c>
      <c r="B1107" s="941" t="s">
        <v>11040</v>
      </c>
      <c r="C1107" s="941" t="s">
        <v>11041</v>
      </c>
      <c r="D1107" s="941" t="s">
        <v>11037</v>
      </c>
      <c r="E1107" s="1055" t="s">
        <v>11038</v>
      </c>
    </row>
    <row r="1108" spans="1:5" ht="12" customHeight="1">
      <c r="A1108">
        <v>1107</v>
      </c>
      <c r="B1108" s="941" t="s">
        <v>11040</v>
      </c>
      <c r="C1108" s="941" t="s">
        <v>11041</v>
      </c>
      <c r="D1108" s="941" t="s">
        <v>11037</v>
      </c>
      <c r="E1108" s="1055" t="s">
        <v>11038</v>
      </c>
    </row>
    <row r="1109" spans="1:5" ht="12" customHeight="1">
      <c r="A1109">
        <v>1108</v>
      </c>
      <c r="B1109" s="941" t="s">
        <v>11040</v>
      </c>
      <c r="C1109" s="941" t="s">
        <v>11041</v>
      </c>
      <c r="D1109" s="941" t="s">
        <v>11037</v>
      </c>
      <c r="E1109" s="1055" t="s">
        <v>11038</v>
      </c>
    </row>
    <row r="1110" spans="1:5" ht="12" customHeight="1">
      <c r="A1110">
        <v>1109</v>
      </c>
      <c r="B1110" s="941" t="s">
        <v>11040</v>
      </c>
      <c r="C1110" s="941" t="s">
        <v>11041</v>
      </c>
      <c r="D1110" s="941" t="s">
        <v>11037</v>
      </c>
      <c r="E1110" s="1055" t="s">
        <v>11038</v>
      </c>
    </row>
    <row r="1111" spans="1:5" ht="12" customHeight="1">
      <c r="A1111">
        <v>1110</v>
      </c>
      <c r="B1111" s="941" t="s">
        <v>11040</v>
      </c>
      <c r="C1111" s="941" t="s">
        <v>11041</v>
      </c>
      <c r="D1111" s="941" t="s">
        <v>11037</v>
      </c>
      <c r="E1111" s="1055" t="s">
        <v>11038</v>
      </c>
    </row>
    <row r="1112" spans="1:5" ht="12" customHeight="1">
      <c r="A1112">
        <v>1111</v>
      </c>
      <c r="B1112" s="941" t="s">
        <v>11040</v>
      </c>
      <c r="C1112" s="941" t="s">
        <v>11041</v>
      </c>
      <c r="D1112" s="941" t="s">
        <v>11037</v>
      </c>
      <c r="E1112" s="1055" t="s">
        <v>11038</v>
      </c>
    </row>
    <row r="1113" spans="1:5" ht="12" customHeight="1">
      <c r="A1113">
        <v>1112</v>
      </c>
      <c r="B1113" s="941" t="s">
        <v>11040</v>
      </c>
      <c r="C1113" s="941" t="s">
        <v>11041</v>
      </c>
      <c r="D1113" s="941" t="s">
        <v>11037</v>
      </c>
      <c r="E1113" s="1055" t="s">
        <v>11038</v>
      </c>
    </row>
    <row r="1114" spans="1:5" ht="12" customHeight="1">
      <c r="A1114">
        <v>1113</v>
      </c>
      <c r="B1114" s="941" t="s">
        <v>11040</v>
      </c>
      <c r="C1114" s="941" t="s">
        <v>11041</v>
      </c>
      <c r="D1114" s="941" t="s">
        <v>11037</v>
      </c>
      <c r="E1114" s="1055" t="s">
        <v>11038</v>
      </c>
    </row>
    <row r="1115" spans="1:5" ht="12" customHeight="1">
      <c r="A1115">
        <v>1114</v>
      </c>
      <c r="B1115" s="941" t="s">
        <v>11040</v>
      </c>
      <c r="C1115" s="941" t="s">
        <v>11041</v>
      </c>
      <c r="D1115" s="941" t="s">
        <v>11037</v>
      </c>
      <c r="E1115" s="1055" t="s">
        <v>11038</v>
      </c>
    </row>
    <row r="1116" spans="1:5" ht="12" customHeight="1">
      <c r="A1116">
        <v>1115</v>
      </c>
      <c r="B1116" s="941" t="s">
        <v>11040</v>
      </c>
      <c r="C1116" s="941" t="s">
        <v>11041</v>
      </c>
      <c r="D1116" s="941" t="s">
        <v>11037</v>
      </c>
      <c r="E1116" s="1055" t="s">
        <v>11038</v>
      </c>
    </row>
    <row r="1117" spans="1:5" ht="12" customHeight="1">
      <c r="A1117">
        <v>1116</v>
      </c>
      <c r="B1117" s="941" t="s">
        <v>11040</v>
      </c>
      <c r="C1117" s="941" t="s">
        <v>11041</v>
      </c>
      <c r="D1117" s="941" t="s">
        <v>11037</v>
      </c>
      <c r="E1117" s="1055" t="s">
        <v>11038</v>
      </c>
    </row>
    <row r="1118" spans="1:5" ht="12" customHeight="1">
      <c r="A1118">
        <v>1117</v>
      </c>
      <c r="B1118" s="941" t="s">
        <v>11040</v>
      </c>
      <c r="C1118" s="941" t="s">
        <v>11041</v>
      </c>
      <c r="D1118" s="941" t="s">
        <v>11037</v>
      </c>
      <c r="E1118" s="1055" t="s">
        <v>11038</v>
      </c>
    </row>
    <row r="1119" spans="1:5" ht="12" customHeight="1">
      <c r="A1119">
        <v>1118</v>
      </c>
      <c r="B1119" s="941" t="s">
        <v>11040</v>
      </c>
      <c r="C1119" s="941" t="s">
        <v>11041</v>
      </c>
      <c r="D1119" s="941" t="s">
        <v>11037</v>
      </c>
      <c r="E1119" s="1055" t="s">
        <v>11038</v>
      </c>
    </row>
    <row r="1120" spans="1:5" ht="12" customHeight="1">
      <c r="A1120">
        <v>1119</v>
      </c>
      <c r="B1120" s="941" t="s">
        <v>11040</v>
      </c>
      <c r="C1120" s="941" t="s">
        <v>11041</v>
      </c>
      <c r="D1120" s="941" t="s">
        <v>11037</v>
      </c>
      <c r="E1120" s="1055" t="s">
        <v>11038</v>
      </c>
    </row>
    <row r="1121" spans="1:5" ht="12" customHeight="1">
      <c r="A1121">
        <v>1120</v>
      </c>
      <c r="B1121" s="941" t="s">
        <v>11040</v>
      </c>
      <c r="C1121" s="941" t="s">
        <v>11041</v>
      </c>
      <c r="D1121" s="941" t="s">
        <v>11037</v>
      </c>
      <c r="E1121" s="1055" t="s">
        <v>11038</v>
      </c>
    </row>
    <row r="1122" spans="1:5" ht="12" customHeight="1">
      <c r="A1122">
        <v>1121</v>
      </c>
      <c r="B1122" s="941" t="s">
        <v>11040</v>
      </c>
      <c r="C1122" s="941" t="s">
        <v>11041</v>
      </c>
      <c r="D1122" s="941" t="s">
        <v>11037</v>
      </c>
      <c r="E1122" s="1055" t="s">
        <v>11038</v>
      </c>
    </row>
    <row r="1123" spans="1:5" ht="12" customHeight="1">
      <c r="A1123">
        <v>1122</v>
      </c>
      <c r="B1123" s="941" t="s">
        <v>11040</v>
      </c>
      <c r="C1123" s="941" t="s">
        <v>11041</v>
      </c>
      <c r="D1123" s="941" t="s">
        <v>11037</v>
      </c>
      <c r="E1123" s="1055" t="s">
        <v>11038</v>
      </c>
    </row>
    <row r="1124" spans="1:5" ht="12" customHeight="1">
      <c r="A1124">
        <v>1123</v>
      </c>
      <c r="B1124" s="941" t="s">
        <v>11040</v>
      </c>
      <c r="C1124" s="941" t="s">
        <v>11041</v>
      </c>
      <c r="D1124" s="941" t="s">
        <v>11037</v>
      </c>
      <c r="E1124" s="1055" t="s">
        <v>11038</v>
      </c>
    </row>
    <row r="1125" spans="1:5" ht="12" customHeight="1">
      <c r="A1125">
        <v>1124</v>
      </c>
      <c r="B1125" s="941" t="s">
        <v>11040</v>
      </c>
      <c r="C1125" s="941" t="s">
        <v>11041</v>
      </c>
      <c r="D1125" s="941" t="s">
        <v>11037</v>
      </c>
      <c r="E1125" s="1055" t="s">
        <v>11038</v>
      </c>
    </row>
    <row r="1126" spans="1:5" ht="12" customHeight="1">
      <c r="A1126">
        <v>1125</v>
      </c>
      <c r="B1126" s="941" t="s">
        <v>11040</v>
      </c>
      <c r="C1126" s="941" t="s">
        <v>11041</v>
      </c>
      <c r="D1126" s="941" t="s">
        <v>11037</v>
      </c>
      <c r="E1126" s="1055" t="s">
        <v>11038</v>
      </c>
    </row>
    <row r="1127" spans="1:5" ht="12" customHeight="1">
      <c r="A1127">
        <v>1126</v>
      </c>
      <c r="B1127" s="941" t="s">
        <v>11040</v>
      </c>
      <c r="C1127" s="941" t="s">
        <v>11041</v>
      </c>
      <c r="D1127" s="941" t="s">
        <v>11037</v>
      </c>
      <c r="E1127" s="1055" t="s">
        <v>11038</v>
      </c>
    </row>
    <row r="1128" spans="1:5" ht="12" customHeight="1">
      <c r="A1128">
        <v>1127</v>
      </c>
      <c r="B1128" s="941" t="s">
        <v>11040</v>
      </c>
      <c r="C1128" s="941" t="s">
        <v>11041</v>
      </c>
      <c r="D1128" s="941" t="s">
        <v>11037</v>
      </c>
      <c r="E1128" s="1055" t="s">
        <v>11038</v>
      </c>
    </row>
    <row r="1129" spans="1:5" ht="12" customHeight="1">
      <c r="A1129">
        <v>1128</v>
      </c>
      <c r="B1129" s="941" t="s">
        <v>11040</v>
      </c>
      <c r="C1129" s="941" t="s">
        <v>11041</v>
      </c>
      <c r="D1129" s="941" t="s">
        <v>11037</v>
      </c>
      <c r="E1129" s="1055" t="s">
        <v>11038</v>
      </c>
    </row>
    <row r="1130" spans="1:5" ht="12" customHeight="1">
      <c r="A1130">
        <v>1129</v>
      </c>
      <c r="B1130" s="941" t="s">
        <v>11040</v>
      </c>
      <c r="C1130" s="941" t="s">
        <v>11041</v>
      </c>
      <c r="D1130" s="941" t="s">
        <v>11037</v>
      </c>
      <c r="E1130" s="1055" t="s">
        <v>11038</v>
      </c>
    </row>
    <row r="1131" spans="1:5" ht="12" customHeight="1">
      <c r="A1131">
        <v>1130</v>
      </c>
      <c r="B1131" s="941" t="s">
        <v>11040</v>
      </c>
      <c r="C1131" s="941" t="s">
        <v>11041</v>
      </c>
      <c r="D1131" s="941" t="s">
        <v>11037</v>
      </c>
      <c r="E1131" s="1055" t="s">
        <v>11038</v>
      </c>
    </row>
    <row r="1132" spans="1:5" ht="12" customHeight="1">
      <c r="A1132">
        <v>1131</v>
      </c>
      <c r="B1132" s="941" t="s">
        <v>11040</v>
      </c>
      <c r="C1132" s="941" t="s">
        <v>11041</v>
      </c>
      <c r="D1132" s="941" t="s">
        <v>11037</v>
      </c>
      <c r="E1132" s="1055" t="s">
        <v>11038</v>
      </c>
    </row>
    <row r="1133" spans="1:5" ht="12" customHeight="1">
      <c r="A1133">
        <v>1132</v>
      </c>
      <c r="B1133" s="941" t="s">
        <v>11040</v>
      </c>
      <c r="C1133" s="941" t="s">
        <v>11041</v>
      </c>
      <c r="D1133" s="941" t="s">
        <v>11037</v>
      </c>
      <c r="E1133" s="1055" t="s">
        <v>11038</v>
      </c>
    </row>
    <row r="1134" spans="1:5" ht="12" customHeight="1">
      <c r="A1134">
        <v>1133</v>
      </c>
      <c r="B1134" s="941" t="s">
        <v>11040</v>
      </c>
      <c r="C1134" s="941" t="s">
        <v>11041</v>
      </c>
      <c r="D1134" s="941" t="s">
        <v>11037</v>
      </c>
      <c r="E1134" s="1055" t="s">
        <v>11038</v>
      </c>
    </row>
    <row r="1135" spans="1:5" ht="12" customHeight="1">
      <c r="A1135">
        <v>1134</v>
      </c>
      <c r="B1135" s="941" t="s">
        <v>11040</v>
      </c>
      <c r="C1135" s="941" t="s">
        <v>11041</v>
      </c>
      <c r="D1135" s="941" t="s">
        <v>11037</v>
      </c>
      <c r="E1135" s="1055" t="s">
        <v>11038</v>
      </c>
    </row>
    <row r="1136" spans="1:5" ht="12" customHeight="1">
      <c r="A1136">
        <v>1135</v>
      </c>
      <c r="B1136" s="941" t="s">
        <v>11040</v>
      </c>
      <c r="C1136" s="941" t="s">
        <v>11041</v>
      </c>
      <c r="D1136" s="941" t="s">
        <v>11037</v>
      </c>
      <c r="E1136" s="1055" t="s">
        <v>11038</v>
      </c>
    </row>
    <row r="1137" spans="1:5" ht="12" customHeight="1">
      <c r="A1137">
        <v>1136</v>
      </c>
      <c r="B1137" s="941" t="s">
        <v>11040</v>
      </c>
      <c r="C1137" s="941" t="s">
        <v>11041</v>
      </c>
      <c r="D1137" s="941" t="s">
        <v>11037</v>
      </c>
      <c r="E1137" s="1055" t="s">
        <v>11038</v>
      </c>
    </row>
    <row r="1138" spans="1:5" ht="12" customHeight="1">
      <c r="A1138">
        <v>1137</v>
      </c>
      <c r="B1138" s="941" t="s">
        <v>11040</v>
      </c>
      <c r="C1138" s="941" t="s">
        <v>11041</v>
      </c>
      <c r="D1138" s="941" t="s">
        <v>11037</v>
      </c>
      <c r="E1138" s="1055" t="s">
        <v>11038</v>
      </c>
    </row>
    <row r="1139" spans="1:5" ht="12" customHeight="1">
      <c r="A1139">
        <v>1138</v>
      </c>
      <c r="B1139" s="941" t="s">
        <v>11040</v>
      </c>
      <c r="C1139" s="941" t="s">
        <v>11041</v>
      </c>
      <c r="D1139" s="941" t="s">
        <v>11037</v>
      </c>
      <c r="E1139" s="1055" t="s">
        <v>11038</v>
      </c>
    </row>
    <row r="1140" spans="1:5" ht="12" customHeight="1">
      <c r="A1140">
        <v>1139</v>
      </c>
      <c r="B1140" s="941" t="s">
        <v>11040</v>
      </c>
      <c r="C1140" s="941" t="s">
        <v>11041</v>
      </c>
      <c r="D1140" s="941" t="s">
        <v>11037</v>
      </c>
      <c r="E1140" s="1055" t="s">
        <v>11038</v>
      </c>
    </row>
    <row r="1141" spans="1:5" ht="12" customHeight="1">
      <c r="A1141">
        <v>1140</v>
      </c>
      <c r="B1141" s="941" t="s">
        <v>11040</v>
      </c>
      <c r="C1141" s="941" t="s">
        <v>11041</v>
      </c>
      <c r="D1141" s="941" t="s">
        <v>11037</v>
      </c>
      <c r="E1141" s="1055" t="s">
        <v>11038</v>
      </c>
    </row>
    <row r="1142" spans="1:5" ht="12" customHeight="1">
      <c r="A1142">
        <v>1141</v>
      </c>
      <c r="B1142" s="941" t="s">
        <v>11040</v>
      </c>
      <c r="C1142" s="941" t="s">
        <v>11041</v>
      </c>
      <c r="D1142" s="941" t="s">
        <v>11037</v>
      </c>
      <c r="E1142" s="1055" t="s">
        <v>11038</v>
      </c>
    </row>
    <row r="1143" spans="1:5" ht="12" customHeight="1">
      <c r="A1143">
        <v>1142</v>
      </c>
      <c r="B1143" s="941" t="s">
        <v>11040</v>
      </c>
      <c r="C1143" s="941" t="s">
        <v>11041</v>
      </c>
      <c r="D1143" s="941" t="s">
        <v>11037</v>
      </c>
      <c r="E1143" s="1055" t="s">
        <v>11038</v>
      </c>
    </row>
    <row r="1144" spans="1:5" ht="12" customHeight="1">
      <c r="A1144">
        <v>1143</v>
      </c>
      <c r="B1144" s="941" t="s">
        <v>11040</v>
      </c>
      <c r="C1144" s="941" t="s">
        <v>11041</v>
      </c>
      <c r="D1144" s="941" t="s">
        <v>11037</v>
      </c>
      <c r="E1144" s="1055" t="s">
        <v>11038</v>
      </c>
    </row>
    <row r="1145" spans="1:5" ht="12" customHeight="1">
      <c r="A1145">
        <v>1144</v>
      </c>
      <c r="B1145" s="941" t="s">
        <v>11040</v>
      </c>
      <c r="C1145" s="941" t="s">
        <v>11041</v>
      </c>
      <c r="D1145" s="941" t="s">
        <v>11037</v>
      </c>
      <c r="E1145" s="1055" t="s">
        <v>11038</v>
      </c>
    </row>
    <row r="1146" spans="1:5" ht="12" customHeight="1">
      <c r="A1146">
        <v>1145</v>
      </c>
      <c r="B1146" s="941" t="s">
        <v>11040</v>
      </c>
      <c r="C1146" s="941" t="s">
        <v>11041</v>
      </c>
      <c r="D1146" s="941" t="s">
        <v>11037</v>
      </c>
      <c r="E1146" s="1055" t="s">
        <v>11038</v>
      </c>
    </row>
    <row r="1147" spans="1:5" ht="12" customHeight="1">
      <c r="A1147">
        <v>1146</v>
      </c>
      <c r="B1147" s="941" t="s">
        <v>11040</v>
      </c>
      <c r="C1147" s="941" t="s">
        <v>11041</v>
      </c>
      <c r="D1147" s="941" t="s">
        <v>11037</v>
      </c>
      <c r="E1147" s="1055" t="s">
        <v>11038</v>
      </c>
    </row>
    <row r="1148" spans="1:5" ht="12" customHeight="1">
      <c r="A1148">
        <v>1147</v>
      </c>
      <c r="B1148" s="941" t="s">
        <v>11040</v>
      </c>
      <c r="C1148" s="941" t="s">
        <v>11041</v>
      </c>
      <c r="D1148" s="941" t="s">
        <v>11037</v>
      </c>
      <c r="E1148" s="1055" t="s">
        <v>11038</v>
      </c>
    </row>
    <row r="1149" spans="1:5" ht="12" customHeight="1">
      <c r="A1149">
        <v>1148</v>
      </c>
      <c r="B1149" s="941" t="s">
        <v>11040</v>
      </c>
      <c r="C1149" s="941" t="s">
        <v>11041</v>
      </c>
      <c r="D1149" s="941" t="s">
        <v>11037</v>
      </c>
      <c r="E1149" s="1055" t="s">
        <v>11038</v>
      </c>
    </row>
    <row r="1150" spans="1:5" ht="12" customHeight="1">
      <c r="A1150">
        <v>1149</v>
      </c>
      <c r="B1150" s="941" t="s">
        <v>11040</v>
      </c>
      <c r="C1150" s="941" t="s">
        <v>11041</v>
      </c>
      <c r="D1150" s="941" t="s">
        <v>11037</v>
      </c>
      <c r="E1150" s="1055" t="s">
        <v>11038</v>
      </c>
    </row>
    <row r="1151" spans="1:5" ht="12" customHeight="1">
      <c r="A1151">
        <v>1150</v>
      </c>
      <c r="B1151" s="941" t="s">
        <v>11040</v>
      </c>
      <c r="C1151" s="941" t="s">
        <v>11041</v>
      </c>
      <c r="D1151" s="941" t="s">
        <v>11037</v>
      </c>
      <c r="E1151" s="1055" t="s">
        <v>11038</v>
      </c>
    </row>
    <row r="1152" spans="1:5" ht="12" customHeight="1">
      <c r="A1152">
        <v>1151</v>
      </c>
      <c r="B1152" s="941" t="s">
        <v>11040</v>
      </c>
      <c r="C1152" s="941" t="s">
        <v>11041</v>
      </c>
      <c r="D1152" s="941" t="s">
        <v>11037</v>
      </c>
      <c r="E1152" s="1055" t="s">
        <v>11038</v>
      </c>
    </row>
    <row r="1153" spans="1:5" ht="12" customHeight="1">
      <c r="A1153">
        <v>1152</v>
      </c>
      <c r="B1153" s="941" t="s">
        <v>11040</v>
      </c>
      <c r="C1153" s="941" t="s">
        <v>11041</v>
      </c>
      <c r="D1153" s="941" t="s">
        <v>11037</v>
      </c>
      <c r="E1153" s="1055" t="s">
        <v>11038</v>
      </c>
    </row>
    <row r="1154" spans="1:5" ht="12" customHeight="1">
      <c r="A1154">
        <v>1153</v>
      </c>
      <c r="B1154" s="941" t="s">
        <v>11040</v>
      </c>
      <c r="C1154" s="941" t="s">
        <v>11041</v>
      </c>
      <c r="D1154" s="941" t="s">
        <v>11037</v>
      </c>
      <c r="E1154" s="1055" t="s">
        <v>11038</v>
      </c>
    </row>
    <row r="1155" spans="1:5" ht="12" customHeight="1">
      <c r="A1155">
        <v>1154</v>
      </c>
      <c r="B1155" s="941" t="s">
        <v>11040</v>
      </c>
      <c r="C1155" s="941" t="s">
        <v>11041</v>
      </c>
      <c r="D1155" s="941" t="s">
        <v>11037</v>
      </c>
      <c r="E1155" s="1055" t="s">
        <v>11038</v>
      </c>
    </row>
    <row r="1156" spans="1:5" ht="12" customHeight="1">
      <c r="A1156">
        <v>1155</v>
      </c>
      <c r="B1156" s="941" t="s">
        <v>11040</v>
      </c>
      <c r="C1156" s="941" t="s">
        <v>11041</v>
      </c>
      <c r="D1156" s="941" t="s">
        <v>11037</v>
      </c>
      <c r="E1156" s="1055" t="s">
        <v>11038</v>
      </c>
    </row>
    <row r="1157" spans="1:5" ht="12" customHeight="1">
      <c r="A1157">
        <v>1156</v>
      </c>
      <c r="B1157" s="941" t="s">
        <v>11040</v>
      </c>
      <c r="C1157" s="941" t="s">
        <v>11041</v>
      </c>
      <c r="D1157" s="941" t="s">
        <v>11037</v>
      </c>
      <c r="E1157" s="1055" t="s">
        <v>11038</v>
      </c>
    </row>
    <row r="1158" spans="1:5" ht="12" customHeight="1">
      <c r="A1158">
        <v>1157</v>
      </c>
      <c r="B1158" s="941" t="s">
        <v>11040</v>
      </c>
      <c r="C1158" s="941" t="s">
        <v>11041</v>
      </c>
      <c r="D1158" s="941" t="s">
        <v>11037</v>
      </c>
      <c r="E1158" s="1055" t="s">
        <v>11038</v>
      </c>
    </row>
    <row r="1159" spans="1:5" ht="12" customHeight="1">
      <c r="A1159">
        <v>1158</v>
      </c>
      <c r="B1159" s="941" t="s">
        <v>11040</v>
      </c>
      <c r="C1159" s="941" t="s">
        <v>11041</v>
      </c>
      <c r="D1159" s="941" t="s">
        <v>11037</v>
      </c>
      <c r="E1159" s="1055" t="s">
        <v>11038</v>
      </c>
    </row>
    <row r="1160" spans="1:5" ht="12" customHeight="1">
      <c r="A1160">
        <v>1159</v>
      </c>
      <c r="B1160" s="941" t="s">
        <v>11040</v>
      </c>
      <c r="C1160" s="941" t="s">
        <v>11041</v>
      </c>
      <c r="D1160" s="941" t="s">
        <v>11037</v>
      </c>
      <c r="E1160" s="1055" t="s">
        <v>11038</v>
      </c>
    </row>
    <row r="1161" spans="1:5" ht="12" customHeight="1">
      <c r="A1161">
        <v>1160</v>
      </c>
      <c r="B1161" s="941" t="s">
        <v>11040</v>
      </c>
      <c r="C1161" s="941" t="s">
        <v>11041</v>
      </c>
      <c r="D1161" s="941" t="s">
        <v>11037</v>
      </c>
      <c r="E1161" s="1055" t="s">
        <v>11038</v>
      </c>
    </row>
    <row r="1162" spans="1:5" ht="12" customHeight="1">
      <c r="A1162">
        <v>1161</v>
      </c>
      <c r="B1162" s="941" t="s">
        <v>11040</v>
      </c>
      <c r="C1162" s="941" t="s">
        <v>11041</v>
      </c>
      <c r="D1162" s="941" t="s">
        <v>11037</v>
      </c>
      <c r="E1162" s="1055" t="s">
        <v>11038</v>
      </c>
    </row>
    <row r="1163" spans="1:5" ht="12" customHeight="1">
      <c r="A1163">
        <v>1162</v>
      </c>
      <c r="B1163" s="941" t="s">
        <v>11040</v>
      </c>
      <c r="C1163" s="941" t="s">
        <v>11041</v>
      </c>
      <c r="D1163" s="941" t="s">
        <v>11037</v>
      </c>
      <c r="E1163" s="1055" t="s">
        <v>11038</v>
      </c>
    </row>
    <row r="1164" spans="1:5" ht="12" customHeight="1">
      <c r="A1164">
        <v>1163</v>
      </c>
      <c r="B1164" s="941" t="s">
        <v>11040</v>
      </c>
      <c r="C1164" s="941" t="s">
        <v>11041</v>
      </c>
      <c r="D1164" s="941" t="s">
        <v>11037</v>
      </c>
      <c r="E1164" s="1055" t="s">
        <v>11038</v>
      </c>
    </row>
    <row r="1165" spans="1:5" ht="12" customHeight="1">
      <c r="A1165">
        <v>1164</v>
      </c>
      <c r="B1165" s="941" t="s">
        <v>11040</v>
      </c>
      <c r="C1165" s="941" t="s">
        <v>11041</v>
      </c>
      <c r="D1165" s="941" t="s">
        <v>11037</v>
      </c>
      <c r="E1165" s="1055" t="s">
        <v>11038</v>
      </c>
    </row>
    <row r="1166" spans="1:5" ht="12" customHeight="1">
      <c r="A1166">
        <v>1165</v>
      </c>
      <c r="B1166" s="941" t="s">
        <v>11040</v>
      </c>
      <c r="C1166" s="941" t="s">
        <v>11041</v>
      </c>
      <c r="D1166" s="941" t="s">
        <v>11037</v>
      </c>
      <c r="E1166" s="1055" t="s">
        <v>11038</v>
      </c>
    </row>
    <row r="1167" spans="1:5" ht="12" customHeight="1">
      <c r="A1167">
        <v>1166</v>
      </c>
      <c r="B1167" s="941" t="s">
        <v>11040</v>
      </c>
      <c r="C1167" s="941" t="s">
        <v>11041</v>
      </c>
      <c r="D1167" s="941" t="s">
        <v>11037</v>
      </c>
      <c r="E1167" s="1055" t="s">
        <v>11038</v>
      </c>
    </row>
    <row r="1168" spans="1:5" ht="12" customHeight="1">
      <c r="A1168">
        <v>1167</v>
      </c>
      <c r="B1168" s="941" t="s">
        <v>11040</v>
      </c>
      <c r="C1168" s="941" t="s">
        <v>11041</v>
      </c>
      <c r="D1168" s="941" t="s">
        <v>11037</v>
      </c>
      <c r="E1168" s="1055" t="s">
        <v>11038</v>
      </c>
    </row>
    <row r="1169" spans="1:5" ht="12" customHeight="1">
      <c r="A1169">
        <v>1168</v>
      </c>
      <c r="B1169" s="941" t="s">
        <v>11040</v>
      </c>
      <c r="C1169" s="941" t="s">
        <v>11041</v>
      </c>
      <c r="D1169" s="941" t="s">
        <v>11037</v>
      </c>
      <c r="E1169" s="1055" t="s">
        <v>11038</v>
      </c>
    </row>
    <row r="1170" spans="1:5" ht="12" customHeight="1">
      <c r="A1170">
        <v>1169</v>
      </c>
      <c r="B1170" s="941" t="s">
        <v>11040</v>
      </c>
      <c r="C1170" s="941" t="s">
        <v>11041</v>
      </c>
      <c r="D1170" s="941" t="s">
        <v>11037</v>
      </c>
      <c r="E1170" s="1055" t="s">
        <v>11038</v>
      </c>
    </row>
    <row r="1171" spans="1:5" ht="12" customHeight="1">
      <c r="A1171">
        <v>1170</v>
      </c>
      <c r="B1171" s="941" t="s">
        <v>11040</v>
      </c>
      <c r="C1171" s="941" t="s">
        <v>11041</v>
      </c>
      <c r="D1171" s="941" t="s">
        <v>11037</v>
      </c>
      <c r="E1171" s="1055" t="s">
        <v>11038</v>
      </c>
    </row>
    <row r="1172" spans="1:5" ht="12" customHeight="1">
      <c r="A1172">
        <v>1171</v>
      </c>
      <c r="B1172" s="941" t="s">
        <v>11040</v>
      </c>
      <c r="C1172" s="941" t="s">
        <v>11041</v>
      </c>
      <c r="D1172" s="941" t="s">
        <v>11037</v>
      </c>
      <c r="E1172" s="1055" t="s">
        <v>11038</v>
      </c>
    </row>
    <row r="1173" spans="1:5" ht="12" customHeight="1">
      <c r="A1173">
        <v>1172</v>
      </c>
      <c r="B1173" s="941" t="s">
        <v>11040</v>
      </c>
      <c r="C1173" s="941" t="s">
        <v>11041</v>
      </c>
      <c r="D1173" s="941" t="s">
        <v>11037</v>
      </c>
      <c r="E1173" s="1055" t="s">
        <v>11038</v>
      </c>
    </row>
    <row r="1174" spans="1:5" ht="12" customHeight="1">
      <c r="A1174">
        <v>1173</v>
      </c>
      <c r="B1174" s="941" t="s">
        <v>11040</v>
      </c>
      <c r="C1174" s="941" t="s">
        <v>11041</v>
      </c>
      <c r="D1174" s="941" t="s">
        <v>11037</v>
      </c>
      <c r="E1174" s="1055" t="s">
        <v>11038</v>
      </c>
    </row>
    <row r="1175" spans="1:5" ht="12" customHeight="1">
      <c r="A1175">
        <v>1174</v>
      </c>
      <c r="B1175" s="941" t="s">
        <v>11040</v>
      </c>
      <c r="C1175" s="941" t="s">
        <v>11041</v>
      </c>
      <c r="D1175" s="941" t="s">
        <v>11037</v>
      </c>
      <c r="E1175" s="1055" t="s">
        <v>11038</v>
      </c>
    </row>
    <row r="1176" spans="1:5" ht="12" customHeight="1">
      <c r="A1176">
        <v>1175</v>
      </c>
      <c r="B1176" s="941" t="s">
        <v>11040</v>
      </c>
      <c r="C1176" s="941" t="s">
        <v>11041</v>
      </c>
      <c r="D1176" s="941" t="s">
        <v>11037</v>
      </c>
      <c r="E1176" s="1055" t="s">
        <v>11038</v>
      </c>
    </row>
    <row r="1177" spans="1:5" ht="12" customHeight="1">
      <c r="A1177">
        <v>1176</v>
      </c>
      <c r="B1177" s="941" t="s">
        <v>11040</v>
      </c>
      <c r="C1177" s="941" t="s">
        <v>11041</v>
      </c>
      <c r="D1177" s="941" t="s">
        <v>11037</v>
      </c>
      <c r="E1177" s="1055" t="s">
        <v>11038</v>
      </c>
    </row>
    <row r="1178" spans="1:5" ht="12" customHeight="1">
      <c r="A1178">
        <v>1177</v>
      </c>
      <c r="B1178" s="941" t="s">
        <v>11040</v>
      </c>
      <c r="C1178" s="941" t="s">
        <v>11041</v>
      </c>
      <c r="D1178" s="941" t="s">
        <v>11037</v>
      </c>
      <c r="E1178" s="1055" t="s">
        <v>11038</v>
      </c>
    </row>
    <row r="1179" spans="1:5" ht="12" customHeight="1">
      <c r="A1179">
        <v>1178</v>
      </c>
      <c r="B1179" s="941" t="s">
        <v>11040</v>
      </c>
      <c r="C1179" s="941" t="s">
        <v>11041</v>
      </c>
      <c r="D1179" s="941" t="s">
        <v>11037</v>
      </c>
      <c r="E1179" s="1055" t="s">
        <v>11038</v>
      </c>
    </row>
    <row r="1180" spans="1:5" ht="12" customHeight="1">
      <c r="A1180">
        <v>1179</v>
      </c>
      <c r="B1180" s="941" t="s">
        <v>11040</v>
      </c>
      <c r="C1180" s="941" t="s">
        <v>11041</v>
      </c>
      <c r="D1180" s="941" t="s">
        <v>11037</v>
      </c>
      <c r="E1180" s="1055" t="s">
        <v>11038</v>
      </c>
    </row>
    <row r="1181" spans="1:5" ht="12" customHeight="1">
      <c r="A1181">
        <v>1180</v>
      </c>
      <c r="B1181" s="941" t="s">
        <v>11040</v>
      </c>
      <c r="C1181" s="941" t="s">
        <v>11041</v>
      </c>
      <c r="D1181" s="941" t="s">
        <v>11037</v>
      </c>
      <c r="E1181" s="1055" t="s">
        <v>11038</v>
      </c>
    </row>
    <row r="1182" spans="1:5" ht="12" customHeight="1">
      <c r="A1182">
        <v>1181</v>
      </c>
      <c r="B1182" s="941" t="s">
        <v>11040</v>
      </c>
      <c r="C1182" s="941" t="s">
        <v>11041</v>
      </c>
      <c r="D1182" s="941" t="s">
        <v>11037</v>
      </c>
      <c r="E1182" s="1055" t="s">
        <v>11038</v>
      </c>
    </row>
    <row r="1183" spans="1:5" ht="12" customHeight="1">
      <c r="A1183">
        <v>1182</v>
      </c>
      <c r="B1183" s="941" t="s">
        <v>11040</v>
      </c>
      <c r="C1183" s="941" t="s">
        <v>11041</v>
      </c>
      <c r="D1183" s="941" t="s">
        <v>11037</v>
      </c>
      <c r="E1183" s="1055" t="s">
        <v>11038</v>
      </c>
    </row>
    <row r="1184" spans="1:5" ht="12" customHeight="1">
      <c r="A1184">
        <v>1183</v>
      </c>
      <c r="B1184" s="941" t="s">
        <v>11040</v>
      </c>
      <c r="C1184" s="941" t="s">
        <v>11041</v>
      </c>
      <c r="D1184" s="941" t="s">
        <v>11037</v>
      </c>
      <c r="E1184" s="1055" t="s">
        <v>11038</v>
      </c>
    </row>
    <row r="1185" spans="1:5" ht="12" customHeight="1">
      <c r="A1185">
        <v>1184</v>
      </c>
      <c r="B1185" s="941" t="s">
        <v>11040</v>
      </c>
      <c r="C1185" s="941" t="s">
        <v>11041</v>
      </c>
      <c r="D1185" s="941" t="s">
        <v>11037</v>
      </c>
      <c r="E1185" s="1055" t="s">
        <v>11038</v>
      </c>
    </row>
    <row r="1186" spans="1:5" ht="12" customHeight="1">
      <c r="A1186">
        <v>1185</v>
      </c>
      <c r="B1186" s="941" t="s">
        <v>11040</v>
      </c>
      <c r="C1186" s="941" t="s">
        <v>11041</v>
      </c>
      <c r="D1186" s="941" t="s">
        <v>11037</v>
      </c>
      <c r="E1186" s="1055" t="s">
        <v>11038</v>
      </c>
    </row>
    <row r="1187" spans="1:5" ht="12" customHeight="1">
      <c r="A1187">
        <v>1186</v>
      </c>
      <c r="B1187" s="941" t="s">
        <v>11040</v>
      </c>
      <c r="C1187" s="941" t="s">
        <v>11041</v>
      </c>
      <c r="D1187" s="941" t="s">
        <v>11037</v>
      </c>
      <c r="E1187" s="1055" t="s">
        <v>11038</v>
      </c>
    </row>
    <row r="1188" spans="1:5" ht="12" customHeight="1">
      <c r="A1188">
        <v>1187</v>
      </c>
      <c r="B1188" s="941" t="s">
        <v>11040</v>
      </c>
      <c r="C1188" s="941" t="s">
        <v>11041</v>
      </c>
      <c r="D1188" s="941" t="s">
        <v>11037</v>
      </c>
      <c r="E1188" s="1055" t="s">
        <v>11038</v>
      </c>
    </row>
    <row r="1189" spans="1:5" ht="12" customHeight="1">
      <c r="A1189">
        <v>1188</v>
      </c>
      <c r="B1189" s="941" t="s">
        <v>11040</v>
      </c>
      <c r="C1189" s="941" t="s">
        <v>11041</v>
      </c>
      <c r="D1189" s="941" t="s">
        <v>11037</v>
      </c>
      <c r="E1189" s="1055" t="s">
        <v>11038</v>
      </c>
    </row>
    <row r="1190" spans="1:5" ht="12" customHeight="1">
      <c r="A1190">
        <v>1189</v>
      </c>
      <c r="B1190" s="941" t="s">
        <v>11040</v>
      </c>
      <c r="C1190" s="941" t="s">
        <v>11041</v>
      </c>
      <c r="D1190" s="941" t="s">
        <v>11037</v>
      </c>
      <c r="E1190" s="1055" t="s">
        <v>11038</v>
      </c>
    </row>
    <row r="1191" spans="1:5" ht="12" customHeight="1">
      <c r="A1191">
        <v>1190</v>
      </c>
      <c r="B1191" s="941" t="s">
        <v>11040</v>
      </c>
      <c r="C1191" s="941" t="s">
        <v>11041</v>
      </c>
      <c r="D1191" s="941" t="s">
        <v>11037</v>
      </c>
      <c r="E1191" s="1055" t="s">
        <v>11038</v>
      </c>
    </row>
    <row r="1192" spans="1:5" ht="12" customHeight="1">
      <c r="A1192">
        <v>1191</v>
      </c>
      <c r="B1192" s="941" t="s">
        <v>11040</v>
      </c>
      <c r="C1192" s="941" t="s">
        <v>11041</v>
      </c>
      <c r="D1192" s="941" t="s">
        <v>11037</v>
      </c>
      <c r="E1192" s="1055" t="s">
        <v>11038</v>
      </c>
    </row>
    <row r="1193" spans="1:5" ht="12" customHeight="1">
      <c r="A1193">
        <v>1192</v>
      </c>
      <c r="B1193" s="941" t="s">
        <v>11040</v>
      </c>
      <c r="C1193" s="941" t="s">
        <v>11041</v>
      </c>
      <c r="D1193" s="941" t="s">
        <v>11037</v>
      </c>
      <c r="E1193" s="1055" t="s">
        <v>11038</v>
      </c>
    </row>
    <row r="1194" spans="1:5" ht="12" customHeight="1">
      <c r="A1194">
        <v>1193</v>
      </c>
      <c r="B1194" s="941" t="s">
        <v>11040</v>
      </c>
      <c r="C1194" s="941" t="s">
        <v>11041</v>
      </c>
      <c r="D1194" s="941" t="s">
        <v>11037</v>
      </c>
      <c r="E1194" s="1055" t="s">
        <v>11038</v>
      </c>
    </row>
    <row r="1195" spans="1:5" ht="12" customHeight="1">
      <c r="A1195">
        <v>1194</v>
      </c>
      <c r="B1195" s="941" t="s">
        <v>11040</v>
      </c>
      <c r="C1195" s="941" t="s">
        <v>11041</v>
      </c>
      <c r="D1195" s="941" t="s">
        <v>11037</v>
      </c>
      <c r="E1195" s="1055" t="s">
        <v>11038</v>
      </c>
    </row>
    <row r="1196" spans="1:5" ht="12" customHeight="1">
      <c r="A1196">
        <v>1195</v>
      </c>
      <c r="B1196" s="941" t="s">
        <v>11040</v>
      </c>
      <c r="C1196" s="941" t="s">
        <v>11041</v>
      </c>
      <c r="D1196" s="941" t="s">
        <v>11037</v>
      </c>
      <c r="E1196" s="1055" t="s">
        <v>11038</v>
      </c>
    </row>
    <row r="1197" spans="1:5" ht="12" customHeight="1">
      <c r="A1197">
        <v>1196</v>
      </c>
      <c r="B1197" s="941" t="s">
        <v>11040</v>
      </c>
      <c r="C1197" s="941" t="s">
        <v>11041</v>
      </c>
      <c r="D1197" s="941" t="s">
        <v>11037</v>
      </c>
      <c r="E1197" s="1055" t="s">
        <v>11038</v>
      </c>
    </row>
    <row r="1198" spans="1:5" ht="12" customHeight="1">
      <c r="A1198">
        <v>1197</v>
      </c>
      <c r="B1198" s="941" t="s">
        <v>11040</v>
      </c>
      <c r="C1198" s="941" t="s">
        <v>11041</v>
      </c>
      <c r="D1198" s="941" t="s">
        <v>11037</v>
      </c>
      <c r="E1198" s="1055" t="s">
        <v>11038</v>
      </c>
    </row>
    <row r="1199" spans="1:5" ht="12" customHeight="1">
      <c r="A1199">
        <v>1198</v>
      </c>
      <c r="B1199" s="941" t="s">
        <v>11040</v>
      </c>
      <c r="C1199" s="941" t="s">
        <v>11041</v>
      </c>
      <c r="D1199" s="941" t="s">
        <v>11037</v>
      </c>
      <c r="E1199" s="1055" t="s">
        <v>11038</v>
      </c>
    </row>
    <row r="1200" spans="1:5" ht="12" customHeight="1">
      <c r="A1200">
        <v>1199</v>
      </c>
      <c r="B1200" s="941" t="s">
        <v>11040</v>
      </c>
      <c r="C1200" s="941" t="s">
        <v>11041</v>
      </c>
      <c r="D1200" s="941" t="s">
        <v>11037</v>
      </c>
      <c r="E1200" s="1055" t="s">
        <v>11038</v>
      </c>
    </row>
    <row r="1201" spans="1:5" ht="12" customHeight="1">
      <c r="A1201">
        <v>1200</v>
      </c>
      <c r="B1201" s="941" t="s">
        <v>11040</v>
      </c>
      <c r="C1201" s="941" t="s">
        <v>11041</v>
      </c>
      <c r="D1201" s="941" t="s">
        <v>11037</v>
      </c>
      <c r="E1201" s="1055" t="s">
        <v>11038</v>
      </c>
    </row>
    <row r="1202" spans="1:5" ht="12" customHeight="1">
      <c r="A1202">
        <v>1201</v>
      </c>
      <c r="B1202" s="941" t="s">
        <v>11040</v>
      </c>
      <c r="C1202" s="941" t="s">
        <v>11041</v>
      </c>
      <c r="D1202" s="941" t="s">
        <v>11037</v>
      </c>
      <c r="E1202" s="1055" t="s">
        <v>11038</v>
      </c>
    </row>
    <row r="1203" spans="1:5" ht="12" customHeight="1">
      <c r="A1203">
        <v>1202</v>
      </c>
      <c r="B1203" s="941" t="s">
        <v>11040</v>
      </c>
      <c r="C1203" s="941" t="s">
        <v>11041</v>
      </c>
      <c r="D1203" s="941" t="s">
        <v>11037</v>
      </c>
      <c r="E1203" s="1055" t="s">
        <v>11038</v>
      </c>
    </row>
    <row r="1204" spans="1:5" ht="12" customHeight="1">
      <c r="A1204">
        <v>1203</v>
      </c>
      <c r="B1204" s="941" t="s">
        <v>11040</v>
      </c>
      <c r="C1204" s="941" t="s">
        <v>11041</v>
      </c>
      <c r="D1204" s="941" t="s">
        <v>11037</v>
      </c>
      <c r="E1204" s="1055" t="s">
        <v>11038</v>
      </c>
    </row>
    <row r="1205" spans="1:5" ht="12" customHeight="1">
      <c r="A1205">
        <v>1204</v>
      </c>
      <c r="B1205" s="941" t="s">
        <v>11040</v>
      </c>
      <c r="C1205" s="941" t="s">
        <v>11041</v>
      </c>
      <c r="D1205" s="941" t="s">
        <v>11037</v>
      </c>
      <c r="E1205" s="1055" t="s">
        <v>11038</v>
      </c>
    </row>
    <row r="1206" spans="1:5" ht="12" customHeight="1">
      <c r="A1206">
        <v>1205</v>
      </c>
      <c r="B1206" s="941" t="s">
        <v>11040</v>
      </c>
      <c r="C1206" s="941" t="s">
        <v>11041</v>
      </c>
      <c r="D1206" s="941" t="s">
        <v>11037</v>
      </c>
      <c r="E1206" s="1055" t="s">
        <v>11038</v>
      </c>
    </row>
    <row r="1207" spans="1:5" ht="12" customHeight="1">
      <c r="A1207">
        <v>1206</v>
      </c>
      <c r="B1207" s="941" t="s">
        <v>11040</v>
      </c>
      <c r="C1207" s="941" t="s">
        <v>11041</v>
      </c>
      <c r="D1207" s="941" t="s">
        <v>11037</v>
      </c>
      <c r="E1207" s="1055" t="s">
        <v>11038</v>
      </c>
    </row>
    <row r="1208" spans="1:5" ht="12" customHeight="1">
      <c r="A1208">
        <v>1207</v>
      </c>
      <c r="B1208" s="941" t="s">
        <v>11040</v>
      </c>
      <c r="C1208" s="941" t="s">
        <v>11041</v>
      </c>
      <c r="D1208" s="941" t="s">
        <v>11037</v>
      </c>
      <c r="E1208" s="1055" t="s">
        <v>11038</v>
      </c>
    </row>
    <row r="1209" spans="1:5" ht="12" customHeight="1">
      <c r="A1209">
        <v>1208</v>
      </c>
      <c r="B1209" s="941" t="s">
        <v>11040</v>
      </c>
      <c r="C1209" s="941" t="s">
        <v>11041</v>
      </c>
      <c r="D1209" s="941" t="s">
        <v>11037</v>
      </c>
      <c r="E1209" s="1055" t="s">
        <v>11038</v>
      </c>
    </row>
    <row r="1210" spans="1:5" ht="12" customHeight="1">
      <c r="A1210">
        <v>1209</v>
      </c>
      <c r="B1210" s="941" t="s">
        <v>11040</v>
      </c>
      <c r="C1210" s="941" t="s">
        <v>11041</v>
      </c>
      <c r="D1210" s="941" t="s">
        <v>11037</v>
      </c>
      <c r="E1210" s="1055" t="s">
        <v>11038</v>
      </c>
    </row>
    <row r="1211" spans="1:5" ht="12" customHeight="1">
      <c r="A1211">
        <v>1210</v>
      </c>
      <c r="B1211" s="941" t="s">
        <v>11040</v>
      </c>
      <c r="C1211" s="941" t="s">
        <v>11041</v>
      </c>
      <c r="D1211" s="941" t="s">
        <v>11037</v>
      </c>
      <c r="E1211" s="1055" t="s">
        <v>11038</v>
      </c>
    </row>
    <row r="1212" spans="1:5" ht="12" customHeight="1">
      <c r="A1212">
        <v>1211</v>
      </c>
      <c r="B1212" s="941" t="s">
        <v>11040</v>
      </c>
      <c r="C1212" s="941" t="s">
        <v>11041</v>
      </c>
      <c r="D1212" s="941" t="s">
        <v>11037</v>
      </c>
      <c r="E1212" s="1055" t="s">
        <v>11038</v>
      </c>
    </row>
    <row r="1213" spans="1:5" ht="12" customHeight="1">
      <c r="A1213">
        <v>1212</v>
      </c>
      <c r="B1213" s="941" t="s">
        <v>11040</v>
      </c>
      <c r="C1213" s="941" t="s">
        <v>11041</v>
      </c>
      <c r="D1213" s="941" t="s">
        <v>11037</v>
      </c>
      <c r="E1213" s="1055" t="s">
        <v>11038</v>
      </c>
    </row>
    <row r="1214" spans="1:5" ht="12" customHeight="1">
      <c r="A1214">
        <v>1213</v>
      </c>
      <c r="B1214" s="941" t="s">
        <v>11040</v>
      </c>
      <c r="C1214" s="941" t="s">
        <v>11041</v>
      </c>
      <c r="D1214" s="941" t="s">
        <v>11037</v>
      </c>
      <c r="E1214" s="1055" t="s">
        <v>11038</v>
      </c>
    </row>
    <row r="1215" spans="1:5" ht="12" customHeight="1">
      <c r="A1215">
        <v>1214</v>
      </c>
      <c r="B1215" s="941" t="s">
        <v>11040</v>
      </c>
      <c r="C1215" s="941" t="s">
        <v>11041</v>
      </c>
      <c r="D1215" s="941" t="s">
        <v>11037</v>
      </c>
      <c r="E1215" s="1055" t="s">
        <v>11038</v>
      </c>
    </row>
    <row r="1216" spans="1:5" ht="12" customHeight="1">
      <c r="A1216">
        <v>1215</v>
      </c>
      <c r="B1216" s="941" t="s">
        <v>11040</v>
      </c>
      <c r="C1216" s="941" t="s">
        <v>11041</v>
      </c>
      <c r="D1216" s="941" t="s">
        <v>11037</v>
      </c>
      <c r="E1216" s="1055" t="s">
        <v>11038</v>
      </c>
    </row>
    <row r="1217" spans="1:5" ht="12" customHeight="1">
      <c r="A1217">
        <v>1216</v>
      </c>
      <c r="B1217" s="941" t="s">
        <v>11040</v>
      </c>
      <c r="C1217" s="941" t="s">
        <v>11041</v>
      </c>
      <c r="D1217" s="941" t="s">
        <v>11037</v>
      </c>
      <c r="E1217" s="1055" t="s">
        <v>11038</v>
      </c>
    </row>
    <row r="1218" spans="1:5" ht="12" customHeight="1">
      <c r="A1218">
        <v>1217</v>
      </c>
      <c r="B1218" s="941" t="s">
        <v>11040</v>
      </c>
      <c r="C1218" s="941" t="s">
        <v>11041</v>
      </c>
      <c r="D1218" s="941" t="s">
        <v>11037</v>
      </c>
      <c r="E1218" s="1055" t="s">
        <v>11038</v>
      </c>
    </row>
    <row r="1219" spans="1:5" ht="12" customHeight="1">
      <c r="A1219">
        <v>1218</v>
      </c>
      <c r="B1219" s="941" t="s">
        <v>11040</v>
      </c>
      <c r="C1219" s="941" t="s">
        <v>11041</v>
      </c>
      <c r="D1219" s="941" t="s">
        <v>11037</v>
      </c>
      <c r="E1219" s="1055" t="s">
        <v>11038</v>
      </c>
    </row>
    <row r="1220" spans="1:5" ht="12" customHeight="1">
      <c r="A1220">
        <v>1219</v>
      </c>
      <c r="B1220" s="941" t="s">
        <v>11040</v>
      </c>
      <c r="C1220" s="941" t="s">
        <v>11041</v>
      </c>
      <c r="D1220" s="941" t="s">
        <v>11037</v>
      </c>
      <c r="E1220" s="1055" t="s">
        <v>11038</v>
      </c>
    </row>
    <row r="1221" spans="1:5" ht="12" customHeight="1">
      <c r="A1221">
        <v>1220</v>
      </c>
      <c r="B1221" s="941" t="s">
        <v>11040</v>
      </c>
      <c r="C1221" s="941" t="s">
        <v>11041</v>
      </c>
      <c r="D1221" s="941" t="s">
        <v>11037</v>
      </c>
      <c r="E1221" s="1055" t="s">
        <v>11038</v>
      </c>
    </row>
    <row r="1222" spans="1:5" ht="12" customHeight="1">
      <c r="A1222">
        <v>1221</v>
      </c>
      <c r="B1222" s="941" t="s">
        <v>11040</v>
      </c>
      <c r="C1222" s="941" t="s">
        <v>11041</v>
      </c>
      <c r="D1222" s="941" t="s">
        <v>11037</v>
      </c>
      <c r="E1222" s="1055" t="s">
        <v>11038</v>
      </c>
    </row>
    <row r="1223" spans="1:5" ht="12" customHeight="1">
      <c r="A1223">
        <v>1222</v>
      </c>
      <c r="B1223" s="941" t="s">
        <v>11040</v>
      </c>
      <c r="C1223" s="941" t="s">
        <v>11041</v>
      </c>
      <c r="D1223" s="941" t="s">
        <v>11037</v>
      </c>
      <c r="E1223" s="1055" t="s">
        <v>11038</v>
      </c>
    </row>
    <row r="1224" spans="1:5" ht="12" customHeight="1">
      <c r="A1224">
        <v>1223</v>
      </c>
      <c r="B1224" s="941" t="s">
        <v>11040</v>
      </c>
      <c r="C1224" s="941" t="s">
        <v>11041</v>
      </c>
      <c r="D1224" s="941" t="s">
        <v>11037</v>
      </c>
      <c r="E1224" s="1055" t="s">
        <v>11038</v>
      </c>
    </row>
    <row r="1225" spans="1:5" ht="12" customHeight="1">
      <c r="A1225">
        <v>1224</v>
      </c>
      <c r="B1225" s="941" t="s">
        <v>11040</v>
      </c>
      <c r="C1225" s="941" t="s">
        <v>11041</v>
      </c>
      <c r="D1225" s="941" t="s">
        <v>11037</v>
      </c>
      <c r="E1225" s="1055" t="s">
        <v>11038</v>
      </c>
    </row>
    <row r="1226" spans="1:5" ht="12" customHeight="1">
      <c r="A1226">
        <v>1225</v>
      </c>
      <c r="B1226" s="941" t="s">
        <v>11040</v>
      </c>
      <c r="C1226" s="941" t="s">
        <v>11041</v>
      </c>
      <c r="D1226" s="941" t="s">
        <v>11037</v>
      </c>
      <c r="E1226" s="1055" t="s">
        <v>11038</v>
      </c>
    </row>
    <row r="1227" spans="1:5" ht="12" customHeight="1">
      <c r="A1227">
        <v>1226</v>
      </c>
      <c r="B1227" s="941" t="s">
        <v>11040</v>
      </c>
      <c r="C1227" s="941" t="s">
        <v>11041</v>
      </c>
      <c r="D1227" s="941" t="s">
        <v>11037</v>
      </c>
      <c r="E1227" s="1055" t="s">
        <v>11038</v>
      </c>
    </row>
    <row r="1228" spans="1:5" ht="12" customHeight="1">
      <c r="A1228">
        <v>1227</v>
      </c>
      <c r="B1228" s="941" t="s">
        <v>11040</v>
      </c>
      <c r="C1228" s="941" t="s">
        <v>11041</v>
      </c>
      <c r="D1228" s="941" t="s">
        <v>11037</v>
      </c>
      <c r="E1228" s="1055" t="s">
        <v>11038</v>
      </c>
    </row>
    <row r="1229" spans="1:5" ht="12" customHeight="1">
      <c r="A1229">
        <v>1228</v>
      </c>
      <c r="B1229" s="941" t="s">
        <v>11040</v>
      </c>
      <c r="C1229" s="941" t="s">
        <v>11041</v>
      </c>
      <c r="D1229" s="941" t="s">
        <v>11037</v>
      </c>
      <c r="E1229" s="1055" t="s">
        <v>11038</v>
      </c>
    </row>
    <row r="1230" spans="1:5" ht="12" customHeight="1">
      <c r="A1230">
        <v>1229</v>
      </c>
      <c r="B1230" s="941" t="s">
        <v>11040</v>
      </c>
      <c r="C1230" s="941" t="s">
        <v>11041</v>
      </c>
      <c r="D1230" s="941" t="s">
        <v>11037</v>
      </c>
      <c r="E1230" s="1055" t="s">
        <v>11038</v>
      </c>
    </row>
    <row r="1231" spans="1:5" ht="12" customHeight="1">
      <c r="A1231">
        <v>1230</v>
      </c>
      <c r="B1231" s="941" t="s">
        <v>11040</v>
      </c>
      <c r="C1231" s="941" t="s">
        <v>11041</v>
      </c>
      <c r="D1231" s="941" t="s">
        <v>11037</v>
      </c>
      <c r="E1231" s="1055" t="s">
        <v>11038</v>
      </c>
    </row>
    <row r="1232" spans="1:5" ht="12" customHeight="1">
      <c r="A1232">
        <v>1231</v>
      </c>
      <c r="B1232" s="941" t="s">
        <v>11040</v>
      </c>
      <c r="C1232" s="941" t="s">
        <v>11041</v>
      </c>
      <c r="D1232" s="941" t="s">
        <v>11037</v>
      </c>
      <c r="E1232" s="1055" t="s">
        <v>11038</v>
      </c>
    </row>
    <row r="1233" spans="1:5" ht="12" customHeight="1">
      <c r="A1233">
        <v>1232</v>
      </c>
      <c r="B1233" s="941" t="s">
        <v>11040</v>
      </c>
      <c r="C1233" s="941" t="s">
        <v>11041</v>
      </c>
      <c r="D1233" s="941" t="s">
        <v>11037</v>
      </c>
      <c r="E1233" s="1055" t="s">
        <v>11038</v>
      </c>
    </row>
    <row r="1234" spans="1:5" ht="12" customHeight="1">
      <c r="A1234">
        <v>1233</v>
      </c>
      <c r="B1234" s="941" t="s">
        <v>11040</v>
      </c>
      <c r="C1234" s="941" t="s">
        <v>11041</v>
      </c>
      <c r="D1234" s="941" t="s">
        <v>11037</v>
      </c>
      <c r="E1234" s="1055" t="s">
        <v>11038</v>
      </c>
    </row>
    <row r="1235" spans="1:5" ht="12" customHeight="1">
      <c r="A1235">
        <v>1234</v>
      </c>
      <c r="B1235" s="941" t="s">
        <v>11040</v>
      </c>
      <c r="C1235" s="941" t="s">
        <v>11041</v>
      </c>
      <c r="D1235" s="941" t="s">
        <v>11037</v>
      </c>
      <c r="E1235" s="1055" t="s">
        <v>11038</v>
      </c>
    </row>
    <row r="1236" spans="1:5" ht="12" customHeight="1">
      <c r="A1236">
        <v>1235</v>
      </c>
      <c r="B1236" s="941" t="s">
        <v>11040</v>
      </c>
      <c r="C1236" s="941" t="s">
        <v>11041</v>
      </c>
      <c r="D1236" s="941" t="s">
        <v>11037</v>
      </c>
      <c r="E1236" s="1055" t="s">
        <v>11038</v>
      </c>
    </row>
    <row r="1237" spans="1:5" ht="12" customHeight="1">
      <c r="A1237">
        <v>1236</v>
      </c>
      <c r="B1237" s="941" t="s">
        <v>11040</v>
      </c>
      <c r="C1237" s="941" t="s">
        <v>11041</v>
      </c>
      <c r="D1237" s="941" t="s">
        <v>11037</v>
      </c>
      <c r="E1237" s="1055" t="s">
        <v>11038</v>
      </c>
    </row>
    <row r="1238" spans="1:5" ht="12" customHeight="1">
      <c r="A1238">
        <v>1237</v>
      </c>
      <c r="B1238" s="941" t="s">
        <v>11040</v>
      </c>
      <c r="C1238" s="941" t="s">
        <v>11041</v>
      </c>
      <c r="D1238" s="941" t="s">
        <v>11037</v>
      </c>
      <c r="E1238" s="1055" t="s">
        <v>11038</v>
      </c>
    </row>
    <row r="1239" spans="1:5" ht="12" customHeight="1">
      <c r="A1239">
        <v>1238</v>
      </c>
      <c r="B1239" s="941" t="s">
        <v>11040</v>
      </c>
      <c r="C1239" s="941" t="s">
        <v>11041</v>
      </c>
      <c r="D1239" s="941" t="s">
        <v>11037</v>
      </c>
      <c r="E1239" s="1055" t="s">
        <v>11038</v>
      </c>
    </row>
    <row r="1240" spans="1:5" ht="12" customHeight="1">
      <c r="A1240">
        <v>1239</v>
      </c>
      <c r="B1240" s="941" t="s">
        <v>11040</v>
      </c>
      <c r="C1240" s="941" t="s">
        <v>11041</v>
      </c>
      <c r="D1240" s="941" t="s">
        <v>11037</v>
      </c>
      <c r="E1240" s="1055" t="s">
        <v>11038</v>
      </c>
    </row>
    <row r="1241" spans="1:5" ht="12" customHeight="1">
      <c r="A1241">
        <v>1240</v>
      </c>
      <c r="B1241" s="941" t="s">
        <v>11040</v>
      </c>
      <c r="C1241" s="941" t="s">
        <v>11041</v>
      </c>
      <c r="D1241" s="941" t="s">
        <v>11037</v>
      </c>
      <c r="E1241" s="1055" t="s">
        <v>11038</v>
      </c>
    </row>
    <row r="1242" spans="1:5" ht="12" customHeight="1">
      <c r="A1242">
        <v>1241</v>
      </c>
      <c r="B1242" s="941" t="s">
        <v>11040</v>
      </c>
      <c r="C1242" s="941" t="s">
        <v>11041</v>
      </c>
      <c r="D1242" s="941" t="s">
        <v>11037</v>
      </c>
      <c r="E1242" s="1055" t="s">
        <v>11038</v>
      </c>
    </row>
    <row r="1243" spans="1:5" ht="12" customHeight="1">
      <c r="A1243">
        <v>1242</v>
      </c>
      <c r="B1243" s="941" t="s">
        <v>11040</v>
      </c>
      <c r="C1243" s="941" t="s">
        <v>11041</v>
      </c>
      <c r="D1243" s="941" t="s">
        <v>11037</v>
      </c>
      <c r="E1243" s="1055" t="s">
        <v>11038</v>
      </c>
    </row>
    <row r="1244" spans="1:5" ht="12" customHeight="1">
      <c r="A1244">
        <v>1243</v>
      </c>
      <c r="B1244" s="941" t="s">
        <v>11040</v>
      </c>
      <c r="C1244" s="941" t="s">
        <v>11041</v>
      </c>
      <c r="D1244" s="941" t="s">
        <v>11037</v>
      </c>
      <c r="E1244" s="1055" t="s">
        <v>11038</v>
      </c>
    </row>
    <row r="1245" spans="1:5" ht="12" customHeight="1">
      <c r="A1245">
        <v>1244</v>
      </c>
      <c r="B1245" s="941" t="s">
        <v>11040</v>
      </c>
      <c r="C1245" s="941" t="s">
        <v>11041</v>
      </c>
      <c r="D1245" s="941" t="s">
        <v>11037</v>
      </c>
      <c r="E1245" s="1055" t="s">
        <v>11038</v>
      </c>
    </row>
    <row r="1246" spans="1:5" ht="12" customHeight="1">
      <c r="A1246">
        <v>1245</v>
      </c>
      <c r="B1246" s="941" t="s">
        <v>11040</v>
      </c>
      <c r="C1246" s="941" t="s">
        <v>11041</v>
      </c>
      <c r="D1246" s="941" t="s">
        <v>11037</v>
      </c>
      <c r="E1246" s="1055" t="s">
        <v>11038</v>
      </c>
    </row>
    <row r="1247" spans="1:5" ht="12" customHeight="1">
      <c r="A1247">
        <v>1246</v>
      </c>
      <c r="B1247" s="941" t="s">
        <v>11040</v>
      </c>
      <c r="C1247" s="941" t="s">
        <v>11041</v>
      </c>
      <c r="D1247" s="941" t="s">
        <v>11037</v>
      </c>
      <c r="E1247" s="1055" t="s">
        <v>11038</v>
      </c>
    </row>
    <row r="1248" spans="1:5" ht="12" customHeight="1">
      <c r="A1248">
        <v>1247</v>
      </c>
      <c r="B1248" s="941" t="s">
        <v>11040</v>
      </c>
      <c r="C1248" s="941" t="s">
        <v>11041</v>
      </c>
      <c r="D1248" s="941" t="s">
        <v>11037</v>
      </c>
      <c r="E1248" s="1055" t="s">
        <v>11038</v>
      </c>
    </row>
    <row r="1249" spans="1:5" ht="12" customHeight="1">
      <c r="A1249">
        <v>1248</v>
      </c>
      <c r="B1249" s="941" t="s">
        <v>11040</v>
      </c>
      <c r="C1249" s="941" t="s">
        <v>11041</v>
      </c>
      <c r="D1249" s="941" t="s">
        <v>11037</v>
      </c>
      <c r="E1249" s="1055" t="s">
        <v>11038</v>
      </c>
    </row>
    <row r="1250" spans="1:5" ht="12" customHeight="1">
      <c r="A1250">
        <v>1249</v>
      </c>
      <c r="B1250" s="941" t="s">
        <v>11040</v>
      </c>
      <c r="C1250" s="941" t="s">
        <v>11041</v>
      </c>
      <c r="D1250" s="941" t="s">
        <v>11037</v>
      </c>
      <c r="E1250" s="1055" t="s">
        <v>11038</v>
      </c>
    </row>
    <row r="1251" spans="1:5" ht="12" customHeight="1">
      <c r="A1251">
        <v>1250</v>
      </c>
      <c r="B1251" s="941" t="s">
        <v>11040</v>
      </c>
      <c r="C1251" s="941" t="s">
        <v>11041</v>
      </c>
      <c r="D1251" s="941" t="s">
        <v>11037</v>
      </c>
      <c r="E1251" s="1055" t="s">
        <v>11038</v>
      </c>
    </row>
    <row r="1252" spans="1:5" ht="12" customHeight="1">
      <c r="A1252">
        <v>1251</v>
      </c>
      <c r="B1252" s="941" t="s">
        <v>11040</v>
      </c>
      <c r="C1252" s="941" t="s">
        <v>11041</v>
      </c>
      <c r="D1252" s="941" t="s">
        <v>11037</v>
      </c>
      <c r="E1252" s="1055" t="s">
        <v>11038</v>
      </c>
    </row>
    <row r="1253" spans="1:5" ht="12" customHeight="1">
      <c r="A1253">
        <v>1252</v>
      </c>
      <c r="B1253" s="941" t="s">
        <v>11040</v>
      </c>
      <c r="C1253" s="941" t="s">
        <v>11041</v>
      </c>
      <c r="D1253" s="941" t="s">
        <v>11037</v>
      </c>
      <c r="E1253" s="1055" t="s">
        <v>11038</v>
      </c>
    </row>
    <row r="1254" spans="1:5" ht="12" customHeight="1">
      <c r="A1254">
        <v>1253</v>
      </c>
      <c r="B1254" s="941" t="s">
        <v>11040</v>
      </c>
      <c r="C1254" s="941" t="s">
        <v>11041</v>
      </c>
      <c r="D1254" s="941" t="s">
        <v>11037</v>
      </c>
      <c r="E1254" s="1055" t="s">
        <v>11038</v>
      </c>
    </row>
    <row r="1255" spans="1:5" ht="12" customHeight="1">
      <c r="A1255">
        <v>1254</v>
      </c>
      <c r="B1255" s="941" t="s">
        <v>11040</v>
      </c>
      <c r="C1255" s="941" t="s">
        <v>11041</v>
      </c>
      <c r="D1255" s="941" t="s">
        <v>11037</v>
      </c>
      <c r="E1255" s="1055" t="s">
        <v>11038</v>
      </c>
    </row>
    <row r="1256" spans="1:5" ht="12" customHeight="1">
      <c r="A1256">
        <v>1255</v>
      </c>
      <c r="B1256" s="941" t="s">
        <v>11040</v>
      </c>
      <c r="C1256" s="941" t="s">
        <v>11041</v>
      </c>
      <c r="D1256" s="941" t="s">
        <v>11037</v>
      </c>
      <c r="E1256" s="1055" t="s">
        <v>11038</v>
      </c>
    </row>
    <row r="1257" spans="1:5" ht="12" customHeight="1">
      <c r="A1257">
        <v>1256</v>
      </c>
      <c r="B1257" s="941" t="s">
        <v>11040</v>
      </c>
      <c r="C1257" s="941" t="s">
        <v>11041</v>
      </c>
      <c r="D1257" s="941" t="s">
        <v>11037</v>
      </c>
      <c r="E1257" s="1055" t="s">
        <v>11038</v>
      </c>
    </row>
    <row r="1258" spans="1:5" ht="12" customHeight="1">
      <c r="A1258">
        <v>1257</v>
      </c>
      <c r="B1258" s="941" t="s">
        <v>11040</v>
      </c>
      <c r="C1258" s="941" t="s">
        <v>11041</v>
      </c>
      <c r="D1258" s="941" t="s">
        <v>11037</v>
      </c>
      <c r="E1258" s="1055" t="s">
        <v>11038</v>
      </c>
    </row>
    <row r="1259" spans="1:5" ht="12" customHeight="1">
      <c r="A1259">
        <v>1258</v>
      </c>
      <c r="B1259" s="941" t="s">
        <v>11040</v>
      </c>
      <c r="C1259" s="941" t="s">
        <v>11041</v>
      </c>
      <c r="D1259" s="941" t="s">
        <v>11037</v>
      </c>
      <c r="E1259" s="1055" t="s">
        <v>11038</v>
      </c>
    </row>
    <row r="1260" spans="1:5" ht="12" customHeight="1">
      <c r="A1260">
        <v>1259</v>
      </c>
      <c r="B1260" s="941" t="s">
        <v>11040</v>
      </c>
      <c r="C1260" s="941" t="s">
        <v>11041</v>
      </c>
      <c r="D1260" s="941" t="s">
        <v>11037</v>
      </c>
      <c r="E1260" s="1055" t="s">
        <v>11038</v>
      </c>
    </row>
    <row r="1261" spans="1:5" ht="12" customHeight="1">
      <c r="A1261">
        <v>1260</v>
      </c>
      <c r="B1261" s="941" t="s">
        <v>11040</v>
      </c>
      <c r="C1261" s="941" t="s">
        <v>11041</v>
      </c>
      <c r="D1261" s="941" t="s">
        <v>11037</v>
      </c>
      <c r="E1261" s="1055" t="s">
        <v>11038</v>
      </c>
    </row>
    <row r="1262" spans="1:5" ht="12" customHeight="1">
      <c r="A1262">
        <v>1261</v>
      </c>
      <c r="B1262" s="941" t="s">
        <v>11040</v>
      </c>
      <c r="C1262" s="941" t="s">
        <v>11041</v>
      </c>
      <c r="D1262" s="941" t="s">
        <v>11037</v>
      </c>
      <c r="E1262" s="1055" t="s">
        <v>11038</v>
      </c>
    </row>
    <row r="1263" spans="1:5" ht="12" customHeight="1">
      <c r="A1263">
        <v>1262</v>
      </c>
      <c r="B1263" s="941" t="s">
        <v>11040</v>
      </c>
      <c r="C1263" s="941" t="s">
        <v>11041</v>
      </c>
      <c r="D1263" s="941" t="s">
        <v>11037</v>
      </c>
      <c r="E1263" s="1055" t="s">
        <v>11038</v>
      </c>
    </row>
    <row r="1264" spans="1:5" ht="12" customHeight="1">
      <c r="A1264">
        <v>1263</v>
      </c>
      <c r="B1264" s="941" t="s">
        <v>11040</v>
      </c>
      <c r="C1264" s="941" t="s">
        <v>11041</v>
      </c>
      <c r="D1264" s="941" t="s">
        <v>11037</v>
      </c>
      <c r="E1264" s="1055" t="s">
        <v>11038</v>
      </c>
    </row>
    <row r="1265" spans="1:5" ht="12" customHeight="1">
      <c r="A1265">
        <v>1264</v>
      </c>
      <c r="B1265" s="941" t="s">
        <v>11040</v>
      </c>
      <c r="C1265" s="941" t="s">
        <v>11041</v>
      </c>
      <c r="D1265" s="941" t="s">
        <v>11037</v>
      </c>
      <c r="E1265" s="1055" t="s">
        <v>11038</v>
      </c>
    </row>
    <row r="1266" spans="1:5" ht="12" customHeight="1">
      <c r="A1266">
        <v>1265</v>
      </c>
      <c r="B1266" s="941" t="s">
        <v>11040</v>
      </c>
      <c r="C1266" s="941" t="s">
        <v>11041</v>
      </c>
      <c r="D1266" s="941" t="s">
        <v>11037</v>
      </c>
      <c r="E1266" s="1055" t="s">
        <v>11038</v>
      </c>
    </row>
    <row r="1267" spans="1:5" ht="12" customHeight="1">
      <c r="A1267">
        <v>1266</v>
      </c>
      <c r="B1267" s="941" t="s">
        <v>11040</v>
      </c>
      <c r="C1267" s="941" t="s">
        <v>11041</v>
      </c>
      <c r="D1267" s="941" t="s">
        <v>11037</v>
      </c>
      <c r="E1267" s="1055" t="s">
        <v>11038</v>
      </c>
    </row>
    <row r="1268" spans="1:5" ht="12" customHeight="1">
      <c r="A1268">
        <v>1267</v>
      </c>
      <c r="B1268" s="941" t="s">
        <v>11040</v>
      </c>
      <c r="C1268" s="941" t="s">
        <v>11041</v>
      </c>
      <c r="D1268" s="941" t="s">
        <v>11037</v>
      </c>
      <c r="E1268" s="1055" t="s">
        <v>11038</v>
      </c>
    </row>
    <row r="1269" spans="1:5" ht="12" customHeight="1">
      <c r="A1269">
        <v>1268</v>
      </c>
      <c r="B1269" s="941" t="s">
        <v>11040</v>
      </c>
      <c r="C1269" s="941" t="s">
        <v>11041</v>
      </c>
      <c r="D1269" s="941" t="s">
        <v>11037</v>
      </c>
      <c r="E1269" s="1055" t="s">
        <v>11038</v>
      </c>
    </row>
    <row r="1270" spans="1:5" ht="12" customHeight="1">
      <c r="A1270">
        <v>1269</v>
      </c>
      <c r="B1270" s="941" t="s">
        <v>11040</v>
      </c>
      <c r="C1270" s="941" t="s">
        <v>11041</v>
      </c>
      <c r="D1270" s="941" t="s">
        <v>11037</v>
      </c>
      <c r="E1270" s="1055" t="s">
        <v>11038</v>
      </c>
    </row>
    <row r="1271" spans="1:5" ht="12" customHeight="1">
      <c r="A1271">
        <v>1270</v>
      </c>
      <c r="B1271" s="941" t="s">
        <v>11040</v>
      </c>
      <c r="C1271" s="941" t="s">
        <v>11041</v>
      </c>
      <c r="D1271" s="941" t="s">
        <v>11037</v>
      </c>
      <c r="E1271" s="1055" t="s">
        <v>11038</v>
      </c>
    </row>
    <row r="1272" spans="1:5" ht="12" customHeight="1">
      <c r="A1272">
        <v>1271</v>
      </c>
      <c r="B1272" s="941" t="s">
        <v>11040</v>
      </c>
      <c r="C1272" s="941" t="s">
        <v>11041</v>
      </c>
      <c r="D1272" s="941" t="s">
        <v>11037</v>
      </c>
      <c r="E1272" s="1055" t="s">
        <v>11038</v>
      </c>
    </row>
    <row r="1273" spans="1:5" ht="12" customHeight="1">
      <c r="A1273">
        <v>1272</v>
      </c>
      <c r="B1273" s="941" t="s">
        <v>11040</v>
      </c>
      <c r="C1273" s="941" t="s">
        <v>11041</v>
      </c>
      <c r="D1273" s="941" t="s">
        <v>11037</v>
      </c>
      <c r="E1273" s="1055" t="s">
        <v>11038</v>
      </c>
    </row>
    <row r="1274" spans="1:5" ht="12" customHeight="1">
      <c r="A1274">
        <v>1273</v>
      </c>
      <c r="B1274" s="941" t="s">
        <v>11040</v>
      </c>
      <c r="C1274" s="941" t="s">
        <v>11041</v>
      </c>
      <c r="D1274" s="941" t="s">
        <v>11037</v>
      </c>
      <c r="E1274" s="1055" t="s">
        <v>11038</v>
      </c>
    </row>
    <row r="1275" spans="1:5" ht="12" customHeight="1">
      <c r="A1275">
        <v>1274</v>
      </c>
      <c r="B1275" s="941" t="s">
        <v>11040</v>
      </c>
      <c r="C1275" s="941" t="s">
        <v>11041</v>
      </c>
      <c r="D1275" s="941" t="s">
        <v>11037</v>
      </c>
      <c r="E1275" s="1055" t="s">
        <v>11038</v>
      </c>
    </row>
    <row r="1276" spans="1:5" ht="12" customHeight="1">
      <c r="A1276">
        <v>1275</v>
      </c>
      <c r="B1276" s="941" t="s">
        <v>11040</v>
      </c>
      <c r="C1276" s="941" t="s">
        <v>11041</v>
      </c>
      <c r="D1276" s="941" t="s">
        <v>11037</v>
      </c>
      <c r="E1276" s="1055" t="s">
        <v>11038</v>
      </c>
    </row>
    <row r="1277" spans="1:5" ht="12" customHeight="1">
      <c r="A1277">
        <v>1276</v>
      </c>
      <c r="B1277" s="941" t="s">
        <v>11040</v>
      </c>
      <c r="C1277" s="941" t="s">
        <v>11041</v>
      </c>
      <c r="D1277" s="941" t="s">
        <v>11037</v>
      </c>
      <c r="E1277" s="1055" t="s">
        <v>11038</v>
      </c>
    </row>
    <row r="1278" spans="1:5" ht="12" customHeight="1">
      <c r="A1278">
        <v>1277</v>
      </c>
      <c r="B1278" s="941" t="s">
        <v>11040</v>
      </c>
      <c r="C1278" s="941" t="s">
        <v>11041</v>
      </c>
      <c r="D1278" s="941" t="s">
        <v>11037</v>
      </c>
      <c r="E1278" s="1055" t="s">
        <v>11038</v>
      </c>
    </row>
    <row r="1279" spans="1:5" ht="12" customHeight="1">
      <c r="A1279">
        <v>1278</v>
      </c>
      <c r="B1279" s="941" t="s">
        <v>11040</v>
      </c>
      <c r="C1279" s="941" t="s">
        <v>11041</v>
      </c>
      <c r="D1279" s="941" t="s">
        <v>11037</v>
      </c>
      <c r="E1279" s="1055" t="s">
        <v>11038</v>
      </c>
    </row>
    <row r="1280" spans="1:5" ht="12" customHeight="1">
      <c r="A1280">
        <v>1279</v>
      </c>
      <c r="B1280" s="941" t="s">
        <v>11040</v>
      </c>
      <c r="C1280" s="941" t="s">
        <v>11041</v>
      </c>
      <c r="D1280" s="941" t="s">
        <v>11037</v>
      </c>
      <c r="E1280" s="1055" t="s">
        <v>11038</v>
      </c>
    </row>
    <row r="1281" spans="1:5" ht="12" customHeight="1">
      <c r="A1281">
        <v>1280</v>
      </c>
      <c r="B1281" s="941" t="s">
        <v>11040</v>
      </c>
      <c r="C1281" s="941" t="s">
        <v>11041</v>
      </c>
      <c r="D1281" s="941" t="s">
        <v>11037</v>
      </c>
      <c r="E1281" s="1055" t="s">
        <v>11038</v>
      </c>
    </row>
    <row r="1282" spans="1:5" ht="12" customHeight="1">
      <c r="A1282">
        <v>1281</v>
      </c>
      <c r="B1282" s="941" t="s">
        <v>11040</v>
      </c>
      <c r="C1282" s="941" t="s">
        <v>11041</v>
      </c>
      <c r="D1282" s="941" t="s">
        <v>11037</v>
      </c>
      <c r="E1282" s="1055" t="s">
        <v>11038</v>
      </c>
    </row>
    <row r="1283" spans="1:5" ht="12" customHeight="1">
      <c r="A1283">
        <v>1282</v>
      </c>
      <c r="B1283" s="941" t="s">
        <v>11040</v>
      </c>
      <c r="C1283" s="941" t="s">
        <v>11041</v>
      </c>
      <c r="D1283" s="941" t="s">
        <v>11037</v>
      </c>
      <c r="E1283" s="1055" t="s">
        <v>11038</v>
      </c>
    </row>
    <row r="1284" spans="1:5" ht="12" customHeight="1">
      <c r="A1284">
        <v>1283</v>
      </c>
      <c r="B1284" s="941" t="s">
        <v>11040</v>
      </c>
      <c r="C1284" s="941" t="s">
        <v>11041</v>
      </c>
      <c r="D1284" s="941" t="s">
        <v>11037</v>
      </c>
      <c r="E1284" s="1055" t="s">
        <v>11038</v>
      </c>
    </row>
    <row r="1285" spans="1:5" ht="12" customHeight="1">
      <c r="A1285">
        <v>1284</v>
      </c>
      <c r="B1285" s="941" t="s">
        <v>11040</v>
      </c>
      <c r="C1285" s="941" t="s">
        <v>11041</v>
      </c>
      <c r="D1285" s="941" t="s">
        <v>11037</v>
      </c>
      <c r="E1285" s="1055" t="s">
        <v>11038</v>
      </c>
    </row>
    <row r="1286" spans="1:5" ht="12" customHeight="1">
      <c r="A1286">
        <v>1285</v>
      </c>
      <c r="B1286" s="941" t="s">
        <v>11040</v>
      </c>
      <c r="C1286" s="941" t="s">
        <v>11041</v>
      </c>
      <c r="D1286" s="941" t="s">
        <v>11037</v>
      </c>
      <c r="E1286" s="1055" t="s">
        <v>11038</v>
      </c>
    </row>
    <row r="1287" spans="1:5" ht="12" customHeight="1">
      <c r="A1287">
        <v>1286</v>
      </c>
      <c r="B1287" s="941" t="s">
        <v>11040</v>
      </c>
      <c r="C1287" s="941" t="s">
        <v>11041</v>
      </c>
      <c r="D1287" s="941" t="s">
        <v>11037</v>
      </c>
      <c r="E1287" s="1055" t="s">
        <v>11038</v>
      </c>
    </row>
    <row r="1288" spans="1:5" ht="12" customHeight="1">
      <c r="A1288">
        <v>1287</v>
      </c>
      <c r="B1288" s="941" t="s">
        <v>11040</v>
      </c>
      <c r="C1288" s="941" t="s">
        <v>11041</v>
      </c>
      <c r="D1288" s="941" t="s">
        <v>11037</v>
      </c>
      <c r="E1288" s="1055" t="s">
        <v>11038</v>
      </c>
    </row>
    <row r="1289" spans="1:5" ht="12" customHeight="1">
      <c r="A1289">
        <v>1288</v>
      </c>
      <c r="B1289" s="941" t="s">
        <v>11040</v>
      </c>
      <c r="C1289" s="941" t="s">
        <v>11041</v>
      </c>
      <c r="D1289" s="941" t="s">
        <v>11037</v>
      </c>
      <c r="E1289" s="1055" t="s">
        <v>11038</v>
      </c>
    </row>
    <row r="1290" spans="1:5" ht="12" customHeight="1">
      <c r="A1290">
        <v>1289</v>
      </c>
      <c r="B1290" s="941" t="s">
        <v>11040</v>
      </c>
      <c r="C1290" s="941" t="s">
        <v>11041</v>
      </c>
      <c r="D1290" s="941" t="s">
        <v>11037</v>
      </c>
      <c r="E1290" s="1055" t="s">
        <v>11038</v>
      </c>
    </row>
    <row r="1291" spans="1:5" ht="12" customHeight="1">
      <c r="A1291">
        <v>1290</v>
      </c>
      <c r="B1291" s="941" t="s">
        <v>11040</v>
      </c>
      <c r="C1291" s="941" t="s">
        <v>11041</v>
      </c>
      <c r="D1291" s="941" t="s">
        <v>11037</v>
      </c>
      <c r="E1291" s="1055" t="s">
        <v>11038</v>
      </c>
    </row>
    <row r="1292" spans="1:5" ht="12" customHeight="1">
      <c r="A1292">
        <v>1291</v>
      </c>
      <c r="B1292" s="941" t="s">
        <v>11040</v>
      </c>
      <c r="C1292" s="941" t="s">
        <v>11041</v>
      </c>
      <c r="D1292" s="941" t="s">
        <v>11037</v>
      </c>
      <c r="E1292" s="1055" t="s">
        <v>11038</v>
      </c>
    </row>
    <row r="1293" spans="1:5" ht="12" customHeight="1">
      <c r="A1293">
        <v>1292</v>
      </c>
      <c r="B1293" s="941" t="s">
        <v>11040</v>
      </c>
      <c r="C1293" s="941" t="s">
        <v>11041</v>
      </c>
      <c r="D1293" s="941" t="s">
        <v>11037</v>
      </c>
      <c r="E1293" s="1055" t="s">
        <v>11038</v>
      </c>
    </row>
    <row r="1294" spans="1:5" ht="12" customHeight="1">
      <c r="A1294">
        <v>1293</v>
      </c>
      <c r="B1294" s="941" t="s">
        <v>11040</v>
      </c>
      <c r="C1294" s="941" t="s">
        <v>11041</v>
      </c>
      <c r="D1294" s="941" t="s">
        <v>11037</v>
      </c>
      <c r="E1294" s="1055" t="s">
        <v>11038</v>
      </c>
    </row>
    <row r="1295" spans="1:5" ht="12" customHeight="1">
      <c r="A1295">
        <v>1294</v>
      </c>
      <c r="B1295" s="941" t="s">
        <v>11040</v>
      </c>
      <c r="C1295" s="941" t="s">
        <v>11041</v>
      </c>
      <c r="D1295" s="941" t="s">
        <v>11037</v>
      </c>
      <c r="E1295" s="1055" t="s">
        <v>11038</v>
      </c>
    </row>
    <row r="1296" spans="1:5" ht="12" customHeight="1">
      <c r="A1296">
        <v>1295</v>
      </c>
      <c r="B1296" s="941" t="s">
        <v>11040</v>
      </c>
      <c r="C1296" s="941" t="s">
        <v>11041</v>
      </c>
      <c r="D1296" s="941" t="s">
        <v>11037</v>
      </c>
      <c r="E1296" s="1055" t="s">
        <v>11038</v>
      </c>
    </row>
    <row r="1297" spans="1:5" ht="12" customHeight="1">
      <c r="A1297">
        <v>1296</v>
      </c>
      <c r="B1297" s="941" t="s">
        <v>11040</v>
      </c>
      <c r="C1297" s="941" t="s">
        <v>11041</v>
      </c>
      <c r="D1297" s="941" t="s">
        <v>11037</v>
      </c>
      <c r="E1297" s="1055" t="s">
        <v>11038</v>
      </c>
    </row>
    <row r="1298" spans="1:5" ht="12" customHeight="1">
      <c r="A1298">
        <v>1297</v>
      </c>
      <c r="B1298" s="941" t="s">
        <v>11040</v>
      </c>
      <c r="C1298" s="941" t="s">
        <v>11041</v>
      </c>
      <c r="D1298" s="941" t="s">
        <v>11037</v>
      </c>
      <c r="E1298" s="1055" t="s">
        <v>11038</v>
      </c>
    </row>
    <row r="1299" spans="1:5" ht="12" customHeight="1">
      <c r="A1299">
        <v>1298</v>
      </c>
      <c r="B1299" s="941" t="s">
        <v>11040</v>
      </c>
      <c r="C1299" s="941" t="s">
        <v>11041</v>
      </c>
      <c r="D1299" s="941" t="s">
        <v>11037</v>
      </c>
      <c r="E1299" s="1055" t="s">
        <v>11038</v>
      </c>
    </row>
    <row r="1300" spans="1:5" ht="12" customHeight="1">
      <c r="A1300">
        <v>1299</v>
      </c>
      <c r="B1300" s="941" t="s">
        <v>11040</v>
      </c>
      <c r="C1300" s="941" t="s">
        <v>11041</v>
      </c>
      <c r="D1300" s="941" t="s">
        <v>11037</v>
      </c>
      <c r="E1300" s="1055" t="s">
        <v>11038</v>
      </c>
    </row>
    <row r="1301" spans="1:5" ht="12" customHeight="1">
      <c r="A1301">
        <v>1300</v>
      </c>
      <c r="B1301" s="941" t="s">
        <v>11040</v>
      </c>
      <c r="C1301" s="941" t="s">
        <v>11041</v>
      </c>
      <c r="D1301" s="941" t="s">
        <v>11037</v>
      </c>
      <c r="E1301" s="1055" t="s">
        <v>11038</v>
      </c>
    </row>
    <row r="1302" spans="1:5" ht="12" customHeight="1">
      <c r="A1302">
        <v>1301</v>
      </c>
      <c r="B1302" s="941" t="s">
        <v>11040</v>
      </c>
      <c r="C1302" s="941" t="s">
        <v>11041</v>
      </c>
      <c r="D1302" s="941" t="s">
        <v>11037</v>
      </c>
      <c r="E1302" s="1055" t="s">
        <v>11038</v>
      </c>
    </row>
    <row r="1303" spans="1:5" ht="12" customHeight="1">
      <c r="A1303">
        <v>1302</v>
      </c>
      <c r="B1303" s="941" t="s">
        <v>11040</v>
      </c>
      <c r="C1303" s="941" t="s">
        <v>11041</v>
      </c>
      <c r="D1303" s="941" t="s">
        <v>11037</v>
      </c>
      <c r="E1303" s="1055" t="s">
        <v>11038</v>
      </c>
    </row>
    <row r="1304" spans="1:5" ht="12" customHeight="1">
      <c r="A1304">
        <v>1303</v>
      </c>
      <c r="B1304" s="941" t="s">
        <v>11040</v>
      </c>
      <c r="C1304" s="941" t="s">
        <v>11041</v>
      </c>
      <c r="D1304" s="941" t="s">
        <v>11037</v>
      </c>
      <c r="E1304" s="1055" t="s">
        <v>11038</v>
      </c>
    </row>
    <row r="1305" spans="1:5" ht="12" customHeight="1">
      <c r="A1305">
        <v>1304</v>
      </c>
      <c r="B1305" s="941" t="s">
        <v>11040</v>
      </c>
      <c r="C1305" s="941" t="s">
        <v>11041</v>
      </c>
      <c r="D1305" s="941" t="s">
        <v>11037</v>
      </c>
      <c r="E1305" s="1055" t="s">
        <v>11038</v>
      </c>
    </row>
    <row r="1306" spans="1:5" ht="12" customHeight="1">
      <c r="A1306">
        <v>1305</v>
      </c>
      <c r="B1306" s="941" t="s">
        <v>11040</v>
      </c>
      <c r="C1306" s="941" t="s">
        <v>11041</v>
      </c>
      <c r="D1306" s="941" t="s">
        <v>11037</v>
      </c>
      <c r="E1306" s="1055" t="s">
        <v>11038</v>
      </c>
    </row>
    <row r="1307" spans="1:5" ht="12" customHeight="1">
      <c r="A1307">
        <v>1306</v>
      </c>
      <c r="B1307" s="941" t="s">
        <v>11040</v>
      </c>
      <c r="C1307" s="941" t="s">
        <v>11041</v>
      </c>
      <c r="D1307" s="941" t="s">
        <v>11037</v>
      </c>
      <c r="E1307" s="1055" t="s">
        <v>11038</v>
      </c>
    </row>
    <row r="1308" spans="1:5" ht="12" customHeight="1">
      <c r="A1308">
        <v>1307</v>
      </c>
      <c r="B1308" s="941" t="s">
        <v>11040</v>
      </c>
      <c r="C1308" s="941" t="s">
        <v>11041</v>
      </c>
      <c r="D1308" s="941" t="s">
        <v>11037</v>
      </c>
      <c r="E1308" s="1055" t="s">
        <v>11038</v>
      </c>
    </row>
    <row r="1309" spans="1:5" ht="12" customHeight="1">
      <c r="A1309">
        <v>1308</v>
      </c>
      <c r="B1309" s="941" t="s">
        <v>11040</v>
      </c>
      <c r="C1309" s="941" t="s">
        <v>11041</v>
      </c>
      <c r="D1309" s="941" t="s">
        <v>11037</v>
      </c>
      <c r="E1309" s="1055" t="s">
        <v>11038</v>
      </c>
    </row>
    <row r="1310" spans="1:5" ht="12" customHeight="1">
      <c r="A1310">
        <v>1309</v>
      </c>
      <c r="B1310" s="941" t="s">
        <v>11040</v>
      </c>
      <c r="C1310" s="941" t="s">
        <v>11041</v>
      </c>
      <c r="D1310" s="941" t="s">
        <v>11037</v>
      </c>
      <c r="E1310" s="1055" t="s">
        <v>11038</v>
      </c>
    </row>
    <row r="1311" spans="1:5" ht="12" customHeight="1">
      <c r="A1311">
        <v>1310</v>
      </c>
      <c r="B1311" s="941" t="s">
        <v>11040</v>
      </c>
      <c r="C1311" s="941" t="s">
        <v>11041</v>
      </c>
      <c r="D1311" s="941" t="s">
        <v>11037</v>
      </c>
      <c r="E1311" s="1055" t="s">
        <v>11038</v>
      </c>
    </row>
    <row r="1312" spans="1:5" ht="12" customHeight="1">
      <c r="A1312">
        <v>1311</v>
      </c>
      <c r="B1312" s="941" t="s">
        <v>11040</v>
      </c>
      <c r="C1312" s="941" t="s">
        <v>11041</v>
      </c>
      <c r="D1312" s="941" t="s">
        <v>11037</v>
      </c>
      <c r="E1312" s="1055" t="s">
        <v>11038</v>
      </c>
    </row>
    <row r="1313" spans="1:5" ht="12" customHeight="1">
      <c r="A1313">
        <v>1312</v>
      </c>
      <c r="B1313" s="941" t="s">
        <v>11040</v>
      </c>
      <c r="C1313" s="941" t="s">
        <v>11041</v>
      </c>
      <c r="D1313" s="941" t="s">
        <v>11037</v>
      </c>
      <c r="E1313" s="1055" t="s">
        <v>11038</v>
      </c>
    </row>
    <row r="1314" spans="1:5" ht="12" customHeight="1">
      <c r="A1314">
        <v>1313</v>
      </c>
      <c r="B1314" s="941" t="s">
        <v>11040</v>
      </c>
      <c r="C1314" s="941" t="s">
        <v>11041</v>
      </c>
      <c r="D1314" s="941" t="s">
        <v>11037</v>
      </c>
      <c r="E1314" s="1055" t="s">
        <v>11038</v>
      </c>
    </row>
    <row r="1315" spans="1:5" ht="12" customHeight="1">
      <c r="A1315">
        <v>1314</v>
      </c>
      <c r="B1315" s="941" t="s">
        <v>11040</v>
      </c>
      <c r="C1315" s="941" t="s">
        <v>11041</v>
      </c>
      <c r="D1315" s="941" t="s">
        <v>11037</v>
      </c>
      <c r="E1315" s="1055" t="s">
        <v>11038</v>
      </c>
    </row>
    <row r="1316" spans="1:5" ht="12" customHeight="1">
      <c r="A1316">
        <v>1315</v>
      </c>
      <c r="B1316" s="941" t="s">
        <v>11040</v>
      </c>
      <c r="C1316" s="941" t="s">
        <v>11041</v>
      </c>
      <c r="D1316" s="941" t="s">
        <v>11037</v>
      </c>
      <c r="E1316" s="1055" t="s">
        <v>11038</v>
      </c>
    </row>
    <row r="1317" spans="1:5" ht="12" customHeight="1">
      <c r="A1317">
        <v>1316</v>
      </c>
      <c r="B1317" s="941" t="s">
        <v>11040</v>
      </c>
      <c r="C1317" s="941" t="s">
        <v>11041</v>
      </c>
      <c r="D1317" s="941" t="s">
        <v>11037</v>
      </c>
      <c r="E1317" s="1055" t="s">
        <v>11038</v>
      </c>
    </row>
    <row r="1318" spans="1:5" ht="12" customHeight="1">
      <c r="A1318">
        <v>1317</v>
      </c>
      <c r="B1318" s="941" t="s">
        <v>11040</v>
      </c>
      <c r="C1318" s="941" t="s">
        <v>11041</v>
      </c>
      <c r="D1318" s="941" t="s">
        <v>11037</v>
      </c>
      <c r="E1318" s="1055" t="s">
        <v>11038</v>
      </c>
    </row>
    <row r="1319" spans="1:5" ht="12" customHeight="1">
      <c r="A1319">
        <v>1318</v>
      </c>
      <c r="B1319" s="941" t="s">
        <v>11040</v>
      </c>
      <c r="C1319" s="941" t="s">
        <v>11041</v>
      </c>
      <c r="D1319" s="941" t="s">
        <v>11037</v>
      </c>
      <c r="E1319" s="1055" t="s">
        <v>11038</v>
      </c>
    </row>
    <row r="1320" spans="1:5" ht="12" customHeight="1">
      <c r="A1320">
        <v>1319</v>
      </c>
      <c r="B1320" s="941" t="s">
        <v>11040</v>
      </c>
      <c r="C1320" s="941" t="s">
        <v>11041</v>
      </c>
      <c r="D1320" s="941" t="s">
        <v>11037</v>
      </c>
      <c r="E1320" s="1055" t="s">
        <v>11038</v>
      </c>
    </row>
    <row r="1321" spans="1:5" ht="12" customHeight="1">
      <c r="A1321">
        <v>1320</v>
      </c>
      <c r="B1321" s="941" t="s">
        <v>11040</v>
      </c>
      <c r="C1321" s="941" t="s">
        <v>11041</v>
      </c>
      <c r="D1321" s="941" t="s">
        <v>11037</v>
      </c>
      <c r="E1321" s="1055" t="s">
        <v>11038</v>
      </c>
    </row>
    <row r="1322" spans="1:5" ht="12" customHeight="1">
      <c r="A1322">
        <v>1321</v>
      </c>
      <c r="B1322" s="941" t="s">
        <v>11040</v>
      </c>
      <c r="C1322" s="941" t="s">
        <v>11041</v>
      </c>
      <c r="D1322" s="941" t="s">
        <v>11037</v>
      </c>
      <c r="E1322" s="1055" t="s">
        <v>11038</v>
      </c>
    </row>
    <row r="1323" spans="1:5" ht="12" customHeight="1">
      <c r="A1323">
        <v>1322</v>
      </c>
      <c r="B1323" s="941" t="s">
        <v>11040</v>
      </c>
      <c r="C1323" s="941" t="s">
        <v>11041</v>
      </c>
      <c r="D1323" s="941" t="s">
        <v>11037</v>
      </c>
      <c r="E1323" s="1055" t="s">
        <v>11038</v>
      </c>
    </row>
    <row r="1324" spans="1:5" ht="12" customHeight="1">
      <c r="A1324">
        <v>1323</v>
      </c>
      <c r="B1324" s="941" t="s">
        <v>11040</v>
      </c>
      <c r="C1324" s="941" t="s">
        <v>11041</v>
      </c>
      <c r="D1324" s="941" t="s">
        <v>11037</v>
      </c>
      <c r="E1324" s="1055" t="s">
        <v>11038</v>
      </c>
    </row>
    <row r="1325" spans="1:5" ht="12" customHeight="1">
      <c r="A1325">
        <v>1324</v>
      </c>
      <c r="B1325" s="941" t="s">
        <v>11040</v>
      </c>
      <c r="C1325" s="941" t="s">
        <v>11041</v>
      </c>
      <c r="D1325" s="941" t="s">
        <v>11037</v>
      </c>
      <c r="E1325" s="1055" t="s">
        <v>11038</v>
      </c>
    </row>
    <row r="1326" spans="1:5" ht="12" customHeight="1">
      <c r="A1326">
        <v>1325</v>
      </c>
      <c r="B1326" s="941" t="s">
        <v>11040</v>
      </c>
      <c r="C1326" s="941" t="s">
        <v>11041</v>
      </c>
      <c r="D1326" s="941" t="s">
        <v>11037</v>
      </c>
      <c r="E1326" s="1055" t="s">
        <v>11038</v>
      </c>
    </row>
    <row r="1327" spans="1:5" ht="12" customHeight="1">
      <c r="A1327">
        <v>1326</v>
      </c>
      <c r="B1327" s="941" t="s">
        <v>11040</v>
      </c>
      <c r="C1327" s="941" t="s">
        <v>11041</v>
      </c>
      <c r="D1327" s="941" t="s">
        <v>11037</v>
      </c>
      <c r="E1327" s="1055" t="s">
        <v>11038</v>
      </c>
    </row>
    <row r="1328" spans="1:5" ht="12" customHeight="1">
      <c r="A1328">
        <v>1327</v>
      </c>
      <c r="B1328" s="941" t="s">
        <v>11040</v>
      </c>
      <c r="C1328" s="941" t="s">
        <v>11041</v>
      </c>
      <c r="D1328" s="941" t="s">
        <v>11037</v>
      </c>
      <c r="E1328" s="1055" t="s">
        <v>11038</v>
      </c>
    </row>
    <row r="1329" spans="1:5" ht="12" customHeight="1">
      <c r="A1329">
        <v>1328</v>
      </c>
      <c r="B1329" s="941" t="s">
        <v>11040</v>
      </c>
      <c r="C1329" s="941" t="s">
        <v>11041</v>
      </c>
      <c r="D1329" s="941" t="s">
        <v>11037</v>
      </c>
      <c r="E1329" s="1055" t="s">
        <v>11038</v>
      </c>
    </row>
    <row r="1330" spans="1:5" ht="12" customHeight="1">
      <c r="A1330">
        <v>1329</v>
      </c>
      <c r="B1330" s="941" t="s">
        <v>11040</v>
      </c>
      <c r="C1330" s="941" t="s">
        <v>11041</v>
      </c>
      <c r="D1330" s="941" t="s">
        <v>11037</v>
      </c>
      <c r="E1330" s="1055" t="s">
        <v>11038</v>
      </c>
    </row>
    <row r="1331" spans="1:5" ht="12" customHeight="1">
      <c r="A1331">
        <v>1330</v>
      </c>
      <c r="B1331" s="941" t="s">
        <v>11040</v>
      </c>
      <c r="C1331" s="941" t="s">
        <v>11041</v>
      </c>
      <c r="D1331" s="941" t="s">
        <v>11037</v>
      </c>
      <c r="E1331" s="1055" t="s">
        <v>11038</v>
      </c>
    </row>
    <row r="1332" spans="1:5" ht="12" customHeight="1">
      <c r="A1332">
        <v>1331</v>
      </c>
      <c r="B1332" s="941" t="s">
        <v>11040</v>
      </c>
      <c r="C1332" s="941" t="s">
        <v>11041</v>
      </c>
      <c r="D1332" s="941" t="s">
        <v>11037</v>
      </c>
      <c r="E1332" s="1055" t="s">
        <v>11038</v>
      </c>
    </row>
    <row r="1333" spans="1:5" ht="12" customHeight="1">
      <c r="A1333">
        <v>1332</v>
      </c>
      <c r="B1333" s="941" t="s">
        <v>11040</v>
      </c>
      <c r="C1333" s="941" t="s">
        <v>11041</v>
      </c>
      <c r="D1333" s="941" t="s">
        <v>11037</v>
      </c>
      <c r="E1333" s="1055" t="s">
        <v>11038</v>
      </c>
    </row>
    <row r="1334" spans="1:5" ht="12" customHeight="1">
      <c r="A1334">
        <v>1333</v>
      </c>
      <c r="B1334" s="941" t="s">
        <v>11040</v>
      </c>
      <c r="C1334" s="941" t="s">
        <v>11041</v>
      </c>
      <c r="D1334" s="941" t="s">
        <v>11037</v>
      </c>
      <c r="E1334" s="1055" t="s">
        <v>11038</v>
      </c>
    </row>
    <row r="1335" spans="1:5" ht="12" customHeight="1">
      <c r="A1335">
        <v>1334</v>
      </c>
      <c r="B1335" s="941" t="s">
        <v>11040</v>
      </c>
      <c r="C1335" s="941" t="s">
        <v>11041</v>
      </c>
      <c r="D1335" s="941" t="s">
        <v>11037</v>
      </c>
      <c r="E1335" s="1055" t="s">
        <v>11038</v>
      </c>
    </row>
    <row r="1336" spans="1:5" ht="12" customHeight="1">
      <c r="A1336">
        <v>1335</v>
      </c>
      <c r="B1336" s="941" t="s">
        <v>11040</v>
      </c>
      <c r="C1336" s="941" t="s">
        <v>11041</v>
      </c>
      <c r="D1336" s="941" t="s">
        <v>11037</v>
      </c>
      <c r="E1336" s="1055" t="s">
        <v>11038</v>
      </c>
    </row>
    <row r="1337" spans="1:5" ht="12" customHeight="1">
      <c r="A1337">
        <v>1336</v>
      </c>
      <c r="B1337" s="941" t="s">
        <v>11040</v>
      </c>
      <c r="C1337" s="941" t="s">
        <v>11041</v>
      </c>
      <c r="D1337" s="941" t="s">
        <v>11037</v>
      </c>
      <c r="E1337" s="1055" t="s">
        <v>11038</v>
      </c>
    </row>
    <row r="1338" spans="1:5" ht="12" customHeight="1">
      <c r="A1338">
        <v>1337</v>
      </c>
      <c r="B1338" s="941" t="s">
        <v>11040</v>
      </c>
      <c r="C1338" s="941" t="s">
        <v>11041</v>
      </c>
      <c r="D1338" s="941" t="s">
        <v>11037</v>
      </c>
      <c r="E1338" s="1055" t="s">
        <v>11038</v>
      </c>
    </row>
    <row r="1339" spans="1:5" ht="12" customHeight="1">
      <c r="A1339">
        <v>1338</v>
      </c>
      <c r="B1339" s="941" t="s">
        <v>11040</v>
      </c>
      <c r="C1339" s="941" t="s">
        <v>11041</v>
      </c>
      <c r="D1339" s="941" t="s">
        <v>11037</v>
      </c>
      <c r="E1339" s="1055" t="s">
        <v>11038</v>
      </c>
    </row>
    <row r="1340" spans="1:5" ht="12" customHeight="1">
      <c r="A1340">
        <v>1339</v>
      </c>
      <c r="B1340" s="941" t="s">
        <v>11040</v>
      </c>
      <c r="C1340" s="941" t="s">
        <v>11041</v>
      </c>
      <c r="D1340" s="941" t="s">
        <v>11037</v>
      </c>
      <c r="E1340" s="1055" t="s">
        <v>11038</v>
      </c>
    </row>
    <row r="1341" spans="1:5" ht="12" customHeight="1">
      <c r="A1341">
        <v>1340</v>
      </c>
      <c r="B1341" s="941" t="s">
        <v>11040</v>
      </c>
      <c r="C1341" s="941" t="s">
        <v>11041</v>
      </c>
      <c r="D1341" s="941" t="s">
        <v>11037</v>
      </c>
      <c r="E1341" s="1055" t="s">
        <v>11038</v>
      </c>
    </row>
    <row r="1342" spans="1:5" ht="12" customHeight="1">
      <c r="A1342">
        <v>1341</v>
      </c>
      <c r="B1342" s="941" t="s">
        <v>11040</v>
      </c>
      <c r="C1342" s="941" t="s">
        <v>11041</v>
      </c>
      <c r="D1342" s="941" t="s">
        <v>11037</v>
      </c>
      <c r="E1342" s="1055" t="s">
        <v>11038</v>
      </c>
    </row>
    <row r="1343" spans="1:5" ht="12" customHeight="1">
      <c r="A1343">
        <v>1342</v>
      </c>
      <c r="B1343" s="941" t="s">
        <v>11040</v>
      </c>
      <c r="C1343" s="941" t="s">
        <v>11041</v>
      </c>
      <c r="D1343" s="941" t="s">
        <v>11037</v>
      </c>
      <c r="E1343" s="1055" t="s">
        <v>11038</v>
      </c>
    </row>
    <row r="1344" spans="1:5" ht="12" customHeight="1">
      <c r="A1344">
        <v>1343</v>
      </c>
      <c r="B1344" s="941" t="s">
        <v>11040</v>
      </c>
      <c r="C1344" s="941" t="s">
        <v>11041</v>
      </c>
      <c r="D1344" s="941" t="s">
        <v>11037</v>
      </c>
      <c r="E1344" s="1055" t="s">
        <v>11038</v>
      </c>
    </row>
    <row r="1345" spans="1:5" ht="12" customHeight="1">
      <c r="A1345">
        <v>1344</v>
      </c>
      <c r="B1345" s="941" t="s">
        <v>11040</v>
      </c>
      <c r="C1345" s="941" t="s">
        <v>11041</v>
      </c>
      <c r="D1345" s="941" t="s">
        <v>11037</v>
      </c>
      <c r="E1345" s="1055" t="s">
        <v>11038</v>
      </c>
    </row>
    <row r="1346" spans="1:5" ht="12" customHeight="1">
      <c r="A1346">
        <v>1345</v>
      </c>
      <c r="B1346" s="941" t="s">
        <v>11040</v>
      </c>
      <c r="C1346" s="941" t="s">
        <v>11041</v>
      </c>
      <c r="D1346" s="941" t="s">
        <v>11037</v>
      </c>
      <c r="E1346" s="1055" t="s">
        <v>11038</v>
      </c>
    </row>
    <row r="1347" spans="1:5" ht="12" customHeight="1">
      <c r="A1347">
        <v>1346</v>
      </c>
      <c r="B1347" s="941" t="s">
        <v>11040</v>
      </c>
      <c r="C1347" s="941" t="s">
        <v>11041</v>
      </c>
      <c r="D1347" s="941" t="s">
        <v>11037</v>
      </c>
      <c r="E1347" s="1055" t="s">
        <v>11038</v>
      </c>
    </row>
    <row r="1348" spans="1:5" ht="12" customHeight="1">
      <c r="A1348">
        <v>1347</v>
      </c>
      <c r="B1348" s="941" t="s">
        <v>11040</v>
      </c>
      <c r="C1348" s="941" t="s">
        <v>11041</v>
      </c>
      <c r="D1348" s="941" t="s">
        <v>11037</v>
      </c>
      <c r="E1348" s="1055" t="s">
        <v>11038</v>
      </c>
    </row>
    <row r="1349" spans="1:5" ht="12" customHeight="1">
      <c r="A1349">
        <v>1348</v>
      </c>
      <c r="B1349" s="941" t="s">
        <v>11040</v>
      </c>
      <c r="C1349" s="941" t="s">
        <v>11041</v>
      </c>
      <c r="D1349" s="941" t="s">
        <v>11037</v>
      </c>
      <c r="E1349" s="1055" t="s">
        <v>11038</v>
      </c>
    </row>
    <row r="1350" spans="1:5" ht="12" customHeight="1">
      <c r="A1350">
        <v>1349</v>
      </c>
      <c r="B1350" s="941" t="s">
        <v>11040</v>
      </c>
      <c r="C1350" s="941" t="s">
        <v>11041</v>
      </c>
      <c r="D1350" s="941" t="s">
        <v>11037</v>
      </c>
      <c r="E1350" s="1055" t="s">
        <v>11038</v>
      </c>
    </row>
    <row r="1351" spans="1:5" ht="12" customHeight="1">
      <c r="A1351">
        <v>1350</v>
      </c>
      <c r="B1351" s="941" t="s">
        <v>11040</v>
      </c>
      <c r="C1351" s="941" t="s">
        <v>11041</v>
      </c>
      <c r="D1351" s="941" t="s">
        <v>11037</v>
      </c>
      <c r="E1351" s="1055" t="s">
        <v>11038</v>
      </c>
    </row>
    <row r="1352" spans="1:5" ht="12" customHeight="1">
      <c r="A1352">
        <v>1351</v>
      </c>
      <c r="B1352" s="941" t="s">
        <v>11040</v>
      </c>
      <c r="C1352" s="941" t="s">
        <v>11041</v>
      </c>
      <c r="D1352" s="941" t="s">
        <v>11037</v>
      </c>
      <c r="E1352" s="1055" t="s">
        <v>11038</v>
      </c>
    </row>
    <row r="1353" spans="1:5" ht="12" customHeight="1">
      <c r="A1353">
        <v>1352</v>
      </c>
      <c r="B1353" s="941" t="s">
        <v>11040</v>
      </c>
      <c r="C1353" s="941" t="s">
        <v>11041</v>
      </c>
      <c r="D1353" s="941" t="s">
        <v>11037</v>
      </c>
      <c r="E1353" s="1055" t="s">
        <v>11038</v>
      </c>
    </row>
    <row r="1354" spans="1:5" ht="12" customHeight="1">
      <c r="A1354">
        <v>1353</v>
      </c>
      <c r="B1354" s="941" t="s">
        <v>11040</v>
      </c>
      <c r="C1354" s="941" t="s">
        <v>11041</v>
      </c>
      <c r="D1354" s="941" t="s">
        <v>11037</v>
      </c>
      <c r="E1354" s="1055" t="s">
        <v>11038</v>
      </c>
    </row>
    <row r="1355" spans="1:5" ht="12" customHeight="1">
      <c r="A1355">
        <v>1354</v>
      </c>
      <c r="B1355" s="941" t="s">
        <v>11040</v>
      </c>
      <c r="C1355" s="941" t="s">
        <v>11041</v>
      </c>
      <c r="D1355" s="941" t="s">
        <v>11037</v>
      </c>
      <c r="E1355" s="1055" t="s">
        <v>11038</v>
      </c>
    </row>
    <row r="1356" spans="1:5" ht="12" customHeight="1">
      <c r="A1356">
        <v>1355</v>
      </c>
      <c r="B1356" s="941" t="s">
        <v>11040</v>
      </c>
      <c r="C1356" s="941" t="s">
        <v>11041</v>
      </c>
      <c r="D1356" s="941" t="s">
        <v>11037</v>
      </c>
      <c r="E1356" s="1055" t="s">
        <v>11038</v>
      </c>
    </row>
    <row r="1357" spans="1:5" ht="12" customHeight="1">
      <c r="A1357">
        <v>1356</v>
      </c>
      <c r="B1357" s="941" t="s">
        <v>11040</v>
      </c>
      <c r="C1357" s="941" t="s">
        <v>11041</v>
      </c>
      <c r="D1357" s="941" t="s">
        <v>11037</v>
      </c>
      <c r="E1357" s="1055" t="s">
        <v>11038</v>
      </c>
    </row>
    <row r="1358" spans="1:5" ht="12" customHeight="1">
      <c r="A1358">
        <v>1357</v>
      </c>
      <c r="B1358" s="941" t="s">
        <v>11040</v>
      </c>
      <c r="C1358" s="941" t="s">
        <v>11041</v>
      </c>
      <c r="D1358" s="941" t="s">
        <v>11037</v>
      </c>
      <c r="E1358" s="1055" t="s">
        <v>11038</v>
      </c>
    </row>
    <row r="1359" spans="1:5" ht="12" customHeight="1">
      <c r="A1359">
        <v>1358</v>
      </c>
      <c r="B1359" s="941" t="s">
        <v>11040</v>
      </c>
      <c r="C1359" s="941" t="s">
        <v>11041</v>
      </c>
      <c r="D1359" s="941" t="s">
        <v>11037</v>
      </c>
      <c r="E1359" s="1055" t="s">
        <v>11038</v>
      </c>
    </row>
    <row r="1360" spans="1:5" ht="12" customHeight="1">
      <c r="A1360">
        <v>1359</v>
      </c>
      <c r="B1360" s="941" t="s">
        <v>11040</v>
      </c>
      <c r="C1360" s="941" t="s">
        <v>11041</v>
      </c>
      <c r="D1360" s="941" t="s">
        <v>11037</v>
      </c>
      <c r="E1360" s="1055" t="s">
        <v>11038</v>
      </c>
    </row>
    <row r="1361" spans="1:5" ht="12" customHeight="1">
      <c r="A1361">
        <v>1360</v>
      </c>
      <c r="B1361" s="941" t="s">
        <v>11040</v>
      </c>
      <c r="C1361" s="941" t="s">
        <v>11041</v>
      </c>
      <c r="D1361" s="941" t="s">
        <v>11037</v>
      </c>
      <c r="E1361" s="1055" t="s">
        <v>11038</v>
      </c>
    </row>
    <row r="1362" spans="1:5" ht="12" customHeight="1">
      <c r="A1362">
        <v>1361</v>
      </c>
      <c r="B1362" s="941" t="s">
        <v>11040</v>
      </c>
      <c r="C1362" s="941" t="s">
        <v>11041</v>
      </c>
      <c r="D1362" s="941" t="s">
        <v>11037</v>
      </c>
      <c r="E1362" s="1055" t="s">
        <v>11038</v>
      </c>
    </row>
    <row r="1363" spans="1:5" ht="12" customHeight="1">
      <c r="A1363">
        <v>1362</v>
      </c>
      <c r="B1363" s="941" t="s">
        <v>11040</v>
      </c>
      <c r="C1363" s="941" t="s">
        <v>11041</v>
      </c>
      <c r="D1363" s="941" t="s">
        <v>11037</v>
      </c>
      <c r="E1363" s="1055" t="s">
        <v>11038</v>
      </c>
    </row>
    <row r="1364" spans="1:5" ht="12" customHeight="1">
      <c r="A1364">
        <v>1363</v>
      </c>
      <c r="B1364" s="941" t="s">
        <v>11040</v>
      </c>
      <c r="C1364" s="941" t="s">
        <v>11041</v>
      </c>
      <c r="D1364" s="941" t="s">
        <v>11037</v>
      </c>
      <c r="E1364" s="1055" t="s">
        <v>11038</v>
      </c>
    </row>
    <row r="1365" spans="1:5" ht="12" customHeight="1">
      <c r="A1365">
        <v>1364</v>
      </c>
      <c r="B1365" s="941" t="s">
        <v>11040</v>
      </c>
      <c r="C1365" s="941" t="s">
        <v>11041</v>
      </c>
      <c r="D1365" s="941" t="s">
        <v>11037</v>
      </c>
      <c r="E1365" s="1055" t="s">
        <v>11038</v>
      </c>
    </row>
    <row r="1366" spans="1:5" ht="12" customHeight="1">
      <c r="A1366">
        <v>1365</v>
      </c>
      <c r="B1366" s="941" t="s">
        <v>11040</v>
      </c>
      <c r="C1366" s="941" t="s">
        <v>11041</v>
      </c>
      <c r="D1366" s="941" t="s">
        <v>11037</v>
      </c>
      <c r="E1366" s="1055" t="s">
        <v>11038</v>
      </c>
    </row>
    <row r="1367" spans="1:5" ht="12" customHeight="1">
      <c r="A1367">
        <v>1366</v>
      </c>
      <c r="B1367" s="941" t="s">
        <v>11040</v>
      </c>
      <c r="C1367" s="941" t="s">
        <v>11041</v>
      </c>
      <c r="D1367" s="941" t="s">
        <v>11037</v>
      </c>
      <c r="E1367" s="1055" t="s">
        <v>11038</v>
      </c>
    </row>
    <row r="1368" spans="1:5" ht="12" customHeight="1">
      <c r="A1368">
        <v>1367</v>
      </c>
      <c r="B1368" s="941" t="s">
        <v>11040</v>
      </c>
      <c r="C1368" s="941" t="s">
        <v>11041</v>
      </c>
      <c r="D1368" s="941" t="s">
        <v>11037</v>
      </c>
      <c r="E1368" s="1055" t="s">
        <v>11038</v>
      </c>
    </row>
    <row r="1369" spans="1:5" ht="12" customHeight="1">
      <c r="A1369">
        <v>1368</v>
      </c>
      <c r="B1369" s="941" t="s">
        <v>11040</v>
      </c>
      <c r="C1369" s="941" t="s">
        <v>11041</v>
      </c>
      <c r="D1369" s="941" t="s">
        <v>11037</v>
      </c>
      <c r="E1369" s="1055" t="s">
        <v>11038</v>
      </c>
    </row>
    <row r="1370" spans="1:5" ht="12" customHeight="1">
      <c r="A1370">
        <v>1369</v>
      </c>
      <c r="B1370" s="941" t="s">
        <v>11040</v>
      </c>
      <c r="C1370" s="941" t="s">
        <v>11041</v>
      </c>
      <c r="D1370" s="941" t="s">
        <v>11037</v>
      </c>
      <c r="E1370" s="1055" t="s">
        <v>11038</v>
      </c>
    </row>
    <row r="1371" spans="1:5" ht="12" customHeight="1">
      <c r="A1371">
        <v>1370</v>
      </c>
      <c r="B1371" s="941" t="s">
        <v>11040</v>
      </c>
      <c r="C1371" s="941" t="s">
        <v>11041</v>
      </c>
      <c r="D1371" s="941" t="s">
        <v>11037</v>
      </c>
      <c r="E1371" s="1055" t="s">
        <v>11038</v>
      </c>
    </row>
    <row r="1372" spans="1:5" ht="12" customHeight="1">
      <c r="A1372">
        <v>1371</v>
      </c>
      <c r="B1372" s="941" t="s">
        <v>11040</v>
      </c>
      <c r="C1372" s="941" t="s">
        <v>11041</v>
      </c>
      <c r="D1372" s="941" t="s">
        <v>11037</v>
      </c>
      <c r="E1372" s="1055" t="s">
        <v>11038</v>
      </c>
    </row>
    <row r="1373" spans="1:5" ht="12" customHeight="1">
      <c r="A1373">
        <v>1372</v>
      </c>
      <c r="B1373" s="941" t="s">
        <v>11040</v>
      </c>
      <c r="C1373" s="941" t="s">
        <v>11041</v>
      </c>
      <c r="D1373" s="941" t="s">
        <v>11037</v>
      </c>
      <c r="E1373" s="1055" t="s">
        <v>11038</v>
      </c>
    </row>
    <row r="1374" spans="1:5" ht="12" customHeight="1">
      <c r="A1374">
        <v>1373</v>
      </c>
      <c r="B1374" s="941" t="s">
        <v>11040</v>
      </c>
      <c r="C1374" s="941" t="s">
        <v>11041</v>
      </c>
      <c r="D1374" s="941" t="s">
        <v>11037</v>
      </c>
      <c r="E1374" s="1055" t="s">
        <v>11038</v>
      </c>
    </row>
    <row r="1375" spans="1:5" ht="12" customHeight="1">
      <c r="A1375">
        <v>1374</v>
      </c>
      <c r="B1375" s="941" t="s">
        <v>11040</v>
      </c>
      <c r="C1375" s="941" t="s">
        <v>11041</v>
      </c>
      <c r="D1375" s="941" t="s">
        <v>11037</v>
      </c>
      <c r="E1375" s="1055" t="s">
        <v>11038</v>
      </c>
    </row>
    <row r="1376" spans="1:5" ht="12" customHeight="1">
      <c r="A1376">
        <v>1375</v>
      </c>
      <c r="B1376" s="941" t="s">
        <v>11040</v>
      </c>
      <c r="C1376" s="941" t="s">
        <v>11041</v>
      </c>
      <c r="D1376" s="941" t="s">
        <v>11037</v>
      </c>
      <c r="E1376" s="1055" t="s">
        <v>11038</v>
      </c>
    </row>
    <row r="1377" spans="1:5" ht="12" customHeight="1">
      <c r="A1377">
        <v>1376</v>
      </c>
      <c r="B1377" s="941" t="s">
        <v>11040</v>
      </c>
      <c r="C1377" s="941" t="s">
        <v>11041</v>
      </c>
      <c r="D1377" s="941" t="s">
        <v>11037</v>
      </c>
      <c r="E1377" s="1055" t="s">
        <v>11038</v>
      </c>
    </row>
    <row r="1378" spans="1:5" ht="12" customHeight="1">
      <c r="A1378">
        <v>1377</v>
      </c>
      <c r="B1378" s="941" t="s">
        <v>11040</v>
      </c>
      <c r="C1378" s="941" t="s">
        <v>11041</v>
      </c>
      <c r="D1378" s="941" t="s">
        <v>11037</v>
      </c>
      <c r="E1378" s="1055" t="s">
        <v>11038</v>
      </c>
    </row>
    <row r="1379" spans="1:5" ht="12" customHeight="1">
      <c r="A1379">
        <v>1378</v>
      </c>
      <c r="B1379" s="941" t="s">
        <v>11040</v>
      </c>
      <c r="C1379" s="941" t="s">
        <v>11041</v>
      </c>
      <c r="D1379" s="941" t="s">
        <v>11037</v>
      </c>
      <c r="E1379" s="1055" t="s">
        <v>11038</v>
      </c>
    </row>
    <row r="1380" spans="1:5" ht="12" customHeight="1">
      <c r="A1380">
        <v>1379</v>
      </c>
      <c r="B1380" s="941" t="s">
        <v>11040</v>
      </c>
      <c r="C1380" s="941" t="s">
        <v>11041</v>
      </c>
      <c r="D1380" s="941" t="s">
        <v>11037</v>
      </c>
      <c r="E1380" s="1055" t="s">
        <v>11038</v>
      </c>
    </row>
    <row r="1381" spans="1:5" ht="12" customHeight="1">
      <c r="A1381">
        <v>1380</v>
      </c>
      <c r="B1381" s="941" t="s">
        <v>11040</v>
      </c>
      <c r="C1381" s="941" t="s">
        <v>11041</v>
      </c>
      <c r="D1381" s="941" t="s">
        <v>11037</v>
      </c>
      <c r="E1381" s="1055" t="s">
        <v>11038</v>
      </c>
    </row>
    <row r="1382" spans="1:5" ht="12" customHeight="1">
      <c r="A1382">
        <v>1381</v>
      </c>
      <c r="B1382" s="941" t="s">
        <v>11040</v>
      </c>
      <c r="C1382" s="941" t="s">
        <v>11041</v>
      </c>
      <c r="D1382" s="941" t="s">
        <v>11037</v>
      </c>
      <c r="E1382" s="1055" t="s">
        <v>11038</v>
      </c>
    </row>
    <row r="1383" spans="1:5" ht="12" customHeight="1">
      <c r="A1383">
        <v>1382</v>
      </c>
      <c r="B1383" s="941" t="s">
        <v>11040</v>
      </c>
      <c r="C1383" s="941" t="s">
        <v>11041</v>
      </c>
      <c r="D1383" s="941" t="s">
        <v>11037</v>
      </c>
      <c r="E1383" s="1055" t="s">
        <v>11038</v>
      </c>
    </row>
    <row r="1384" spans="1:5" ht="12" customHeight="1">
      <c r="A1384">
        <v>1383</v>
      </c>
      <c r="B1384" s="941" t="s">
        <v>11040</v>
      </c>
      <c r="C1384" s="941" t="s">
        <v>11041</v>
      </c>
      <c r="D1384" s="941" t="s">
        <v>11037</v>
      </c>
      <c r="E1384" s="1055" t="s">
        <v>11038</v>
      </c>
    </row>
    <row r="1385" spans="1:5" ht="12" customHeight="1">
      <c r="A1385">
        <v>1384</v>
      </c>
      <c r="B1385" s="941" t="s">
        <v>11040</v>
      </c>
      <c r="C1385" s="941" t="s">
        <v>11041</v>
      </c>
      <c r="D1385" s="941" t="s">
        <v>11037</v>
      </c>
      <c r="E1385" s="1055" t="s">
        <v>11038</v>
      </c>
    </row>
    <row r="1386" spans="1:5" ht="12" customHeight="1">
      <c r="A1386">
        <v>1385</v>
      </c>
      <c r="B1386" s="941" t="s">
        <v>11040</v>
      </c>
      <c r="C1386" s="941" t="s">
        <v>11041</v>
      </c>
      <c r="D1386" s="941" t="s">
        <v>11037</v>
      </c>
      <c r="E1386" s="1055" t="s">
        <v>11038</v>
      </c>
    </row>
    <row r="1387" spans="1:5" ht="12" customHeight="1">
      <c r="A1387">
        <v>1386</v>
      </c>
      <c r="B1387" s="941" t="s">
        <v>11040</v>
      </c>
      <c r="C1387" s="941" t="s">
        <v>11041</v>
      </c>
      <c r="D1387" s="941" t="s">
        <v>11037</v>
      </c>
      <c r="E1387" s="1055" t="s">
        <v>11038</v>
      </c>
    </row>
    <row r="1388" spans="1:5" ht="12" customHeight="1">
      <c r="A1388">
        <v>1387</v>
      </c>
      <c r="B1388" s="941" t="s">
        <v>11040</v>
      </c>
      <c r="C1388" s="941" t="s">
        <v>11041</v>
      </c>
      <c r="D1388" s="941" t="s">
        <v>11037</v>
      </c>
      <c r="E1388" s="1055" t="s">
        <v>11038</v>
      </c>
    </row>
    <row r="1389" spans="1:5" ht="12" customHeight="1">
      <c r="A1389">
        <v>1388</v>
      </c>
      <c r="B1389" s="941" t="s">
        <v>11040</v>
      </c>
      <c r="C1389" s="941" t="s">
        <v>11041</v>
      </c>
      <c r="D1389" s="941" t="s">
        <v>11037</v>
      </c>
      <c r="E1389" s="1055" t="s">
        <v>11038</v>
      </c>
    </row>
    <row r="1390" spans="1:5" ht="12" customHeight="1">
      <c r="A1390">
        <v>1389</v>
      </c>
      <c r="B1390" s="941" t="s">
        <v>11040</v>
      </c>
      <c r="C1390" s="941" t="s">
        <v>11041</v>
      </c>
      <c r="D1390" s="941" t="s">
        <v>11037</v>
      </c>
      <c r="E1390" s="1055" t="s">
        <v>11038</v>
      </c>
    </row>
    <row r="1391" spans="1:5" ht="12" customHeight="1">
      <c r="A1391">
        <v>1390</v>
      </c>
      <c r="B1391" s="941" t="s">
        <v>11040</v>
      </c>
      <c r="C1391" s="941" t="s">
        <v>11041</v>
      </c>
      <c r="D1391" s="941" t="s">
        <v>11037</v>
      </c>
      <c r="E1391" s="1055" t="s">
        <v>11038</v>
      </c>
    </row>
    <row r="1392" spans="1:5" ht="12" customHeight="1">
      <c r="A1392">
        <v>1391</v>
      </c>
      <c r="B1392" s="941" t="s">
        <v>11040</v>
      </c>
      <c r="C1392" s="941" t="s">
        <v>11041</v>
      </c>
      <c r="D1392" s="941" t="s">
        <v>11037</v>
      </c>
      <c r="E1392" s="1055" t="s">
        <v>11038</v>
      </c>
    </row>
    <row r="1393" spans="1:5" ht="12" customHeight="1">
      <c r="A1393">
        <v>1392</v>
      </c>
      <c r="B1393" s="941" t="s">
        <v>11040</v>
      </c>
      <c r="C1393" s="941" t="s">
        <v>11041</v>
      </c>
      <c r="D1393" s="941" t="s">
        <v>11037</v>
      </c>
      <c r="E1393" s="1055" t="s">
        <v>11038</v>
      </c>
    </row>
    <row r="1394" spans="1:5" ht="12" customHeight="1">
      <c r="A1394">
        <v>1393</v>
      </c>
      <c r="B1394" s="941" t="s">
        <v>11040</v>
      </c>
      <c r="C1394" s="941" t="s">
        <v>11041</v>
      </c>
      <c r="D1394" s="941" t="s">
        <v>11037</v>
      </c>
      <c r="E1394" s="1055" t="s">
        <v>11038</v>
      </c>
    </row>
    <row r="1395" spans="1:5" ht="12" customHeight="1">
      <c r="A1395">
        <v>1394</v>
      </c>
      <c r="B1395" s="941" t="s">
        <v>11040</v>
      </c>
      <c r="C1395" s="941" t="s">
        <v>11041</v>
      </c>
      <c r="D1395" s="941" t="s">
        <v>11037</v>
      </c>
      <c r="E1395" s="1055" t="s">
        <v>11038</v>
      </c>
    </row>
    <row r="1396" spans="1:5" ht="12" customHeight="1">
      <c r="A1396">
        <v>1395</v>
      </c>
      <c r="B1396" s="941" t="s">
        <v>11040</v>
      </c>
      <c r="C1396" s="941" t="s">
        <v>11041</v>
      </c>
      <c r="D1396" s="941" t="s">
        <v>11037</v>
      </c>
      <c r="E1396" s="1055" t="s">
        <v>11038</v>
      </c>
    </row>
    <row r="1397" spans="1:5" ht="12" customHeight="1">
      <c r="A1397">
        <v>1396</v>
      </c>
      <c r="B1397" s="941" t="s">
        <v>11040</v>
      </c>
      <c r="C1397" s="941" t="s">
        <v>11041</v>
      </c>
      <c r="D1397" s="941" t="s">
        <v>11037</v>
      </c>
      <c r="E1397" s="1055" t="s">
        <v>11038</v>
      </c>
    </row>
    <row r="1398" spans="1:5" ht="12" customHeight="1">
      <c r="A1398">
        <v>1397</v>
      </c>
      <c r="B1398" s="941" t="s">
        <v>11040</v>
      </c>
      <c r="C1398" s="941" t="s">
        <v>11041</v>
      </c>
      <c r="D1398" s="941" t="s">
        <v>11037</v>
      </c>
      <c r="E1398" s="1055" t="s">
        <v>11038</v>
      </c>
    </row>
    <row r="1399" spans="1:5" ht="12" customHeight="1">
      <c r="A1399">
        <v>1398</v>
      </c>
      <c r="B1399" s="941" t="s">
        <v>11040</v>
      </c>
      <c r="C1399" s="941" t="s">
        <v>11041</v>
      </c>
      <c r="D1399" s="941" t="s">
        <v>11037</v>
      </c>
      <c r="E1399" s="1055" t="s">
        <v>11038</v>
      </c>
    </row>
    <row r="1400" spans="1:5" ht="12" customHeight="1">
      <c r="A1400">
        <v>1399</v>
      </c>
      <c r="B1400" s="941" t="s">
        <v>11040</v>
      </c>
      <c r="C1400" s="941" t="s">
        <v>11041</v>
      </c>
      <c r="D1400" s="941" t="s">
        <v>11037</v>
      </c>
      <c r="E1400" s="1055" t="s">
        <v>11038</v>
      </c>
    </row>
    <row r="1401" spans="1:5" ht="12" customHeight="1">
      <c r="A1401">
        <v>1400</v>
      </c>
      <c r="B1401" s="941" t="s">
        <v>11040</v>
      </c>
      <c r="C1401" s="941" t="s">
        <v>11041</v>
      </c>
      <c r="D1401" s="941" t="s">
        <v>11037</v>
      </c>
      <c r="E1401" s="1055" t="s">
        <v>11038</v>
      </c>
    </row>
    <row r="1402" spans="1:5" ht="12" customHeight="1">
      <c r="A1402">
        <v>1401</v>
      </c>
      <c r="B1402" s="941" t="s">
        <v>11040</v>
      </c>
      <c r="C1402" s="941" t="s">
        <v>11041</v>
      </c>
      <c r="D1402" s="941" t="s">
        <v>11037</v>
      </c>
      <c r="E1402" s="1055" t="s">
        <v>11038</v>
      </c>
    </row>
    <row r="1403" spans="1:5" ht="12" customHeight="1">
      <c r="A1403">
        <v>1402</v>
      </c>
      <c r="B1403" s="941" t="s">
        <v>11040</v>
      </c>
      <c r="C1403" s="941" t="s">
        <v>11041</v>
      </c>
      <c r="D1403" s="941" t="s">
        <v>11037</v>
      </c>
      <c r="E1403" s="1055" t="s">
        <v>11038</v>
      </c>
    </row>
    <row r="1404" spans="1:5" ht="12" customHeight="1">
      <c r="A1404">
        <v>1403</v>
      </c>
      <c r="B1404" s="941" t="s">
        <v>11040</v>
      </c>
      <c r="C1404" s="941" t="s">
        <v>11041</v>
      </c>
      <c r="D1404" s="941" t="s">
        <v>11037</v>
      </c>
      <c r="E1404" s="1055" t="s">
        <v>11038</v>
      </c>
    </row>
    <row r="1405" spans="1:5" ht="12" customHeight="1">
      <c r="A1405">
        <v>1404</v>
      </c>
      <c r="B1405" s="941" t="s">
        <v>11040</v>
      </c>
      <c r="C1405" s="941" t="s">
        <v>11041</v>
      </c>
      <c r="D1405" s="941" t="s">
        <v>11037</v>
      </c>
      <c r="E1405" s="1055" t="s">
        <v>11038</v>
      </c>
    </row>
    <row r="1406" spans="1:5" ht="12" customHeight="1">
      <c r="A1406">
        <v>1405</v>
      </c>
      <c r="B1406" s="941" t="s">
        <v>11040</v>
      </c>
      <c r="C1406" s="941" t="s">
        <v>11041</v>
      </c>
      <c r="D1406" s="941" t="s">
        <v>11037</v>
      </c>
      <c r="E1406" s="1055" t="s">
        <v>11038</v>
      </c>
    </row>
    <row r="1407" spans="1:5" ht="12" customHeight="1">
      <c r="A1407">
        <v>1406</v>
      </c>
      <c r="B1407" s="941" t="s">
        <v>11040</v>
      </c>
      <c r="C1407" s="941" t="s">
        <v>11041</v>
      </c>
      <c r="D1407" s="941" t="s">
        <v>11037</v>
      </c>
      <c r="E1407" s="1055" t="s">
        <v>11038</v>
      </c>
    </row>
    <row r="1408" spans="1:5" ht="12" customHeight="1">
      <c r="A1408">
        <v>1407</v>
      </c>
      <c r="B1408" s="941" t="s">
        <v>11040</v>
      </c>
      <c r="C1408" s="941" t="s">
        <v>11041</v>
      </c>
      <c r="D1408" s="941" t="s">
        <v>11037</v>
      </c>
      <c r="E1408" s="1055" t="s">
        <v>11038</v>
      </c>
    </row>
    <row r="1409" spans="1:5" ht="12" customHeight="1">
      <c r="A1409">
        <v>1408</v>
      </c>
      <c r="B1409" s="941" t="s">
        <v>11040</v>
      </c>
      <c r="C1409" s="941" t="s">
        <v>11041</v>
      </c>
      <c r="D1409" s="941" t="s">
        <v>11037</v>
      </c>
      <c r="E1409" s="1055" t="s">
        <v>11038</v>
      </c>
    </row>
    <row r="1410" spans="1:5" ht="12" customHeight="1">
      <c r="A1410">
        <v>1409</v>
      </c>
      <c r="B1410" s="941" t="s">
        <v>11040</v>
      </c>
      <c r="C1410" s="941" t="s">
        <v>11041</v>
      </c>
      <c r="D1410" s="941" t="s">
        <v>11037</v>
      </c>
      <c r="E1410" s="1055" t="s">
        <v>11038</v>
      </c>
    </row>
    <row r="1411" spans="1:5" ht="12" customHeight="1">
      <c r="A1411">
        <v>1410</v>
      </c>
      <c r="B1411" s="941" t="s">
        <v>11040</v>
      </c>
      <c r="C1411" s="941" t="s">
        <v>11041</v>
      </c>
      <c r="D1411" s="941" t="s">
        <v>11037</v>
      </c>
      <c r="E1411" s="1055" t="s">
        <v>11038</v>
      </c>
    </row>
    <row r="1412" spans="1:5" ht="12" customHeight="1">
      <c r="A1412">
        <v>1411</v>
      </c>
      <c r="B1412" s="941" t="s">
        <v>11040</v>
      </c>
      <c r="C1412" s="941" t="s">
        <v>11041</v>
      </c>
      <c r="D1412" s="941" t="s">
        <v>11037</v>
      </c>
      <c r="E1412" s="1055" t="s">
        <v>11038</v>
      </c>
    </row>
    <row r="1413" spans="1:5" ht="12" customHeight="1">
      <c r="A1413">
        <v>1412</v>
      </c>
      <c r="B1413" s="941" t="s">
        <v>11040</v>
      </c>
      <c r="C1413" s="941" t="s">
        <v>11041</v>
      </c>
      <c r="D1413" s="941" t="s">
        <v>11037</v>
      </c>
      <c r="E1413" s="1055" t="s">
        <v>11038</v>
      </c>
    </row>
    <row r="1414" spans="1:5" ht="12" customHeight="1">
      <c r="A1414">
        <v>1413</v>
      </c>
      <c r="B1414" s="941" t="s">
        <v>11040</v>
      </c>
      <c r="C1414" s="941" t="s">
        <v>11041</v>
      </c>
      <c r="D1414" s="941" t="s">
        <v>11037</v>
      </c>
      <c r="E1414" s="1055" t="s">
        <v>11038</v>
      </c>
    </row>
    <row r="1415" spans="1:5" ht="12" customHeight="1">
      <c r="A1415">
        <v>1414</v>
      </c>
      <c r="B1415" s="941" t="s">
        <v>11040</v>
      </c>
      <c r="C1415" s="941" t="s">
        <v>11041</v>
      </c>
      <c r="D1415" s="941" t="s">
        <v>11037</v>
      </c>
      <c r="E1415" s="1055" t="s">
        <v>11038</v>
      </c>
    </row>
    <row r="1416" spans="1:5" ht="12" customHeight="1">
      <c r="A1416">
        <v>1415</v>
      </c>
      <c r="B1416" s="941" t="s">
        <v>11040</v>
      </c>
      <c r="C1416" s="941" t="s">
        <v>11041</v>
      </c>
      <c r="D1416" s="941" t="s">
        <v>11037</v>
      </c>
      <c r="E1416" s="1055" t="s">
        <v>11038</v>
      </c>
    </row>
    <row r="1417" spans="1:5" ht="12" customHeight="1">
      <c r="A1417">
        <v>1416</v>
      </c>
      <c r="B1417" s="941" t="s">
        <v>11040</v>
      </c>
      <c r="C1417" s="941" t="s">
        <v>11041</v>
      </c>
      <c r="D1417" s="941" t="s">
        <v>11037</v>
      </c>
      <c r="E1417" s="1055" t="s">
        <v>11038</v>
      </c>
    </row>
    <row r="1418" spans="1:5" ht="12" customHeight="1">
      <c r="A1418">
        <v>1417</v>
      </c>
      <c r="B1418" s="941" t="s">
        <v>11040</v>
      </c>
      <c r="C1418" s="941" t="s">
        <v>11041</v>
      </c>
      <c r="D1418" s="941" t="s">
        <v>11037</v>
      </c>
      <c r="E1418" s="1055" t="s">
        <v>11038</v>
      </c>
    </row>
    <row r="1419" spans="1:5" ht="12" customHeight="1">
      <c r="A1419">
        <v>1418</v>
      </c>
      <c r="B1419" s="941" t="s">
        <v>11040</v>
      </c>
      <c r="C1419" s="941" t="s">
        <v>11041</v>
      </c>
      <c r="D1419" s="941" t="s">
        <v>11037</v>
      </c>
      <c r="E1419" s="1055" t="s">
        <v>11038</v>
      </c>
    </row>
    <row r="1420" spans="1:5" ht="12" customHeight="1">
      <c r="A1420">
        <v>1419</v>
      </c>
      <c r="B1420" s="941" t="s">
        <v>11040</v>
      </c>
      <c r="C1420" s="941" t="s">
        <v>11041</v>
      </c>
      <c r="D1420" s="941" t="s">
        <v>11037</v>
      </c>
      <c r="E1420" s="1055" t="s">
        <v>11038</v>
      </c>
    </row>
    <row r="1421" spans="1:5" ht="12" customHeight="1">
      <c r="A1421">
        <v>1420</v>
      </c>
      <c r="B1421" s="941" t="s">
        <v>11040</v>
      </c>
      <c r="C1421" s="941" t="s">
        <v>11041</v>
      </c>
      <c r="D1421" s="941" t="s">
        <v>11037</v>
      </c>
      <c r="E1421" s="1055" t="s">
        <v>11038</v>
      </c>
    </row>
    <row r="1422" spans="1:5" ht="12" customHeight="1">
      <c r="A1422">
        <v>1421</v>
      </c>
      <c r="B1422" s="941" t="s">
        <v>11040</v>
      </c>
      <c r="C1422" s="941" t="s">
        <v>11041</v>
      </c>
      <c r="D1422" s="941" t="s">
        <v>11037</v>
      </c>
      <c r="E1422" s="1055" t="s">
        <v>11038</v>
      </c>
    </row>
    <row r="1423" spans="1:5" ht="12" customHeight="1">
      <c r="A1423">
        <v>1422</v>
      </c>
      <c r="B1423" s="941" t="s">
        <v>11040</v>
      </c>
      <c r="C1423" s="941" t="s">
        <v>11041</v>
      </c>
      <c r="D1423" s="941" t="s">
        <v>11037</v>
      </c>
      <c r="E1423" s="1055" t="s">
        <v>11038</v>
      </c>
    </row>
    <row r="1424" spans="1:5" ht="12" customHeight="1">
      <c r="A1424">
        <v>1423</v>
      </c>
      <c r="B1424" s="941" t="s">
        <v>11040</v>
      </c>
      <c r="C1424" s="941" t="s">
        <v>11041</v>
      </c>
      <c r="D1424" s="941" t="s">
        <v>11037</v>
      </c>
      <c r="E1424" s="1055" t="s">
        <v>11038</v>
      </c>
    </row>
    <row r="1425" spans="1:5" ht="12" customHeight="1">
      <c r="A1425">
        <v>1424</v>
      </c>
      <c r="B1425" s="941" t="s">
        <v>11040</v>
      </c>
      <c r="C1425" s="941" t="s">
        <v>11041</v>
      </c>
      <c r="D1425" s="941" t="s">
        <v>11037</v>
      </c>
      <c r="E1425" s="1055" t="s">
        <v>11038</v>
      </c>
    </row>
    <row r="1426" spans="1:5" ht="12" customHeight="1">
      <c r="A1426">
        <v>1425</v>
      </c>
      <c r="B1426" s="941" t="s">
        <v>11040</v>
      </c>
      <c r="C1426" s="941" t="s">
        <v>11041</v>
      </c>
      <c r="D1426" s="941" t="s">
        <v>11037</v>
      </c>
      <c r="E1426" s="1055" t="s">
        <v>11038</v>
      </c>
    </row>
    <row r="1427" spans="1:5" ht="12" customHeight="1">
      <c r="A1427">
        <v>1426</v>
      </c>
      <c r="B1427" s="941" t="s">
        <v>11040</v>
      </c>
      <c r="C1427" s="941" t="s">
        <v>11041</v>
      </c>
      <c r="D1427" s="941" t="s">
        <v>11037</v>
      </c>
      <c r="E1427" s="1055" t="s">
        <v>11038</v>
      </c>
    </row>
    <row r="1428" spans="1:5" ht="12" customHeight="1">
      <c r="A1428">
        <v>1427</v>
      </c>
      <c r="B1428" s="941" t="s">
        <v>11040</v>
      </c>
      <c r="C1428" s="941" t="s">
        <v>11041</v>
      </c>
      <c r="D1428" s="941" t="s">
        <v>11037</v>
      </c>
      <c r="E1428" s="1055" t="s">
        <v>11038</v>
      </c>
    </row>
    <row r="1429" spans="1:5" ht="12" customHeight="1">
      <c r="A1429">
        <v>1428</v>
      </c>
      <c r="B1429" s="941" t="s">
        <v>11040</v>
      </c>
      <c r="C1429" s="941" t="s">
        <v>11041</v>
      </c>
      <c r="D1429" s="941" t="s">
        <v>11037</v>
      </c>
      <c r="E1429" s="1055" t="s">
        <v>11038</v>
      </c>
    </row>
    <row r="1430" spans="1:5" ht="12" customHeight="1">
      <c r="A1430">
        <v>1429</v>
      </c>
      <c r="B1430" s="941" t="s">
        <v>11040</v>
      </c>
      <c r="C1430" s="941" t="s">
        <v>11041</v>
      </c>
      <c r="D1430" s="941" t="s">
        <v>11037</v>
      </c>
      <c r="E1430" s="1055" t="s">
        <v>11038</v>
      </c>
    </row>
    <row r="1431" spans="1:5" ht="12" customHeight="1">
      <c r="A1431">
        <v>1430</v>
      </c>
      <c r="B1431" s="941" t="s">
        <v>11040</v>
      </c>
      <c r="C1431" s="941" t="s">
        <v>11041</v>
      </c>
      <c r="D1431" s="941" t="s">
        <v>11037</v>
      </c>
      <c r="E1431" s="1055" t="s">
        <v>11038</v>
      </c>
    </row>
    <row r="1432" spans="1:5" ht="12" customHeight="1">
      <c r="A1432">
        <v>1431</v>
      </c>
      <c r="B1432" s="941" t="s">
        <v>11040</v>
      </c>
      <c r="C1432" s="941" t="s">
        <v>11041</v>
      </c>
      <c r="D1432" s="941" t="s">
        <v>11037</v>
      </c>
      <c r="E1432" s="1055" t="s">
        <v>11038</v>
      </c>
    </row>
    <row r="1433" spans="1:5" ht="12" customHeight="1">
      <c r="A1433">
        <v>1432</v>
      </c>
      <c r="B1433" s="941" t="s">
        <v>11040</v>
      </c>
      <c r="C1433" s="941" t="s">
        <v>11041</v>
      </c>
      <c r="D1433" s="941" t="s">
        <v>11037</v>
      </c>
      <c r="E1433" s="1055" t="s">
        <v>11038</v>
      </c>
    </row>
    <row r="1434" spans="1:5" ht="12" customHeight="1">
      <c r="A1434">
        <v>1433</v>
      </c>
      <c r="B1434" s="941" t="s">
        <v>11040</v>
      </c>
      <c r="C1434" s="941" t="s">
        <v>11041</v>
      </c>
      <c r="D1434" s="941" t="s">
        <v>11037</v>
      </c>
      <c r="E1434" s="1055" t="s">
        <v>11038</v>
      </c>
    </row>
    <row r="1435" spans="1:5" ht="12" customHeight="1">
      <c r="A1435">
        <v>1434</v>
      </c>
      <c r="B1435" s="941" t="s">
        <v>11040</v>
      </c>
      <c r="C1435" s="941" t="s">
        <v>11041</v>
      </c>
      <c r="D1435" s="941" t="s">
        <v>11037</v>
      </c>
      <c r="E1435" s="1055" t="s">
        <v>11038</v>
      </c>
    </row>
    <row r="1436" spans="1:5" ht="12" customHeight="1">
      <c r="A1436">
        <v>1435</v>
      </c>
      <c r="B1436" s="941" t="s">
        <v>11040</v>
      </c>
      <c r="C1436" s="941" t="s">
        <v>11041</v>
      </c>
      <c r="D1436" s="941" t="s">
        <v>11037</v>
      </c>
      <c r="E1436" s="1055" t="s">
        <v>11038</v>
      </c>
    </row>
    <row r="1437" spans="1:5" ht="12" customHeight="1">
      <c r="A1437">
        <v>1436</v>
      </c>
      <c r="B1437" s="941" t="s">
        <v>11040</v>
      </c>
      <c r="C1437" s="941" t="s">
        <v>11041</v>
      </c>
      <c r="D1437" s="941" t="s">
        <v>11037</v>
      </c>
      <c r="E1437" s="1055" t="s">
        <v>11038</v>
      </c>
    </row>
  </sheetData>
  <pageMargins left="0.7" right="0.7" top="0.75" bottom="0.75" header="0.3" footer="0.3"/>
  <pageSetup paperSize="9" orientation="portrait" r:id="rId1"/>
  <headerFooter>
    <oddFooter>&amp;CAT&amp;&amp;T Proprietary (Internal Use Only)</oddFooter>
  </headerFooter>
</worksheet>
</file>

<file path=customUI/customUI.xml><?xml version="1.0" encoding="utf-8"?>
<customUI xmlns="http://schemas.microsoft.com/office/2006/01/customui">
  <ribbon startFromScratch="false">
    <tabs>
      <tab id="customTabCDT" label="IMS2 Dev Testing" getVisible="setTabVisible" insertBeforeMso="TabHome">
        <group id="ims2_devCDT" label="CDT Testing">
          <button id="prepRetail" label="Import Retail" imageMso="SharePointListsWorkOffline" screentip="Import Retail LP" supertip="Prepare the CDT to import a Landing Pad with Retail data in it. Then imports the Landing Pad, and sets the IMS number." onAction="importRetail" size="large"/>
          <button id="prepWholesale" label="Import Wholesale" imageMso="UpgradeWorkbook" screentip="Import Wholesale LP" supertip="Prepare the CDT to import a Landing Pad with Wholesale data in it. Then imports the Landing Pad, and sets the IMS number." onAction="importWholesale" size="large"/>
        </group>
        <group id="ims2_devGetModel" label="New Model">
          <button id="newmod" label="Blank Model" getVisible="setModelLoadButtonVisible" imageMso="ImportSavedImports" screentip="Open New Model" supertip="Open up a blank IMS2 Model workbook from local work directory." onAction="loadBlankModel" size="large"/>
          <button id="setmod" label="Set Blank Model" imageMso="MicrosoftProject" screentip="Set the Blank Model" supertip="Pick the Model file that you want to set as your default to use with the open button to the left." onAction="setBlankModel"/>
        </group>
        <group id="ims2_devCoding" label="Coding">
          <button id="vbide" label="Show VB" imageMso="CreateModule" screentip="Show VB IDE" supertip="Bring up Visual Basic IDE. Put project password into clipboard." onAction="showVBIDE" size="larg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684</vt:i4>
      </vt:variant>
    </vt:vector>
  </HeadingPairs>
  <TitlesOfParts>
    <vt:vector size="713" baseType="lpstr">
      <vt:lpstr>MacroWarning</vt:lpstr>
      <vt:lpstr>TabRefs</vt:lpstr>
      <vt:lpstr>ProductList</vt:lpstr>
      <vt:lpstr>NSS_OEMAC</vt:lpstr>
      <vt:lpstr>Inv_Detail</vt:lpstr>
      <vt:lpstr>Step 0</vt:lpstr>
      <vt:lpstr>Proposal</vt:lpstr>
      <vt:lpstr>Customer_Opportunity</vt:lpstr>
      <vt:lpstr>Product_Summary</vt:lpstr>
      <vt:lpstr>Step 1</vt:lpstr>
      <vt:lpstr>TemplateProduct</vt:lpstr>
      <vt:lpstr>RLTemplateVoltage</vt:lpstr>
      <vt:lpstr>RLTemplate</vt:lpstr>
      <vt:lpstr>Templates</vt:lpstr>
      <vt:lpstr>Log</vt:lpstr>
      <vt:lpstr>SOAP</vt:lpstr>
      <vt:lpstr>ScratchPad</vt:lpstr>
      <vt:lpstr>AisFormatting</vt:lpstr>
      <vt:lpstr>Pulldowns</vt:lpstr>
      <vt:lpstr>TemplateASEoD</vt:lpstr>
      <vt:lpstr>Misc Calculations</vt:lpstr>
      <vt:lpstr>SalesLinks</vt:lpstr>
      <vt:lpstr>PricerLinks</vt:lpstr>
      <vt:lpstr>--</vt:lpstr>
      <vt:lpstr>x_Mobility_Prem_Calc</vt:lpstr>
      <vt:lpstr>x_Mobility_WriteDown</vt:lpstr>
      <vt:lpstr>OtherTables</vt:lpstr>
      <vt:lpstr>DefaultTables</vt:lpstr>
      <vt:lpstr>debug2</vt:lpstr>
      <vt:lpstr>_kvl1</vt:lpstr>
      <vt:lpstr>_kvl2</vt:lpstr>
      <vt:lpstr>_kvl3</vt:lpstr>
      <vt:lpstr>ABNMARC</vt:lpstr>
      <vt:lpstr>RLTemplateVoltage!Accelerator_Baseline</vt:lpstr>
      <vt:lpstr>Accelerator_Baseline</vt:lpstr>
      <vt:lpstr>Accelerator_Baseline_headers</vt:lpstr>
      <vt:lpstr>RLTemplateVoltage!Accelerator_CLBaseline</vt:lpstr>
      <vt:lpstr>Accelerator_CLBaseline</vt:lpstr>
      <vt:lpstr>Accelerator_CLBaseline_headers</vt:lpstr>
      <vt:lpstr>RLTemplateVoltage!Accelerator_CLMobility</vt:lpstr>
      <vt:lpstr>Accelerator_CLMobility</vt:lpstr>
      <vt:lpstr>Accelerator_CLMobility_headers</vt:lpstr>
      <vt:lpstr>RLTemplateVoltage!Accelerator_CLRevenueTiers</vt:lpstr>
      <vt:lpstr>Accelerator_CLRevenueTiers</vt:lpstr>
      <vt:lpstr>Accelerator_CLRevenueTiers_headers</vt:lpstr>
      <vt:lpstr>RLTemplateVoltage!Accelerator_Constants</vt:lpstr>
      <vt:lpstr>Accelerator_Constants</vt:lpstr>
      <vt:lpstr>Accelerator_Constants_headers</vt:lpstr>
      <vt:lpstr>RLTemplateVoltage!Accelerator_DealSize</vt:lpstr>
      <vt:lpstr>Accelerator_DealSize</vt:lpstr>
      <vt:lpstr>Accelerator_DealSize_headers</vt:lpstr>
      <vt:lpstr>RLTemplateVoltage!Accelerator_Footprint</vt:lpstr>
      <vt:lpstr>Accelerator_Footprint</vt:lpstr>
      <vt:lpstr>Accelerator_Footprint_headers</vt:lpstr>
      <vt:lpstr>RLTemplateVoltage!Accelerator_FootprintServices</vt:lpstr>
      <vt:lpstr>Accelerator_FootprintServices</vt:lpstr>
      <vt:lpstr>Accelerator_FootprintServices_headers</vt:lpstr>
      <vt:lpstr>Accelerator_Formulas</vt:lpstr>
      <vt:lpstr>Accelerator_Formulas_headers</vt:lpstr>
      <vt:lpstr>RLTemplateVoltage!Accelerator_RevenueTiers</vt:lpstr>
      <vt:lpstr>Accelerator_RevenueTiers</vt:lpstr>
      <vt:lpstr>Accelerator_RevenueTiers_headers</vt:lpstr>
      <vt:lpstr>RLTemplateVoltage!Accelerator_ScvpDiscounts</vt:lpstr>
      <vt:lpstr>Accelerator_ScvpDiscounts</vt:lpstr>
      <vt:lpstr>Accelerator_ScvpDiscounts_headers</vt:lpstr>
      <vt:lpstr>RLTemplateVoltage!Accelerator_SelectedTerm</vt:lpstr>
      <vt:lpstr>Accelerator_SelectedTerm</vt:lpstr>
      <vt:lpstr>RLTemplateVoltage!Accelerator_ServicesPackaged</vt:lpstr>
      <vt:lpstr>Accelerator_ServicesPackaged</vt:lpstr>
      <vt:lpstr>Accelerator_ServicesPackaged_headers</vt:lpstr>
      <vt:lpstr>RLTemplateVoltage!Accelerator_Term</vt:lpstr>
      <vt:lpstr>Accelerator_Term</vt:lpstr>
      <vt:lpstr>Accelerator_Term_headers</vt:lpstr>
      <vt:lpstr>AcceleratorAbnOther</vt:lpstr>
      <vt:lpstr>AcceleratorAccessHeader</vt:lpstr>
      <vt:lpstr>RLTemplateVoltage!AcceleratorCreditsRange</vt:lpstr>
      <vt:lpstr>AcceleratorCreditsRange</vt:lpstr>
      <vt:lpstr>RLTemplateVoltage!AcceleratorFormulasRange</vt:lpstr>
      <vt:lpstr>AcceleratorFormulasRange</vt:lpstr>
      <vt:lpstr>RLTemplateVoltage!AcceleratorRamp</vt:lpstr>
      <vt:lpstr>AcceleratorRamp</vt:lpstr>
      <vt:lpstr>RLTemplateVoltage!AcceleratorRampMonths</vt:lpstr>
      <vt:lpstr>AcceleratorRampMonths</vt:lpstr>
      <vt:lpstr>AcceleratorRampRows</vt:lpstr>
      <vt:lpstr>AcceleratorTables!AcceleratorTables</vt:lpstr>
      <vt:lpstr>AcceleratorTemplateTerm</vt:lpstr>
      <vt:lpstr>actionStart</vt:lpstr>
      <vt:lpstr>RLTemplateVoltage!Adjust2011</vt:lpstr>
      <vt:lpstr>Adjust2011</vt:lpstr>
      <vt:lpstr>RLTemplateVoltage!Affiliate_Type</vt:lpstr>
      <vt:lpstr>Affiliate_Type</vt:lpstr>
      <vt:lpstr>affiliates</vt:lpstr>
      <vt:lpstr>TemplateASEoD!AisCases</vt:lpstr>
      <vt:lpstr>TemplateProduct!AisCases</vt:lpstr>
      <vt:lpstr>TemplateASEoD!AllowDiscOffExisting</vt:lpstr>
      <vt:lpstr>TemplateProduct!AllowDiscOffExisting</vt:lpstr>
      <vt:lpstr>altPrimary</vt:lpstr>
      <vt:lpstr>NSS_OEMAC!ASE_SalesExpress</vt:lpstr>
      <vt:lpstr>RLTemplateVoltage!assignedToBam</vt:lpstr>
      <vt:lpstr>assignedToBam</vt:lpstr>
      <vt:lpstr>x_Mobility_Prem_Calc!ATT_Data</vt:lpstr>
      <vt:lpstr>x_Mobility_Prem_Calc!ATT_Devices</vt:lpstr>
      <vt:lpstr>x_Mobility_Prem_Calc!ATT_Features</vt:lpstr>
      <vt:lpstr>x_Mobility_Prem_Calc!ATT_Voice</vt:lpstr>
      <vt:lpstr>AvpnCondenseNo</vt:lpstr>
      <vt:lpstr>AVPNLoad</vt:lpstr>
      <vt:lpstr>TemplateASEoD!bIgnoreDups</vt:lpstr>
      <vt:lpstr>bIgnoreDups</vt:lpstr>
      <vt:lpstr>BlankFile</vt:lpstr>
      <vt:lpstr>TemplateASEoD!bLocked</vt:lpstr>
      <vt:lpstr>TemplateProduct!bLocked</vt:lpstr>
      <vt:lpstr>TemplateASEoD!bMinMaxDollarPrices</vt:lpstr>
      <vt:lpstr>TemplateProduct!bMinMaxDollarPrices</vt:lpstr>
      <vt:lpstr>TemplateASEoD!bSort</vt:lpstr>
      <vt:lpstr>TemplateProduct!bSort</vt:lpstr>
      <vt:lpstr>cbContractNum</vt:lpstr>
      <vt:lpstr>cbCoterminous</vt:lpstr>
      <vt:lpstr>cbIACell</vt:lpstr>
      <vt:lpstr>RLTemplateVoltage!cbOnlineCell</vt:lpstr>
      <vt:lpstr>cbOnlineCell</vt:lpstr>
      <vt:lpstr>cbSignedOn</vt:lpstr>
      <vt:lpstr>RLTemplateVoltage!cbSupersede</vt:lpstr>
      <vt:lpstr>cbSupersede</vt:lpstr>
      <vt:lpstr>cbTimeRemaining</vt:lpstr>
      <vt:lpstr>CDT_DupFieldVals</vt:lpstr>
      <vt:lpstr>CDT_DupFieldVals_headers</vt:lpstr>
      <vt:lpstr>CDT_DupFieldVals_key</vt:lpstr>
      <vt:lpstr>RLTemplateVoltage!CenturyLinkPercentage</vt:lpstr>
      <vt:lpstr>CenturyLinkPercentage</vt:lpstr>
      <vt:lpstr>clearDeal</vt:lpstr>
      <vt:lpstr>ClearDealDesc</vt:lpstr>
      <vt:lpstr>clearEbuilder</vt:lpstr>
      <vt:lpstr>clearINRstart</vt:lpstr>
      <vt:lpstr>clearINRstart2</vt:lpstr>
      <vt:lpstr>clearINRstart3</vt:lpstr>
      <vt:lpstr>clearScenariosStart</vt:lpstr>
      <vt:lpstr>RLTemplateVoltage!ClliCount</vt:lpstr>
      <vt:lpstr>ClliCount</vt:lpstr>
      <vt:lpstr>RLTemplateVoltage!contracts</vt:lpstr>
      <vt:lpstr>contracts</vt:lpstr>
      <vt:lpstr>Credit</vt:lpstr>
      <vt:lpstr>Credit_GEM_Text</vt:lpstr>
      <vt:lpstr>Credit_Mobility_Text</vt:lpstr>
      <vt:lpstr>Credit_Text_Show</vt:lpstr>
      <vt:lpstr>CreditClear</vt:lpstr>
      <vt:lpstr>CreditHide</vt:lpstr>
      <vt:lpstr>RLTemplateVoltage!creditS1</vt:lpstr>
      <vt:lpstr>creditS1</vt:lpstr>
      <vt:lpstr>RLTemplateVoltage!creditS2</vt:lpstr>
      <vt:lpstr>creditS2</vt:lpstr>
      <vt:lpstr>RLTemplateVoltage!creditS3</vt:lpstr>
      <vt:lpstr>creditS3</vt:lpstr>
      <vt:lpstr>RLTemplateVoltage!creditYS1</vt:lpstr>
      <vt:lpstr>creditYS1</vt:lpstr>
      <vt:lpstr>RLTemplateVoltage!creditYS2</vt:lpstr>
      <vt:lpstr>creditYS2</vt:lpstr>
      <vt:lpstr>RLTemplateVoltage!creditYS3</vt:lpstr>
      <vt:lpstr>creditYS3</vt:lpstr>
      <vt:lpstr>CurrTerm</vt:lpstr>
      <vt:lpstr>custOppClear</vt:lpstr>
      <vt:lpstr>custOppClear2</vt:lpstr>
      <vt:lpstr>custOppInternational</vt:lpstr>
      <vt:lpstr>custOppOnline</vt:lpstr>
      <vt:lpstr>custOppReset</vt:lpstr>
      <vt:lpstr>custOpptyInfo</vt:lpstr>
      <vt:lpstr>RLTemplateVoltage!custOpptyServiceInput</vt:lpstr>
      <vt:lpstr>custOpptyServiceInput</vt:lpstr>
      <vt:lpstr>RLTemplateVoltage!custOpptyServiceSelect</vt:lpstr>
      <vt:lpstr>custOpptyServiceSelect</vt:lpstr>
      <vt:lpstr>RLTemplateVoltage!dates</vt:lpstr>
      <vt:lpstr>dates</vt:lpstr>
      <vt:lpstr>ddAssignedBam</vt:lpstr>
      <vt:lpstr>RLTemplateVoltage!ddDealNum</vt:lpstr>
      <vt:lpstr>ddDealNum</vt:lpstr>
      <vt:lpstr>RLTemplateVoltage!ddDealStatus</vt:lpstr>
      <vt:lpstr>ddDealStatus</vt:lpstr>
      <vt:lpstr>RLTemplateVoltage!ddIms2Status</vt:lpstr>
      <vt:lpstr>ddIms2Status</vt:lpstr>
      <vt:lpstr>ddPermissions</vt:lpstr>
      <vt:lpstr>RLTemplateVoltage!ddVersion</vt:lpstr>
      <vt:lpstr>ddVersion</vt:lpstr>
      <vt:lpstr>DefaultTables!defaultTables</vt:lpstr>
      <vt:lpstr>eCRMsoap</vt:lpstr>
      <vt:lpstr>RLTemplateVoltage!Effort2011</vt:lpstr>
      <vt:lpstr>Effort2011</vt:lpstr>
      <vt:lpstr>emr.hide.c1</vt:lpstr>
      <vt:lpstr>emr.hide.r1</vt:lpstr>
      <vt:lpstr>emr.hide.r2</vt:lpstr>
      <vt:lpstr>emr.hide.r3</vt:lpstr>
      <vt:lpstr>emr.hide.r4</vt:lpstr>
      <vt:lpstr>emr.hide.r5</vt:lpstr>
      <vt:lpstr>emr.hide.r6</vt:lpstr>
      <vt:lpstr>emr.hide.r7</vt:lpstr>
      <vt:lpstr>emr.hide.r9</vt:lpstr>
      <vt:lpstr>emr.unhide.r1</vt:lpstr>
      <vt:lpstr>RLTemplateVoltage!Enhance2011</vt:lpstr>
      <vt:lpstr>Enhance2011</vt:lpstr>
      <vt:lpstr>RLTemplateVoltage!entervalue</vt:lpstr>
      <vt:lpstr>entervalue</vt:lpstr>
      <vt:lpstr>ErateSchoolQuestion</vt:lpstr>
      <vt:lpstr>errorMsg1</vt:lpstr>
      <vt:lpstr>exists</vt:lpstr>
      <vt:lpstr>expRange</vt:lpstr>
      <vt:lpstr>RLTemplateVoltage!extSrcStart</vt:lpstr>
      <vt:lpstr>extSrcStart</vt:lpstr>
      <vt:lpstr>fileVersion</vt:lpstr>
      <vt:lpstr>formatAis1</vt:lpstr>
      <vt:lpstr>formatAis2</vt:lpstr>
      <vt:lpstr>formatNotes</vt:lpstr>
      <vt:lpstr>GEM_Deal</vt:lpstr>
      <vt:lpstr>Group2011</vt:lpstr>
      <vt:lpstr>TemplateASEoD!hasAis</vt:lpstr>
      <vt:lpstr>TemplateProduct!hasAis</vt:lpstr>
      <vt:lpstr>TemplateASEoD!hasSSS</vt:lpstr>
      <vt:lpstr>TemplateProduct!hasSSS</vt:lpstr>
      <vt:lpstr>headerFormat</vt:lpstr>
      <vt:lpstr>headersEnd</vt:lpstr>
      <vt:lpstr>Hide_Credit</vt:lpstr>
      <vt:lpstr>HideEbuilder</vt:lpstr>
      <vt:lpstr>hyperlinkERate</vt:lpstr>
      <vt:lpstr>hyperlinkNormal</vt:lpstr>
      <vt:lpstr>RLTemplateVoltage!InFootprintPercentage</vt:lpstr>
      <vt:lpstr>InFootprintPercentage</vt:lpstr>
      <vt:lpstr>TemplateASEoD!iProdInvID</vt:lpstr>
      <vt:lpstr>TemplateProduct!iProdInvID</vt:lpstr>
      <vt:lpstr>TemplateASEoD!IsASE</vt:lpstr>
      <vt:lpstr>TemplateProduct!IsASE</vt:lpstr>
      <vt:lpstr>TemplateASEoD!Jurisdiction</vt:lpstr>
      <vt:lpstr>TemplateProduct!Jurisdiction</vt:lpstr>
      <vt:lpstr>kvl1Count</vt:lpstr>
      <vt:lpstr>kvl1first</vt:lpstr>
      <vt:lpstr>kvl2Count</vt:lpstr>
      <vt:lpstr>kvl2first</vt:lpstr>
      <vt:lpstr>kvl3count</vt:lpstr>
      <vt:lpstr>kvl3first</vt:lpstr>
      <vt:lpstr>kvlBuCount</vt:lpstr>
      <vt:lpstr>kvlSalesChannelCount</vt:lpstr>
      <vt:lpstr>kvlSegmentCount</vt:lpstr>
      <vt:lpstr>lastProduct</vt:lpstr>
      <vt:lpstr>lastSave</vt:lpstr>
      <vt:lpstr>liDetailScenario</vt:lpstr>
      <vt:lpstr>TemplateASEoD!LittleProdIDs</vt:lpstr>
      <vt:lpstr>TemplateProduct!LittleProdIDs</vt:lpstr>
      <vt:lpstr>TemplateASEoD!LittleProdInvNums</vt:lpstr>
      <vt:lpstr>LittleProdInvNums</vt:lpstr>
      <vt:lpstr>LoadBackground</vt:lpstr>
      <vt:lpstr>RLTemplateVoltage!loadedInModel</vt:lpstr>
      <vt:lpstr>loadedInModel</vt:lpstr>
      <vt:lpstr>RLTemplateVoltage!locked</vt:lpstr>
      <vt:lpstr>locked</vt:lpstr>
      <vt:lpstr>RLTemplateVoltage!lockedBy</vt:lpstr>
      <vt:lpstr>lockedBy</vt:lpstr>
      <vt:lpstr>LookupTables_AbnMarcs.AbnMarcs</vt:lpstr>
      <vt:lpstr>LookupTables_Competitors.Competitor</vt:lpstr>
      <vt:lpstr>LookupTables_ContractPlatforms.ContractPlatform</vt:lpstr>
      <vt:lpstr>LookupTables_eRate_MobilityStateAgreements.sErateContract</vt:lpstr>
      <vt:lpstr>LookupTables_eRate_MobilityStateContractList.sErateContract</vt:lpstr>
      <vt:lpstr>LookupTables_eRate_MobilityStateContractList.sState</vt:lpstr>
      <vt:lpstr>LookupTables_eRate_MobilityStateContracts.sErateContract</vt:lpstr>
      <vt:lpstr>LookupTables_MobilityAssociation.MobilityAssociation</vt:lpstr>
      <vt:lpstr>LookupTables_MobilityAttainment.MobilityAttainment</vt:lpstr>
      <vt:lpstr>LookupTables_MobilityMACAttainment.MobilityMAC</vt:lpstr>
      <vt:lpstr>LookupTables_MobilityMACs.MobilityMAC</vt:lpstr>
      <vt:lpstr>RLTemplateVoltage!LRate</vt:lpstr>
      <vt:lpstr>LRate</vt:lpstr>
      <vt:lpstr>TemplateASEoD!manageListRate</vt:lpstr>
      <vt:lpstr>TemplateProduct!manageListRate</vt:lpstr>
      <vt:lpstr>TemplateASEoD!mappingSource</vt:lpstr>
      <vt:lpstr>TemplateProduct!mappingSource</vt:lpstr>
      <vt:lpstr>mapSources</vt:lpstr>
      <vt:lpstr>marcs23</vt:lpstr>
      <vt:lpstr>maxlen</vt:lpstr>
      <vt:lpstr>mfnList</vt:lpstr>
      <vt:lpstr>miscFeet</vt:lpstr>
      <vt:lpstr>Mobility_Deal</vt:lpstr>
      <vt:lpstr>RLTemplateVoltage!Mobility_eRateAgreement</vt:lpstr>
      <vt:lpstr>Mobility_eRateAgreement</vt:lpstr>
      <vt:lpstr>Mobility_eRateContract</vt:lpstr>
      <vt:lpstr>mobility_StateLabel</vt:lpstr>
      <vt:lpstr>mostLikely</vt:lpstr>
      <vt:lpstr>mvlSalesChannel</vt:lpstr>
      <vt:lpstr>NSS_OEMAC!NSS_LoopMileage</vt:lpstr>
      <vt:lpstr>NSS_OEMAC!nssLata</vt:lpstr>
      <vt:lpstr>NSS_OEMAC!nssState</vt:lpstr>
      <vt:lpstr>NSS_OEMAC!nssSwcClli</vt:lpstr>
      <vt:lpstr>oemacHeaders</vt:lpstr>
      <vt:lpstr>NSS_OEMAC!OEMACProdNum</vt:lpstr>
      <vt:lpstr>NSS_OEMAC!OEMACScenarios</vt:lpstr>
      <vt:lpstr>NSS_OEMAC!oemacSupportRequestID</vt:lpstr>
      <vt:lpstr>RLTemplateVoltage!oppty.accountExecutive</vt:lpstr>
      <vt:lpstr>oppty.accountExecutive</vt:lpstr>
      <vt:lpstr>oppty.Affiliate</vt:lpstr>
      <vt:lpstr>oppty.AltPrimary</vt:lpstr>
      <vt:lpstr>RLTemplateVoltage!oppty.AnnualSpend</vt:lpstr>
      <vt:lpstr>oppty.AnnualSpend</vt:lpstr>
      <vt:lpstr>oppty.attUID_acctMgr</vt:lpstr>
      <vt:lpstr>RLTemplateVoltage!oppty.BusinessUnit</vt:lpstr>
      <vt:lpstr>oppty.BusinessUnit</vt:lpstr>
      <vt:lpstr>oppty.ccMode</vt:lpstr>
      <vt:lpstr>RLTemplateVoltage!oppty.CommitmentType</vt:lpstr>
      <vt:lpstr>oppty.CommitmentType</vt:lpstr>
      <vt:lpstr>RLTemplateVoltage!oppty.competitor</vt:lpstr>
      <vt:lpstr>oppty.competitor</vt:lpstr>
      <vt:lpstr>oppty.CompPrice</vt:lpstr>
      <vt:lpstr>RLTemplateVoltage!oppty.ContractPlatform</vt:lpstr>
      <vt:lpstr>oppty.ContractPlatform</vt:lpstr>
      <vt:lpstr>RLTemplateVoltage!oppty.CustomerContract</vt:lpstr>
      <vt:lpstr>oppty.CustomerContract</vt:lpstr>
      <vt:lpstr>oppty.CustomerContractID</vt:lpstr>
      <vt:lpstr>RLTemplateVoltage!oppty.customerName</vt:lpstr>
      <vt:lpstr>oppty.customerName</vt:lpstr>
      <vt:lpstr>oppty.dealComments</vt:lpstr>
      <vt:lpstr>oppty.dealDescShort</vt:lpstr>
      <vt:lpstr>oppty.dealName</vt:lpstr>
      <vt:lpstr>oppty.DescScen1</vt:lpstr>
      <vt:lpstr>oppty.DescScen2</vt:lpstr>
      <vt:lpstr>oppty.DescScen3</vt:lpstr>
      <vt:lpstr>oppty.ebA_an</vt:lpstr>
      <vt:lpstr>oppty.ebAddHonorific</vt:lpstr>
      <vt:lpstr>oppty.ebContactDate</vt:lpstr>
      <vt:lpstr>oppty.ebcustcity</vt:lpstr>
      <vt:lpstr>oppty.ebcustCountry</vt:lpstr>
      <vt:lpstr>oppty.ebCustomerOrg</vt:lpstr>
      <vt:lpstr>oppty.ebcuststate</vt:lpstr>
      <vt:lpstr>oppty.ebCustStreetAdd</vt:lpstr>
      <vt:lpstr>oppty.ebcustZipCode</vt:lpstr>
      <vt:lpstr>oppty.ebFirstName</vt:lpstr>
      <vt:lpstr>oppty.ebGoal</vt:lpstr>
      <vt:lpstr>oppty.ebHeader</vt:lpstr>
      <vt:lpstr>oppty.ebLastName</vt:lpstr>
      <vt:lpstr>oppty.ebQuoteYesNo</vt:lpstr>
      <vt:lpstr>oppty.ebSolution</vt:lpstr>
      <vt:lpstr>oppty.ebSolutionNarrative</vt:lpstr>
      <vt:lpstr>oppty.ebTitle</vt:lpstr>
      <vt:lpstr>RLTemplateVoltage!oppty.ecrmRequestID</vt:lpstr>
      <vt:lpstr>oppty.ecrmRequestID</vt:lpstr>
      <vt:lpstr>RLTemplateVoltage!oppty.ecrmSuppReqID</vt:lpstr>
      <vt:lpstr>oppty.ecrmSuppReqID</vt:lpstr>
      <vt:lpstr>RLTemplateVoltage!oppty.ecrmWorkReqID</vt:lpstr>
      <vt:lpstr>oppty.ecrmWorkReqID</vt:lpstr>
      <vt:lpstr>RLTemplateVoltage!oppty.ErateAuth</vt:lpstr>
      <vt:lpstr>oppty.ErateAuth</vt:lpstr>
      <vt:lpstr>RLTemplateVoltage!oppty.eRateMktRatesMode</vt:lpstr>
      <vt:lpstr>oppty.eRateMktRatesMode</vt:lpstr>
      <vt:lpstr>oppty.ERateSchoolQuestion</vt:lpstr>
      <vt:lpstr>oppty.EstNetAnnualRevImpactS1</vt:lpstr>
      <vt:lpstr>oppty.EstNetAnnualRevImpactS2</vt:lpstr>
      <vt:lpstr>oppty.EstNetAnnualRevImpactS3</vt:lpstr>
      <vt:lpstr>oppty.Expedited</vt:lpstr>
      <vt:lpstr>RLTemplateVoltage!oppty.HouseAuth</vt:lpstr>
      <vt:lpstr>oppty.HouseAuth</vt:lpstr>
      <vt:lpstr>oppty.IcbpsCase</vt:lpstr>
      <vt:lpstr>RLTemplateVoltage!oppty.ICBPSnum</vt:lpstr>
      <vt:lpstr>oppty.ICBPSnum</vt:lpstr>
      <vt:lpstr>oppty.iScenarios</vt:lpstr>
      <vt:lpstr>RLTemplateVoltage!oppty.iTopScenario</vt:lpstr>
      <vt:lpstr>oppty.iTopScenario</vt:lpstr>
      <vt:lpstr>oppty.iYear</vt:lpstr>
      <vt:lpstr>RLTemplateVoltage!oppty.LDMarcS1</vt:lpstr>
      <vt:lpstr>oppty.LDMarcS1</vt:lpstr>
      <vt:lpstr>oppty.LPeRate</vt:lpstr>
      <vt:lpstr>oppty.LPFMR</vt:lpstr>
      <vt:lpstr>oppty.MobilityAssociation</vt:lpstr>
      <vt:lpstr>RLTemplateVoltage!oppty.MobilityState</vt:lpstr>
      <vt:lpstr>oppty.MobilityState</vt:lpstr>
      <vt:lpstr>oppty.MobilitySubcommitment</vt:lpstr>
      <vt:lpstr>RLTemplateVoltage!oppty.opptyType</vt:lpstr>
      <vt:lpstr>oppty.opptyType</vt:lpstr>
      <vt:lpstr>oppty.RemainTerm</vt:lpstr>
      <vt:lpstr>oppty.reqResponseDate</vt:lpstr>
      <vt:lpstr>RLTemplateVoltage!oppty.RequestLabel</vt:lpstr>
      <vt:lpstr>oppty.RequestLabel</vt:lpstr>
      <vt:lpstr>RLTemplateVoltage!oppty.s470num</vt:lpstr>
      <vt:lpstr>oppty.s470num</vt:lpstr>
      <vt:lpstr>RLTemplateVoltage!oppty.s470numWireless</vt:lpstr>
      <vt:lpstr>oppty.s470numWireless</vt:lpstr>
      <vt:lpstr>oppty.SAART</vt:lpstr>
      <vt:lpstr>RLTemplateVoltage!oppty.salesChannel</vt:lpstr>
      <vt:lpstr>oppty.salesChannel</vt:lpstr>
      <vt:lpstr>oppty.salesState</vt:lpstr>
      <vt:lpstr>RLTemplateVoltage!oppty.salesVP</vt:lpstr>
      <vt:lpstr>oppty.salesVP</vt:lpstr>
      <vt:lpstr>RLTemplateVoltage!oppty.segment</vt:lpstr>
      <vt:lpstr>oppty.segment</vt:lpstr>
      <vt:lpstr>oppty.TelcoSubcommitment</vt:lpstr>
      <vt:lpstr>oppty.Threshold</vt:lpstr>
      <vt:lpstr>RLTemplateVoltage!oppty.tsebdm</vt:lpstr>
      <vt:lpstr>oppty.tsebdm</vt:lpstr>
      <vt:lpstr>oppty.VoltageMode</vt:lpstr>
      <vt:lpstr>OtherTables!OtherTables</vt:lpstr>
      <vt:lpstr>TemplateASEoD!passListRates</vt:lpstr>
      <vt:lpstr>TemplateProduct!passListRates</vt:lpstr>
      <vt:lpstr>platforms</vt:lpstr>
      <vt:lpstr>plGroups</vt:lpstr>
      <vt:lpstr>plProdList</vt:lpstr>
      <vt:lpstr>pricingBegin</vt:lpstr>
      <vt:lpstr>Accelerator!Print_Area</vt:lpstr>
      <vt:lpstr>x_Mobility_Prem_Calc!Print_Area</vt:lpstr>
      <vt:lpstr>TemplateASEoD!prodAlert1</vt:lpstr>
      <vt:lpstr>TemplateProduct!prodAlert1</vt:lpstr>
      <vt:lpstr>prodGrid</vt:lpstr>
      <vt:lpstr>prodGrid2</vt:lpstr>
      <vt:lpstr>prodInvNum</vt:lpstr>
      <vt:lpstr>ProdList</vt:lpstr>
      <vt:lpstr>TemplateASEoD!prodNum</vt:lpstr>
      <vt:lpstr>TemplateProduct!prodNum</vt:lpstr>
      <vt:lpstr>RLTemplateVoltage!prodNumList</vt:lpstr>
      <vt:lpstr>prodNumList</vt:lpstr>
      <vt:lpstr>RLTemplateVoltage!ProdStart</vt:lpstr>
      <vt:lpstr>ProdStart</vt:lpstr>
      <vt:lpstr>prodSumAnnual</vt:lpstr>
      <vt:lpstr>prodSumContract</vt:lpstr>
      <vt:lpstr>prodSumCurrMrc</vt:lpstr>
      <vt:lpstr>prodSumHeadersAll</vt:lpstr>
      <vt:lpstr>prodSumHeaderSingleScen</vt:lpstr>
      <vt:lpstr>RLTemplateVoltage!prodSumManProds</vt:lpstr>
      <vt:lpstr>prodSumManProds</vt:lpstr>
      <vt:lpstr>prodSummaryAffiliates</vt:lpstr>
      <vt:lpstr>prodSumMonthly</vt:lpstr>
      <vt:lpstr>prodSumPropEMRC</vt:lpstr>
      <vt:lpstr>prodSumPropMarc</vt:lpstr>
      <vt:lpstr>prodSumPropMarcLD</vt:lpstr>
      <vt:lpstr>prodSumPropMarcMob</vt:lpstr>
      <vt:lpstr>prodSumPropMarcTelco</vt:lpstr>
      <vt:lpstr>prodSumPropMRC</vt:lpstr>
      <vt:lpstr>RLTemplateVoltage!prodSumScen1</vt:lpstr>
      <vt:lpstr>prodSumScen1</vt:lpstr>
      <vt:lpstr>RLTemplateVoltage!prodSumScen2</vt:lpstr>
      <vt:lpstr>prodSumScen2</vt:lpstr>
      <vt:lpstr>RLTemplateVoltage!prodSumScen3</vt:lpstr>
      <vt:lpstr>prodSumScen3</vt:lpstr>
      <vt:lpstr>prodSumScenChoice</vt:lpstr>
      <vt:lpstr>prodSumTimeFrame</vt:lpstr>
      <vt:lpstr>prodSumUnAnalyzed</vt:lpstr>
      <vt:lpstr>prodSumWdMRC</vt:lpstr>
      <vt:lpstr>TemplateASEoD!prodTermOffsets</vt:lpstr>
      <vt:lpstr>TemplateProduct!prodTermOffsets</vt:lpstr>
      <vt:lpstr>TemplateASEoD!prodTerms</vt:lpstr>
      <vt:lpstr>TemplateProduct!prodTerms</vt:lpstr>
      <vt:lpstr>RLTemplateVoltage!Product_Grid</vt:lpstr>
      <vt:lpstr>Product_Grid</vt:lpstr>
      <vt:lpstr>RLTemplateVoltage!products</vt:lpstr>
      <vt:lpstr>products</vt:lpstr>
      <vt:lpstr>productsFormat</vt:lpstr>
      <vt:lpstr>productsLoaded</vt:lpstr>
      <vt:lpstr>ProposalFMR</vt:lpstr>
      <vt:lpstr>ProposalList1</vt:lpstr>
      <vt:lpstr>ProposalList2</vt:lpstr>
      <vt:lpstr>RLTemplateVoltage!readOnly</vt:lpstr>
      <vt:lpstr>readOnly</vt:lpstr>
      <vt:lpstr>RLTemplateVoltage!returnvalue</vt:lpstr>
      <vt:lpstr>returnvalue</vt:lpstr>
      <vt:lpstr>RLTemplateVoltage!rl.eBuilderLink</vt:lpstr>
      <vt:lpstr>rl.eBuilderLink</vt:lpstr>
      <vt:lpstr>RLTemplateVoltage!rl.header</vt:lpstr>
      <vt:lpstr>rl.header</vt:lpstr>
      <vt:lpstr>RLTemplateVoltage!rl.prodArea</vt:lpstr>
      <vt:lpstr>rl.prodArea</vt:lpstr>
      <vt:lpstr>RLTemplateVoltage!rl.tcs</vt:lpstr>
      <vt:lpstr>rl.tcs</vt:lpstr>
      <vt:lpstr>rlSelectedGroup</vt:lpstr>
      <vt:lpstr>save.AcceleratorApprovedCredit</vt:lpstr>
      <vt:lpstr>RLTemplateVoltage!save.AcceleratorMarcYr1</vt:lpstr>
      <vt:lpstr>save.AcceleratorMarcYr1</vt:lpstr>
      <vt:lpstr>RLTemplateVoltage!save.AcceleratorNetRevenue</vt:lpstr>
      <vt:lpstr>save.AcceleratorNetRevenue</vt:lpstr>
      <vt:lpstr>RLTemplateVoltage!save.AcceleratorSelectedMARC</vt:lpstr>
      <vt:lpstr>save.AcceleratorSelectedMARC</vt:lpstr>
      <vt:lpstr>RLTemplateVoltage!save.Credit0</vt:lpstr>
      <vt:lpstr>save.Credit0</vt:lpstr>
      <vt:lpstr>save.Credit1</vt:lpstr>
      <vt:lpstr>RLTemplateVoltage!save.Credit2</vt:lpstr>
      <vt:lpstr>save.Credit2</vt:lpstr>
      <vt:lpstr>save.Credit3</vt:lpstr>
      <vt:lpstr>save.custOppty</vt:lpstr>
      <vt:lpstr>save.diff.custOppty</vt:lpstr>
      <vt:lpstr>save.Mobility_ATT_OneTimes</vt:lpstr>
      <vt:lpstr>save.Mobility_Competitor_Data</vt:lpstr>
      <vt:lpstr>save.Mobility_Competitor_Devices</vt:lpstr>
      <vt:lpstr>save.Mobility_Competitor_Features</vt:lpstr>
      <vt:lpstr>save.Mobility_Competitor_OneTimes</vt:lpstr>
      <vt:lpstr>save.Mobility_Competitor_Voice</vt:lpstr>
      <vt:lpstr>save.Mobility_TCO_Misc</vt:lpstr>
      <vt:lpstr>save.mobility_WritedownData</vt:lpstr>
      <vt:lpstr>save.mobility_WritedownDiscount</vt:lpstr>
      <vt:lpstr>save.mobility_WritedownVoice</vt:lpstr>
      <vt:lpstr>save.MobilityAcqRet</vt:lpstr>
      <vt:lpstr>save.MobilityAgent</vt:lpstr>
      <vt:lpstr>save.MobilityAgreementID</vt:lpstr>
      <vt:lpstr>save.MobilityAttAcquisitionCredit</vt:lpstr>
      <vt:lpstr>RLTemplateVoltage!save.MobilityAttCTNs</vt:lpstr>
      <vt:lpstr>save.MobilityAttCTNs</vt:lpstr>
      <vt:lpstr>save.MobilityCompetitorAcquisitionCredit</vt:lpstr>
      <vt:lpstr>save.MobilityCompetitorCTNs</vt:lpstr>
      <vt:lpstr>save.MobilityCurrentCarrier</vt:lpstr>
      <vt:lpstr>save.MobilityCurrentCarrierSecondary</vt:lpstr>
      <vt:lpstr>save.MobilityIndustry</vt:lpstr>
      <vt:lpstr>RLTemplateVoltage!save.MobilityMAC_Sales</vt:lpstr>
      <vt:lpstr>save.MobilityMAC_Sales</vt:lpstr>
      <vt:lpstr>save.MobilityTcoCompetitor</vt:lpstr>
      <vt:lpstr>save.MobilityTcoCompetitorDiscount</vt:lpstr>
      <vt:lpstr>RLTemplateVoltage!save.MscQc_Sales</vt:lpstr>
      <vt:lpstr>save.MscQc_Sales</vt:lpstr>
      <vt:lpstr>RLTemplateVoltage!save.prodSummary</vt:lpstr>
      <vt:lpstr>save.prodSummary</vt:lpstr>
      <vt:lpstr>save.ScenarioDescriptions</vt:lpstr>
      <vt:lpstr>save.ScenMARCs</vt:lpstr>
      <vt:lpstr>save.ScenMARCsNew</vt:lpstr>
      <vt:lpstr>RLTemplateVoltage!scenarios</vt:lpstr>
      <vt:lpstr>scenarios</vt:lpstr>
      <vt:lpstr>ScenStart</vt:lpstr>
      <vt:lpstr>Scratch_Paste</vt:lpstr>
      <vt:lpstr>RLTemplateVoltage!Scratch_ValueCount</vt:lpstr>
      <vt:lpstr>Scratch_ValueCount</vt:lpstr>
      <vt:lpstr>Scratch2Start</vt:lpstr>
      <vt:lpstr>ScratchPad_1</vt:lpstr>
      <vt:lpstr>RLTemplateVoltage!ScratchStart</vt:lpstr>
      <vt:lpstr>ScratchStart</vt:lpstr>
      <vt:lpstr>'Step 0'!scrub_text</vt:lpstr>
      <vt:lpstr>sdDataLoad</vt:lpstr>
      <vt:lpstr>sdHeader</vt:lpstr>
      <vt:lpstr>sdHeaders</vt:lpstr>
      <vt:lpstr>secrmOpptys.sSalesperson</vt:lpstr>
      <vt:lpstr>selectedProducts</vt:lpstr>
      <vt:lpstr>ServerName</vt:lpstr>
      <vt:lpstr>RLTemplateVoltage!sLookupTables_AbnMarcs.AbnMarcs</vt:lpstr>
      <vt:lpstr>sLookupTables_AbnMarcs.AbnMarcs</vt:lpstr>
      <vt:lpstr>RLTemplateVoltage!sLookupTables_Competitors.Competitor</vt:lpstr>
      <vt:lpstr>sLookupTables_Competitors.Competitor</vt:lpstr>
      <vt:lpstr>RLTemplateVoltage!sLookupTables_ContractPlatforms.ContractPlatform</vt:lpstr>
      <vt:lpstr>sLookupTables_ContractPlatforms.ContractPlatform</vt:lpstr>
      <vt:lpstr>RLTemplateVoltage!sLookupTables_eRate_MobilityStateAgreements.sErateContract</vt:lpstr>
      <vt:lpstr>sLookupTables_eRate_MobilityStateAgreements.sErateContract</vt:lpstr>
      <vt:lpstr>RLTemplateVoltage!sLookupTables_eRate_MobilityStateContractList.sErateContract</vt:lpstr>
      <vt:lpstr>sLookupTables_eRate_MobilityStateContractList.sErateContract</vt:lpstr>
      <vt:lpstr>RLTemplateVoltage!sLookupTables_eRate_MobilityStateContractList.sState</vt:lpstr>
      <vt:lpstr>sLookupTables_eRate_MobilityStateContractList.sState</vt:lpstr>
      <vt:lpstr>sLookupTables_eRate_MobilityStateContracts.sErateContract</vt:lpstr>
      <vt:lpstr>RLTemplateVoltage!sLookupTables_MobilityAssociation.MobilityAssociation</vt:lpstr>
      <vt:lpstr>sLookupTables_MobilityAssociation.MobilityAssociation</vt:lpstr>
      <vt:lpstr>RLTemplateVoltage!sLookupTables_MobilityAttainment.MobilityAttainment</vt:lpstr>
      <vt:lpstr>sLookupTables_MobilityAttainment.MobilityAttainment</vt:lpstr>
      <vt:lpstr>RLTemplateVoltage!sLookupTables_MobilityMACAttainment.MobilityMAC</vt:lpstr>
      <vt:lpstr>sLookupTables_MobilityMACAttainment.MobilityMAC</vt:lpstr>
      <vt:lpstr>RLTemplateVoltage!sLookupTables_MobilityMACs.MobilityMAC</vt:lpstr>
      <vt:lpstr>sLookupTables_MobilityMACs.MobilityMAC</vt:lpstr>
      <vt:lpstr>sMISPNT</vt:lpstr>
      <vt:lpstr>soaOrgChart</vt:lpstr>
      <vt:lpstr>soaOrgChart.sBamName</vt:lpstr>
      <vt:lpstr>soapIndexes</vt:lpstr>
      <vt:lpstr>soapRanges</vt:lpstr>
      <vt:lpstr>SOAPstring</vt:lpstr>
      <vt:lpstr>splitScreenProducts</vt:lpstr>
      <vt:lpstr>ssoaOrgChart.sBamName</vt:lpstr>
      <vt:lpstr>NSS_OEMAC!startECRMHeaders</vt:lpstr>
      <vt:lpstr>NSS_OEMAC!startFoundInSA</vt:lpstr>
      <vt:lpstr>NSS_OEMAC!startOEMACCDTTemplate</vt:lpstr>
      <vt:lpstr>NSS_OEMAC!startOEMACCDTTemplate2</vt:lpstr>
      <vt:lpstr>NSS_OEMAC!startOEMACLocs</vt:lpstr>
      <vt:lpstr>NSS_OEMAC!startPCGHeaders</vt:lpstr>
      <vt:lpstr>TemplateASEoD!State</vt:lpstr>
      <vt:lpstr>TemplateProduct!State</vt:lpstr>
      <vt:lpstr>RLTemplateVoltage!stdTermOffsets</vt:lpstr>
      <vt:lpstr>stdTermOffsets</vt:lpstr>
      <vt:lpstr>RLTemplateVoltage!StdTerms</vt:lpstr>
      <vt:lpstr>StdTerms</vt:lpstr>
      <vt:lpstr>step1.permissions</vt:lpstr>
      <vt:lpstr>step1.status</vt:lpstr>
      <vt:lpstr>Step1_Actions</vt:lpstr>
      <vt:lpstr>Step1_Jurisdictions</vt:lpstr>
      <vt:lpstr>Step1_Regions</vt:lpstr>
      <vt:lpstr>step1Alerts</vt:lpstr>
      <vt:lpstr>RLTemplateVoltage!sTop_Products.sJurisdiction</vt:lpstr>
      <vt:lpstr>sTop_Products.sJurisdiction</vt:lpstr>
      <vt:lpstr>sTop_Products.sJurisdiction.CC</vt:lpstr>
      <vt:lpstr>stratPri.Hidden1</vt:lpstr>
      <vt:lpstr>submitted</vt:lpstr>
      <vt:lpstr>RLTemplateVoltage!submittedToCost</vt:lpstr>
      <vt:lpstr>submittedToCost</vt:lpstr>
      <vt:lpstr>RLTemplateVoltage!submittedToCostPP</vt:lpstr>
      <vt:lpstr>submittedToCostPP</vt:lpstr>
      <vt:lpstr>RLTemplateVoltage!submittedToIcb</vt:lpstr>
      <vt:lpstr>submittedToIcb</vt:lpstr>
      <vt:lpstr>submittedToNss</vt:lpstr>
      <vt:lpstr>TemplateASEoD!Subprod_Clear_1</vt:lpstr>
      <vt:lpstr>TemplateProduct!Subprod_Clear_1</vt:lpstr>
      <vt:lpstr>Subprod_clear_10</vt:lpstr>
      <vt:lpstr>TemplateProduct!Subprod_Clear_2</vt:lpstr>
      <vt:lpstr>TemplateProduct!Subprod_Clear_3</vt:lpstr>
      <vt:lpstr>TemplateProduct!Subprod_Clear_4</vt:lpstr>
      <vt:lpstr>TemplateProduct!Subprod_Clear_5</vt:lpstr>
      <vt:lpstr>TemplateProduct!Subprod_Clear_6</vt:lpstr>
      <vt:lpstr>Subprod_Clear_7</vt:lpstr>
      <vt:lpstr>Subprod_clear_8</vt:lpstr>
      <vt:lpstr>Subprod_clear_9</vt:lpstr>
      <vt:lpstr>RLTemplateVoltage!Subprod_Data_1</vt:lpstr>
      <vt:lpstr>TemplateASEoD!Subprod_Data_1</vt:lpstr>
      <vt:lpstr>Templates!Subprod_Data_1</vt:lpstr>
      <vt:lpstr>Subprod_Data_1</vt:lpstr>
      <vt:lpstr>Subprod_Data_10</vt:lpstr>
      <vt:lpstr>Subprod_Data_2</vt:lpstr>
      <vt:lpstr>Subprod_Data_3</vt:lpstr>
      <vt:lpstr>TemplateProduct!Subprod_Data_4</vt:lpstr>
      <vt:lpstr>TemplateProduct!Subprod_Data_5</vt:lpstr>
      <vt:lpstr>TemplateProduct!Subprod_Data_6</vt:lpstr>
      <vt:lpstr>Subprod_Data_7</vt:lpstr>
      <vt:lpstr>Subprod_Data_8</vt:lpstr>
      <vt:lpstr>Subprod_Data_9</vt:lpstr>
      <vt:lpstr>TemplateASEoD!Subprod_Headers_1</vt:lpstr>
      <vt:lpstr>TemplateProduct!Subprod_Headers_1</vt:lpstr>
      <vt:lpstr>Templates!Subprod_Headers_1</vt:lpstr>
      <vt:lpstr>Subprod_Headers_10</vt:lpstr>
      <vt:lpstr>TemplateProduct!Subprod_Headers_2</vt:lpstr>
      <vt:lpstr>TemplateProduct!Subprod_Headers_3</vt:lpstr>
      <vt:lpstr>TemplateProduct!Subprod_Headers_4</vt:lpstr>
      <vt:lpstr>TemplateProduct!Subprod_Headers_5</vt:lpstr>
      <vt:lpstr>TemplateProduct!Subprod_Headers_6</vt:lpstr>
      <vt:lpstr>Subprod_Headers_7</vt:lpstr>
      <vt:lpstr>Subprod_Headers_8</vt:lpstr>
      <vt:lpstr>Subprod_Headers_9</vt:lpstr>
      <vt:lpstr>TemplateASEoD!Subprod_Name_1</vt:lpstr>
      <vt:lpstr>TemplateProduct!Subprod_Name_1</vt:lpstr>
      <vt:lpstr>Templates!Subprod_Name_1</vt:lpstr>
      <vt:lpstr>Subprod_Name_10</vt:lpstr>
      <vt:lpstr>TemplateProduct!Subprod_Name_2</vt:lpstr>
      <vt:lpstr>TemplateProduct!Subprod_Name_3</vt:lpstr>
      <vt:lpstr>TemplateProduct!Subprod_Name_4</vt:lpstr>
      <vt:lpstr>TemplateProduct!Subprod_Name_5</vt:lpstr>
      <vt:lpstr>TemplateProduct!Subprod_Name_6</vt:lpstr>
      <vt:lpstr>Subprod_Name_7</vt:lpstr>
      <vt:lpstr>Subprod_Name_8</vt:lpstr>
      <vt:lpstr>Subprod_Name_9</vt:lpstr>
      <vt:lpstr>SubProdTemplate</vt:lpstr>
      <vt:lpstr>RLTemplateVoltage!svlImsAffiliates.sAffiliate</vt:lpstr>
      <vt:lpstr>svlImsAffiliates.sAffiliate</vt:lpstr>
      <vt:lpstr>svlImsBundleTypes.sBundleType</vt:lpstr>
      <vt:lpstr>RLTemplateVoltage!svlImsContractTypes.sContractType</vt:lpstr>
      <vt:lpstr>svlImsContractTypes.sContractType</vt:lpstr>
      <vt:lpstr>svlImsSalesCenterVPs.sSalesCenterVP</vt:lpstr>
      <vt:lpstr>RLTemplateVoltage!svlImsSalesPersons.sSalesperson</vt:lpstr>
      <vt:lpstr>svlImsSalesPersons.sSalesperson</vt:lpstr>
      <vt:lpstr>RLTemplateVoltage!svlImsSalesStates.sSalesState</vt:lpstr>
      <vt:lpstr>svlImsSalesStates.sSalesState</vt:lpstr>
      <vt:lpstr>RLTemplateVoltage!svlImsSegments.sSegment</vt:lpstr>
      <vt:lpstr>svlImsSegments.sSegment</vt:lpstr>
      <vt:lpstr>svlImsThresholds.sThreshold</vt:lpstr>
      <vt:lpstr>svlImsUniverses.sUniverse</vt:lpstr>
      <vt:lpstr>RLTemplateVoltage!SWCCLLI_Lookup</vt:lpstr>
      <vt:lpstr>SWCCLLI_Lookup</vt:lpstr>
      <vt:lpstr>SWCCLLI_Lookup_headers</vt:lpstr>
      <vt:lpstr>Sys_All</vt:lpstr>
      <vt:lpstr>Sys_Case</vt:lpstr>
      <vt:lpstr>Sys_Request</vt:lpstr>
      <vt:lpstr>Table_ABN_MARCs</vt:lpstr>
      <vt:lpstr>TemplateBegin</vt:lpstr>
      <vt:lpstr>templateCalc</vt:lpstr>
      <vt:lpstr>templateDataArea</vt:lpstr>
      <vt:lpstr>templateEntry</vt:lpstr>
      <vt:lpstr>templateError</vt:lpstr>
      <vt:lpstr>templateHeader</vt:lpstr>
      <vt:lpstr>templateInactive</vt:lpstr>
      <vt:lpstr>templateInactive2</vt:lpstr>
      <vt:lpstr>templateLocked</vt:lpstr>
      <vt:lpstr>templateRequired</vt:lpstr>
      <vt:lpstr>templateTooHigh</vt:lpstr>
      <vt:lpstr>templateTooLow</vt:lpstr>
      <vt:lpstr>templateWarning</vt:lpstr>
      <vt:lpstr>RLTemplateVoltage!term1Start</vt:lpstr>
      <vt:lpstr>term1Start</vt:lpstr>
      <vt:lpstr>RLTemplateVoltage!termlist</vt:lpstr>
      <vt:lpstr>termlist</vt:lpstr>
      <vt:lpstr>terms</vt:lpstr>
      <vt:lpstr>Top_Products.sJurisdiction</vt:lpstr>
      <vt:lpstr>topProdDiscounts</vt:lpstr>
      <vt:lpstr>TemplateASEoD!TopProdID</vt:lpstr>
      <vt:lpstr>TemplateProduct!TopProdID</vt:lpstr>
      <vt:lpstr>topProdID</vt:lpstr>
      <vt:lpstr>topProdInvoiceCurrencies</vt:lpstr>
      <vt:lpstr>topProdSoCs</vt:lpstr>
      <vt:lpstr>TemplateASEoD!TopProductName</vt:lpstr>
      <vt:lpstr>TemplateProduct!TopProductName</vt:lpstr>
      <vt:lpstr>TotalAnnualRev</vt:lpstr>
      <vt:lpstr>Translate_AVPN_Country_Defaults</vt:lpstr>
      <vt:lpstr>Translate_AVPN_Country_Defaults_headers</vt:lpstr>
      <vt:lpstr>Translate_AVPN_Provider_Default</vt:lpstr>
      <vt:lpstr>Translate_AVPN_Provider_Default_headers</vt:lpstr>
      <vt:lpstr>Translate_IMS2_5251</vt:lpstr>
      <vt:lpstr>Translate_IMS2_5251_headers</vt:lpstr>
      <vt:lpstr>Translate_IMS2_5253</vt:lpstr>
      <vt:lpstr>Translate_IMS2_5253_headers</vt:lpstr>
      <vt:lpstr>Translate_IMS2_5678</vt:lpstr>
      <vt:lpstr>Translate_IMS2_5678_headers</vt:lpstr>
      <vt:lpstr>Translate_IMS2_5679</vt:lpstr>
      <vt:lpstr>Translate_IMS2_5679_headers</vt:lpstr>
      <vt:lpstr>Translate_IMS2_5680</vt:lpstr>
      <vt:lpstr>Translate_IMS2_5680_headers</vt:lpstr>
      <vt:lpstr>Translate_IMS2_5683</vt:lpstr>
      <vt:lpstr>Translate_IMS2_5683_headers</vt:lpstr>
      <vt:lpstr>userGroups</vt:lpstr>
      <vt:lpstr>RLTemplateVoltage!vDate</vt:lpstr>
      <vt:lpstr>vDate</vt:lpstr>
      <vt:lpstr>vlImsAffiliates.sAffiliate</vt:lpstr>
      <vt:lpstr>vlImsBundleTypes.sBundleType</vt:lpstr>
      <vt:lpstr>vlImsContractTypes.sContractType</vt:lpstr>
      <vt:lpstr>vlImsSalesCenterVPs.sSalesCenterVP</vt:lpstr>
      <vt:lpstr>vlImsSalesPersons.sSalesperson</vt:lpstr>
      <vt:lpstr>vlImsSalesStates.sSalesState</vt:lpstr>
      <vt:lpstr>vlImsSegments.sSegment</vt:lpstr>
      <vt:lpstr>RLTemplateVoltage!vlImsThresholds.sThreshold</vt:lpstr>
      <vt:lpstr>vlImsThresholds.sThreshold</vt:lpstr>
      <vt:lpstr>vlImsUniverses.sImsUniverse</vt:lpstr>
      <vt:lpstr>vlImsUniverses.sUniverse</vt:lpstr>
      <vt:lpstr>voltageType</vt:lpstr>
    </vt:vector>
  </TitlesOfParts>
  <Company>CSA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Krzysztof Rybak</dc:creator>
  <cp:lastModifiedBy>DREW, STEPHEN A</cp:lastModifiedBy>
  <cp:lastPrinted>2014-02-20T19:02:22Z</cp:lastPrinted>
  <dcterms:created xsi:type="dcterms:W3CDTF">2008-01-24T22:44:31Z</dcterms:created>
  <dcterms:modified xsi:type="dcterms:W3CDTF">2018-10-08T15:00:46Z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ata_Classification">
    <vt:lpwstr>AT&amp;T Proprietary (Internal Use Only)</vt:lpwstr>
  </property>
</Properties>
</file>