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vankumar.sabinikari/Downloads/AWS_Cost_Analysis/"/>
    </mc:Choice>
  </mc:AlternateContent>
  <xr:revisionPtr revIDLastSave="0" documentId="13_ncr:1_{8A4AF349-05C5-C542-8C97-81BB95EF9020}" xr6:coauthVersionLast="47" xr6:coauthVersionMax="47" xr10:uidLastSave="{00000000-0000-0000-0000-000000000000}"/>
  <bookViews>
    <workbookView xWindow="35980" yWindow="1580" windowWidth="27580" windowHeight="16080" activeTab="3" xr2:uid="{8BEEED0F-FB5B-B343-916C-50FFE246C79F}"/>
  </bookViews>
  <sheets>
    <sheet name="Summary" sheetId="17" r:id="rId1"/>
    <sheet name="Cost_Sheet" sheetId="19" r:id="rId2"/>
    <sheet name="S3_Cost_Analysis" sheetId="1" r:id="rId3"/>
    <sheet name="EC2_Cost_Analysis" sheetId="2" r:id="rId4"/>
    <sheet name="Kinesis_Streams" sheetId="3" r:id="rId5"/>
    <sheet name="Kinesis_Firehose" sheetId="4" r:id="rId6"/>
    <sheet name="Kinesis_Analytics" sheetId="5" r:id="rId7"/>
    <sheet name="Lambda_Analysis" sheetId="6" r:id="rId8"/>
    <sheet name="AWS_Glue" sheetId="8" r:id="rId9"/>
    <sheet name="AWS_SNS" sheetId="9" r:id="rId10"/>
    <sheet name="AWS_SQS" sheetId="10" r:id="rId11"/>
    <sheet name="AWS_Redshift" sheetId="11" r:id="rId12"/>
    <sheet name="AWS_DynamoDB" sheetId="16" r:id="rId13"/>
    <sheet name="AWS_EMR" sheetId="12" r:id="rId14"/>
    <sheet name="AWS_LakeFormation" sheetId="13" r:id="rId15"/>
    <sheet name="AWS_Athena" sheetId="14" r:id="rId16"/>
    <sheet name="CloudFormation_Analysis" sheetId="7" r:id="rId17"/>
    <sheet name="CloudWatch" sheetId="18" r:id="rId18"/>
    <sheet name="PH1" sheetId="20"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8" l="1"/>
  <c r="P21" i="19"/>
  <c r="P22" i="19"/>
  <c r="P23" i="19"/>
  <c r="P24" i="19"/>
  <c r="P25" i="19"/>
  <c r="P26" i="19"/>
  <c r="P27" i="19"/>
  <c r="P28" i="19"/>
  <c r="P29" i="19"/>
  <c r="P30" i="19"/>
  <c r="P31" i="19"/>
  <c r="P32" i="19"/>
  <c r="P33" i="19"/>
  <c r="P20" i="19"/>
  <c r="O20" i="19"/>
  <c r="O21" i="19"/>
  <c r="O22" i="19"/>
  <c r="O23" i="19"/>
  <c r="O24" i="19"/>
  <c r="O25" i="19"/>
  <c r="O26" i="19"/>
  <c r="O27" i="19"/>
  <c r="O28" i="19"/>
  <c r="O29" i="19"/>
  <c r="O30" i="19"/>
  <c r="O31" i="19"/>
  <c r="O32" i="19"/>
  <c r="O33" i="19"/>
  <c r="I21" i="3"/>
  <c r="I30" i="1"/>
  <c r="D1" i="18"/>
  <c r="I13" i="18"/>
  <c r="I40" i="18"/>
  <c r="D1" i="12"/>
  <c r="I65" i="12"/>
  <c r="I63" i="12"/>
  <c r="I57" i="12"/>
  <c r="I50" i="12"/>
  <c r="I44" i="12"/>
  <c r="I39" i="12"/>
  <c r="I32" i="12"/>
  <c r="I27" i="12"/>
  <c r="D1" i="14"/>
  <c r="I16" i="14"/>
  <c r="I13" i="14"/>
  <c r="D1" i="16"/>
  <c r="I50" i="16"/>
  <c r="D1" i="11"/>
  <c r="I49" i="11"/>
  <c r="I47" i="11"/>
  <c r="I29" i="11"/>
  <c r="D1" i="10"/>
  <c r="I31" i="10"/>
  <c r="B33" i="19"/>
  <c r="C33" i="19"/>
  <c r="D33" i="19"/>
  <c r="E33" i="19"/>
  <c r="F33" i="19"/>
  <c r="G33" i="19"/>
  <c r="H33" i="19"/>
  <c r="I33" i="19"/>
  <c r="J33" i="19"/>
  <c r="K33" i="19"/>
  <c r="L33" i="19"/>
  <c r="M33" i="19"/>
  <c r="N33" i="19"/>
  <c r="C21" i="19"/>
  <c r="C22" i="19"/>
  <c r="C24" i="19"/>
  <c r="C25" i="19"/>
  <c r="C26" i="19"/>
  <c r="C27" i="19"/>
  <c r="C28" i="19"/>
  <c r="C29" i="19"/>
  <c r="C30" i="19"/>
  <c r="C31" i="19"/>
  <c r="C32" i="19"/>
  <c r="D1" i="9"/>
  <c r="I91" i="9"/>
  <c r="I46" i="8"/>
  <c r="I30" i="8"/>
  <c r="D1" i="6"/>
  <c r="I34" i="6"/>
  <c r="I31" i="6"/>
  <c r="I25" i="6"/>
  <c r="D1" i="5"/>
  <c r="I32" i="5"/>
  <c r="I29" i="5"/>
  <c r="I28" i="5"/>
  <c r="D1" i="4"/>
  <c r="I42" i="4"/>
  <c r="D1" i="3"/>
  <c r="I45" i="3"/>
  <c r="I42" i="3"/>
  <c r="I41" i="3"/>
  <c r="D1" i="2"/>
  <c r="I69" i="2"/>
  <c r="I66" i="2"/>
  <c r="I50" i="2"/>
  <c r="I44" i="2"/>
  <c r="I30" i="2"/>
  <c r="I31" i="2"/>
  <c r="I32" i="2"/>
  <c r="I33" i="2"/>
  <c r="I34" i="2"/>
  <c r="I35" i="2"/>
  <c r="I36" i="2"/>
  <c r="I37" i="2"/>
  <c r="I38" i="2"/>
  <c r="I29" i="2"/>
  <c r="I72" i="1"/>
  <c r="D1" i="1" s="1"/>
  <c r="C23" i="19" s="1"/>
  <c r="I36" i="1"/>
  <c r="N21" i="19"/>
  <c r="N22" i="19"/>
  <c r="N23" i="19"/>
  <c r="N24" i="19"/>
  <c r="N25" i="19"/>
  <c r="N26" i="19"/>
  <c r="N27" i="19"/>
  <c r="N28" i="19"/>
  <c r="N29" i="19"/>
  <c r="N30" i="19"/>
  <c r="N31" i="19"/>
  <c r="N32" i="19"/>
  <c r="M21" i="19"/>
  <c r="M22" i="19"/>
  <c r="M23" i="19"/>
  <c r="M24" i="19"/>
  <c r="M25" i="19"/>
  <c r="M26" i="19"/>
  <c r="M27" i="19"/>
  <c r="M28" i="19"/>
  <c r="M29" i="19"/>
  <c r="M30" i="19"/>
  <c r="M31" i="19"/>
  <c r="M32" i="19"/>
  <c r="L21" i="19"/>
  <c r="L22" i="19"/>
  <c r="L23" i="19"/>
  <c r="L24" i="19"/>
  <c r="L25" i="19"/>
  <c r="L26" i="19"/>
  <c r="L27" i="19"/>
  <c r="L28" i="19"/>
  <c r="L29" i="19"/>
  <c r="L30" i="19"/>
  <c r="L31" i="19"/>
  <c r="L32" i="19"/>
  <c r="K21" i="19"/>
  <c r="K22" i="19"/>
  <c r="K23" i="19"/>
  <c r="K24" i="19"/>
  <c r="K25" i="19"/>
  <c r="K26" i="19"/>
  <c r="K27" i="19"/>
  <c r="K28" i="19"/>
  <c r="K29" i="19"/>
  <c r="K30" i="19"/>
  <c r="K31" i="19"/>
  <c r="K32" i="19"/>
  <c r="J21" i="19"/>
  <c r="J22" i="19"/>
  <c r="J23" i="19"/>
  <c r="J24" i="19"/>
  <c r="J25" i="19"/>
  <c r="J26" i="19"/>
  <c r="J27" i="19"/>
  <c r="J28" i="19"/>
  <c r="J29" i="19"/>
  <c r="J30" i="19"/>
  <c r="J31" i="19"/>
  <c r="J32" i="19"/>
  <c r="I21" i="19"/>
  <c r="I22" i="19"/>
  <c r="I23" i="19"/>
  <c r="I24" i="19"/>
  <c r="I25" i="19"/>
  <c r="I26" i="19"/>
  <c r="I27" i="19"/>
  <c r="I28" i="19"/>
  <c r="I29" i="19"/>
  <c r="I30" i="19"/>
  <c r="I31" i="19"/>
  <c r="I32" i="19"/>
  <c r="H21" i="19"/>
  <c r="H22" i="19"/>
  <c r="H23" i="19"/>
  <c r="H24" i="19"/>
  <c r="H25" i="19"/>
  <c r="H26" i="19"/>
  <c r="H27" i="19"/>
  <c r="H28" i="19"/>
  <c r="H29" i="19"/>
  <c r="H30" i="19"/>
  <c r="H31" i="19"/>
  <c r="H32" i="19"/>
  <c r="G21" i="19"/>
  <c r="G22" i="19"/>
  <c r="G23" i="19"/>
  <c r="G24" i="19"/>
  <c r="G25" i="19"/>
  <c r="G26" i="19"/>
  <c r="G27" i="19"/>
  <c r="G28" i="19"/>
  <c r="G29" i="19"/>
  <c r="G30" i="19"/>
  <c r="G31" i="19"/>
  <c r="G32" i="19"/>
  <c r="F21" i="19"/>
  <c r="F22" i="19"/>
  <c r="F23" i="19"/>
  <c r="F24" i="19"/>
  <c r="F25" i="19"/>
  <c r="F26" i="19"/>
  <c r="F27" i="19"/>
  <c r="F28" i="19"/>
  <c r="F29" i="19"/>
  <c r="F30" i="19"/>
  <c r="F31" i="19"/>
  <c r="F32" i="19"/>
  <c r="E21" i="19"/>
  <c r="E22" i="19"/>
  <c r="E23" i="19"/>
  <c r="E24" i="19"/>
  <c r="E25" i="19"/>
  <c r="E26" i="19"/>
  <c r="E27" i="19"/>
  <c r="E28" i="19"/>
  <c r="E29" i="19"/>
  <c r="E30" i="19"/>
  <c r="E31" i="19"/>
  <c r="E32" i="19"/>
  <c r="N20" i="19"/>
  <c r="M20" i="19"/>
  <c r="L20" i="19"/>
  <c r="K20" i="19"/>
  <c r="J20" i="19"/>
  <c r="I20" i="19"/>
  <c r="H20" i="19"/>
  <c r="G20" i="19"/>
  <c r="F20" i="19"/>
  <c r="E20" i="19"/>
  <c r="D21" i="19"/>
  <c r="D22" i="19"/>
  <c r="D23" i="19"/>
  <c r="D24" i="19"/>
  <c r="D25" i="19"/>
  <c r="D26" i="19"/>
  <c r="D27" i="19"/>
  <c r="D28" i="19"/>
  <c r="D29" i="19"/>
  <c r="D30" i="19"/>
  <c r="D31" i="19"/>
  <c r="D32" i="19"/>
  <c r="D20" i="19"/>
  <c r="C20" i="19"/>
  <c r="B20" i="19"/>
  <c r="B21" i="19"/>
  <c r="B22" i="19"/>
  <c r="B23" i="19"/>
  <c r="B24" i="19"/>
  <c r="B25" i="19"/>
  <c r="B26" i="19"/>
  <c r="B27" i="19"/>
  <c r="B28" i="19"/>
  <c r="B29" i="19"/>
  <c r="B30" i="19"/>
  <c r="B31" i="19"/>
  <c r="B32" i="19"/>
  <c r="B4" i="17"/>
  <c r="D7" i="8"/>
  <c r="F22" i="1"/>
  <c r="E22" i="1"/>
  <c r="C10" i="13"/>
  <c r="D20" i="9"/>
  <c r="C20" i="9"/>
  <c r="F15" i="6"/>
  <c r="B15" i="6"/>
  <c r="B9" i="3"/>
  <c r="D22" i="1"/>
  <c r="B22" i="1"/>
  <c r="D12" i="2"/>
  <c r="B12" i="2"/>
  <c r="B11" i="4"/>
  <c r="B11" i="5"/>
  <c r="D13" i="8"/>
  <c r="E12" i="10"/>
  <c r="D12" i="10"/>
  <c r="T32" i="19" l="1"/>
  <c r="T24" i="19"/>
  <c r="T29" i="19"/>
  <c r="T21" i="19"/>
  <c r="T28" i="19"/>
  <c r="T27" i="19"/>
  <c r="T26" i="19"/>
  <c r="T33" i="19"/>
  <c r="T25" i="19"/>
  <c r="T31" i="19"/>
  <c r="T23" i="19"/>
  <c r="T30" i="19"/>
  <c r="T22" i="19"/>
  <c r="T20" i="19"/>
</calcChain>
</file>

<file path=xl/sharedStrings.xml><?xml version="1.0" encoding="utf-8"?>
<sst xmlns="http://schemas.openxmlformats.org/spreadsheetml/2006/main" count="1012" uniqueCount="666">
  <si>
    <t>S3</t>
  </si>
  <si>
    <t>EC2</t>
  </si>
  <si>
    <t>Data in is free</t>
  </si>
  <si>
    <t>Data out 100GB free for each month than</t>
  </si>
  <si>
    <t>Streams</t>
  </si>
  <si>
    <t>Per stream</t>
  </si>
  <si>
    <t>Data retrieval per GB</t>
  </si>
  <si>
    <t>Data Ingestion per GB</t>
  </si>
  <si>
    <t>Firehose</t>
  </si>
  <si>
    <t xml:space="preserve">Round to nearest GB number: Ex:- </t>
  </si>
  <si>
    <t>M4xLarge</t>
  </si>
  <si>
    <t>Ingestion pricing is tiered and billed per GB ingested in 5KB increments (a 3KB record is billed as 5KB, a 12KB record is billed as 15KB, etc.)</t>
  </si>
  <si>
    <t>Ingestion per GB</t>
  </si>
  <si>
    <t>Format Conversion</t>
  </si>
  <si>
    <t>Dynamic partitions</t>
  </si>
  <si>
    <t>Per 1000GB S3 Objects delivered</t>
  </si>
  <si>
    <t>Analytics</t>
  </si>
  <si>
    <t>KPU: Kinesis Processing Units</t>
  </si>
  <si>
    <t>KPU per hour</t>
  </si>
  <si>
    <t>Durable Application Backups</t>
  </si>
  <si>
    <t>KPU Per hour for studio notebooks</t>
  </si>
  <si>
    <t xml:space="preserve">Running Application Storage, Per GB-Month </t>
  </si>
  <si>
    <t>Running Application Storage, Per GB-Month for studio notebooks</t>
  </si>
  <si>
    <t>Cloudformation</t>
  </si>
  <si>
    <t>Free Tier</t>
  </si>
  <si>
    <t>1000 handler per account per month</t>
  </si>
  <si>
    <t>Handler Operation</t>
  </si>
  <si>
    <t>0.0009 per handler operation</t>
  </si>
  <si>
    <t>Handler operation duration</t>
  </si>
  <si>
    <t>Total private resource handler operations</t>
  </si>
  <si>
    <t>100 resources * 30</t>
  </si>
  <si>
    <t>Ttotal handler duration overage</t>
  </si>
  <si>
    <t>2 hours * 3600</t>
  </si>
  <si>
    <t>Total Bill= (Resource handler operations -Free Tier) * 
                  price per handler + duration overage * price per second</t>
  </si>
  <si>
    <t>(3000-1000) * 0.0009 + 7200 * 0.00008</t>
  </si>
  <si>
    <t>Lambda</t>
  </si>
  <si>
    <t>X86 Price</t>
  </si>
  <si>
    <t>Arm Price</t>
  </si>
  <si>
    <t>Duration</t>
  </si>
  <si>
    <t>Requests</t>
  </si>
  <si>
    <t>(Per GB)</t>
  </si>
  <si>
    <t>(PerGB)</t>
  </si>
  <si>
    <t>Memory(512 MB)</t>
  </si>
  <si>
    <t>Ephemeral Storage</t>
  </si>
  <si>
    <t>Provisioned Concurrency</t>
  </si>
  <si>
    <t>SNS</t>
  </si>
  <si>
    <t>Standard Topic</t>
  </si>
  <si>
    <t>Notification Deliveries</t>
  </si>
  <si>
    <t>Per million</t>
  </si>
  <si>
    <t>Mobile</t>
  </si>
  <si>
    <t>http(s)</t>
  </si>
  <si>
    <t>KDF</t>
  </si>
  <si>
    <t>1 million Notifications</t>
  </si>
  <si>
    <t>Email/Email-Json</t>
  </si>
  <si>
    <t>SQS</t>
  </si>
  <si>
    <t>No Charges for deliveries.
Standard SQS Pricing applies.
Data Transfer Chages Applies</t>
  </si>
  <si>
    <t>Standard SQS Pricing applies.
Data Transfer Chages Applies</t>
  </si>
  <si>
    <t>Data Transfer Charges</t>
  </si>
  <si>
    <t>First 1 million are free than</t>
  </si>
  <si>
    <t>Note: each message we need consider is 64kb here</t>
  </si>
  <si>
    <t>https://aws.amazon.com/sns/pricing/</t>
  </si>
  <si>
    <t>https://aws.amazon.com/lambda/pricing/</t>
  </si>
  <si>
    <t>Data transfer</t>
  </si>
  <si>
    <t>FreeTier</t>
  </si>
  <si>
    <t>First 1 million</t>
  </si>
  <si>
    <t>In</t>
  </si>
  <si>
    <t>Out</t>
  </si>
  <si>
    <t>Free</t>
  </si>
  <si>
    <t>Standard Queues</t>
  </si>
  <si>
    <t>FIFO Queues</t>
  </si>
  <si>
    <t>Charges</t>
  </si>
  <si>
    <t>Std queues</t>
  </si>
  <si>
    <t>FIFO</t>
  </si>
  <si>
    <t>Storage</t>
  </si>
  <si>
    <t>Data Transfer</t>
  </si>
  <si>
    <t>Management &amp; Analytics</t>
  </si>
  <si>
    <t>Replication</t>
  </si>
  <si>
    <t>S3 Object Lambda</t>
  </si>
  <si>
    <t>per GB</t>
  </si>
  <si>
    <t>On-Demand Hourly rate</t>
  </si>
  <si>
    <t>We considered minimum here</t>
  </si>
  <si>
    <t>Note:</t>
  </si>
  <si>
    <t>https://aws.amazon.com/ec2/pricing/on-demand/</t>
  </si>
  <si>
    <t>spot-instance hourly rate</t>
  </si>
  <si>
    <t>$0.0654 per Hour(Unix/Linux)</t>
  </si>
  <si>
    <t>$0.2484 per Hour(Windows)</t>
  </si>
  <si>
    <t>AWS Glue</t>
  </si>
  <si>
    <t>Data Catalog Storage And Requests</t>
  </si>
  <si>
    <t>first million</t>
  </si>
  <si>
    <t>1.00 per 100,000 objects</t>
  </si>
  <si>
    <t>Fist Million</t>
  </si>
  <si>
    <t>per Million per month</t>
  </si>
  <si>
    <t>Per million per month</t>
  </si>
  <si>
    <t>$1.00 per million requests above 1M in a month</t>
  </si>
  <si>
    <t>Note: We won't have 100000 tables</t>
  </si>
  <si>
    <t>AWS Crawler</t>
  </si>
  <si>
    <t>$0.44 per DPU-Hour, billed per second, with a 10-minute minimum per crawler run</t>
  </si>
  <si>
    <t>ETL Jobs and Development end points</t>
  </si>
  <si>
    <t>DataBrew Interaction Sessions</t>
  </si>
  <si>
    <t>DataBrew Jobs</t>
  </si>
  <si>
    <t>On-demand</t>
  </si>
  <si>
    <t>Spot Instance</t>
  </si>
  <si>
    <t>???</t>
  </si>
  <si>
    <t>Windows</t>
  </si>
  <si>
    <t>m instances</t>
  </si>
  <si>
    <t>r instances</t>
  </si>
  <si>
    <t>t instances</t>
  </si>
  <si>
    <t>a instances</t>
  </si>
  <si>
    <t>Standard</t>
  </si>
  <si>
    <t>https</t>
  </si>
  <si>
    <t>https://aws.amazon.com/lake-formation/pricing/</t>
  </si>
  <si>
    <t>Lake Formation</t>
  </si>
  <si>
    <t>Data Filtering</t>
  </si>
  <si>
    <t>Transaction Metadata Storage and Requests</t>
  </si>
  <si>
    <t>$2.25 per TB of data scanned</t>
  </si>
  <si>
    <t>$1.00 per 100,000 S3 objects, per month</t>
  </si>
  <si>
    <t>$1.00 per million request, per month</t>
  </si>
  <si>
    <t>Storage Optimizer</t>
  </si>
  <si>
    <t>$2.25 per TB of data processed</t>
  </si>
  <si>
    <t>Athena</t>
  </si>
  <si>
    <t>$5.00 per TB of data scanned</t>
  </si>
  <si>
    <t>https://aws.amazon.com/athena/pricing/?nc=sn&amp;loc=3</t>
  </si>
  <si>
    <t>EMR</t>
  </si>
  <si>
    <t xml:space="preserve">EMR on EC2 </t>
  </si>
  <si>
    <t>Master:</t>
  </si>
  <si>
    <t>EMR: 1 instance x 0.048 USD hourly x (100 / 100 utilized/month) x 730 hours in a month = 35.04 per month</t>
  </si>
  <si>
    <t>EC2: 1 instance x 0.192 USD hourly x (100 / 100 utilized/month) x 730 hours in a month = 140.16 per month</t>
  </si>
  <si>
    <r>
      <t>For EBS storage, 0.10 *  </t>
    </r>
    <r>
      <rPr>
        <sz val="14"/>
        <color rgb="FF16191F"/>
        <rFont val="Helvetica Neue"/>
        <family val="2"/>
      </rPr>
      <t>0.931323 * 64 * 1 = $5.96 USD</t>
    </r>
  </si>
  <si>
    <t>Core:</t>
  </si>
  <si>
    <t>EMR: 7 instance x 0.048 USD hourly x (100 / 100 utilized/month) x 730 hours in a month = 245.28 per month</t>
  </si>
  <si>
    <t>EC2: 7 instance x 0.192 USD hourly x (100 / 100 utilized/month) x 730 hours in a month = 981.12 per month</t>
  </si>
  <si>
    <r>
      <t>For EBS storage, 0.10 *  </t>
    </r>
    <r>
      <rPr>
        <sz val="14"/>
        <color rgb="FF16191F"/>
        <rFont val="Helvetica Neue"/>
        <family val="2"/>
      </rPr>
      <t>0.931323 * 64 * 7 = $41.72 USD</t>
    </r>
  </si>
  <si>
    <t>For Root EBS storage, 0.10 *  0.931323 * 10 * 1 = $0.931323 USD</t>
  </si>
  <si>
    <r>
      <t>Total Charges: 35.04 + 140.16 + 245.28 + 981.12 = 1401.6 USD + (5.96 + </t>
    </r>
    <r>
      <rPr>
        <sz val="14"/>
        <color rgb="FF16191F"/>
        <rFont val="Helvetica Neue"/>
        <family val="2"/>
      </rPr>
      <t>0.931323) = $1408.49 USD</t>
    </r>
  </si>
  <si>
    <t>Per Month</t>
  </si>
  <si>
    <t>Total Charges</t>
  </si>
  <si>
    <t>Redshift Spectrum</t>
  </si>
  <si>
    <t>$5.00 per terabyte of data scanned</t>
  </si>
  <si>
    <t>DynamoDB</t>
  </si>
  <si>
    <t>Redshift</t>
  </si>
  <si>
    <t>RA3</t>
  </si>
  <si>
    <t>DC2</t>
  </si>
  <si>
    <t>d instances</t>
  </si>
  <si>
    <t>p instances</t>
  </si>
  <si>
    <t>g instances</t>
  </si>
  <si>
    <t>x instances</t>
  </si>
  <si>
    <t>z Instances</t>
  </si>
  <si>
    <t>I Instances</t>
  </si>
  <si>
    <t>h Instances</t>
  </si>
  <si>
    <t>S3 Glacier Instant Retrieval</t>
  </si>
  <si>
    <t>S3 Glacier Flexible Retrieval</t>
  </si>
  <si>
    <t>S3 Glacier Deep Archive</t>
  </si>
  <si>
    <t>Storage(per GB)</t>
  </si>
  <si>
    <t>Glacier instant Retrieval</t>
  </si>
  <si>
    <t>Flexible Retrieval</t>
  </si>
  <si>
    <t>Deep Archive</t>
  </si>
  <si>
    <t>Assumptions</t>
  </si>
  <si>
    <t>1KB</t>
  </si>
  <si>
    <t>Payload(Event/Record)</t>
  </si>
  <si>
    <t>one recod/event is 1KB</t>
  </si>
  <si>
    <t>For 1 million records</t>
  </si>
  <si>
    <t>~1GB</t>
  </si>
  <si>
    <t>All tools calculations are made with minimum assumptions</t>
  </si>
  <si>
    <t>PUT, COPY, POST, LIST</t>
  </si>
  <si>
    <t>GET, SELECT, and all other requests</t>
  </si>
  <si>
    <t>S3 Select &amp; S3 Glacier Select pricing</t>
  </si>
  <si>
    <t>Data scanned (price per GB)</t>
  </si>
  <si>
    <t>Data returned (price per GB)</t>
  </si>
  <si>
    <t>N/A</t>
  </si>
  <si>
    <t>S3 Replication Time Control data transfer†</t>
  </si>
  <si>
    <t>S3 Cross-Region Replication, Same-Region Replication, 
and Replication Time Control</t>
  </si>
  <si>
    <t>S3 Batch Replication</t>
  </si>
  <si>
    <t>Batch Operations – Jobs</t>
  </si>
  <si>
    <t>Batch Operations – Objects</t>
  </si>
  <si>
    <t>per million objects processed</t>
  </si>
  <si>
    <t>1.00 </t>
  </si>
  <si>
    <t>Per Jobs</t>
  </si>
  <si>
    <t>Note: Obects here referrred are tables</t>
  </si>
  <si>
    <t>Throughput?</t>
  </si>
  <si>
    <t>(Difference between RA3 and DC2)
Note: DC2 nodes store your data locally for high performance, 
and as the data size grows, you can add more compute nodes to increase the storage capacity of the cluster. For datasets under 1 TB uncompressed, we recommend DC2 node types for the best performance at the lowest price. If you expect your data to grow, we recommend using RA3 nodes so you can size compute and storage independently to achieve the best price and performance.</t>
  </si>
  <si>
    <t>two-month free trial of our DC2 large node.
750 hours per month for free, enough to continuously 
run one DC2 large node with 160 GB of 
compressed SSD storage</t>
  </si>
  <si>
    <t>vCPU</t>
  </si>
  <si>
    <t>Memory</t>
  </si>
  <si>
    <t>Addressable storage capacity</t>
  </si>
  <si>
    <t>I/O</t>
  </si>
  <si>
    <t>Price</t>
  </si>
  <si>
    <t>Dense Compute DC2</t>
  </si>
  <si>
    <t>dc2.large</t>
  </si>
  <si>
    <t>15 GiB</t>
  </si>
  <si>
    <t>0.16TB SSD</t>
  </si>
  <si>
    <t>0.60 GB/s</t>
  </si>
  <si>
    <t>$0.25 per Hour</t>
  </si>
  <si>
    <t>dc2.8xlarge</t>
  </si>
  <si>
    <t>244 GiB</t>
  </si>
  <si>
    <t>2.56TB SSD</t>
  </si>
  <si>
    <t>7.50 GB/s</t>
  </si>
  <si>
    <t>$4.80 per Hour</t>
  </si>
  <si>
    <t>ra3.xlplus</t>
  </si>
  <si>
    <t>32 GiB</t>
  </si>
  <si>
    <t>32TB RMS</t>
  </si>
  <si>
    <t>0.65 GB/s</t>
  </si>
  <si>
    <t>$1.086 per Hour</t>
  </si>
  <si>
    <t>ra3.4xlarge</t>
  </si>
  <si>
    <t>96 GiB</t>
  </si>
  <si>
    <t>128TB RMS</t>
  </si>
  <si>
    <t>2.00 GB/s</t>
  </si>
  <si>
    <t>$3.26 per Hour</t>
  </si>
  <si>
    <t>ra3.16xlarge</t>
  </si>
  <si>
    <t>384 GiB</t>
  </si>
  <si>
    <t>8.00 GB/s</t>
  </si>
  <si>
    <t>$13.04 per Hour</t>
  </si>
  <si>
    <t>On Demand Cost</t>
  </si>
  <si>
    <t>You pay for data stored in managed storage at a fixed 
GB-month rate for your region. Managed storage 
comes exclusively with RA3 node types, and you 
pay the same low rate for Redshift managed storage 
regardless of data size. </t>
  </si>
  <si>
    <t>Amazon Redshift managed storage pricing</t>
  </si>
  <si>
    <t>Storage/month</t>
  </si>
  <si>
    <t>$0.024 per GB</t>
  </si>
  <si>
    <t>On Demand Capactiy Mode</t>
  </si>
  <si>
    <t>Read And Write Requests</t>
  </si>
  <si>
    <t>DynamoDB Standard table class</t>
  </si>
  <si>
    <t>Write Request Units (WRU)</t>
  </si>
  <si>
    <t>$1.25 per million write request units</t>
  </si>
  <si>
    <t>Read Request Units (RRU)</t>
  </si>
  <si>
    <t>$0.25 per million read request units</t>
  </si>
  <si>
    <t>$1.56 per million write request units</t>
  </si>
  <si>
    <t>$0.31 per million read request units</t>
  </si>
  <si>
    <t>DynamoDB Standard-Infrequent Access (DynamoDB Standard-IA) table class</t>
  </si>
  <si>
    <t>Data Storage</t>
  </si>
  <si>
    <t>First 25 GB stored per month is free using the DynamoDB Standard table class
$0.25 per GB-month thereafter</t>
  </si>
  <si>
    <t>$0.10 per GB-month</t>
  </si>
  <si>
    <t>In data</t>
  </si>
  <si>
    <t>Out Data</t>
  </si>
  <si>
    <t>$0.09 per GB</t>
  </si>
  <si>
    <t>25 GB of data storage for tables using the DynamoDB Standard table class</t>
  </si>
  <si>
    <t>2.5 million stream read requests from DynamoDB Streams</t>
  </si>
  <si>
    <t>100 GB of data transfer out to the internet, aggregated across all AWS Services and Regions (except China and GovCloud)</t>
  </si>
  <si>
    <t>Shards need to consider.</t>
  </si>
  <si>
    <t xml:space="preserve">Default </t>
  </si>
  <si>
    <t>24 hours</t>
  </si>
  <si>
    <t>From current AWS Usage</t>
  </si>
  <si>
    <t>Amazon Kinesis Firehose DynamicPartitioning</t>
  </si>
  <si>
    <t>$0.005 per thousand dynamically partitioned objects</t>
  </si>
  <si>
    <t>$0.02 per GB of dynamically partitioned data delivered</t>
  </si>
  <si>
    <t>Total</t>
  </si>
  <si>
    <t>Number of Charges</t>
  </si>
  <si>
    <t>Amazon Kinesis Firehose GetKinesisRecords</t>
  </si>
  <si>
    <t>Number Of Charges</t>
  </si>
  <si>
    <t>Tier 1 $0.029 per GB of data read from Kinesis Data Streams</t>
  </si>
  <si>
    <t>USD</t>
  </si>
  <si>
    <t>Total pre-tax charges in USD:</t>
  </si>
  <si>
    <t>$0.02 per GB of dynamically partitioned data delivered (In GBs)</t>
  </si>
  <si>
    <t>$0.005 per thousand dynamically partitioned objects( No. Of Objects</t>
  </si>
  <si>
    <t>Tier 1 $0.029 per GB of data read from Kinesis Data Streams(In GB)</t>
  </si>
  <si>
    <t>$0.015 per enhanced fan-out consumer-shard hour</t>
  </si>
  <si>
    <t>35,142.274 ConsumerShardHour</t>
  </si>
  <si>
    <t>Amazon Kinesis ConsumerHour</t>
  </si>
  <si>
    <t>Amazon Kinesis EnhancedFanoutDataRetrieval</t>
  </si>
  <si>
    <t>$0.013 per GB of data retrieved by consumers using enhanced fan-out</t>
  </si>
  <si>
    <t>638.905 GB</t>
  </si>
  <si>
    <t>Amazon Kinesis PutRequest</t>
  </si>
  <si>
    <t>$0.014 per 1 million payload units</t>
  </si>
  <si>
    <t>2,590,498,397 PutRequest</t>
  </si>
  <si>
    <t>Amazon Kinesis shardHourStorage</t>
  </si>
  <si>
    <t>$0.015 per provisioned shard-hour45</t>
  </si>
  <si>
    <t>117.626 ShardHour</t>
  </si>
  <si>
    <t>$0.020 per extended shard-hour</t>
  </si>
  <si>
    <t>7,073.154 ShardHour</t>
  </si>
  <si>
    <t>Amazon Elastic Compute Cloud NatGateway</t>
  </si>
  <si>
    <t>$0.045 per GB Data Processed by NAT Gateways</t>
  </si>
  <si>
    <t>834.449 GB</t>
  </si>
  <si>
    <t>$0.045 per NAT Gateway Hour</t>
  </si>
  <si>
    <t>(EC2 Discount @ 17%) $0.89889 per On Demand MAC1 Dedicated Host Hour</t>
  </si>
  <si>
    <t>USD 0.50</t>
  </si>
  <si>
    <t>USD 0.00</t>
  </si>
  <si>
    <t>Private rate per On Demand Linux c5.large Instance Hour3</t>
  </si>
  <si>
    <t>Private rate per On Demand Linux c5d.large Instance Hour</t>
  </si>
  <si>
    <t>Private rate per On Demand Linux m4.4xlarge Instance Hour4</t>
  </si>
  <si>
    <t>Private rate per On Demand Linux m4.xlarge Instance Hour</t>
  </si>
  <si>
    <t>Private rate per On Demand Linux m5.xlarge Instance Hour</t>
  </si>
  <si>
    <t>Private rate per On Demand Linux m6g.xlarge Instance Hour</t>
  </si>
  <si>
    <t>Private rate per On Demand Linux r5.4xlarge Instance Hour</t>
  </si>
  <si>
    <t>Private rate per On Demand Linux r5.8xlarge Instance Hour</t>
  </si>
  <si>
    <t>Private rate per On Demand Linux t1.micro Instance Hour</t>
  </si>
  <si>
    <t>Amazon Elastic Compute Cloud running Red Hat Enterprise Linux</t>
  </si>
  <si>
    <t>Private rate per On Demand RHEL t2.medium Instance Hour</t>
  </si>
  <si>
    <t>Number Of charges</t>
  </si>
  <si>
    <t>Amazon Elastic Compute Cloud running Windows</t>
  </si>
  <si>
    <t>Private rate per On Demand Windows t2.xlarge Instance Hour</t>
  </si>
  <si>
    <t>EBS</t>
  </si>
  <si>
    <t>$0.00 for 3500 Mbps per r5.4xlarge instance-hour (or partial hour)</t>
  </si>
  <si>
    <t>$0.05 per GB-Month of snapshot data stored - US West (Oregon)</t>
  </si>
  <si>
    <t>668.99 GB-Mo</t>
  </si>
  <si>
    <t>$0.065 per IOPS-month provisioned (io2) - US West (Oregon)</t>
  </si>
  <si>
    <t>2,583.333 IOPS-Mo</t>
  </si>
  <si>
    <t>$0.08 per GB-month of General Purpose (gp3) provisioned storage - US West (Oregon)</t>
  </si>
  <si>
    <t>1.667 GB-Mo</t>
  </si>
  <si>
    <t>$0.10 per GB-month of General Purpose SSD (gp2) provisioned storage - US West (Oregon)</t>
  </si>
  <si>
    <t>23,815.165 GB-Mo</t>
  </si>
  <si>
    <t>$0.125 per GB-month of Provisioned IOPS SSD (io2) provisioned storage - US West (Oregon)</t>
  </si>
  <si>
    <t>8.611 GB-month</t>
  </si>
  <si>
    <t>Elastic IP Addresses</t>
  </si>
  <si>
    <t>$0.005 per Elastic IP address not attached to a running instance per hour (prorated)</t>
  </si>
  <si>
    <t>Amazon Kinesis Analytics CreateSnapshot</t>
  </si>
  <si>
    <t>$0.023 per GB-month of durable application backups</t>
  </si>
  <si>
    <t>255.783 GB-month</t>
  </si>
  <si>
    <t>Amazon Kinesis Analytics StartApplication</t>
  </si>
  <si>
    <t>Number of charges</t>
  </si>
  <si>
    <t>$0.10 per GB-month of running application storage</t>
  </si>
  <si>
    <t>128.958 GB-month</t>
  </si>
  <si>
    <t>$0.10 per GB-month of running application storage for Studio notebooks</t>
  </si>
  <si>
    <t>873.611 GB-month</t>
  </si>
  <si>
    <t>$0.11 per Kinesis Processing Unit-hour for Apache Flink applications</t>
  </si>
  <si>
    <t>2,017 KPU-Hour</t>
  </si>
  <si>
    <t>$0.11 per Kinesis Processing Unit-hour for Studio notebooks</t>
  </si>
  <si>
    <t>15,096 KPU-Hour</t>
  </si>
  <si>
    <t>Amazon DynamoDB</t>
  </si>
  <si>
    <t>$0.00 per hour for 25 units of replicated write capacity for a month (free tier)</t>
  </si>
  <si>
    <t>630 ReplicatedWriteCapacityUnit-Hrs</t>
  </si>
  <si>
    <t>$0.00 per hour for 25 units of write capacity for a month (free tier)</t>
  </si>
  <si>
    <t>7,776 WriteCapacityUnit-Hrs</t>
  </si>
  <si>
    <t>$0.00013 per hour for units of read capacity beyond the free tier</t>
  </si>
  <si>
    <t>206,440 ReadCapacityUnit-Hrs</t>
  </si>
  <si>
    <t>$0.00065 per hour for units of write capacity beyond the free tier</t>
  </si>
  <si>
    <t>198,034 WriteCapacityUnit-Hrs</t>
  </si>
  <si>
    <t>$0.25 per million read request units (Oregon)</t>
  </si>
  <si>
    <t>120,595 ReadRequestUnits</t>
  </si>
  <si>
    <t>USD 0.03</t>
  </si>
  <si>
    <t>$1.25 per million write request units (Oregon)</t>
  </si>
  <si>
    <t>255,347 WriteRequestUnits</t>
  </si>
  <si>
    <t>Amazon DynamoDB PayPerRequestThroughput</t>
  </si>
  <si>
    <t>Amazon DynamoDB USW2-TimedBackupStorage-ByteHrs</t>
  </si>
  <si>
    <t>$0.10 per GB-Month of storage used for on-demand backup</t>
  </si>
  <si>
    <t>0 GB-Month</t>
  </si>
  <si>
    <t>Amazon DynamoDB USW2-TimedPITRStorage-ByteHrs</t>
  </si>
  <si>
    <t>$0.20 per GB-Month of storage used for DynamoDB PITR backup</t>
  </si>
  <si>
    <t>0 GB-Mo</t>
  </si>
  <si>
    <t>Amazon DynamoDB USW2-TimedStorage-ByteHrs</t>
  </si>
  <si>
    <t>$0.00 per GB-Month of storage for first 25 free GB-Months</t>
  </si>
  <si>
    <t>0.14 GB-Mo</t>
  </si>
  <si>
    <t>$0.25 per GB-Month of storage used beyond first 25 free GB-Months</t>
  </si>
  <si>
    <t>0.795 GB-Mo</t>
  </si>
  <si>
    <t>Amazon Redshift Node Usage</t>
  </si>
  <si>
    <t>$3.26 per Redshift RA3.4XL Compute Node-hour</t>
  </si>
  <si>
    <t>63.419 Hrs</t>
  </si>
  <si>
    <t>Amazon Redshift Node Usage Reserved Instances</t>
  </si>
  <si>
    <t>Redshift, ra3.4xlarge reserved instance applied</t>
  </si>
  <si>
    <t>4,962.921 Hrs</t>
  </si>
  <si>
    <t>Amazon Redshift USW2-CSFreeUsage:ra3.4xlarge</t>
  </si>
  <si>
    <t>$0.0 per Redshift Concurrency Scaling RA3.4XL Node-second - Free Usage</t>
  </si>
  <si>
    <t>480 seconds</t>
  </si>
  <si>
    <t>Amazon Redshift USW2-DataScanned</t>
  </si>
  <si>
    <t>$5 per TB of data scanned</t>
  </si>
  <si>
    <t>15.293 Terabytes</t>
  </si>
  <si>
    <t>Amazon Redshift USW2-RMS:ra3.4xlarge</t>
  </si>
  <si>
    <t>Storage charges with Redshift managed storage</t>
  </si>
  <si>
    <t>289,724.618 GB-Mo</t>
  </si>
  <si>
    <t>Amazon Redshift USW2-RMS:Serverless</t>
  </si>
  <si>
    <t>112.402 GB-Mo</t>
  </si>
  <si>
    <t>Amazon Simple Queue Service USW2-Requests-FIFO-Tier1</t>
  </si>
  <si>
    <t>$0.50 per million Amazon SQS FIFO requests in Tier1 in US West (Oregon)</t>
  </si>
  <si>
    <t>116,107 Requests</t>
  </si>
  <si>
    <t>Amazon Simple Queue Service USW2-Requests-Tier1</t>
  </si>
  <si>
    <t>$0.40 per million Amazon SQS standard requests in Tier1 in US West (Oregon)</t>
  </si>
  <si>
    <t>3,421,950 Requests</t>
  </si>
  <si>
    <t>Amazon Simple Notification Service USW2-DeliveryAttempts-SMTP</t>
  </si>
  <si>
    <t>$2.00 per 100,000 Amazon SNS Email/Email-JSON Notifications thereafter</t>
  </si>
  <si>
    <t>362 Notifications</t>
  </si>
  <si>
    <t>First 1,000 Amazon SNS Email/Email-JSON Notifications per month are free</t>
  </si>
  <si>
    <t>31 Notifications</t>
  </si>
  <si>
    <t>Amazon Simple Notification Service USW2-Requests-Tier1</t>
  </si>
  <si>
    <t>$0.50 per 1,000,000 Amazon SNS API Requests per month thereafter</t>
  </si>
  <si>
    <t>9,457 Requests</t>
  </si>
  <si>
    <t>First 1,000,000 Amazon SNS API Requests per month are free</t>
  </si>
  <si>
    <t>192 Requests</t>
  </si>
  <si>
    <t>AWS Glue CrawlerRun</t>
  </si>
  <si>
    <t>$0.44 per Data Processing Unit-Hour for AWS Glue crawler</t>
  </si>
  <si>
    <t>1.177 DPU-Hour</t>
  </si>
  <si>
    <t>AWS Glue Jobrun</t>
  </si>
  <si>
    <t>$0.44 per Data Processing Unit-Hour for AWS Glue ETL job</t>
  </si>
  <si>
    <t>21.963 DPU-Hour</t>
  </si>
  <si>
    <t>AWS Glue Request</t>
  </si>
  <si>
    <t>$0 for AWS Glue Data Catalog requests under the free tier</t>
  </si>
  <si>
    <t>73,981 Request</t>
  </si>
  <si>
    <t>$1 per 1,000,000 requests for AWS Glue Data Catalog request</t>
  </si>
  <si>
    <t>1,537,862 Request</t>
  </si>
  <si>
    <t>AWS Glue Storage</t>
  </si>
  <si>
    <t>$0 for AWS Glue Data Catalog storage under the free tier</t>
  </si>
  <si>
    <t>8,355.239 Obj-Month</t>
  </si>
  <si>
    <t>$1 per 100,000 objects per month for AWS Glue Data Catalog storage</t>
  </si>
  <si>
    <t>371,067.749 Obj-Month</t>
  </si>
  <si>
    <t>AWS Lambda USW2-Lambda-GB-Second</t>
  </si>
  <si>
    <t>AWS Lambda - Total Compute - US West (Oregon)-Tier-1</t>
  </si>
  <si>
    <t>15,087,461.511 Second</t>
  </si>
  <si>
    <t>AWS Lambda USW2-Lambda-Provisioned-Concurrency</t>
  </si>
  <si>
    <t>AWS Lambda - Provisioned Concurrency - US West (Oregon)</t>
  </si>
  <si>
    <t>2,826,000 Lambda-GB-Second</t>
  </si>
  <si>
    <t>AWS Lambda USW2-Lambda-Provisioned-GB-Second</t>
  </si>
  <si>
    <t>AWS Lambda - Total Compute (Provisioned) - US West (Oregon)</t>
  </si>
  <si>
    <t>1,717.584 Lambda-GB-Second</t>
  </si>
  <si>
    <t>AWS Lambda USW2-Lambda-Storage-GB-Second</t>
  </si>
  <si>
    <t>AWS Lambda - Ephemeral Storage - US West (Oregon)</t>
  </si>
  <si>
    <t>15.756 GB-Seconds</t>
  </si>
  <si>
    <t>AWS Lambda USW2-Request</t>
  </si>
  <si>
    <t>AWS Lambda - Total Requests - US West (Oregon)</t>
  </si>
  <si>
    <t>9,244,086 Requests</t>
  </si>
  <si>
    <t>Glue</t>
  </si>
  <si>
    <t>LF</t>
  </si>
  <si>
    <t>CF</t>
  </si>
  <si>
    <t>CW</t>
  </si>
  <si>
    <t>KS</t>
  </si>
  <si>
    <t>KA</t>
  </si>
  <si>
    <t>KF</t>
  </si>
  <si>
    <t>PH2</t>
  </si>
  <si>
    <t>PH3</t>
  </si>
  <si>
    <t>KS_Cost</t>
  </si>
  <si>
    <t>S3_Cost</t>
  </si>
  <si>
    <t>EC2_Cost</t>
  </si>
  <si>
    <t>KA_Cost</t>
  </si>
  <si>
    <t>KF_Cost</t>
  </si>
  <si>
    <t>Lambda_Cost</t>
  </si>
  <si>
    <t>Glue_Cost</t>
  </si>
  <si>
    <t>SNS_Cost</t>
  </si>
  <si>
    <t>SQS_Cost</t>
  </si>
  <si>
    <t>Data Ingestion-Flow1</t>
  </si>
  <si>
    <t>Redshift_Cost</t>
  </si>
  <si>
    <t>LF_Cost</t>
  </si>
  <si>
    <t>Athena_Cost</t>
  </si>
  <si>
    <t>CF_Cost</t>
  </si>
  <si>
    <t>CW_Cost</t>
  </si>
  <si>
    <t>PH1_Cost</t>
  </si>
  <si>
    <t>PH2_Cost</t>
  </si>
  <si>
    <t>PH3_Cost</t>
  </si>
  <si>
    <t>Data Ingestion-Flow2</t>
  </si>
  <si>
    <t>Raw-Data-Flow2</t>
  </si>
  <si>
    <t>Processing/Transformation</t>
  </si>
  <si>
    <t>Log/Notify/Errors</t>
  </si>
  <si>
    <t>Codebase</t>
  </si>
  <si>
    <t>Code-Automation</t>
  </si>
  <si>
    <t>DESC/TOOLS</t>
  </si>
  <si>
    <t>Amazon Simple Storage Service USW2-Requests-Tier1</t>
  </si>
  <si>
    <t>$0.005 per 1,000 PUT, COPY, POST, or LIST requests</t>
  </si>
  <si>
    <t>133,077,805 Requests</t>
  </si>
  <si>
    <t>Amazon Simple Storage Service USW2-Requests-Tier2</t>
  </si>
  <si>
    <t>$0.004 per 10,000 GET and all other requests</t>
  </si>
  <si>
    <t>439,397,842 Requests</t>
  </si>
  <si>
    <t>Amazon Simple Storage Service USW2-Select-Returned-Bytes</t>
  </si>
  <si>
    <t>$0.0007 per GB - for bytes returned by S3 Select in Standard</t>
  </si>
  <si>
    <t>0.006 GB</t>
  </si>
  <si>
    <t>Amazon Simple Storage Service USW2-Select-Scanned-Bytes</t>
  </si>
  <si>
    <t>$0.00200 per GB - for bytes scanned by S3 Select in Standard</t>
  </si>
  <si>
    <t>0.056 GB</t>
  </si>
  <si>
    <t>Amazon Simple Storage Service USW2-TagStorage-TagHrs</t>
  </si>
  <si>
    <t>$0.01 per 10,000 tags</t>
  </si>
  <si>
    <t>4,437.067 Tag-Mo</t>
  </si>
  <si>
    <t>Amazon Simple Storage Service USW2-TimedStorage-ByteHrs</t>
  </si>
  <si>
    <t>$0.021 per GB - storage used / month over 500 TB</t>
  </si>
  <si>
    <t>24,205.283 GB-Mo</t>
  </si>
  <si>
    <t>USD 508.31</t>
  </si>
  <si>
    <t>$0.022 per GB - next 450 TB / month of storage used</t>
  </si>
  <si>
    <t>11,663.043 GB-Mo</t>
  </si>
  <si>
    <t>USD 256.59</t>
  </si>
  <si>
    <t>$0.023 per GB - first 50 TB / month of storage used</t>
  </si>
  <si>
    <t>1,341.459 GB-Mo</t>
  </si>
  <si>
    <t>USD 30.85</t>
  </si>
  <si>
    <t>Amazon Simple Storage Service USW2-TimedStorage-SIA-ByteHrs</t>
  </si>
  <si>
    <t>$0.0125 per GB-Month of storage used in Standard-Infrequent Access</t>
  </si>
  <si>
    <t>Amazon Simple Storage Service USW2-TimedStorage-SIA-SmObjects</t>
  </si>
  <si>
    <t>$0.0125 per GB-Month of storage used for small objects</t>
  </si>
  <si>
    <t>Cloudwatch</t>
  </si>
  <si>
    <t>Amazon Athena USW2-DataScannedInTB</t>
  </si>
  <si>
    <t>Data scanned per query in Terabytes</t>
  </si>
  <si>
    <t>0.1 Terabytes</t>
  </si>
  <si>
    <t>Amazon Elastic MapReduce USW2-BoxUsage:m4.4xlarge</t>
  </si>
  <si>
    <t>$0.24 per hour for EMR m4.4xlarge4,</t>
  </si>
  <si>
    <t>628.099 Hrs</t>
  </si>
  <si>
    <t>Amazon Elastic MapReduce USW2-BoxUsage:m5.xlarge</t>
  </si>
  <si>
    <t>Amazon Elastic MapReduce USW2-BoxUsage:m6g.xlarge</t>
  </si>
  <si>
    <t>Amazon Elastic MapReduce USW2-BoxUsage:r5.8xlarge</t>
  </si>
  <si>
    <t>$0.27 per hour for EMR r5.8xlarge</t>
  </si>
  <si>
    <t>3,384.635 Hrs</t>
  </si>
  <si>
    <t>$0.039 per hour for EMR m6g.xlarge</t>
  </si>
  <si>
    <t>384.455 Hrs</t>
  </si>
  <si>
    <t>$0.048 per hour for EMR m5.xlarge</t>
  </si>
  <si>
    <t>498.955 Hrs</t>
  </si>
  <si>
    <t>Amazon CloudWatch</t>
  </si>
  <si>
    <t>$0.01 per 1,000 metrics requested using GetMetricData API - US West (Oregon)</t>
  </si>
  <si>
    <t>36,552,406 Metrics</t>
  </si>
  <si>
    <t>$0.01 per 1,000 requests</t>
  </si>
  <si>
    <t>944,497 Requests</t>
  </si>
  <si>
    <t>$0.10 per alarm metric month (standard resolution) - US West (Oregon)</t>
  </si>
  <si>
    <t>465.79 Alarms</t>
  </si>
  <si>
    <t>$0.30 per metric-month for the first 10,000 metrics - US West (Oregon)</t>
  </si>
  <si>
    <t>39.647 Metrics</t>
  </si>
  <si>
    <t>AmazonCloudWatch PutLogEvents</t>
  </si>
  <si>
    <t>$0.25 per GB log data ingested for the next 20TB - US West (Oregon)</t>
  </si>
  <si>
    <t>6.999 GB</t>
  </si>
  <si>
    <t>$0.50 per GB log data ingested - US West (Oregon)</t>
  </si>
  <si>
    <t>627.424 GB</t>
  </si>
  <si>
    <t>$0.50 per GB log data ingested for the first 10TB - US West (Oregon)</t>
  </si>
  <si>
    <t>10.976 GB</t>
  </si>
  <si>
    <t>AmazonCloudWatch StartQuery</t>
  </si>
  <si>
    <t>$0.005 per GB log data scanned by CloudWatch Logs Insights queries - US West (Oregon)</t>
  </si>
  <si>
    <t>13.338 GB</t>
  </si>
  <si>
    <t>First 5GB per month of log data scanned by CloudWatch Logs Insights queries is free.</t>
  </si>
  <si>
    <t>3.279 GB</t>
  </si>
  <si>
    <t>AmazonCloudWatch USW2-TimedStorage-ByteHrs</t>
  </si>
  <si>
    <t>$0.03 per GB-mo of log storage - US West (Oregon)</t>
  </si>
  <si>
    <t>434.477 GB-Mo</t>
  </si>
  <si>
    <t>1,140,240,167 Requests</t>
  </si>
  <si>
    <t>7,417,253,907 Requests</t>
  </si>
  <si>
    <t>0 GB</t>
  </si>
  <si>
    <t>0.002 GB</t>
  </si>
  <si>
    <t>Amazon Simple Storage Service USW2-StorageAnalytics-ObjCount</t>
  </si>
  <si>
    <t>$0.10 per 1 million objects monitored in S3 Analytics</t>
  </si>
  <si>
    <t>71,225,064.9 Objects</t>
  </si>
  <si>
    <t>145.367 Tag-Mo</t>
  </si>
  <si>
    <t>$0.021 per GB - storage used / month over 500 TB615,</t>
  </si>
  <si>
    <t>747.751 GB-Mo</t>
  </si>
  <si>
    <t>333,056.102 GB-Mo</t>
  </si>
  <si>
    <t>37327.931 GB-Mo</t>
  </si>
  <si>
    <t>From current AWS Usage(Dev)</t>
  </si>
  <si>
    <t>From current AWS Usage(Prod)</t>
  </si>
  <si>
    <t>Amazon Elastic Compute Cloud running Linux/UNIX Spot Instances</t>
  </si>
  <si>
    <t>$0.00 for 2120 Mbps per m5.4xlarge instance-hour (or partial hour)</t>
  </si>
  <si>
    <t>$0.00 for 850 Mbps per m5.xlarge instance-hour (or partial hour)</t>
  </si>
  <si>
    <t>3,670.516 GB-Mo</t>
  </si>
  <si>
    <t>$0.065 per IOPS-month provisioned - US West (Oregon)</t>
  </si>
  <si>
    <t>44,027.778 IOPS-Mo</t>
  </si>
  <si>
    <t>19,575.276 GB-Mo</t>
  </si>
  <si>
    <t>$0.125 per GB-month of Provisioned IOPS SSD (io1) provisioned storage - US West (Oregon)</t>
  </si>
  <si>
    <t>3,654.306 GB-Mo</t>
  </si>
  <si>
    <t>m5.xlarge Linux/UNIX Spot Instance-hour in US West (Oregon) in VPC Zone #4</t>
  </si>
  <si>
    <t>Private rate per On Demand Linux c5.large Instance Hour</t>
  </si>
  <si>
    <t>Private rate per On Demand Linux m5.4xlarge Instance Hour</t>
  </si>
  <si>
    <t>Private rate per On Demand Linux m5a.2xlarge Instance Hour</t>
  </si>
  <si>
    <t>Private rate per On Demand Linux m5a.xlarge Instance Hour</t>
  </si>
  <si>
    <t>Private rate per On Demand Linux m6g.2xlarge Instance Hour</t>
  </si>
  <si>
    <t>Private rate per On Demand Linux r5.xlarge Instance Hour</t>
  </si>
  <si>
    <t>3,190.241 GB</t>
  </si>
  <si>
    <t>USD 0.643836 hourly fee per Redshift, ra3.4xlarge instance</t>
  </si>
  <si>
    <t>3,075,936 seconds</t>
  </si>
  <si>
    <t>804.063 Terabytes</t>
  </si>
  <si>
    <t>Storage charges with Redshift managed storage1,</t>
  </si>
  <si>
    <t>$0.015 per provisioned shard-hour</t>
  </si>
  <si>
    <t>28,970,213,061 PutRequest</t>
  </si>
  <si>
    <t>70,819.478 GB</t>
  </si>
  <si>
    <t>Amazon Kinesis Firehose DataFormatConversion</t>
  </si>
  <si>
    <t>$0.018 per GB of data format conversion</t>
  </si>
  <si>
    <t>67,872.845 GB</t>
  </si>
  <si>
    <t>2,057 Objects</t>
  </si>
  <si>
    <t>30.511 GB</t>
  </si>
  <si>
    <t>$0.070 per JQ processing hour</t>
  </si>
  <si>
    <t>1.599 hours</t>
  </si>
  <si>
    <t>68,425.164 GB</t>
  </si>
  <si>
    <t>Amazon Kinesis Firehose PutRecordBatch</t>
  </si>
  <si>
    <t>Tier 1 $0.029 per GB of data ingested</t>
  </si>
  <si>
    <t>2,093.278 GB</t>
  </si>
  <si>
    <t>219.652 GB-month</t>
  </si>
  <si>
    <t>2,588.611 GB-month</t>
  </si>
  <si>
    <t>40,536 KPU-Hour</t>
  </si>
  <si>
    <t>$0.11 per Kinesis Processing Unit-hour for SQL applications</t>
  </si>
  <si>
    <t>19,807 KPU-Hour</t>
  </si>
  <si>
    <t>AWS Lambda - Total Compute - US West (Oregon)-Tier-12</t>
  </si>
  <si>
    <t>901,068 Request</t>
  </si>
  <si>
    <t>101,843,895 Request</t>
  </si>
  <si>
    <t>USD 566.22</t>
  </si>
  <si>
    <t>986,865.817 Obj-Month</t>
  </si>
  <si>
    <t>56,622,046.553 Obj-Month</t>
  </si>
  <si>
    <t>Amazon Simple Notification Service USW2-DeliveryAttempts-HTTP</t>
  </si>
  <si>
    <t>$0.06 per 100,000 Amazon SNS HTTP/HTTPS Notifications thereafter</t>
  </si>
  <si>
    <t>40 Notifications</t>
  </si>
  <si>
    <t>Amazon Simple Notification Service USW2-DeliveryAttempts-LAMBDA</t>
  </si>
  <si>
    <t>There is no charge for Lambda Notifications</t>
  </si>
  <si>
    <t>2 Notifications</t>
  </si>
  <si>
    <t>8,048 Notifications</t>
  </si>
  <si>
    <t>313 Notifications</t>
  </si>
  <si>
    <t>Amazon Simple Notification Service USW2-DeliveryAttempts-SQS</t>
  </si>
  <si>
    <t>There is no charge for SQS Notifications</t>
  </si>
  <si>
    <t>2,700,190 Notifications</t>
  </si>
  <si>
    <t>2,722,194 Requests</t>
  </si>
  <si>
    <t>Amazon Simple Notification Service USW2-SMS-Price-ROW</t>
  </si>
  <si>
    <t>Variable Pricing for Amazon SNS SMS Notifications to Rest Of World (non-US)</t>
  </si>
  <si>
    <t>0.798 Dollars</t>
  </si>
  <si>
    <t>Amazon Simple Notification Service USW2-SMS-Price-US-Tollfree</t>
  </si>
  <si>
    <t>Price of SMS messages sent to US using Toll-Free number(s)</t>
  </si>
  <si>
    <t>0.145 dollars</t>
  </si>
  <si>
    <t>Amazon Simple Notification Service USW2-SMS-Price-US-Tollfree-CarrierFee</t>
  </si>
  <si>
    <t>Carrier fee for SMS messages sent to US using Toll-Free number(s)</t>
  </si>
  <si>
    <t>0.063 dollars</t>
  </si>
  <si>
    <t>Amazon Simple Notification Service USW2-SMS-Sent-ROW</t>
  </si>
  <si>
    <t>Monthly SMS Sent (Rest of the World)</t>
  </si>
  <si>
    <t>11 Notifications</t>
  </si>
  <si>
    <t>Amazon Simple Notification Service USW2-SMS-Sent-US-Tollfree</t>
  </si>
  <si>
    <t>Number of SMS messages sent to US using Toll-Free number(s)</t>
  </si>
  <si>
    <t>25 Notifications</t>
  </si>
  <si>
    <t>Amazon Simple Notification Service USW2-SMS-Sent-US-Tollfree-CarrierFee</t>
  </si>
  <si>
    <t>Number of SMS messages sent to US using Toll-Free number(s) with Carrier Fees</t>
  </si>
  <si>
    <t>120,290 Requests</t>
  </si>
  <si>
    <t>2,648,802 Requests</t>
  </si>
  <si>
    <t>From current AWS Usage(DEV)</t>
  </si>
  <si>
    <t>$0.00 per hour for 25 units of read capacity for a month (free tier)</t>
  </si>
  <si>
    <t>1,944 ReadCapacityUnit-Hrs</t>
  </si>
  <si>
    <t>50,949 ReadCapacityUnit-Hrs</t>
  </si>
  <si>
    <t>52,893 WriteCapacityUnit-Hrs</t>
  </si>
  <si>
    <t>USD 0.05</t>
  </si>
  <si>
    <t>0.035 GB-Mo</t>
  </si>
  <si>
    <t>0.2 GB-Mo</t>
  </si>
  <si>
    <r>
      <t>m5.xlarge(EC2: </t>
    </r>
    <r>
      <rPr>
        <sz val="14"/>
        <color rgb="FF172B4D"/>
        <rFont val="Helvetica Neue"/>
        <family val="2"/>
      </rPr>
      <t>$0.192, EMR: $0.048)</t>
    </r>
    <r>
      <rPr>
        <b/>
        <sz val="14"/>
        <color rgb="FF172B4D"/>
        <rFont val="Helvetica Neue"/>
        <family val="2"/>
      </rPr>
      <t>(Per hour rate)</t>
    </r>
  </si>
  <si>
    <t>Amazon Elastic MapReduce USW2-BoxUsage:m5.4xlarge</t>
  </si>
  <si>
    <t>Amazon Elastic MapReduce USW2-BoxUsage:m5a.2xlarge</t>
  </si>
  <si>
    <t>Amazon Elastic MapReduce USW2-BoxUsage:m5a.xlarge</t>
  </si>
  <si>
    <t>Amazon Elastic MapReduce USW2-BoxUsage:r5.xlarge</t>
  </si>
  <si>
    <t>$0.192 per hour for EMR m5.4xlarge</t>
  </si>
  <si>
    <t>94.98 Hrs</t>
  </si>
  <si>
    <t>55,236.518 Hrs</t>
  </si>
  <si>
    <t>$0.086 per hour for EMR m5a.2xlarge</t>
  </si>
  <si>
    <t>65.586 Hrs</t>
  </si>
  <si>
    <t>$0.043 per hour for EMR m5a.xlarge</t>
  </si>
  <si>
    <t>32.146 Hrs</t>
  </si>
  <si>
    <t>227.247 Hrs</t>
  </si>
  <si>
    <t>6,650.5 Hrs</t>
  </si>
  <si>
    <t>$0.063 per hour for EMR r5.xlarge</t>
  </si>
  <si>
    <t>21,333.546 Hrs</t>
  </si>
  <si>
    <t>69,907,467 Metrics</t>
  </si>
  <si>
    <t>4,507,516 Requests</t>
  </si>
  <si>
    <t>252.131 Alarms</t>
  </si>
  <si>
    <t>977.59 Metrics</t>
  </si>
  <si>
    <t>35.296 GB</t>
  </si>
  <si>
    <t>784.418 GB</t>
  </si>
  <si>
    <t>57.876 GB</t>
  </si>
  <si>
    <t>5.069 GB</t>
  </si>
  <si>
    <t>1.406 GB</t>
  </si>
  <si>
    <t>USD 304.94</t>
  </si>
  <si>
    <t>Calculation per Prod</t>
  </si>
  <si>
    <t>Requests and Data Retrievals(per 1000 requests)</t>
  </si>
  <si>
    <t>Calculation Per Prod</t>
  </si>
  <si>
    <t>Hrs</t>
  </si>
  <si>
    <t>Assumption for 24</t>
  </si>
  <si>
    <t xml:space="preserve"> ConsumerShardHour</t>
  </si>
  <si>
    <t xml:space="preserve"> ShardHour</t>
  </si>
  <si>
    <t>Calcuation Per prod</t>
  </si>
  <si>
    <t>Assumption that we do same as prod</t>
  </si>
  <si>
    <t>Calculation per prod</t>
  </si>
  <si>
    <t xml:space="preserve"> Second</t>
  </si>
  <si>
    <t xml:space="preserve"> Requests</t>
  </si>
  <si>
    <t>Calculated Per Prod</t>
  </si>
  <si>
    <t xml:space="preserve"> DPU-Hour</t>
  </si>
  <si>
    <t>Assumed for 100k objects</t>
  </si>
  <si>
    <t>Calculated per Prod</t>
  </si>
  <si>
    <t>Assumed that 100000 email notifications</t>
  </si>
  <si>
    <t>Didn't quite anticipated</t>
  </si>
  <si>
    <t>100000 objects</t>
  </si>
  <si>
    <t>Claculated Per Prod</t>
  </si>
  <si>
    <t>calculated per prod</t>
  </si>
  <si>
    <t>Assumed our GB data is scanned multiple times which reached to 1TB</t>
  </si>
  <si>
    <t>GB-Month</t>
  </si>
  <si>
    <t>Assumption excluded the free tier and calculated</t>
  </si>
  <si>
    <t>Terabytes</t>
  </si>
  <si>
    <t>10,164.657 GB-Mo</t>
  </si>
  <si>
    <t>Just assumption</t>
  </si>
  <si>
    <t>No discounts considerations</t>
  </si>
  <si>
    <t>No free tier considerations</t>
  </si>
  <si>
    <t>EnablingDatToQuery</t>
  </si>
  <si>
    <t>Forwarding</t>
  </si>
  <si>
    <t>Raw-Data-Stroage</t>
  </si>
  <si>
    <t>Processed_Storage</t>
  </si>
  <si>
    <t>Note: We considered all different types of instances that are currently in use in prod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</si>
</sst>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000000000"/>
    <numFmt numFmtId="165" formatCode="0.00000000000"/>
  </numFmts>
  <fonts count="22">
    <font>
      <sz val="12"/>
      <color theme="1"/>
      <name val="Calibri"/>
      <family val="2"/>
      <scheme val="minor"/>
    </font>
    <font>
      <sz val="12"/>
      <color rgb="FFFF0000"/>
      <name val="Calibri"/>
      <family val="2"/>
      <scheme val="minor"/>
    </font>
    <font>
      <b/>
      <sz val="12"/>
      <color theme="1"/>
      <name val="Calibri"/>
      <family val="2"/>
      <scheme val="minor"/>
    </font>
    <font>
      <sz val="14"/>
      <color rgb="FF333333"/>
      <name val="Helvetica Neue"/>
      <family val="2"/>
    </font>
    <font>
      <b/>
      <sz val="18"/>
      <color theme="1"/>
      <name val="Calibri"/>
      <family val="2"/>
      <scheme val="minor"/>
    </font>
    <font>
      <u/>
      <sz val="12"/>
      <color theme="10"/>
      <name val="Calibri"/>
      <family val="2"/>
      <scheme val="minor"/>
    </font>
    <font>
      <sz val="14"/>
      <color rgb="FF16191F"/>
      <name val="Helvetica Neue"/>
      <family val="2"/>
    </font>
    <font>
      <sz val="14"/>
      <color rgb="FF172B4D"/>
      <name val="Helvetica Neue"/>
      <family val="2"/>
    </font>
    <font>
      <b/>
      <sz val="14"/>
      <color rgb="FF172B4D"/>
      <name val="Helvetica Neue"/>
      <family val="2"/>
    </font>
    <font>
      <sz val="14"/>
      <color rgb="FF333333"/>
      <name val="Helvetica Neue"/>
      <family val="2"/>
    </font>
    <font>
      <sz val="18"/>
      <color rgb="FFFF0000"/>
      <name val="Calibri"/>
      <family val="2"/>
      <scheme val="minor"/>
    </font>
    <font>
      <b/>
      <sz val="14"/>
      <color rgb="FF333333"/>
      <name val="Helvetica Neue"/>
      <family val="2"/>
    </font>
    <font>
      <sz val="16"/>
      <color theme="1"/>
      <name val="Calibri"/>
      <family val="2"/>
      <scheme val="minor"/>
    </font>
    <font>
      <b/>
      <sz val="18"/>
      <color rgb="FF16191F"/>
      <name val="Helvetica Neue"/>
      <family val="2"/>
    </font>
    <font>
      <b/>
      <sz val="14"/>
      <color rgb="FF16191F"/>
      <name val="Var(--font-family-base-ua1f64,&quot;"/>
    </font>
    <font>
      <b/>
      <sz val="14"/>
      <color theme="1"/>
      <name val="Calibri"/>
      <family val="2"/>
      <scheme val="minor"/>
    </font>
    <font>
      <b/>
      <sz val="12"/>
      <color theme="1"/>
      <name val="Var(--font-family-base-ua1f64,&quot;"/>
    </font>
    <font>
      <b/>
      <sz val="14"/>
      <color rgb="FF16191F"/>
      <name val="Helvetica Neue"/>
      <family val="2"/>
    </font>
    <font>
      <sz val="12"/>
      <color rgb="FF000000"/>
      <name val="Calibri"/>
      <family val="2"/>
      <scheme val="minor"/>
    </font>
    <font>
      <b/>
      <sz val="18"/>
      <color rgb="FF000000"/>
      <name val="Calibri"/>
      <family val="2"/>
      <scheme val="minor"/>
    </font>
    <font>
      <b/>
      <sz val="18"/>
      <color rgb="FF16191F"/>
      <name val="Var(--font-family-base-ua1f64,&quot;"/>
    </font>
    <font>
      <sz val="11"/>
      <color theme="1"/>
      <name val="Helvetica Neue"/>
      <family val="2"/>
    </font>
  </fonts>
  <fills count="1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6" tint="0.59999389629810485"/>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92D050"/>
        <bgColor rgb="FF000000"/>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xf numFmtId="0" fontId="2" fillId="0" borderId="0" xfId="0" applyFont="1"/>
    <xf numFmtId="0" fontId="4" fillId="0" borderId="0" xfId="0" applyFont="1"/>
    <xf numFmtId="0" fontId="0" fillId="2" borderId="0" xfId="0" applyFill="1"/>
    <xf numFmtId="3" fontId="0" fillId="0" borderId="0" xfId="0" applyNumberFormat="1"/>
    <xf numFmtId="0" fontId="0" fillId="0" borderId="0" xfId="0" applyAlignment="1">
      <alignment vertical="top" wrapText="1"/>
    </xf>
    <xf numFmtId="0" fontId="1" fillId="0" borderId="0" xfId="0" applyFont="1"/>
    <xf numFmtId="0" fontId="5" fillId="0" borderId="0" xfId="1"/>
    <xf numFmtId="0" fontId="0" fillId="2" borderId="0" xfId="0" applyFill="1" applyAlignment="1">
      <alignment horizontal="center"/>
    </xf>
    <xf numFmtId="8" fontId="0" fillId="2" borderId="0" xfId="0" applyNumberFormat="1" applyFill="1"/>
    <xf numFmtId="0" fontId="0" fillId="3" borderId="0" xfId="0" applyFill="1"/>
    <xf numFmtId="8" fontId="0" fillId="3" borderId="0" xfId="0" applyNumberFormat="1" applyFill="1"/>
    <xf numFmtId="2" fontId="3" fillId="0" borderId="0" xfId="0" applyNumberFormat="1" applyFont="1"/>
    <xf numFmtId="164" fontId="3" fillId="0" borderId="0" xfId="0" applyNumberFormat="1" applyFont="1"/>
    <xf numFmtId="165" fontId="0" fillId="3" borderId="0" xfId="0" applyNumberFormat="1" applyFill="1"/>
    <xf numFmtId="164" fontId="0" fillId="3" borderId="0" xfId="0" applyNumberFormat="1" applyFill="1"/>
    <xf numFmtId="0" fontId="2" fillId="3" borderId="0" xfId="0" applyFont="1" applyFill="1"/>
    <xf numFmtId="0" fontId="8" fillId="0" borderId="0" xfId="0" applyFont="1"/>
    <xf numFmtId="0" fontId="7" fillId="0" borderId="0" xfId="0" applyFont="1"/>
    <xf numFmtId="0" fontId="6" fillId="0" borderId="0" xfId="0" applyFont="1"/>
    <xf numFmtId="0" fontId="7" fillId="3" borderId="0" xfId="0" applyFont="1" applyFill="1"/>
    <xf numFmtId="0" fontId="9" fillId="0" borderId="0" xfId="0" applyFont="1"/>
    <xf numFmtId="0" fontId="10" fillId="0" borderId="0" xfId="0" applyFont="1"/>
    <xf numFmtId="0" fontId="11" fillId="0" borderId="0" xfId="0" applyFont="1"/>
    <xf numFmtId="2" fontId="0" fillId="0" borderId="0" xfId="0" applyNumberFormat="1"/>
    <xf numFmtId="0" fontId="2" fillId="4" borderId="0" xfId="0" applyFont="1" applyFill="1" applyAlignment="1">
      <alignment horizontal="center"/>
    </xf>
    <xf numFmtId="0" fontId="2" fillId="4" borderId="0" xfId="0" applyFont="1" applyFill="1"/>
    <xf numFmtId="0" fontId="2" fillId="0" borderId="0" xfId="0" applyFont="1" applyAlignment="1">
      <alignment wrapText="1"/>
    </xf>
    <xf numFmtId="0" fontId="12" fillId="0" borderId="0" xfId="0" applyFont="1" applyAlignment="1">
      <alignment wrapText="1"/>
    </xf>
    <xf numFmtId="0" fontId="2" fillId="5" borderId="0" xfId="0" applyFont="1" applyFill="1"/>
    <xf numFmtId="0" fontId="3" fillId="0" borderId="0" xfId="0" applyFont="1" applyAlignment="1">
      <alignment vertical="top" wrapText="1"/>
    </xf>
    <xf numFmtId="0" fontId="2" fillId="0" borderId="0" xfId="0" applyFont="1" applyAlignment="1">
      <alignment horizontal="center" wrapText="1"/>
    </xf>
    <xf numFmtId="0" fontId="2" fillId="0" borderId="0" xfId="0" applyFont="1" applyAlignment="1">
      <alignment horizontal="center"/>
    </xf>
    <xf numFmtId="0" fontId="2" fillId="4"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vertical="center"/>
    </xf>
    <xf numFmtId="0" fontId="4" fillId="4" borderId="0" xfId="0" applyFont="1"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7" borderId="0" xfId="0" applyFill="1"/>
    <xf numFmtId="0" fontId="11" fillId="7" borderId="0" xfId="0" applyFont="1" applyFill="1"/>
    <xf numFmtId="0" fontId="13" fillId="0" borderId="0" xfId="0" applyFont="1"/>
    <xf numFmtId="0" fontId="14" fillId="0" borderId="0" xfId="0" applyFont="1"/>
    <xf numFmtId="0" fontId="15" fillId="0" borderId="0" xfId="0" applyFont="1"/>
    <xf numFmtId="0" fontId="4" fillId="8" borderId="0" xfId="0" applyFont="1" applyFill="1"/>
    <xf numFmtId="0" fontId="16" fillId="0" borderId="0" xfId="0" applyFont="1"/>
    <xf numFmtId="0" fontId="17" fillId="0" borderId="0" xfId="0" applyFont="1"/>
    <xf numFmtId="4" fontId="0" fillId="0" borderId="0" xfId="0" applyNumberFormat="1"/>
    <xf numFmtId="0" fontId="18" fillId="0" borderId="0" xfId="0" applyFont="1"/>
    <xf numFmtId="0" fontId="0" fillId="9" borderId="0" xfId="0" applyFill="1"/>
    <xf numFmtId="0" fontId="11" fillId="6" borderId="0" xfId="0" applyFont="1" applyFill="1"/>
    <xf numFmtId="0" fontId="0" fillId="8" borderId="0" xfId="0" applyFill="1"/>
    <xf numFmtId="0" fontId="0" fillId="10" borderId="0" xfId="0" applyFill="1"/>
    <xf numFmtId="0" fontId="4" fillId="10" borderId="0" xfId="0" applyFont="1" applyFill="1"/>
    <xf numFmtId="0" fontId="19" fillId="11" borderId="0" xfId="0" applyFont="1" applyFill="1"/>
    <xf numFmtId="4" fontId="16" fillId="0" borderId="0" xfId="0" applyNumberFormat="1" applyFont="1"/>
    <xf numFmtId="0" fontId="20" fillId="0" borderId="0" xfId="0" applyFont="1"/>
    <xf numFmtId="0" fontId="21" fillId="0" borderId="0" xfId="0" applyFont="1"/>
    <xf numFmtId="0" fontId="0" fillId="5" borderId="0" xfId="0" applyFill="1"/>
  </cellXfs>
  <cellStyles count="2">
    <cellStyle name="Hyperlink" xfId="1" builtinId="8"/>
    <cellStyle name="Normal" xfId="0" builtinId="0"/>
  </cellStyles>
  <dxfs count="22">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C489AE-4F40-2049-9C11-D89FB01E18BC}" name="Table2" displayName="Table2" ref="A3:R17" totalsRowShown="0" headerRowDxfId="20">
  <autoFilter ref="A3:R17" xr:uid="{14C489AE-4F40-2049-9C11-D89FB01E18BC}"/>
  <tableColumns count="18">
    <tableColumn id="1" xr3:uid="{B456560B-8551-CD4B-8728-0187B7C04944}" name="DESC/TOOLS" dataDxfId="21"/>
    <tableColumn id="2" xr3:uid="{B7B0DEF4-D28C-C441-8334-82A50107C4BD}" name="KS"/>
    <tableColumn id="3" xr3:uid="{595F7CC9-3820-3547-8576-91B37CA903DF}" name="S3"/>
    <tableColumn id="4" xr3:uid="{CF1F19E0-9994-FB49-B86C-14B2DAB80479}" name="EC2"/>
    <tableColumn id="5" xr3:uid="{3241E133-C8DE-7C47-AA96-2CFE18C60320}" name="KA"/>
    <tableColumn id="6" xr3:uid="{50FB1F95-1CCC-F24B-BEA2-3BA45096CBD2}" name="KF"/>
    <tableColumn id="7" xr3:uid="{64B51CCC-6E3B-EB4A-A53F-9846678AEF26}" name="Lambda"/>
    <tableColumn id="8" xr3:uid="{6535C175-1A69-5B42-AE64-9CD4DF6ABC45}" name="Glue"/>
    <tableColumn id="9" xr3:uid="{D376E699-463E-4146-9710-3C5A3D175F5B}" name="SNS"/>
    <tableColumn id="10" xr3:uid="{BBB49708-5097-9241-91B3-1C3ADFE4EF77}" name="SQS"/>
    <tableColumn id="11" xr3:uid="{3B840F55-0294-034E-9DB0-8272D5C36BF4}" name="Redshift"/>
    <tableColumn id="12" xr3:uid="{6E0198BB-5143-CA4D-965E-F234DFD9DCEF}" name="LF"/>
    <tableColumn id="13" xr3:uid="{75BF2068-9387-DD49-85FB-A1DC48D88F9B}" name="Athena"/>
    <tableColumn id="14" xr3:uid="{F2E2B4AE-1A6E-0C45-A119-A6A207282E89}" name="CF"/>
    <tableColumn id="15" xr3:uid="{A8DFBC59-E735-5B4C-AFA8-D878AB4B299C}" name="CW"/>
    <tableColumn id="16" xr3:uid="{CEAB5742-C904-F344-A35D-9E41B440F4BC}" name="EMR"/>
    <tableColumn id="17" xr3:uid="{CB3FFF81-F4DF-CF4F-A924-7BF4F63715E0}" name="PH2"/>
    <tableColumn id="18" xr3:uid="{F87F7233-EC8D-9D4F-9F79-365826AD8D47}" name="PH3"/>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E1E2AC-8D73-5841-BB32-E84D19CD0847}" name="Table3" displayName="Table3" ref="A19:R33" totalsRowShown="0" headerRowDxfId="1" dataDxfId="2">
  <autoFilter ref="A19:R33" xr:uid="{98E1E2AC-8D73-5841-BB32-E84D19CD0847}"/>
  <tableColumns count="18">
    <tableColumn id="1" xr3:uid="{1F84CB38-4405-844F-BFF8-3E2DD3D68514}" name="DESC/TOOLS" dataDxfId="19"/>
    <tableColumn id="2" xr3:uid="{135DFDF2-CF66-E24E-BD67-964B8B8794D3}" name="KS_Cost" dataDxfId="18">
      <calculatedColumnFormula>IF(AND(B4=1,A4=A20),Kinesis_Streams!D$1,0)</calculatedColumnFormula>
    </tableColumn>
    <tableColumn id="3" xr3:uid="{95F45523-3AA5-FC45-811F-0170BBAEBBA3}" name="S3_Cost" dataDxfId="17">
      <calculatedColumnFormula>IF(AND(C4=1,A4=A20),S3_Cost_Analysis!D$1,0)</calculatedColumnFormula>
    </tableColumn>
    <tableColumn id="4" xr3:uid="{BBDB5EC1-5FA1-3E44-B1DD-EA97192493C1}" name="EC2_Cost" dataDxfId="16">
      <calculatedColumnFormula>IF(AND(D4=1,A4=A20),EC2_Cost_Analysis!D$1,0)</calculatedColumnFormula>
    </tableColumn>
    <tableColumn id="5" xr3:uid="{B6C6D063-F447-6744-87A8-61DAB2A12BA0}" name="KA_Cost" dataDxfId="15">
      <calculatedColumnFormula>IF(AND(E4=1,A4=A20),Kinesis_Analytics!D1,0)</calculatedColumnFormula>
    </tableColumn>
    <tableColumn id="6" xr3:uid="{39DDB799-0387-164D-BF48-11E0582E5ECF}" name="KF_Cost" dataDxfId="14">
      <calculatedColumnFormula>IF(AND(F4=1,A4=A20),Kinesis_Firehose!D$1,0)</calculatedColumnFormula>
    </tableColumn>
    <tableColumn id="7" xr3:uid="{BAB3120C-7DC1-5844-8BE6-136C046509FF}" name="Lambda_Cost" dataDxfId="13">
      <calculatedColumnFormula>IF(AND(G4=1,A4=A20),Lambda_Analysis!D$1,0)</calculatedColumnFormula>
    </tableColumn>
    <tableColumn id="8" xr3:uid="{72FE7561-A771-324D-BE92-5D2B377A19A2}" name="Glue_Cost" dataDxfId="12">
      <calculatedColumnFormula>IF(AND(H4=1,A4=A20),AWS_Glue!D$1,0)</calculatedColumnFormula>
    </tableColumn>
    <tableColumn id="9" xr3:uid="{E5CA870F-F3EB-DF48-9059-D6190DFCFFDC}" name="SNS_Cost" dataDxfId="11">
      <calculatedColumnFormula>IF(AND(I4=1,A4=A20),AWS_SNS!D$1,0)</calculatedColumnFormula>
    </tableColumn>
    <tableColumn id="10" xr3:uid="{F7C069D2-BC85-F74B-BBB2-F28064505BC8}" name="SQS_Cost" dataDxfId="10">
      <calculatedColumnFormula>IF(AND(J4=1,A4=A20),AWS_SQS!D$1,0)</calculatedColumnFormula>
    </tableColumn>
    <tableColumn id="11" xr3:uid="{43F52758-36F8-4C45-9EC6-5697FFC0CC29}" name="Redshift_Cost" dataDxfId="9">
      <calculatedColumnFormula>IF(AND(K4=1,A4=A20),AWS_Redshift!D$1,0)</calculatedColumnFormula>
    </tableColumn>
    <tableColumn id="12" xr3:uid="{5F9A509A-37F7-324E-B213-57D4A4EC33FF}" name="LF_Cost" dataDxfId="8">
      <calculatedColumnFormula>IF(AND(L4=1,A4=A20),AWS_LakeFormation!D$1,0)</calculatedColumnFormula>
    </tableColumn>
    <tableColumn id="13" xr3:uid="{312E5E81-0504-0B44-9C0B-1E353FC1A2AB}" name="Athena_Cost" dataDxfId="7">
      <calculatedColumnFormula>IF(AND(M4=1,A4=A20),AWS_Athena!D$1,0)</calculatedColumnFormula>
    </tableColumn>
    <tableColumn id="14" xr3:uid="{D9FBDFC4-694F-394B-B2C6-10B239243636}" name="CF_Cost" dataDxfId="6">
      <calculatedColumnFormula>IF(AND(N4=1,A4=A20),CloudFormation_Analysis!D$1,0)</calculatedColumnFormula>
    </tableColumn>
    <tableColumn id="15" xr3:uid="{FF833401-1DEA-E641-B838-8604B679BEBE}" name="CW_Cost" dataDxfId="0">
      <calculatedColumnFormula>IF(AND(O4=1,A4=A20),CloudWatch!D$1,0)</calculatedColumnFormula>
    </tableColumn>
    <tableColumn id="16" xr3:uid="{0E10496C-27C1-5445-9BFB-508551390A84}" name="PH1_Cost" dataDxfId="5">
      <calculatedColumnFormula>IF(AND(P4=1,A4=A20),AWS_EMR!D$1,0)</calculatedColumnFormula>
    </tableColumn>
    <tableColumn id="17" xr3:uid="{9B5323DC-8685-8C46-88F3-963F440C7D36}" name="PH2_Cost" dataDxfId="4"/>
    <tableColumn id="18" xr3:uid="{24EE7D03-11E0-E549-B4B4-00617D5F10D3}" name="PH3_Cost" dataDxfId="3"/>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aws.amazon.com/sns/pricing/"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ws.amazon.com/lake-formation/pric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ws.amazon.com/athena/pricing/?nc=sn&amp;loc=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hyperlink" Target="https://aws.amazon.com/lambda/pri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CFC7-0B54-5D40-8F1A-53E6721A5D9A}">
  <dimension ref="A2:C9"/>
  <sheetViews>
    <sheetView zoomScale="120" zoomScaleNormal="120" workbookViewId="0">
      <selection activeCell="B4" sqref="B4"/>
    </sheetView>
  </sheetViews>
  <sheetFormatPr baseColWidth="10" defaultRowHeight="16"/>
  <cols>
    <col min="1" max="1" width="18.5" customWidth="1"/>
    <col min="2" max="2" width="9.33203125" customWidth="1"/>
    <col min="3" max="3" width="20.1640625" bestFit="1" customWidth="1"/>
    <col min="4" max="4" width="5" customWidth="1"/>
    <col min="5" max="5" width="4.6640625" customWidth="1"/>
    <col min="6" max="6" width="4.33203125" customWidth="1"/>
    <col min="7" max="7" width="7.6640625" bestFit="1" customWidth="1"/>
    <col min="8" max="8" width="5" bestFit="1" customWidth="1"/>
    <col min="9" max="10" width="4.5" bestFit="1" customWidth="1"/>
    <col min="11" max="11" width="8" bestFit="1" customWidth="1"/>
    <col min="12" max="12" width="3" bestFit="1" customWidth="1"/>
    <col min="13" max="13" width="7" bestFit="1" customWidth="1"/>
    <col min="14" max="14" width="3.1640625" bestFit="1" customWidth="1"/>
    <col min="15" max="15" width="4" bestFit="1" customWidth="1"/>
    <col min="16" max="18" width="4.33203125" bestFit="1" customWidth="1"/>
    <col min="19" max="20" width="7.6640625" bestFit="1" customWidth="1"/>
    <col min="21" max="21" width="8.6640625" bestFit="1" customWidth="1"/>
    <col min="22" max="22" width="7.83203125" bestFit="1" customWidth="1"/>
    <col min="23" max="23" width="7.6640625" bestFit="1" customWidth="1"/>
    <col min="24" max="24" width="12.1640625" bestFit="1" customWidth="1"/>
    <col min="25" max="25" width="9.5" bestFit="1" customWidth="1"/>
    <col min="26" max="27" width="9" bestFit="1" customWidth="1"/>
  </cols>
  <sheetData>
    <row r="2" spans="1:3" ht="24">
      <c r="A2" s="5" t="s">
        <v>156</v>
      </c>
    </row>
    <row r="3" spans="1:3">
      <c r="A3" t="s">
        <v>158</v>
      </c>
      <c r="B3" t="s">
        <v>157</v>
      </c>
      <c r="C3" t="s">
        <v>159</v>
      </c>
    </row>
    <row r="4" spans="1:3">
      <c r="A4" t="s">
        <v>160</v>
      </c>
      <c r="B4">
        <f>1024*1024</f>
        <v>1048576</v>
      </c>
      <c r="C4" t="s">
        <v>161</v>
      </c>
    </row>
    <row r="5" spans="1:3">
      <c r="C5" t="s">
        <v>237</v>
      </c>
    </row>
    <row r="6" spans="1:3">
      <c r="C6" t="s">
        <v>650</v>
      </c>
    </row>
    <row r="7" spans="1:3">
      <c r="C7" t="s">
        <v>660</v>
      </c>
    </row>
    <row r="8" spans="1:3">
      <c r="C8" t="s">
        <v>659</v>
      </c>
    </row>
    <row r="9" spans="1:3" ht="24">
      <c r="A9" s="25" t="s">
        <v>81</v>
      </c>
      <c r="B9" s="25" t="s">
        <v>162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FE48-C788-5649-92FA-E91A933FB189}">
  <dimension ref="A1:J91"/>
  <sheetViews>
    <sheetView topLeftCell="B36" workbookViewId="0">
      <selection activeCell="I23" sqref="I23"/>
    </sheetView>
  </sheetViews>
  <sheetFormatPr baseColWidth="10" defaultRowHeight="16"/>
  <cols>
    <col min="1" max="1" width="99.6640625" bestFit="1" customWidth="1"/>
    <col min="2" max="2" width="44" bestFit="1" customWidth="1"/>
    <col min="4" max="4" width="19.5" bestFit="1" customWidth="1"/>
    <col min="5" max="5" width="98.83203125" bestFit="1" customWidth="1"/>
    <col min="6" max="6" width="20.33203125" bestFit="1" customWidth="1"/>
    <col min="9" max="9" width="17.1640625" bestFit="1" customWidth="1"/>
  </cols>
  <sheetData>
    <row r="1" spans="1:5" ht="24">
      <c r="A1" s="5" t="s">
        <v>45</v>
      </c>
      <c r="B1" s="10" t="s">
        <v>60</v>
      </c>
      <c r="D1">
        <f>I91</f>
        <v>3.51</v>
      </c>
    </row>
    <row r="3" spans="1:5">
      <c r="A3" s="29" t="s">
        <v>46</v>
      </c>
      <c r="B3" s="4"/>
    </row>
    <row r="5" spans="1:5">
      <c r="A5" s="4" t="s">
        <v>39</v>
      </c>
      <c r="B5" s="4" t="s">
        <v>48</v>
      </c>
    </row>
    <row r="6" spans="1:5">
      <c r="B6" t="s">
        <v>58</v>
      </c>
      <c r="C6" s="6">
        <v>0.5</v>
      </c>
    </row>
    <row r="7" spans="1:5">
      <c r="B7" s="9" t="s">
        <v>59</v>
      </c>
    </row>
    <row r="10" spans="1:5">
      <c r="A10" s="29" t="s">
        <v>47</v>
      </c>
      <c r="B10" s="4"/>
      <c r="C10" t="s">
        <v>48</v>
      </c>
      <c r="D10" t="s">
        <v>24</v>
      </c>
      <c r="E10" t="s">
        <v>57</v>
      </c>
    </row>
    <row r="11" spans="1:5">
      <c r="E11" s="38">
        <v>0.09</v>
      </c>
    </row>
    <row r="12" spans="1:5">
      <c r="A12" t="s">
        <v>49</v>
      </c>
      <c r="C12" s="6">
        <v>0.5</v>
      </c>
      <c r="D12" t="s">
        <v>52</v>
      </c>
      <c r="E12" s="38"/>
    </row>
    <row r="13" spans="1:5">
      <c r="A13" t="s">
        <v>50</v>
      </c>
      <c r="C13" s="6">
        <v>0.6</v>
      </c>
      <c r="D13" s="7">
        <v>100000</v>
      </c>
      <c r="E13" s="38"/>
    </row>
    <row r="14" spans="1:5" ht="34">
      <c r="A14" t="s">
        <v>51</v>
      </c>
      <c r="B14" s="8" t="s">
        <v>56</v>
      </c>
      <c r="C14" s="6">
        <v>0.19</v>
      </c>
      <c r="E14" s="38"/>
    </row>
    <row r="15" spans="1:5">
      <c r="A15" t="s">
        <v>53</v>
      </c>
      <c r="C15" s="6">
        <v>10</v>
      </c>
      <c r="D15">
        <v>1000</v>
      </c>
      <c r="E15" s="38"/>
    </row>
    <row r="16" spans="1:5" ht="51">
      <c r="A16" t="s">
        <v>54</v>
      </c>
      <c r="B16" s="8" t="s">
        <v>55</v>
      </c>
      <c r="E16" s="38"/>
    </row>
    <row r="17" spans="1:9" ht="51">
      <c r="A17" t="s">
        <v>35</v>
      </c>
      <c r="B17" s="8" t="s">
        <v>55</v>
      </c>
      <c r="E17" s="38"/>
    </row>
    <row r="19" spans="1:9">
      <c r="C19" t="s">
        <v>49</v>
      </c>
      <c r="D19" t="s">
        <v>109</v>
      </c>
    </row>
    <row r="20" spans="1:9">
      <c r="B20" t="s">
        <v>70</v>
      </c>
      <c r="C20" s="13">
        <f>C6+C12+E11</f>
        <v>1.0900000000000001</v>
      </c>
      <c r="D20" s="13">
        <f>C6+C13+E11</f>
        <v>1.1900000000000002</v>
      </c>
    </row>
    <row r="23" spans="1:9" ht="24">
      <c r="A23" s="48" t="s">
        <v>519</v>
      </c>
      <c r="E23" s="57" t="s">
        <v>520</v>
      </c>
      <c r="I23" s="62" t="s">
        <v>651</v>
      </c>
    </row>
    <row r="26" spans="1:9" ht="23">
      <c r="A26" s="45" t="s">
        <v>363</v>
      </c>
      <c r="E26" s="45" t="s">
        <v>567</v>
      </c>
    </row>
    <row r="28" spans="1:9">
      <c r="A28" t="s">
        <v>245</v>
      </c>
      <c r="B28">
        <v>2</v>
      </c>
      <c r="E28" t="s">
        <v>245</v>
      </c>
      <c r="F28">
        <v>1</v>
      </c>
    </row>
    <row r="30" spans="1:9">
      <c r="A30" t="s">
        <v>364</v>
      </c>
      <c r="B30" t="s">
        <v>365</v>
      </c>
      <c r="C30">
        <v>0.01</v>
      </c>
      <c r="E30" t="s">
        <v>568</v>
      </c>
      <c r="F30" t="s">
        <v>569</v>
      </c>
      <c r="G30">
        <v>0</v>
      </c>
      <c r="I30">
        <v>0</v>
      </c>
    </row>
    <row r="31" spans="1:9">
      <c r="A31" t="s">
        <v>366</v>
      </c>
      <c r="B31" t="s">
        <v>367</v>
      </c>
      <c r="C31">
        <v>0</v>
      </c>
    </row>
    <row r="32" spans="1:9" ht="23">
      <c r="E32" s="45" t="s">
        <v>570</v>
      </c>
    </row>
    <row r="33" spans="1:10" ht="23">
      <c r="A33" s="45" t="s">
        <v>368</v>
      </c>
    </row>
    <row r="34" spans="1:10">
      <c r="E34" t="s">
        <v>245</v>
      </c>
      <c r="F34">
        <v>1</v>
      </c>
    </row>
    <row r="35" spans="1:10">
      <c r="A35" t="s">
        <v>369</v>
      </c>
      <c r="B35" t="s">
        <v>370</v>
      </c>
      <c r="C35">
        <v>0</v>
      </c>
      <c r="E35" t="s">
        <v>571</v>
      </c>
      <c r="F35" t="s">
        <v>572</v>
      </c>
      <c r="G35">
        <v>0</v>
      </c>
      <c r="I35">
        <v>0</v>
      </c>
    </row>
    <row r="36" spans="1:10">
      <c r="A36" t="s">
        <v>371</v>
      </c>
      <c r="B36" t="s">
        <v>372</v>
      </c>
      <c r="C36">
        <v>0</v>
      </c>
    </row>
    <row r="37" spans="1:10" ht="23">
      <c r="E37" s="45" t="s">
        <v>363</v>
      </c>
    </row>
    <row r="39" spans="1:10">
      <c r="E39" t="s">
        <v>245</v>
      </c>
      <c r="F39">
        <v>2</v>
      </c>
    </row>
    <row r="41" spans="1:10">
      <c r="E41" t="s">
        <v>364</v>
      </c>
      <c r="F41" t="s">
        <v>573</v>
      </c>
      <c r="G41">
        <v>0.16</v>
      </c>
      <c r="I41">
        <v>2</v>
      </c>
      <c r="J41" t="s">
        <v>648</v>
      </c>
    </row>
    <row r="42" spans="1:10">
      <c r="E42" t="s">
        <v>366</v>
      </c>
      <c r="F42" t="s">
        <v>574</v>
      </c>
      <c r="G42">
        <v>0</v>
      </c>
      <c r="I42">
        <v>0</v>
      </c>
    </row>
    <row r="44" spans="1:10" ht="23">
      <c r="E44" s="45" t="s">
        <v>575</v>
      </c>
    </row>
    <row r="46" spans="1:10">
      <c r="E46" t="s">
        <v>245</v>
      </c>
      <c r="F46">
        <v>1</v>
      </c>
    </row>
    <row r="48" spans="1:10">
      <c r="E48" t="s">
        <v>576</v>
      </c>
      <c r="F48" t="s">
        <v>577</v>
      </c>
      <c r="G48">
        <v>0</v>
      </c>
      <c r="I48">
        <v>0</v>
      </c>
    </row>
    <row r="50" spans="5:10" ht="23">
      <c r="E50" s="45" t="s">
        <v>368</v>
      </c>
    </row>
    <row r="52" spans="5:10">
      <c r="E52" t="s">
        <v>245</v>
      </c>
      <c r="F52">
        <v>1</v>
      </c>
    </row>
    <row r="53" spans="5:10">
      <c r="E53" t="s">
        <v>369</v>
      </c>
      <c r="F53" t="s">
        <v>578</v>
      </c>
      <c r="G53">
        <v>1.36</v>
      </c>
      <c r="I53">
        <v>0.5</v>
      </c>
    </row>
    <row r="55" spans="5:10" ht="23">
      <c r="E55" s="45" t="s">
        <v>579</v>
      </c>
    </row>
    <row r="57" spans="5:10">
      <c r="E57" t="s">
        <v>245</v>
      </c>
      <c r="F57">
        <v>1</v>
      </c>
    </row>
    <row r="59" spans="5:10">
      <c r="E59" t="s">
        <v>580</v>
      </c>
      <c r="F59" t="s">
        <v>581</v>
      </c>
      <c r="G59">
        <v>0.8</v>
      </c>
      <c r="I59">
        <v>0.8</v>
      </c>
      <c r="J59" t="s">
        <v>649</v>
      </c>
    </row>
    <row r="62" spans="5:10" ht="23">
      <c r="E62" s="45" t="s">
        <v>582</v>
      </c>
    </row>
    <row r="63" spans="5:10">
      <c r="E63" t="s">
        <v>245</v>
      </c>
      <c r="F63">
        <v>1</v>
      </c>
    </row>
    <row r="65" spans="5:9">
      <c r="E65" t="s">
        <v>583</v>
      </c>
      <c r="F65" t="s">
        <v>584</v>
      </c>
      <c r="G65">
        <v>0.15</v>
      </c>
      <c r="I65">
        <v>0.15</v>
      </c>
    </row>
    <row r="68" spans="5:9" ht="23">
      <c r="E68" s="45" t="s">
        <v>585</v>
      </c>
    </row>
    <row r="69" spans="5:9">
      <c r="E69" t="s">
        <v>305</v>
      </c>
      <c r="F69">
        <v>1</v>
      </c>
    </row>
    <row r="71" spans="5:9">
      <c r="E71" t="s">
        <v>586</v>
      </c>
      <c r="F71" t="s">
        <v>587</v>
      </c>
      <c r="G71">
        <v>0.06</v>
      </c>
      <c r="I71">
        <v>0.06</v>
      </c>
    </row>
    <row r="74" spans="5:9" ht="23">
      <c r="E74" s="45" t="s">
        <v>588</v>
      </c>
    </row>
    <row r="75" spans="5:9">
      <c r="E75" t="s">
        <v>305</v>
      </c>
      <c r="F75">
        <v>1</v>
      </c>
    </row>
    <row r="77" spans="5:9">
      <c r="E77" t="s">
        <v>589</v>
      </c>
      <c r="F77" t="s">
        <v>590</v>
      </c>
      <c r="G77">
        <v>0</v>
      </c>
      <c r="I77">
        <v>0</v>
      </c>
    </row>
    <row r="80" spans="5:9" ht="23">
      <c r="E80" s="45" t="s">
        <v>591</v>
      </c>
    </row>
    <row r="81" spans="5:9">
      <c r="E81" t="s">
        <v>305</v>
      </c>
      <c r="F81">
        <v>1</v>
      </c>
    </row>
    <row r="83" spans="5:9">
      <c r="E83" t="s">
        <v>592</v>
      </c>
      <c r="F83" t="s">
        <v>593</v>
      </c>
      <c r="G83">
        <v>0</v>
      </c>
      <c r="I83">
        <v>0</v>
      </c>
    </row>
    <row r="86" spans="5:9" ht="23">
      <c r="E86" s="45" t="s">
        <v>594</v>
      </c>
    </row>
    <row r="87" spans="5:9">
      <c r="E87" t="s">
        <v>305</v>
      </c>
      <c r="F87">
        <v>1</v>
      </c>
    </row>
    <row r="89" spans="5:9">
      <c r="E89" t="s">
        <v>595</v>
      </c>
      <c r="F89" t="s">
        <v>593</v>
      </c>
      <c r="G89">
        <v>0</v>
      </c>
      <c r="I89">
        <v>0</v>
      </c>
    </row>
    <row r="91" spans="5:9">
      <c r="I91">
        <f>SUM(I24:I89)</f>
        <v>3.51</v>
      </c>
    </row>
  </sheetData>
  <mergeCells count="1">
    <mergeCell ref="E11:E17"/>
  </mergeCells>
  <hyperlinks>
    <hyperlink ref="B1" r:id="rId1" xr:uid="{B88F3558-B717-374A-AC53-EDAFF36B0F2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DADE-2364-E545-B0FF-EF6A010B62CB}">
  <dimension ref="A1:I31"/>
  <sheetViews>
    <sheetView workbookViewId="0">
      <selection activeCell="D2" sqref="D2"/>
    </sheetView>
  </sheetViews>
  <sheetFormatPr baseColWidth="10" defaultRowHeight="16"/>
  <cols>
    <col min="1" max="1" width="88" bestFit="1" customWidth="1"/>
    <col min="2" max="2" width="20.6640625" bestFit="1" customWidth="1"/>
    <col min="3" max="3" width="11.33203125" bestFit="1" customWidth="1"/>
    <col min="5" max="5" width="88" bestFit="1" customWidth="1"/>
    <col min="6" max="6" width="17.33203125" bestFit="1" customWidth="1"/>
  </cols>
  <sheetData>
    <row r="1" spans="1:9" ht="24">
      <c r="A1" s="5" t="s">
        <v>54</v>
      </c>
      <c r="D1">
        <f>I31</f>
        <v>0.9</v>
      </c>
    </row>
    <row r="2" spans="1:9" ht="24">
      <c r="A2" s="5"/>
      <c r="B2" s="37" t="s">
        <v>68</v>
      </c>
      <c r="C2" s="37"/>
    </row>
    <row r="3" spans="1:9">
      <c r="B3" t="s">
        <v>63</v>
      </c>
      <c r="C3" t="s">
        <v>48</v>
      </c>
    </row>
    <row r="4" spans="1:9">
      <c r="A4" t="s">
        <v>39</v>
      </c>
      <c r="B4" t="s">
        <v>64</v>
      </c>
      <c r="C4" s="6">
        <v>0.4</v>
      </c>
    </row>
    <row r="5" spans="1:9">
      <c r="B5" s="36" t="s">
        <v>69</v>
      </c>
      <c r="C5" s="36"/>
    </row>
    <row r="6" spans="1:9">
      <c r="B6" s="1" t="s">
        <v>64</v>
      </c>
      <c r="C6" s="11">
        <v>0.5</v>
      </c>
    </row>
    <row r="8" spans="1:9">
      <c r="B8" t="s">
        <v>65</v>
      </c>
      <c r="C8" t="s">
        <v>66</v>
      </c>
    </row>
    <row r="9" spans="1:9">
      <c r="A9" t="s">
        <v>62</v>
      </c>
      <c r="B9" t="s">
        <v>67</v>
      </c>
      <c r="C9" s="6">
        <v>0.09</v>
      </c>
    </row>
    <row r="11" spans="1:9">
      <c r="D11" t="s">
        <v>71</v>
      </c>
      <c r="E11" t="s">
        <v>72</v>
      </c>
    </row>
    <row r="12" spans="1:9">
      <c r="C12" s="4" t="s">
        <v>70</v>
      </c>
      <c r="D12" s="13">
        <f>C4 + C9</f>
        <v>0.49</v>
      </c>
      <c r="E12" s="13">
        <f>C6+C9</f>
        <v>0.59</v>
      </c>
      <c r="I12" t="s">
        <v>647</v>
      </c>
    </row>
    <row r="16" spans="1:9" ht="24">
      <c r="A16" s="48" t="s">
        <v>238</v>
      </c>
      <c r="E16" s="57" t="s">
        <v>520</v>
      </c>
    </row>
    <row r="18" spans="1:9" ht="23">
      <c r="A18" s="45" t="s">
        <v>357</v>
      </c>
      <c r="E18" s="45" t="s">
        <v>357</v>
      </c>
    </row>
    <row r="20" spans="1:9">
      <c r="A20" t="s">
        <v>245</v>
      </c>
      <c r="B20">
        <v>1</v>
      </c>
      <c r="E20" t="s">
        <v>245</v>
      </c>
      <c r="F20">
        <v>1</v>
      </c>
    </row>
    <row r="22" spans="1:9">
      <c r="A22" t="s">
        <v>358</v>
      </c>
      <c r="B22" t="s">
        <v>359</v>
      </c>
      <c r="C22">
        <v>0.06</v>
      </c>
      <c r="E22" t="s">
        <v>358</v>
      </c>
      <c r="F22" t="s">
        <v>596</v>
      </c>
      <c r="G22">
        <v>0.06</v>
      </c>
      <c r="I22">
        <v>0.5</v>
      </c>
    </row>
    <row r="24" spans="1:9" ht="23">
      <c r="A24" s="45" t="s">
        <v>360</v>
      </c>
      <c r="E24" s="45" t="s">
        <v>360</v>
      </c>
    </row>
    <row r="25" spans="1:9">
      <c r="E25" t="s">
        <v>245</v>
      </c>
      <c r="F25">
        <v>1</v>
      </c>
    </row>
    <row r="26" spans="1:9">
      <c r="A26" t="s">
        <v>245</v>
      </c>
      <c r="B26">
        <v>1</v>
      </c>
    </row>
    <row r="28" spans="1:9">
      <c r="A28" t="s">
        <v>361</v>
      </c>
      <c r="B28" t="s">
        <v>362</v>
      </c>
      <c r="C28">
        <v>1.37</v>
      </c>
      <c r="E28" t="s">
        <v>361</v>
      </c>
      <c r="F28" t="s">
        <v>597</v>
      </c>
      <c r="G28">
        <v>1.06</v>
      </c>
      <c r="I28">
        <v>0.4</v>
      </c>
    </row>
    <row r="31" spans="1:9">
      <c r="I31">
        <f>SUM(I17:I28)</f>
        <v>0.9</v>
      </c>
    </row>
  </sheetData>
  <mergeCells count="2">
    <mergeCell ref="B2:C2"/>
    <mergeCell ref="B5:C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2C779-8D8A-4443-8DA9-AACA0324F448}">
  <dimension ref="A1:M57"/>
  <sheetViews>
    <sheetView topLeftCell="C1" workbookViewId="0">
      <selection activeCell="I29" sqref="I29"/>
    </sheetView>
  </sheetViews>
  <sheetFormatPr baseColWidth="10" defaultRowHeight="16"/>
  <cols>
    <col min="1" max="1" width="74.83203125" bestFit="1" customWidth="1"/>
    <col min="2" max="2" width="54" customWidth="1"/>
    <col min="4" max="4" width="35.6640625" bestFit="1" customWidth="1"/>
    <col min="5" max="5" width="74.83203125" bestFit="1" customWidth="1"/>
    <col min="6" max="6" width="18.33203125" bestFit="1" customWidth="1"/>
    <col min="8" max="8" width="5.6640625" customWidth="1"/>
    <col min="10" max="10" width="43.33203125" customWidth="1"/>
    <col min="11" max="11" width="35.6640625" bestFit="1" customWidth="1"/>
    <col min="12" max="12" width="12" bestFit="1" customWidth="1"/>
    <col min="13" max="13" width="17" bestFit="1" customWidth="1"/>
  </cols>
  <sheetData>
    <row r="1" spans="1:13" ht="155">
      <c r="A1" s="5" t="s">
        <v>139</v>
      </c>
      <c r="B1" s="30" t="s">
        <v>179</v>
      </c>
      <c r="D1">
        <f>I49</f>
        <v>20.534966887855649</v>
      </c>
    </row>
    <row r="3" spans="1:13" ht="107" customHeight="1">
      <c r="A3" t="s">
        <v>24</v>
      </c>
      <c r="B3" s="31" t="s">
        <v>180</v>
      </c>
    </row>
    <row r="4" spans="1:13" ht="24">
      <c r="A4" s="39" t="s">
        <v>211</v>
      </c>
      <c r="B4" s="39"/>
      <c r="C4" s="39"/>
      <c r="D4" s="39"/>
      <c r="E4" s="39"/>
      <c r="F4" s="39"/>
      <c r="G4" s="39"/>
      <c r="H4" s="39"/>
      <c r="I4" s="39"/>
      <c r="J4" s="39"/>
      <c r="K4" s="39"/>
      <c r="L4" s="39"/>
      <c r="M4" s="39"/>
    </row>
    <row r="5" spans="1:13">
      <c r="A5" s="32" t="s">
        <v>140</v>
      </c>
      <c r="G5" s="43"/>
      <c r="H5" s="32" t="s">
        <v>141</v>
      </c>
    </row>
    <row r="6" spans="1:13" ht="18">
      <c r="B6" s="26" t="s">
        <v>181</v>
      </c>
      <c r="C6" s="26" t="s">
        <v>182</v>
      </c>
      <c r="D6" s="26" t="s">
        <v>183</v>
      </c>
      <c r="E6" s="26" t="s">
        <v>184</v>
      </c>
      <c r="F6" s="26" t="s">
        <v>185</v>
      </c>
      <c r="G6" s="44"/>
      <c r="I6" s="26" t="s">
        <v>181</v>
      </c>
      <c r="J6" s="26" t="s">
        <v>182</v>
      </c>
      <c r="K6" s="26" t="s">
        <v>183</v>
      </c>
      <c r="L6" s="26" t="s">
        <v>184</v>
      </c>
      <c r="M6" s="26" t="s">
        <v>185</v>
      </c>
    </row>
    <row r="7" spans="1:13" ht="18">
      <c r="A7" s="3" t="s">
        <v>197</v>
      </c>
      <c r="B7" s="3">
        <v>4</v>
      </c>
      <c r="C7" s="3" t="s">
        <v>198</v>
      </c>
      <c r="D7" s="3" t="s">
        <v>199</v>
      </c>
      <c r="E7" s="3" t="s">
        <v>200</v>
      </c>
      <c r="F7" s="3" t="s">
        <v>201</v>
      </c>
      <c r="G7" s="43"/>
      <c r="H7" s="24" t="s">
        <v>186</v>
      </c>
    </row>
    <row r="8" spans="1:13" ht="18">
      <c r="A8" s="3" t="s">
        <v>202</v>
      </c>
      <c r="B8" s="3">
        <v>12</v>
      </c>
      <c r="C8" s="3" t="s">
        <v>203</v>
      </c>
      <c r="D8" s="3" t="s">
        <v>204</v>
      </c>
      <c r="E8" s="3" t="s">
        <v>205</v>
      </c>
      <c r="F8" s="3" t="s">
        <v>206</v>
      </c>
      <c r="G8" s="43"/>
      <c r="H8" s="3" t="s">
        <v>187</v>
      </c>
      <c r="I8" s="3">
        <v>2</v>
      </c>
      <c r="J8" s="3" t="s">
        <v>188</v>
      </c>
      <c r="K8" s="3" t="s">
        <v>189</v>
      </c>
      <c r="L8" s="3" t="s">
        <v>190</v>
      </c>
      <c r="M8" s="3" t="s">
        <v>191</v>
      </c>
    </row>
    <row r="9" spans="1:13" ht="18">
      <c r="A9" s="3" t="s">
        <v>207</v>
      </c>
      <c r="B9" s="3">
        <v>48</v>
      </c>
      <c r="C9" s="3" t="s">
        <v>208</v>
      </c>
      <c r="D9" s="3" t="s">
        <v>204</v>
      </c>
      <c r="E9" s="3" t="s">
        <v>209</v>
      </c>
      <c r="F9" s="3" t="s">
        <v>210</v>
      </c>
      <c r="G9" s="43"/>
      <c r="H9" s="3" t="s">
        <v>192</v>
      </c>
      <c r="I9" s="3">
        <v>32</v>
      </c>
      <c r="J9" s="3" t="s">
        <v>193</v>
      </c>
      <c r="K9" s="3" t="s">
        <v>194</v>
      </c>
      <c r="L9" s="3" t="s">
        <v>195</v>
      </c>
      <c r="M9" s="3" t="s">
        <v>196</v>
      </c>
    </row>
    <row r="11" spans="1:13" ht="18">
      <c r="A11" s="3" t="s">
        <v>136</v>
      </c>
      <c r="B11" s="3" t="s">
        <v>137</v>
      </c>
    </row>
    <row r="14" spans="1:13" ht="24">
      <c r="A14" s="39" t="s">
        <v>213</v>
      </c>
      <c r="B14" s="39"/>
    </row>
    <row r="16" spans="1:13" ht="171">
      <c r="B16" s="33" t="s">
        <v>212</v>
      </c>
    </row>
    <row r="19" spans="1:9">
      <c r="A19" t="s">
        <v>214</v>
      </c>
      <c r="B19" t="s">
        <v>215</v>
      </c>
    </row>
    <row r="22" spans="1:9" ht="24">
      <c r="A22" s="48" t="s">
        <v>519</v>
      </c>
      <c r="E22" s="58" t="s">
        <v>520</v>
      </c>
      <c r="I22" t="s">
        <v>652</v>
      </c>
    </row>
    <row r="24" spans="1:9" ht="23">
      <c r="A24" s="45" t="s">
        <v>340</v>
      </c>
      <c r="C24" t="s">
        <v>247</v>
      </c>
      <c r="E24" s="45" t="s">
        <v>343</v>
      </c>
    </row>
    <row r="26" spans="1:9">
      <c r="A26" t="s">
        <v>245</v>
      </c>
      <c r="B26">
        <v>1</v>
      </c>
      <c r="E26" t="s">
        <v>245</v>
      </c>
      <c r="F26">
        <v>2</v>
      </c>
    </row>
    <row r="27" spans="1:9">
      <c r="F27" t="s">
        <v>635</v>
      </c>
    </row>
    <row r="28" spans="1:9">
      <c r="A28" t="s">
        <v>341</v>
      </c>
      <c r="B28" t="s">
        <v>342</v>
      </c>
      <c r="C28">
        <v>206.75</v>
      </c>
      <c r="E28" t="s">
        <v>344</v>
      </c>
      <c r="F28" s="51">
        <v>20565.190999999999</v>
      </c>
      <c r="G28">
        <v>0</v>
      </c>
      <c r="I28">
        <v>0</v>
      </c>
    </row>
    <row r="29" spans="1:9">
      <c r="E29" t="s">
        <v>538</v>
      </c>
      <c r="F29" s="7">
        <v>28800</v>
      </c>
      <c r="G29">
        <v>18542.48</v>
      </c>
      <c r="I29">
        <f>(G29/F29)*24</f>
        <v>15.452066666666665</v>
      </c>
    </row>
    <row r="30" spans="1:9" ht="23">
      <c r="A30" s="45" t="s">
        <v>343</v>
      </c>
    </row>
    <row r="31" spans="1:9" ht="23">
      <c r="E31" s="45" t="s">
        <v>346</v>
      </c>
    </row>
    <row r="32" spans="1:9">
      <c r="A32" t="s">
        <v>245</v>
      </c>
      <c r="B32">
        <v>1</v>
      </c>
      <c r="E32" t="s">
        <v>245</v>
      </c>
      <c r="F32">
        <v>1</v>
      </c>
    </row>
    <row r="34" spans="1:10">
      <c r="A34" t="s">
        <v>344</v>
      </c>
      <c r="B34" t="s">
        <v>345</v>
      </c>
      <c r="C34">
        <v>0</v>
      </c>
      <c r="E34" t="s">
        <v>347</v>
      </c>
      <c r="F34" t="s">
        <v>539</v>
      </c>
      <c r="G34">
        <v>0</v>
      </c>
      <c r="I34">
        <v>0</v>
      </c>
    </row>
    <row r="36" spans="1:10" ht="23">
      <c r="A36" s="45" t="s">
        <v>346</v>
      </c>
      <c r="E36" s="45" t="s">
        <v>349</v>
      </c>
    </row>
    <row r="37" spans="1:10" ht="23">
      <c r="A37" s="45"/>
    </row>
    <row r="38" spans="1:10">
      <c r="A38" t="s">
        <v>245</v>
      </c>
      <c r="B38">
        <v>1</v>
      </c>
      <c r="E38" t="s">
        <v>245</v>
      </c>
      <c r="F38">
        <v>1</v>
      </c>
    </row>
    <row r="40" spans="1:10">
      <c r="A40" t="s">
        <v>347</v>
      </c>
      <c r="B40" t="s">
        <v>348</v>
      </c>
      <c r="C40">
        <v>0</v>
      </c>
      <c r="E40" t="s">
        <v>350</v>
      </c>
      <c r="F40" t="s">
        <v>540</v>
      </c>
      <c r="G40" s="51">
        <v>4020.32</v>
      </c>
      <c r="I40">
        <v>5</v>
      </c>
      <c r="J40" t="s">
        <v>653</v>
      </c>
    </row>
    <row r="42" spans="1:10" ht="23">
      <c r="A42" s="45" t="s">
        <v>349</v>
      </c>
    </row>
    <row r="43" spans="1:10" ht="23">
      <c r="E43" s="45" t="s">
        <v>352</v>
      </c>
    </row>
    <row r="44" spans="1:10">
      <c r="A44" t="s">
        <v>245</v>
      </c>
      <c r="B44">
        <v>1</v>
      </c>
    </row>
    <row r="45" spans="1:10">
      <c r="E45" t="s">
        <v>245</v>
      </c>
      <c r="F45">
        <v>1</v>
      </c>
    </row>
    <row r="46" spans="1:10">
      <c r="A46" t="s">
        <v>350</v>
      </c>
      <c r="B46" t="s">
        <v>351</v>
      </c>
      <c r="C46">
        <v>76.47</v>
      </c>
      <c r="F46" t="s">
        <v>654</v>
      </c>
      <c r="G46" t="s">
        <v>247</v>
      </c>
    </row>
    <row r="47" spans="1:10">
      <c r="E47" t="s">
        <v>541</v>
      </c>
      <c r="F47" s="51">
        <v>407468.75599999999</v>
      </c>
      <c r="G47" s="59">
        <v>33779.25</v>
      </c>
      <c r="I47">
        <f>(G47/F47)</f>
        <v>8.290022118898363E-2</v>
      </c>
    </row>
    <row r="48" spans="1:10" ht="23">
      <c r="A48" s="45" t="s">
        <v>352</v>
      </c>
    </row>
    <row r="49" spans="1:9">
      <c r="A49" t="s">
        <v>245</v>
      </c>
      <c r="B49">
        <v>1</v>
      </c>
      <c r="I49">
        <f>SUM(I24:I47)</f>
        <v>20.534966887855649</v>
      </c>
    </row>
    <row r="51" spans="1:9">
      <c r="A51" t="s">
        <v>353</v>
      </c>
      <c r="B51" t="s">
        <v>354</v>
      </c>
      <c r="C51" s="51">
        <v>6953.39</v>
      </c>
    </row>
    <row r="53" spans="1:9" ht="23">
      <c r="A53" s="45" t="s">
        <v>355</v>
      </c>
    </row>
    <row r="55" spans="1:9">
      <c r="A55" t="s">
        <v>245</v>
      </c>
      <c r="B55">
        <v>1</v>
      </c>
    </row>
    <row r="57" spans="1:9">
      <c r="A57" t="s">
        <v>353</v>
      </c>
      <c r="B57" t="s">
        <v>356</v>
      </c>
      <c r="C57">
        <v>2.7</v>
      </c>
    </row>
  </sheetData>
  <mergeCells count="2">
    <mergeCell ref="A4:M4"/>
    <mergeCell ref="A14:B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1CD0-49C9-0D49-96ED-78CA0E83E10B}">
  <dimension ref="A1:J66"/>
  <sheetViews>
    <sheetView zoomScale="80" zoomScaleNormal="80" workbookViewId="0">
      <selection activeCell="D2" sqref="D2"/>
    </sheetView>
  </sheetViews>
  <sheetFormatPr baseColWidth="10" defaultRowHeight="16"/>
  <cols>
    <col min="1" max="1" width="132.83203125" bestFit="1" customWidth="1"/>
    <col min="2" max="2" width="77.83203125" customWidth="1"/>
    <col min="6" max="6" width="81.1640625" bestFit="1" customWidth="1"/>
    <col min="7" max="7" width="26.1640625" bestFit="1" customWidth="1"/>
    <col min="8" max="8" width="11.6640625" bestFit="1" customWidth="1"/>
  </cols>
  <sheetData>
    <row r="1" spans="1:4" ht="24">
      <c r="A1" s="5" t="s">
        <v>138</v>
      </c>
      <c r="D1">
        <f>I50</f>
        <v>1.75</v>
      </c>
    </row>
    <row r="4" spans="1:4" ht="18">
      <c r="A4" s="24" t="s">
        <v>216</v>
      </c>
    </row>
    <row r="6" spans="1:4" ht="18">
      <c r="A6" s="54" t="s">
        <v>217</v>
      </c>
    </row>
    <row r="8" spans="1:4" ht="18">
      <c r="A8" s="24" t="s">
        <v>218</v>
      </c>
    </row>
    <row r="10" spans="1:4" ht="18">
      <c r="A10" s="3" t="s">
        <v>219</v>
      </c>
      <c r="B10" s="3" t="s">
        <v>220</v>
      </c>
    </row>
    <row r="11" spans="1:4" ht="18">
      <c r="A11" s="3" t="s">
        <v>221</v>
      </c>
      <c r="B11" s="3" t="s">
        <v>222</v>
      </c>
    </row>
    <row r="13" spans="1:4" ht="18">
      <c r="A13" s="24" t="s">
        <v>225</v>
      </c>
    </row>
    <row r="15" spans="1:4" ht="18">
      <c r="A15" s="3" t="s">
        <v>219</v>
      </c>
      <c r="B15" s="3" t="s">
        <v>223</v>
      </c>
    </row>
    <row r="16" spans="1:4" ht="18">
      <c r="A16" s="3" t="s">
        <v>221</v>
      </c>
      <c r="B16" s="3" t="s">
        <v>224</v>
      </c>
    </row>
    <row r="18" spans="1:9" ht="18">
      <c r="A18" s="54" t="s">
        <v>226</v>
      </c>
    </row>
    <row r="20" spans="1:9" ht="34">
      <c r="A20" s="24" t="s">
        <v>218</v>
      </c>
      <c r="B20" s="8" t="s">
        <v>227</v>
      </c>
    </row>
    <row r="21" spans="1:9" ht="18">
      <c r="A21" s="24" t="s">
        <v>225</v>
      </c>
      <c r="B21" s="3" t="s">
        <v>228</v>
      </c>
    </row>
    <row r="23" spans="1:9" ht="18">
      <c r="A23" s="54" t="s">
        <v>74</v>
      </c>
    </row>
    <row r="24" spans="1:9" ht="18">
      <c r="A24" s="24" t="s">
        <v>229</v>
      </c>
      <c r="B24" t="s">
        <v>67</v>
      </c>
    </row>
    <row r="25" spans="1:9" ht="18">
      <c r="A25" s="24" t="s">
        <v>230</v>
      </c>
      <c r="B25" s="3" t="s">
        <v>231</v>
      </c>
    </row>
    <row r="27" spans="1:9" ht="18">
      <c r="A27" s="54" t="s">
        <v>24</v>
      </c>
    </row>
    <row r="28" spans="1:9" ht="18">
      <c r="A28" s="3" t="s">
        <v>232</v>
      </c>
    </row>
    <row r="29" spans="1:9" ht="18">
      <c r="A29" s="3" t="s">
        <v>233</v>
      </c>
    </row>
    <row r="30" spans="1:9" ht="18">
      <c r="A30" s="3" t="s">
        <v>234</v>
      </c>
    </row>
    <row r="32" spans="1:9" ht="24">
      <c r="A32" s="48" t="s">
        <v>598</v>
      </c>
      <c r="F32" s="58" t="s">
        <v>520</v>
      </c>
      <c r="I32" t="s">
        <v>652</v>
      </c>
    </row>
    <row r="34" spans="1:10" ht="23">
      <c r="A34" s="45" t="s">
        <v>314</v>
      </c>
      <c r="F34" s="45" t="s">
        <v>314</v>
      </c>
    </row>
    <row r="36" spans="1:10">
      <c r="A36" t="s">
        <v>284</v>
      </c>
      <c r="B36">
        <v>4</v>
      </c>
      <c r="F36" t="s">
        <v>284</v>
      </c>
      <c r="G36">
        <v>3</v>
      </c>
    </row>
    <row r="38" spans="1:10">
      <c r="A38" t="s">
        <v>315</v>
      </c>
      <c r="B38" t="s">
        <v>316</v>
      </c>
      <c r="C38">
        <v>0</v>
      </c>
      <c r="F38" t="s">
        <v>599</v>
      </c>
      <c r="G38" t="s">
        <v>600</v>
      </c>
      <c r="H38">
        <v>0</v>
      </c>
      <c r="I38">
        <v>0</v>
      </c>
      <c r="J38" t="s">
        <v>655</v>
      </c>
    </row>
    <row r="39" spans="1:10">
      <c r="A39" t="s">
        <v>317</v>
      </c>
      <c r="B39" t="s">
        <v>318</v>
      </c>
      <c r="C39">
        <v>0</v>
      </c>
      <c r="F39" t="s">
        <v>319</v>
      </c>
      <c r="G39" t="s">
        <v>601</v>
      </c>
      <c r="H39">
        <v>6.62</v>
      </c>
      <c r="I39">
        <v>0.25</v>
      </c>
    </row>
    <row r="40" spans="1:10">
      <c r="A40" t="s">
        <v>319</v>
      </c>
      <c r="B40" t="s">
        <v>320</v>
      </c>
      <c r="C40">
        <v>26.84</v>
      </c>
      <c r="F40" t="s">
        <v>321</v>
      </c>
      <c r="G40" t="s">
        <v>602</v>
      </c>
      <c r="H40">
        <v>34.380000000000003</v>
      </c>
      <c r="I40">
        <v>1.25</v>
      </c>
    </row>
    <row r="41" spans="1:10">
      <c r="A41" t="s">
        <v>321</v>
      </c>
      <c r="B41" t="s">
        <v>322</v>
      </c>
      <c r="C41">
        <v>128.72</v>
      </c>
    </row>
    <row r="43" spans="1:10" ht="23">
      <c r="A43" s="45" t="s">
        <v>328</v>
      </c>
      <c r="F43" s="45" t="s">
        <v>335</v>
      </c>
    </row>
    <row r="44" spans="1:10" ht="23">
      <c r="A44" s="45"/>
    </row>
    <row r="45" spans="1:10">
      <c r="A45" t="s">
        <v>284</v>
      </c>
      <c r="B45">
        <v>2</v>
      </c>
      <c r="F45" t="s">
        <v>284</v>
      </c>
      <c r="G45">
        <v>2</v>
      </c>
    </row>
    <row r="47" spans="1:10" ht="18">
      <c r="A47" s="22" t="s">
        <v>323</v>
      </c>
      <c r="B47" s="22" t="s">
        <v>324</v>
      </c>
      <c r="C47">
        <v>0.03</v>
      </c>
      <c r="F47" t="s">
        <v>336</v>
      </c>
      <c r="G47" t="s">
        <v>604</v>
      </c>
      <c r="H47" t="s">
        <v>272</v>
      </c>
    </row>
    <row r="48" spans="1:10" ht="18">
      <c r="A48" s="22" t="s">
        <v>326</v>
      </c>
      <c r="B48" s="22" t="s">
        <v>327</v>
      </c>
      <c r="C48">
        <v>0.32</v>
      </c>
      <c r="F48" t="s">
        <v>338</v>
      </c>
      <c r="G48" t="s">
        <v>605</v>
      </c>
      <c r="H48" t="s">
        <v>603</v>
      </c>
      <c r="I48">
        <v>0.25</v>
      </c>
    </row>
    <row r="50" spans="1:9" ht="23">
      <c r="A50" s="45" t="s">
        <v>329</v>
      </c>
      <c r="I50">
        <f>SUM(I35:I48)</f>
        <v>1.75</v>
      </c>
    </row>
    <row r="51" spans="1:9">
      <c r="A51" t="s">
        <v>245</v>
      </c>
      <c r="B51">
        <v>1</v>
      </c>
    </row>
    <row r="53" spans="1:9" ht="18">
      <c r="A53" s="22" t="s">
        <v>330</v>
      </c>
      <c r="B53" s="22" t="s">
        <v>331</v>
      </c>
      <c r="C53">
        <v>0</v>
      </c>
    </row>
    <row r="55" spans="1:9" ht="23">
      <c r="A55" s="45" t="s">
        <v>332</v>
      </c>
    </row>
    <row r="57" spans="1:9">
      <c r="A57" t="s">
        <v>245</v>
      </c>
      <c r="B57">
        <v>1</v>
      </c>
    </row>
    <row r="59" spans="1:9" ht="18">
      <c r="A59" s="22" t="s">
        <v>333</v>
      </c>
      <c r="B59" s="22" t="s">
        <v>334</v>
      </c>
      <c r="C59" s="50">
        <v>0</v>
      </c>
    </row>
    <row r="61" spans="1:9" ht="23">
      <c r="A61" s="45" t="s">
        <v>335</v>
      </c>
    </row>
    <row r="63" spans="1:9">
      <c r="A63" t="s">
        <v>245</v>
      </c>
      <c r="B63">
        <v>2</v>
      </c>
    </row>
    <row r="65" spans="1:3" ht="18">
      <c r="A65" s="22" t="s">
        <v>336</v>
      </c>
      <c r="B65" s="22" t="s">
        <v>337</v>
      </c>
      <c r="C65" s="46">
        <v>0</v>
      </c>
    </row>
    <row r="66" spans="1:3" ht="18">
      <c r="A66" s="22" t="s">
        <v>338</v>
      </c>
      <c r="B66" s="22" t="s">
        <v>339</v>
      </c>
      <c r="C66" s="46">
        <v>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CD96-E5DF-F842-8787-E7D00185C4C9}">
  <dimension ref="A1:I65"/>
  <sheetViews>
    <sheetView workbookViewId="0">
      <selection activeCell="D2" sqref="D2"/>
    </sheetView>
  </sheetViews>
  <sheetFormatPr baseColWidth="10" defaultRowHeight="16"/>
  <cols>
    <col min="1" max="1" width="119.1640625" bestFit="1" customWidth="1"/>
    <col min="5" max="5" width="87.1640625" bestFit="1" customWidth="1"/>
    <col min="6" max="6" width="13.33203125" bestFit="1" customWidth="1"/>
  </cols>
  <sheetData>
    <row r="1" spans="1:4" ht="24">
      <c r="A1" s="5" t="s">
        <v>122</v>
      </c>
      <c r="D1">
        <f>I65</f>
        <v>17.784000000000002</v>
      </c>
    </row>
    <row r="4" spans="1:4">
      <c r="A4" s="29" t="s">
        <v>123</v>
      </c>
    </row>
    <row r="7" spans="1:4">
      <c r="A7" t="s">
        <v>134</v>
      </c>
    </row>
    <row r="8" spans="1:4" ht="18">
      <c r="A8" s="20" t="s">
        <v>606</v>
      </c>
    </row>
    <row r="9" spans="1:4" ht="18">
      <c r="A9" s="20" t="s">
        <v>124</v>
      </c>
    </row>
    <row r="10" spans="1:4" ht="18">
      <c r="A10" s="21" t="s">
        <v>125</v>
      </c>
    </row>
    <row r="11" spans="1:4" ht="18">
      <c r="A11" s="21" t="s">
        <v>126</v>
      </c>
    </row>
    <row r="12" spans="1:4" ht="18">
      <c r="A12" s="21" t="s">
        <v>127</v>
      </c>
    </row>
    <row r="13" spans="1:4" ht="18">
      <c r="A13" s="20" t="s">
        <v>128</v>
      </c>
    </row>
    <row r="14" spans="1:4" ht="18">
      <c r="A14" s="21" t="s">
        <v>129</v>
      </c>
    </row>
    <row r="15" spans="1:4" ht="18">
      <c r="A15" s="21" t="s">
        <v>130</v>
      </c>
    </row>
    <row r="16" spans="1:4" ht="18">
      <c r="A16" s="21" t="s">
        <v>131</v>
      </c>
    </row>
    <row r="17" spans="1:9" ht="18">
      <c r="A17" s="22" t="s">
        <v>132</v>
      </c>
    </row>
    <row r="18" spans="1:9" ht="18">
      <c r="A18" s="23" t="s">
        <v>133</v>
      </c>
    </row>
    <row r="21" spans="1:9" ht="24">
      <c r="A21" s="48" t="s">
        <v>238</v>
      </c>
      <c r="E21" s="58" t="s">
        <v>520</v>
      </c>
      <c r="I21" t="s">
        <v>644</v>
      </c>
    </row>
    <row r="23" spans="1:9" ht="23">
      <c r="A23" s="45" t="s">
        <v>471</v>
      </c>
      <c r="E23" s="45" t="s">
        <v>607</v>
      </c>
    </row>
    <row r="25" spans="1:9">
      <c r="A25" t="s">
        <v>245</v>
      </c>
      <c r="B25">
        <v>1</v>
      </c>
      <c r="E25" t="s">
        <v>245</v>
      </c>
      <c r="F25">
        <v>1</v>
      </c>
    </row>
    <row r="27" spans="1:9">
      <c r="A27" t="s">
        <v>472</v>
      </c>
      <c r="B27" t="s">
        <v>473</v>
      </c>
      <c r="C27" s="51">
        <v>1110.74</v>
      </c>
      <c r="E27" t="s">
        <v>611</v>
      </c>
      <c r="F27" t="s">
        <v>612</v>
      </c>
      <c r="G27">
        <v>18.239999999999998</v>
      </c>
      <c r="I27">
        <f>0.192 * 24</f>
        <v>4.6080000000000005</v>
      </c>
    </row>
    <row r="28" spans="1:9">
      <c r="A28" s="49"/>
    </row>
    <row r="29" spans="1:9" ht="23">
      <c r="A29" s="45" t="s">
        <v>474</v>
      </c>
      <c r="E29" s="45" t="s">
        <v>474</v>
      </c>
    </row>
    <row r="30" spans="1:9">
      <c r="E30" t="s">
        <v>245</v>
      </c>
      <c r="F30">
        <v>1</v>
      </c>
    </row>
    <row r="31" spans="1:9">
      <c r="A31" t="s">
        <v>245</v>
      </c>
      <c r="B31">
        <v>1</v>
      </c>
    </row>
    <row r="32" spans="1:9">
      <c r="E32" t="s">
        <v>481</v>
      </c>
      <c r="F32" t="s">
        <v>613</v>
      </c>
      <c r="G32" s="51">
        <v>2651.35</v>
      </c>
      <c r="I32">
        <f>0.048 * 24</f>
        <v>1.1520000000000001</v>
      </c>
    </row>
    <row r="33" spans="1:9">
      <c r="A33" t="s">
        <v>481</v>
      </c>
      <c r="B33" t="s">
        <v>482</v>
      </c>
      <c r="C33">
        <v>23.95</v>
      </c>
    </row>
    <row r="35" spans="1:9" ht="23">
      <c r="A35" s="45" t="s">
        <v>475</v>
      </c>
      <c r="E35" s="45" t="s">
        <v>608</v>
      </c>
    </row>
    <row r="36" spans="1:9">
      <c r="E36" t="s">
        <v>245</v>
      </c>
      <c r="F36">
        <v>1</v>
      </c>
    </row>
    <row r="37" spans="1:9">
      <c r="A37" t="s">
        <v>245</v>
      </c>
      <c r="B37">
        <v>1</v>
      </c>
    </row>
    <row r="39" spans="1:9">
      <c r="A39" t="s">
        <v>479</v>
      </c>
      <c r="B39" t="s">
        <v>480</v>
      </c>
      <c r="C39">
        <v>14.99</v>
      </c>
      <c r="E39" t="s">
        <v>614</v>
      </c>
      <c r="F39" t="s">
        <v>615</v>
      </c>
      <c r="G39">
        <v>5.64</v>
      </c>
      <c r="I39">
        <f>0.086 * 24</f>
        <v>2.0640000000000001</v>
      </c>
    </row>
    <row r="41" spans="1:9" ht="23">
      <c r="A41" s="45" t="s">
        <v>476</v>
      </c>
      <c r="E41" s="45" t="s">
        <v>609</v>
      </c>
    </row>
    <row r="42" spans="1:9">
      <c r="E42" t="s">
        <v>245</v>
      </c>
      <c r="F42">
        <v>1</v>
      </c>
    </row>
    <row r="43" spans="1:9">
      <c r="A43" t="s">
        <v>245</v>
      </c>
      <c r="B43">
        <v>1</v>
      </c>
    </row>
    <row r="44" spans="1:9">
      <c r="E44" t="s">
        <v>616</v>
      </c>
      <c r="F44" t="s">
        <v>617</v>
      </c>
      <c r="G44">
        <v>1.38</v>
      </c>
      <c r="I44">
        <f>0.043*24</f>
        <v>1.032</v>
      </c>
    </row>
    <row r="45" spans="1:9">
      <c r="A45" t="s">
        <v>477</v>
      </c>
      <c r="B45" t="s">
        <v>478</v>
      </c>
      <c r="C45">
        <v>913.85</v>
      </c>
    </row>
    <row r="47" spans="1:9" ht="23">
      <c r="E47" s="45" t="s">
        <v>475</v>
      </c>
    </row>
    <row r="48" spans="1:9">
      <c r="E48" t="s">
        <v>245</v>
      </c>
      <c r="F48">
        <v>1</v>
      </c>
    </row>
    <row r="50" spans="5:9">
      <c r="E50" t="s">
        <v>479</v>
      </c>
      <c r="F50" t="s">
        <v>618</v>
      </c>
      <c r="G50">
        <v>8.86</v>
      </c>
      <c r="I50">
        <f>0.039*24</f>
        <v>0.93599999999999994</v>
      </c>
    </row>
    <row r="54" spans="5:9" ht="23">
      <c r="E54" s="45" t="s">
        <v>476</v>
      </c>
    </row>
    <row r="55" spans="5:9">
      <c r="E55" t="s">
        <v>245</v>
      </c>
      <c r="F55">
        <v>1</v>
      </c>
    </row>
    <row r="57" spans="5:9">
      <c r="E57" t="s">
        <v>477</v>
      </c>
      <c r="F57" t="s">
        <v>619</v>
      </c>
      <c r="G57" s="51">
        <v>1795.64</v>
      </c>
      <c r="I57">
        <f>0.27*24</f>
        <v>6.48</v>
      </c>
    </row>
    <row r="60" spans="5:9" ht="23">
      <c r="E60" s="45" t="s">
        <v>610</v>
      </c>
    </row>
    <row r="61" spans="5:9">
      <c r="E61" t="s">
        <v>245</v>
      </c>
      <c r="F61">
        <v>1</v>
      </c>
    </row>
    <row r="63" spans="5:9">
      <c r="E63" t="s">
        <v>620</v>
      </c>
      <c r="F63" t="s">
        <v>621</v>
      </c>
      <c r="G63" s="51">
        <v>1344.01</v>
      </c>
      <c r="I63">
        <f>0.063*24</f>
        <v>1.512</v>
      </c>
    </row>
    <row r="65" spans="9:9">
      <c r="I65">
        <f>SUM(I22:I63)</f>
        <v>17.784000000000002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53ED-BAEB-3F4A-B284-93754AC9705C}">
  <dimension ref="A1:H10"/>
  <sheetViews>
    <sheetView workbookViewId="0">
      <selection activeCell="E11" sqref="E11"/>
    </sheetView>
  </sheetViews>
  <sheetFormatPr baseColWidth="10" defaultRowHeight="16"/>
  <cols>
    <col min="1" max="1" width="25.1640625" bestFit="1" customWidth="1"/>
    <col min="2" max="2" width="43" bestFit="1" customWidth="1"/>
    <col min="5" max="5" width="38.33203125" bestFit="1" customWidth="1"/>
    <col min="8" max="8" width="26.83203125" bestFit="1" customWidth="1"/>
  </cols>
  <sheetData>
    <row r="1" spans="1:8" ht="24">
      <c r="A1" s="5" t="s">
        <v>111</v>
      </c>
      <c r="B1" s="10" t="s">
        <v>110</v>
      </c>
      <c r="D1">
        <v>6</v>
      </c>
    </row>
    <row r="4" spans="1:8">
      <c r="A4" s="29" t="s">
        <v>112</v>
      </c>
      <c r="E4" s="29" t="s">
        <v>113</v>
      </c>
      <c r="H4" s="28" t="s">
        <v>117</v>
      </c>
    </row>
    <row r="6" spans="1:8">
      <c r="A6" t="s">
        <v>114</v>
      </c>
      <c r="D6" s="4" t="s">
        <v>73</v>
      </c>
      <c r="E6" t="s">
        <v>115</v>
      </c>
      <c r="G6" s="4" t="s">
        <v>73</v>
      </c>
      <c r="H6" t="s">
        <v>118</v>
      </c>
    </row>
    <row r="7" spans="1:8">
      <c r="D7" s="4" t="s">
        <v>39</v>
      </c>
      <c r="E7" t="s">
        <v>116</v>
      </c>
    </row>
    <row r="10" spans="1:8">
      <c r="B10" t="s">
        <v>135</v>
      </c>
      <c r="C10" s="13">
        <f>2.25 + 1 + 1 + 2.25</f>
        <v>6.5</v>
      </c>
    </row>
  </sheetData>
  <hyperlinks>
    <hyperlink ref="B1" r:id="rId1" xr:uid="{641AF607-E1F1-9848-9A65-E89E842EEE9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18F4-616A-B245-B0B0-FA3AC8310046}">
  <dimension ref="A1:I16"/>
  <sheetViews>
    <sheetView workbookViewId="0">
      <selection activeCell="D2" sqref="D2"/>
    </sheetView>
  </sheetViews>
  <sheetFormatPr baseColWidth="10" defaultRowHeight="16"/>
  <cols>
    <col min="1" max="1" width="61.6640625" bestFit="1" customWidth="1"/>
    <col min="2" max="2" width="48" bestFit="1" customWidth="1"/>
    <col min="5" max="5" width="61.6640625" bestFit="1" customWidth="1"/>
    <col min="6" max="6" width="14.1640625" bestFit="1" customWidth="1"/>
  </cols>
  <sheetData>
    <row r="1" spans="1:9" ht="24">
      <c r="A1" s="5" t="s">
        <v>119</v>
      </c>
      <c r="B1" s="10" t="s">
        <v>121</v>
      </c>
      <c r="D1">
        <f>I16</f>
        <v>5</v>
      </c>
    </row>
    <row r="4" spans="1:9">
      <c r="A4" s="13" t="s">
        <v>120</v>
      </c>
    </row>
    <row r="8" spans="1:9" ht="24">
      <c r="A8" s="48" t="s">
        <v>238</v>
      </c>
      <c r="E8" s="58" t="s">
        <v>520</v>
      </c>
      <c r="I8" t="s">
        <v>644</v>
      </c>
    </row>
    <row r="10" spans="1:9" ht="23">
      <c r="A10" s="45" t="s">
        <v>468</v>
      </c>
      <c r="E10" s="45" t="s">
        <v>468</v>
      </c>
    </row>
    <row r="11" spans="1:9">
      <c r="E11" t="s">
        <v>245</v>
      </c>
      <c r="F11">
        <v>1</v>
      </c>
    </row>
    <row r="12" spans="1:9">
      <c r="A12" t="s">
        <v>245</v>
      </c>
      <c r="B12">
        <v>1</v>
      </c>
      <c r="F12" t="s">
        <v>656</v>
      </c>
    </row>
    <row r="13" spans="1:9">
      <c r="E13" t="s">
        <v>469</v>
      </c>
      <c r="F13">
        <v>3.6080000000000001</v>
      </c>
      <c r="G13">
        <v>18.04</v>
      </c>
      <c r="I13">
        <f>G13/F13</f>
        <v>5</v>
      </c>
    </row>
    <row r="14" spans="1:9">
      <c r="A14" t="s">
        <v>469</v>
      </c>
      <c r="B14" t="s">
        <v>470</v>
      </c>
      <c r="C14" t="s">
        <v>271</v>
      </c>
    </row>
    <row r="16" spans="1:9">
      <c r="I16">
        <f>SUM(I10:I13)</f>
        <v>5</v>
      </c>
    </row>
  </sheetData>
  <hyperlinks>
    <hyperlink ref="B1" r:id="rId1" xr:uid="{A5A11B38-9EA8-234F-AEF7-002086E09D5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AC6A-4D8D-934C-A330-0C1AD1A022DF}">
  <dimension ref="A1:D10"/>
  <sheetViews>
    <sheetView workbookViewId="0">
      <selection activeCell="D1" sqref="D1"/>
    </sheetView>
  </sheetViews>
  <sheetFormatPr baseColWidth="10" defaultRowHeight="16"/>
  <cols>
    <col min="1" max="1" width="23.5" bestFit="1" customWidth="1"/>
    <col min="2" max="2" width="31.33203125" bestFit="1" customWidth="1"/>
    <col min="3" max="3" width="33.83203125" bestFit="1" customWidth="1"/>
  </cols>
  <sheetData>
    <row r="1" spans="1:4">
      <c r="A1" s="4" t="s">
        <v>23</v>
      </c>
      <c r="D1">
        <v>2</v>
      </c>
    </row>
    <row r="3" spans="1:4">
      <c r="A3" s="4" t="s">
        <v>24</v>
      </c>
      <c r="B3" t="s">
        <v>25</v>
      </c>
    </row>
    <row r="4" spans="1:4">
      <c r="A4" s="4" t="s">
        <v>26</v>
      </c>
      <c r="B4" t="s">
        <v>27</v>
      </c>
    </row>
    <row r="5" spans="1:4">
      <c r="A5" s="4" t="s">
        <v>28</v>
      </c>
      <c r="B5">
        <v>8.0000000000000007E-5</v>
      </c>
    </row>
    <row r="8" spans="1:4">
      <c r="A8" s="40" t="s">
        <v>29</v>
      </c>
      <c r="B8" s="40"/>
      <c r="C8" t="s">
        <v>30</v>
      </c>
      <c r="D8">
        <v>3000</v>
      </c>
    </row>
    <row r="9" spans="1:4">
      <c r="A9" s="40" t="s">
        <v>31</v>
      </c>
      <c r="B9" s="40"/>
      <c r="C9" t="s">
        <v>32</v>
      </c>
      <c r="D9">
        <v>7200</v>
      </c>
    </row>
    <row r="10" spans="1:4" ht="40" customHeight="1">
      <c r="A10" s="41" t="s">
        <v>33</v>
      </c>
      <c r="B10" s="42"/>
      <c r="C10" t="s">
        <v>34</v>
      </c>
      <c r="D10" s="19">
        <v>2.3759999999999999</v>
      </c>
    </row>
  </sheetData>
  <mergeCells count="3">
    <mergeCell ref="A8:B8"/>
    <mergeCell ref="A9:B9"/>
    <mergeCell ref="A10:B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A107-59B6-AF43-B238-C77EDE5374CD}">
  <dimension ref="A1:J40"/>
  <sheetViews>
    <sheetView workbookViewId="0">
      <selection activeCell="D2" sqref="D2"/>
    </sheetView>
  </sheetViews>
  <sheetFormatPr baseColWidth="10" defaultRowHeight="16"/>
  <cols>
    <col min="1" max="1" width="68.33203125" bestFit="1" customWidth="1"/>
    <col min="2" max="2" width="17" bestFit="1" customWidth="1"/>
    <col min="6" max="6" width="76" bestFit="1" customWidth="1"/>
    <col min="7" max="7" width="27.33203125" customWidth="1"/>
    <col min="8" max="8" width="19.5" customWidth="1"/>
  </cols>
  <sheetData>
    <row r="1" spans="1:10">
      <c r="A1" t="s">
        <v>467</v>
      </c>
      <c r="D1">
        <f>I40</f>
        <v>5.2850000000000001</v>
      </c>
    </row>
    <row r="8" spans="1:10" ht="24">
      <c r="A8" s="48" t="s">
        <v>519</v>
      </c>
      <c r="F8" s="58" t="s">
        <v>520</v>
      </c>
      <c r="I8" t="s">
        <v>644</v>
      </c>
    </row>
    <row r="9" spans="1:10" ht="23">
      <c r="A9" s="45" t="s">
        <v>483</v>
      </c>
      <c r="F9" s="45" t="s">
        <v>483</v>
      </c>
    </row>
    <row r="11" spans="1:10">
      <c r="A11" t="s">
        <v>243</v>
      </c>
      <c r="B11">
        <v>4</v>
      </c>
      <c r="F11" t="s">
        <v>243</v>
      </c>
      <c r="G11">
        <v>4</v>
      </c>
    </row>
    <row r="13" spans="1:10">
      <c r="A13" t="s">
        <v>484</v>
      </c>
      <c r="B13" t="s">
        <v>485</v>
      </c>
      <c r="C13">
        <v>365.52</v>
      </c>
      <c r="F13" t="s">
        <v>484</v>
      </c>
      <c r="G13" t="s">
        <v>622</v>
      </c>
      <c r="H13">
        <v>699.07</v>
      </c>
      <c r="I13">
        <f>0.01*100000/1000</f>
        <v>1</v>
      </c>
    </row>
    <row r="14" spans="1:10">
      <c r="A14" t="s">
        <v>486</v>
      </c>
      <c r="B14" t="s">
        <v>487</v>
      </c>
      <c r="C14">
        <v>9.44</v>
      </c>
      <c r="F14" t="s">
        <v>486</v>
      </c>
      <c r="G14" t="s">
        <v>623</v>
      </c>
      <c r="H14">
        <v>45.08</v>
      </c>
      <c r="I14">
        <v>1</v>
      </c>
    </row>
    <row r="15" spans="1:10">
      <c r="A15" t="s">
        <v>488</v>
      </c>
      <c r="B15" t="s">
        <v>489</v>
      </c>
      <c r="C15">
        <v>46.58</v>
      </c>
      <c r="F15" t="s">
        <v>488</v>
      </c>
      <c r="G15" t="s">
        <v>624</v>
      </c>
      <c r="H15">
        <v>25.21</v>
      </c>
      <c r="I15">
        <v>1</v>
      </c>
      <c r="J15" t="s">
        <v>658</v>
      </c>
    </row>
    <row r="16" spans="1:10">
      <c r="A16" t="s">
        <v>490</v>
      </c>
      <c r="B16" t="s">
        <v>491</v>
      </c>
      <c r="C16">
        <v>11.89</v>
      </c>
      <c r="F16" t="s">
        <v>490</v>
      </c>
      <c r="G16" t="s">
        <v>625</v>
      </c>
      <c r="H16">
        <v>293.27999999999997</v>
      </c>
      <c r="I16">
        <v>1</v>
      </c>
      <c r="J16" t="s">
        <v>658</v>
      </c>
    </row>
    <row r="18" spans="1:9" ht="23">
      <c r="A18" s="45" t="s">
        <v>492</v>
      </c>
      <c r="F18" s="45" t="s">
        <v>492</v>
      </c>
    </row>
    <row r="20" spans="1:9">
      <c r="A20" t="s">
        <v>243</v>
      </c>
      <c r="B20">
        <v>3</v>
      </c>
      <c r="F20" t="s">
        <v>243</v>
      </c>
      <c r="G20">
        <v>3</v>
      </c>
    </row>
    <row r="22" spans="1:9">
      <c r="A22" t="s">
        <v>493</v>
      </c>
      <c r="B22" t="s">
        <v>494</v>
      </c>
      <c r="C22">
        <v>1.75</v>
      </c>
      <c r="F22" t="s">
        <v>493</v>
      </c>
      <c r="G22" t="s">
        <v>626</v>
      </c>
      <c r="H22">
        <v>8.82</v>
      </c>
      <c r="I22">
        <v>0.25</v>
      </c>
    </row>
    <row r="23" spans="1:9">
      <c r="A23" t="s">
        <v>495</v>
      </c>
      <c r="B23" t="s">
        <v>496</v>
      </c>
      <c r="C23">
        <v>313.70999999999998</v>
      </c>
      <c r="F23" t="s">
        <v>495</v>
      </c>
      <c r="G23" t="s">
        <v>627</v>
      </c>
      <c r="H23">
        <v>392.21</v>
      </c>
      <c r="I23">
        <v>0.5</v>
      </c>
    </row>
    <row r="24" spans="1:9">
      <c r="A24" t="s">
        <v>497</v>
      </c>
      <c r="B24" t="s">
        <v>498</v>
      </c>
      <c r="C24">
        <v>5.49</v>
      </c>
      <c r="F24" t="s">
        <v>497</v>
      </c>
      <c r="G24" t="s">
        <v>628</v>
      </c>
      <c r="H24">
        <v>28.94</v>
      </c>
      <c r="I24">
        <v>0.5</v>
      </c>
    </row>
    <row r="26" spans="1:9" ht="23">
      <c r="A26" s="45" t="s">
        <v>499</v>
      </c>
      <c r="F26" s="45" t="s">
        <v>499</v>
      </c>
    </row>
    <row r="28" spans="1:9">
      <c r="A28" t="s">
        <v>243</v>
      </c>
      <c r="B28">
        <v>2</v>
      </c>
      <c r="F28" t="s">
        <v>243</v>
      </c>
      <c r="G28">
        <v>2</v>
      </c>
    </row>
    <row r="30" spans="1:9">
      <c r="A30" t="s">
        <v>500</v>
      </c>
      <c r="B30" t="s">
        <v>501</v>
      </c>
      <c r="C30">
        <v>7.0000000000000007E-2</v>
      </c>
      <c r="F30" t="s">
        <v>500</v>
      </c>
      <c r="G30" t="s">
        <v>629</v>
      </c>
      <c r="H30" t="s">
        <v>325</v>
      </c>
      <c r="I30">
        <v>5.0000000000000001E-3</v>
      </c>
    </row>
    <row r="31" spans="1:9">
      <c r="A31" t="s">
        <v>502</v>
      </c>
      <c r="B31" t="s">
        <v>503</v>
      </c>
      <c r="C31">
        <v>0</v>
      </c>
      <c r="F31" t="s">
        <v>502</v>
      </c>
      <c r="G31" t="s">
        <v>630</v>
      </c>
      <c r="H31" t="s">
        <v>272</v>
      </c>
    </row>
    <row r="33" spans="1:9" ht="23">
      <c r="A33" s="45" t="s">
        <v>504</v>
      </c>
      <c r="F33" s="45" t="s">
        <v>504</v>
      </c>
    </row>
    <row r="35" spans="1:9">
      <c r="A35" t="s">
        <v>243</v>
      </c>
      <c r="B35">
        <v>1</v>
      </c>
      <c r="F35" t="s">
        <v>243</v>
      </c>
      <c r="G35">
        <v>1</v>
      </c>
    </row>
    <row r="37" spans="1:9">
      <c r="A37" t="s">
        <v>505</v>
      </c>
      <c r="B37" t="s">
        <v>506</v>
      </c>
      <c r="C37">
        <v>13.03</v>
      </c>
      <c r="F37" t="s">
        <v>505</v>
      </c>
      <c r="G37" t="s">
        <v>657</v>
      </c>
      <c r="H37" t="s">
        <v>631</v>
      </c>
      <c r="I37">
        <v>0.03</v>
      </c>
    </row>
    <row r="40" spans="1:9">
      <c r="I40">
        <f>SUM(I10:I37)</f>
        <v>5.2850000000000001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39F-22A6-C747-A333-6A951A1E5096}">
  <dimension ref="A1"/>
  <sheetViews>
    <sheetView workbookViewId="0"/>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4DC9-3E2A-6E4A-A9BE-9E9AF51D6C6A}">
  <dimension ref="A3:T33"/>
  <sheetViews>
    <sheetView zoomScale="86" zoomScaleNormal="100" workbookViewId="0">
      <selection activeCell="K25" sqref="K25"/>
    </sheetView>
  </sheetViews>
  <sheetFormatPr baseColWidth="10" defaultRowHeight="16"/>
  <cols>
    <col min="1" max="1" width="23.6640625" bestFit="1" customWidth="1"/>
    <col min="4" max="4" width="11" customWidth="1"/>
    <col min="7" max="7" width="14.5" customWidth="1"/>
    <col min="8" max="8" width="11.83203125" customWidth="1"/>
    <col min="9" max="10" width="11.33203125" customWidth="1"/>
    <col min="11" max="11" width="14.83203125" customWidth="1"/>
    <col min="12" max="12" width="9.83203125" customWidth="1"/>
    <col min="13" max="13" width="13.83203125" customWidth="1"/>
    <col min="16" max="18" width="11.1640625" customWidth="1"/>
  </cols>
  <sheetData>
    <row r="3" spans="1:18">
      <c r="A3" s="52" t="s">
        <v>437</v>
      </c>
      <c r="B3" s="52" t="s">
        <v>408</v>
      </c>
      <c r="C3" s="52" t="s">
        <v>0</v>
      </c>
      <c r="D3" s="52" t="s">
        <v>1</v>
      </c>
      <c r="E3" s="52" t="s">
        <v>409</v>
      </c>
      <c r="F3" s="52" t="s">
        <v>410</v>
      </c>
      <c r="G3" s="52" t="s">
        <v>35</v>
      </c>
      <c r="H3" s="52" t="s">
        <v>404</v>
      </c>
      <c r="I3" s="52" t="s">
        <v>45</v>
      </c>
      <c r="J3" s="52" t="s">
        <v>54</v>
      </c>
      <c r="K3" s="52" t="s">
        <v>139</v>
      </c>
      <c r="L3" s="52" t="s">
        <v>405</v>
      </c>
      <c r="M3" s="52" t="s">
        <v>119</v>
      </c>
      <c r="N3" s="52" t="s">
        <v>406</v>
      </c>
      <c r="O3" s="52" t="s">
        <v>407</v>
      </c>
      <c r="P3" s="52" t="s">
        <v>122</v>
      </c>
      <c r="Q3" s="52" t="s">
        <v>411</v>
      </c>
      <c r="R3" s="52" t="s">
        <v>412</v>
      </c>
    </row>
    <row r="4" spans="1:18">
      <c r="A4" s="52" t="s">
        <v>422</v>
      </c>
      <c r="B4" s="52">
        <v>1</v>
      </c>
      <c r="C4" s="52">
        <v>0</v>
      </c>
      <c r="D4" s="52">
        <v>0</v>
      </c>
      <c r="E4" s="52">
        <v>0</v>
      </c>
      <c r="F4" s="52">
        <v>1</v>
      </c>
      <c r="G4" s="52">
        <v>1</v>
      </c>
      <c r="H4" s="52">
        <v>0</v>
      </c>
      <c r="I4" s="52">
        <v>0</v>
      </c>
      <c r="J4" s="52">
        <v>0</v>
      </c>
      <c r="K4" s="52">
        <v>0</v>
      </c>
      <c r="L4" s="52">
        <v>0</v>
      </c>
      <c r="M4" s="52">
        <v>0</v>
      </c>
      <c r="N4" s="52">
        <v>0</v>
      </c>
      <c r="O4" s="52">
        <v>1</v>
      </c>
      <c r="P4" s="52">
        <v>0</v>
      </c>
      <c r="Q4" s="52">
        <v>0</v>
      </c>
      <c r="R4" s="52">
        <v>0</v>
      </c>
    </row>
    <row r="5" spans="1:18">
      <c r="A5" s="52" t="s">
        <v>431</v>
      </c>
      <c r="B5">
        <v>0</v>
      </c>
      <c r="C5">
        <v>0</v>
      </c>
      <c r="D5">
        <v>0</v>
      </c>
      <c r="E5">
        <v>0</v>
      </c>
      <c r="F5">
        <v>0</v>
      </c>
      <c r="G5">
        <v>0</v>
      </c>
      <c r="H5">
        <v>0</v>
      </c>
      <c r="I5">
        <v>0</v>
      </c>
      <c r="J5">
        <v>0</v>
      </c>
      <c r="K5">
        <v>0</v>
      </c>
      <c r="L5">
        <v>0</v>
      </c>
      <c r="M5">
        <v>0</v>
      </c>
      <c r="N5">
        <v>0</v>
      </c>
      <c r="O5">
        <v>0</v>
      </c>
      <c r="P5">
        <v>0</v>
      </c>
      <c r="Q5">
        <v>0</v>
      </c>
      <c r="R5">
        <v>0</v>
      </c>
    </row>
    <row r="6" spans="1:18">
      <c r="A6" s="52" t="s">
        <v>663</v>
      </c>
      <c r="C6">
        <v>1</v>
      </c>
    </row>
    <row r="7" spans="1:18">
      <c r="A7" s="52" t="s">
        <v>432</v>
      </c>
      <c r="C7">
        <v>0</v>
      </c>
    </row>
    <row r="8" spans="1:18">
      <c r="A8" s="52" t="s">
        <v>433</v>
      </c>
      <c r="D8">
        <v>0</v>
      </c>
      <c r="F8">
        <v>0</v>
      </c>
      <c r="O8">
        <v>1</v>
      </c>
      <c r="P8">
        <v>1</v>
      </c>
    </row>
    <row r="9" spans="1:18">
      <c r="A9" s="52" t="s">
        <v>661</v>
      </c>
      <c r="F9">
        <v>0</v>
      </c>
      <c r="H9">
        <v>1</v>
      </c>
      <c r="K9">
        <v>1</v>
      </c>
      <c r="L9">
        <v>1</v>
      </c>
      <c r="O9">
        <v>1</v>
      </c>
    </row>
    <row r="10" spans="1:18">
      <c r="A10" s="52" t="s">
        <v>662</v>
      </c>
      <c r="O10">
        <v>1</v>
      </c>
      <c r="P10">
        <v>1</v>
      </c>
    </row>
    <row r="11" spans="1:18">
      <c r="A11" s="52" t="s">
        <v>664</v>
      </c>
      <c r="C11">
        <v>1</v>
      </c>
    </row>
    <row r="12" spans="1:18">
      <c r="A12" s="52" t="s">
        <v>434</v>
      </c>
    </row>
    <row r="13" spans="1:18">
      <c r="A13" s="52" t="s">
        <v>434</v>
      </c>
    </row>
    <row r="14" spans="1:18">
      <c r="A14" s="52" t="s">
        <v>435</v>
      </c>
    </row>
    <row r="15" spans="1:18">
      <c r="A15" s="52" t="s">
        <v>435</v>
      </c>
    </row>
    <row r="16" spans="1:18">
      <c r="A16" s="52" t="s">
        <v>436</v>
      </c>
    </row>
    <row r="17" spans="1:20">
      <c r="A17" s="52" t="s">
        <v>436</v>
      </c>
    </row>
    <row r="18" spans="1:20">
      <c r="A18" s="53"/>
      <c r="B18" s="53"/>
      <c r="C18" s="53"/>
      <c r="D18" s="53"/>
      <c r="E18" s="53"/>
      <c r="F18" s="53"/>
      <c r="G18" s="53"/>
      <c r="H18" s="53"/>
      <c r="I18" s="53"/>
      <c r="J18" s="53"/>
      <c r="K18" s="53"/>
      <c r="L18" s="53"/>
      <c r="M18" s="53"/>
      <c r="N18" s="53"/>
      <c r="O18" s="53"/>
      <c r="P18" s="53"/>
      <c r="Q18" s="53"/>
      <c r="R18" s="53"/>
    </row>
    <row r="19" spans="1:20">
      <c r="A19" s="52" t="s">
        <v>437</v>
      </c>
      <c r="B19" s="52" t="s">
        <v>413</v>
      </c>
      <c r="C19" s="52" t="s">
        <v>414</v>
      </c>
      <c r="D19" s="52" t="s">
        <v>415</v>
      </c>
      <c r="E19" s="52" t="s">
        <v>416</v>
      </c>
      <c r="F19" s="52" t="s">
        <v>417</v>
      </c>
      <c r="G19" s="52" t="s">
        <v>418</v>
      </c>
      <c r="H19" s="52" t="s">
        <v>419</v>
      </c>
      <c r="I19" s="52" t="s">
        <v>420</v>
      </c>
      <c r="J19" s="52" t="s">
        <v>421</v>
      </c>
      <c r="K19" s="52" t="s">
        <v>423</v>
      </c>
      <c r="L19" s="52" t="s">
        <v>424</v>
      </c>
      <c r="M19" s="52" t="s">
        <v>425</v>
      </c>
      <c r="N19" s="52" t="s">
        <v>426</v>
      </c>
      <c r="O19" s="52" t="s">
        <v>427</v>
      </c>
      <c r="P19" s="52" t="s">
        <v>428</v>
      </c>
      <c r="Q19" s="52" t="s">
        <v>429</v>
      </c>
      <c r="R19" s="52" t="s">
        <v>430</v>
      </c>
    </row>
    <row r="20" spans="1:20">
      <c r="A20" s="52" t="s">
        <v>422</v>
      </c>
      <c r="B20" s="52">
        <f>IF(AND(B4=1,A$4=A$20),Kinesis_Streams!D$1,0)</f>
        <v>1.2270002153046888</v>
      </c>
      <c r="C20" s="52">
        <f>IF(AND(C4=1,A4=A20),S3_Cost_Analysis!D$1,0)</f>
        <v>0</v>
      </c>
      <c r="D20" s="52">
        <f>IF(AND(D4=1,A4=A20),EC2_Cost_Analysis!D$1,0)</f>
        <v>0</v>
      </c>
      <c r="E20" s="52">
        <f>IF(AND(E4=1,A4=A20),Kinesis_Analytics!D1,0)</f>
        <v>0</v>
      </c>
      <c r="F20" s="52">
        <f>IF(AND(F4=1,A4=A20),Kinesis_Firehose!D$1,0)</f>
        <v>0.80600000000000005</v>
      </c>
      <c r="G20" s="52">
        <f>IF(AND(G4=1,A4=A20),Lambda_Analysis!D$1,0)</f>
        <v>5.1153642145469069</v>
      </c>
      <c r="H20" s="52">
        <f>IF(AND(H4=1,A4=A20),AWS_Glue!D$1,0)</f>
        <v>0</v>
      </c>
      <c r="I20" s="52">
        <f>IF(AND(I4=1,A4=A20),AWS_SNS!D$1,0)</f>
        <v>0</v>
      </c>
      <c r="J20" s="52">
        <f>IF(AND(J4=1,A4=A20),AWS_SQS!D$1,0)</f>
        <v>0</v>
      </c>
      <c r="K20" s="52">
        <f>IF(AND(K4=1,A4=A20),AWS_Redshift!D$1,0)</f>
        <v>0</v>
      </c>
      <c r="L20" s="52">
        <f>IF(AND(L4=1,A4=A20),AWS_LakeFormation!D$1,0)</f>
        <v>0</v>
      </c>
      <c r="M20" s="52">
        <f>IF(AND(M4=1,A4=A20),AWS_Athena!D$1,0)</f>
        <v>0</v>
      </c>
      <c r="N20" s="52">
        <f>IF(AND(N4=1,A4=A20),CloudFormation_Analysis!D$1,0)</f>
        <v>0</v>
      </c>
      <c r="O20" s="52">
        <f>IF(AND(O4=1,A4=A20),CloudWatch!D$1,0)</f>
        <v>5.2850000000000001</v>
      </c>
      <c r="P20" s="52">
        <f>IF(AND(P4=1,A4=A20),AWS_EMR!D$1,0)</f>
        <v>0</v>
      </c>
      <c r="Q20" s="52">
        <v>0</v>
      </c>
      <c r="R20" s="52">
        <v>0</v>
      </c>
      <c r="T20">
        <f>SUM(Table3[[#This Row],[KS_Cost]:[PH3_Cost]])</f>
        <v>12.433364429851597</v>
      </c>
    </row>
    <row r="21" spans="1:20">
      <c r="A21" s="52" t="s">
        <v>431</v>
      </c>
      <c r="B21" s="52">
        <f>IF(AND(B5=1,A5=A21),Kinesis_Streams!D$1,0)</f>
        <v>0</v>
      </c>
      <c r="C21" s="52">
        <f>IF(AND(C5=1,A5=A21),S3_Cost_Analysis!D$1,0)</f>
        <v>0</v>
      </c>
      <c r="D21" s="52">
        <f>IF(AND(D5=1,A5=A21),EC2_Cost_Analysis!D$1,0)</f>
        <v>0</v>
      </c>
      <c r="E21" s="52">
        <f>IF(AND(E5=1,A5=A21),Kinesis_Analytics!D2,0)</f>
        <v>0</v>
      </c>
      <c r="F21" s="52">
        <f>IF(AND(F5=1,A5=A21),Kinesis_Firehose!D$1,0)</f>
        <v>0</v>
      </c>
      <c r="G21" s="52">
        <f>IF(AND(G5=1,A5=A21),Lambda_Analysis!D$1,0)</f>
        <v>0</v>
      </c>
      <c r="H21" s="52">
        <f>IF(AND(H5=1,A5=A21),AWS_Glue!D$1,0)</f>
        <v>0</v>
      </c>
      <c r="I21" s="52">
        <f>IF(AND(I5=1,A5=A21),AWS_SNS!D$1,0)</f>
        <v>0</v>
      </c>
      <c r="J21" s="52">
        <f>IF(AND(J5=1,A5=A21),AWS_SQS!D$1,0)</f>
        <v>0</v>
      </c>
      <c r="K21" s="52">
        <f>IF(AND(K5=1,A5=A21),AWS_Redshift!D$1,0)</f>
        <v>0</v>
      </c>
      <c r="L21" s="52">
        <f>IF(AND(L5=1,A5=A21),AWS_LakeFormation!D$1,0)</f>
        <v>0</v>
      </c>
      <c r="M21" s="52">
        <f>IF(AND(M5=1,A5=A21),AWS_Athena!D$1,0)</f>
        <v>0</v>
      </c>
      <c r="N21" s="52">
        <f>IF(AND(N5=1,A5=A21),CloudFormation_Analysis!D$1,0)</f>
        <v>0</v>
      </c>
      <c r="O21" s="52">
        <f>IF(AND(O5=1,A5=A21),CloudWatch!D$1,0)</f>
        <v>0</v>
      </c>
      <c r="P21" s="52">
        <f>IF(AND(P5=1,A5=A21),AWS_EMR!D$1,0)</f>
        <v>0</v>
      </c>
      <c r="Q21" s="52">
        <v>0</v>
      </c>
      <c r="R21" s="52">
        <v>0</v>
      </c>
      <c r="T21">
        <f>SUM(Table3[[#This Row],[KS_Cost]:[PH3_Cost]])</f>
        <v>0</v>
      </c>
    </row>
    <row r="22" spans="1:20">
      <c r="A22" s="52" t="s">
        <v>663</v>
      </c>
      <c r="B22" s="52">
        <f>IF(AND(B6=1,A6=A22),Kinesis_Streams!D$1,0)</f>
        <v>0</v>
      </c>
      <c r="C22" s="52">
        <f>IF(AND(C6=1,A6=A22),S3_Cost_Analysis!D$1,0)</f>
        <v>5.5679999999999996</v>
      </c>
      <c r="D22" s="52">
        <f>IF(AND(D6=1,A6=A22),EC2_Cost_Analysis!D$1,0)</f>
        <v>0</v>
      </c>
      <c r="E22" s="52">
        <f>IF(AND(E6=1,A6=A22),Kinesis_Analytics!D3,0)</f>
        <v>0</v>
      </c>
      <c r="F22" s="52">
        <f>IF(AND(F6=1,A6=A22),Kinesis_Firehose!D$1,0)</f>
        <v>0</v>
      </c>
      <c r="G22" s="52">
        <f>IF(AND(G6=1,A6=A22),Lambda_Analysis!D$1,0)</f>
        <v>0</v>
      </c>
      <c r="H22" s="52">
        <f>IF(AND(H6=1,A6=A22),AWS_Glue!D$1,0)</f>
        <v>0</v>
      </c>
      <c r="I22" s="52">
        <f>IF(AND(I6=1,A6=A22),AWS_SNS!D$1,0)</f>
        <v>0</v>
      </c>
      <c r="J22" s="52">
        <f>IF(AND(J6=1,A6=A22),AWS_SQS!D$1,0)</f>
        <v>0</v>
      </c>
      <c r="K22" s="52">
        <f>IF(AND(K6=1,A6=A22),AWS_Redshift!D$1,0)</f>
        <v>0</v>
      </c>
      <c r="L22" s="52">
        <f>IF(AND(L6=1,A6=A22),AWS_LakeFormation!D$1,0)</f>
        <v>0</v>
      </c>
      <c r="M22" s="52">
        <f>IF(AND(M6=1,A6=A22),AWS_Athena!D$1,0)</f>
        <v>0</v>
      </c>
      <c r="N22" s="52">
        <f>IF(AND(N6=1,A6=A22),CloudFormation_Analysis!D$1,0)</f>
        <v>0</v>
      </c>
      <c r="O22" s="52">
        <f>IF(AND(O6=1,A6=A22),CloudWatch!D$1,0)</f>
        <v>0</v>
      </c>
      <c r="P22" s="52">
        <f>IF(AND(P6=1,A6=A22),AWS_EMR!D$1,0)</f>
        <v>0</v>
      </c>
      <c r="Q22" s="52">
        <v>0</v>
      </c>
      <c r="R22" s="52">
        <v>0</v>
      </c>
      <c r="T22">
        <f>SUM(Table3[[#This Row],[KS_Cost]:[PH3_Cost]])</f>
        <v>5.5679999999999996</v>
      </c>
    </row>
    <row r="23" spans="1:20">
      <c r="A23" s="52" t="s">
        <v>432</v>
      </c>
      <c r="B23" s="52">
        <f>IF(AND(B7=1,A7=A23),Kinesis_Streams!D$1,0)</f>
        <v>0</v>
      </c>
      <c r="C23" s="52">
        <f>IF(AND(C7=1,A7=A23),S3_Cost_Analysis!D$1,0)</f>
        <v>0</v>
      </c>
      <c r="D23" s="52">
        <f>IF(AND(D7=1,A7=A23),EC2_Cost_Analysis!D$1,0)</f>
        <v>0</v>
      </c>
      <c r="E23" s="52">
        <f>IF(AND(E7=1,A7=A23),Kinesis_Analytics!D4,0)</f>
        <v>0</v>
      </c>
      <c r="F23" s="52">
        <f>IF(AND(F7=1,A7=A23),Kinesis_Firehose!D$1,0)</f>
        <v>0</v>
      </c>
      <c r="G23" s="52">
        <f>IF(AND(G7=1,A7=A23),Lambda_Analysis!D$1,0)</f>
        <v>0</v>
      </c>
      <c r="H23" s="52">
        <f>IF(AND(H7=1,A7=A23),AWS_Glue!D$1,0)</f>
        <v>0</v>
      </c>
      <c r="I23" s="52">
        <f>IF(AND(I7=1,A7=A23),AWS_SNS!D$1,0)</f>
        <v>0</v>
      </c>
      <c r="J23" s="52">
        <f>IF(AND(J7=1,A7=A23),AWS_SQS!D$1,0)</f>
        <v>0</v>
      </c>
      <c r="K23" s="52">
        <f>IF(AND(K7=1,A7=A23),AWS_Redshift!D$1,0)</f>
        <v>0</v>
      </c>
      <c r="L23" s="52">
        <f>IF(AND(L7=1,A7=A23),AWS_LakeFormation!D$1,0)</f>
        <v>0</v>
      </c>
      <c r="M23" s="52">
        <f>IF(AND(M7=1,A7=A23),AWS_Athena!D$1,0)</f>
        <v>0</v>
      </c>
      <c r="N23" s="52">
        <f>IF(AND(N7=1,A7=A23),CloudFormation_Analysis!D$1,0)</f>
        <v>0</v>
      </c>
      <c r="O23" s="52">
        <f>IF(AND(O7=1,A7=A23),CloudWatch!D$1,0)</f>
        <v>0</v>
      </c>
      <c r="P23" s="52">
        <f>IF(AND(P7=1,A7=A23),AWS_EMR!D$1,0)</f>
        <v>0</v>
      </c>
      <c r="Q23" s="52">
        <v>0</v>
      </c>
      <c r="R23" s="52">
        <v>0</v>
      </c>
      <c r="T23">
        <f>SUM(Table3[[#This Row],[KS_Cost]:[PH3_Cost]])</f>
        <v>0</v>
      </c>
    </row>
    <row r="24" spans="1:20">
      <c r="A24" s="52" t="s">
        <v>433</v>
      </c>
      <c r="B24" s="52">
        <f>IF(AND(B8=1,A8=A24),Kinesis_Streams!D$1,0)</f>
        <v>0</v>
      </c>
      <c r="C24" s="52">
        <f>IF(AND(C8=1,A8=A24),S3_Cost_Analysis!D$1,0)</f>
        <v>0</v>
      </c>
      <c r="D24" s="52">
        <f>IF(AND(D8=1,A8=A24),EC2_Cost_Analysis!D$1,0)</f>
        <v>0</v>
      </c>
      <c r="E24" s="52">
        <f>IF(AND(E8=1,A8=A24),Kinesis_Analytics!D5,0)</f>
        <v>0</v>
      </c>
      <c r="F24" s="52">
        <f>IF(AND(F8=1,A8=A24),Kinesis_Firehose!D$1,0)</f>
        <v>0</v>
      </c>
      <c r="G24" s="52">
        <f>IF(AND(G8=1,A8=A24),Lambda_Analysis!D$1,0)</f>
        <v>0</v>
      </c>
      <c r="H24" s="52">
        <f>IF(AND(H8=1,A8=A24),AWS_Glue!D$1,0)</f>
        <v>0</v>
      </c>
      <c r="I24" s="52">
        <f>IF(AND(I8=1,A8=A24),AWS_SNS!D$1,0)</f>
        <v>0</v>
      </c>
      <c r="J24" s="52">
        <f>IF(AND(J8=1,A8=A24),AWS_SQS!D$1,0)</f>
        <v>0</v>
      </c>
      <c r="K24" s="52">
        <f>IF(AND(K8=1,A8=A24),AWS_Redshift!D$1,0)</f>
        <v>0</v>
      </c>
      <c r="L24" s="52">
        <f>IF(AND(L8=1,A8=A24),AWS_LakeFormation!D$1,0)</f>
        <v>0</v>
      </c>
      <c r="M24" s="52">
        <f>IF(AND(M8=1,A8=A24),AWS_Athena!D$1,0)</f>
        <v>0</v>
      </c>
      <c r="N24" s="52">
        <f>IF(AND(N8=1,A8=A24),CloudFormation_Analysis!D$1,0)</f>
        <v>0</v>
      </c>
      <c r="O24" s="52">
        <f>IF(AND(O8=1,A8=A24),CloudWatch!D$1,0)</f>
        <v>5.2850000000000001</v>
      </c>
      <c r="P24" s="52">
        <f>IF(AND(P8=1,A8=A24),AWS_EMR!D$1,0)</f>
        <v>17.784000000000002</v>
      </c>
      <c r="Q24" s="52">
        <v>0</v>
      </c>
      <c r="R24" s="52">
        <v>0</v>
      </c>
      <c r="T24">
        <f>SUM(Table3[[#This Row],[KS_Cost]:[PH3_Cost]])</f>
        <v>23.069000000000003</v>
      </c>
    </row>
    <row r="25" spans="1:20">
      <c r="A25" s="52" t="s">
        <v>661</v>
      </c>
      <c r="B25" s="52">
        <f>IF(AND(B9=1,A9=A25),Kinesis_Streams!D$1,0)</f>
        <v>0</v>
      </c>
      <c r="C25" s="52">
        <f>IF(AND(C9=1,A9=A25),S3_Cost_Analysis!D$1,0)</f>
        <v>0</v>
      </c>
      <c r="D25" s="52">
        <f>IF(AND(D9=1,A9=A25),EC2_Cost_Analysis!D$1,0)</f>
        <v>0</v>
      </c>
      <c r="E25" s="52">
        <f>IF(AND(E9=1,A9=A25),Kinesis_Analytics!D6,0)</f>
        <v>0</v>
      </c>
      <c r="F25" s="52">
        <f>IF(AND(F9=1,A9=A25),Kinesis_Firehose!D$1,0)</f>
        <v>0</v>
      </c>
      <c r="G25" s="52">
        <f>IF(AND(G9=1,A9=A25),Lambda_Analysis!D$1,0)</f>
        <v>0</v>
      </c>
      <c r="H25" s="52">
        <f>IF(AND(H9=1,A9=A25),AWS_Glue!D$1,0)</f>
        <v>2.5614015756707609</v>
      </c>
      <c r="I25" s="52">
        <f>IF(AND(I9=1,A9=A25),AWS_SNS!D$1,0)</f>
        <v>0</v>
      </c>
      <c r="J25" s="52">
        <f>IF(AND(J9=1,A9=A25),AWS_SQS!D$1,0)</f>
        <v>0</v>
      </c>
      <c r="K25" s="52">
        <f>IF(AND(K9=1,A9=A25),AWS_Redshift!D$1,0)</f>
        <v>20.534966887855649</v>
      </c>
      <c r="L25" s="52">
        <f>IF(AND(L9=1,A9=A25),AWS_LakeFormation!D$1,0)</f>
        <v>6</v>
      </c>
      <c r="M25" s="52">
        <f>IF(AND(M9=1,A9=A25),AWS_Athena!D$1,0)</f>
        <v>0</v>
      </c>
      <c r="N25" s="52">
        <f>IF(AND(N9=1,A9=A25),CloudFormation_Analysis!D$1,0)</f>
        <v>0</v>
      </c>
      <c r="O25" s="52">
        <f>IF(AND(O9=1,A9=A25),CloudWatch!D$1,0)</f>
        <v>5.2850000000000001</v>
      </c>
      <c r="P25" s="52">
        <f>IF(AND(P9=1,A9=A25),AWS_EMR!D$1,0)</f>
        <v>0</v>
      </c>
      <c r="Q25" s="52">
        <v>0</v>
      </c>
      <c r="R25" s="52">
        <v>0</v>
      </c>
      <c r="T25">
        <f>SUM(Table3[[#This Row],[KS_Cost]:[PH3_Cost]])</f>
        <v>34.381368463526414</v>
      </c>
    </row>
    <row r="26" spans="1:20">
      <c r="A26" s="52" t="s">
        <v>662</v>
      </c>
      <c r="B26" s="52">
        <f>IF(AND(B10=1,A10=A26),Kinesis_Streams!D$1,0)</f>
        <v>0</v>
      </c>
      <c r="C26" s="52">
        <f>IF(AND(C10=1,A10=A26),S3_Cost_Analysis!D$1,0)</f>
        <v>0</v>
      </c>
      <c r="D26" s="52">
        <f>IF(AND(D10=1,A10=A26),EC2_Cost_Analysis!D$1,0)</f>
        <v>0</v>
      </c>
      <c r="E26" s="52">
        <f>IF(AND(E10=1,A10=A26),Kinesis_Analytics!D7,0)</f>
        <v>0</v>
      </c>
      <c r="F26" s="52">
        <f>IF(AND(F10=1,A10=A26),Kinesis_Firehose!D$1,0)</f>
        <v>0</v>
      </c>
      <c r="G26" s="52">
        <f>IF(AND(G10=1,A10=A26),Lambda_Analysis!D$1,0)</f>
        <v>0</v>
      </c>
      <c r="H26" s="52">
        <f>IF(AND(H10=1,A10=A26),AWS_Glue!D$1,0)</f>
        <v>0</v>
      </c>
      <c r="I26" s="52">
        <f>IF(AND(I10=1,A10=A26),AWS_SNS!D$1,0)</f>
        <v>0</v>
      </c>
      <c r="J26" s="52">
        <f>IF(AND(J10=1,A10=A26),AWS_SQS!D$1,0)</f>
        <v>0</v>
      </c>
      <c r="K26" s="52">
        <f>IF(AND(K10=1,A10=A26),AWS_Redshift!D$1,0)</f>
        <v>0</v>
      </c>
      <c r="L26" s="52">
        <f>IF(AND(L10=1,A10=A26),AWS_LakeFormation!D$1,0)</f>
        <v>0</v>
      </c>
      <c r="M26" s="52">
        <f>IF(AND(M10=1,A10=A26),AWS_Athena!D$1,0)</f>
        <v>0</v>
      </c>
      <c r="N26" s="52">
        <f>IF(AND(N10=1,A10=A26),CloudFormation_Analysis!D$1,0)</f>
        <v>0</v>
      </c>
      <c r="O26" s="52">
        <f>IF(AND(O10=1,A10=A26),CloudWatch!D$1,0)</f>
        <v>5.2850000000000001</v>
      </c>
      <c r="P26" s="52">
        <f>IF(AND(P10=1,A10=A26),AWS_EMR!D$1,0)</f>
        <v>17.784000000000002</v>
      </c>
      <c r="Q26" s="52">
        <v>0</v>
      </c>
      <c r="R26" s="52">
        <v>0</v>
      </c>
      <c r="T26">
        <f>SUM(Table3[[#This Row],[KS_Cost]:[PH3_Cost]])</f>
        <v>23.069000000000003</v>
      </c>
    </row>
    <row r="27" spans="1:20">
      <c r="A27" s="52" t="s">
        <v>664</v>
      </c>
      <c r="B27" s="52">
        <f>IF(AND(B11=1,A11=A27),Kinesis_Streams!D$1,0)</f>
        <v>0</v>
      </c>
      <c r="C27" s="52">
        <f>IF(AND(C11=1,A11=A27),S3_Cost_Analysis!D$1,0)</f>
        <v>5.5679999999999996</v>
      </c>
      <c r="D27" s="52">
        <f>IF(AND(D11=1,A11=A27),EC2_Cost_Analysis!D$1,0)</f>
        <v>0</v>
      </c>
      <c r="E27" s="52">
        <f>IF(AND(E11=1,A11=A27),Kinesis_Analytics!D8,0)</f>
        <v>0</v>
      </c>
      <c r="F27" s="52">
        <f>IF(AND(F11=1,A11=A27),Kinesis_Firehose!D$1,0)</f>
        <v>0</v>
      </c>
      <c r="G27" s="52">
        <f>IF(AND(G11=1,A11=A27),Lambda_Analysis!D$1,0)</f>
        <v>0</v>
      </c>
      <c r="H27" s="52">
        <f>IF(AND(H11=1,A11=A27),AWS_Glue!D$1,0)</f>
        <v>0</v>
      </c>
      <c r="I27" s="52">
        <f>IF(AND(I11=1,A11=A27),AWS_SNS!D$1,0)</f>
        <v>0</v>
      </c>
      <c r="J27" s="52">
        <f>IF(AND(J11=1,A11=A27),AWS_SQS!D$1,0)</f>
        <v>0</v>
      </c>
      <c r="K27" s="52">
        <f>IF(AND(K11=1,A11=A27),AWS_Redshift!D$1,0)</f>
        <v>0</v>
      </c>
      <c r="L27" s="52">
        <f>IF(AND(L11=1,A11=A27),AWS_LakeFormation!D$1,0)</f>
        <v>0</v>
      </c>
      <c r="M27" s="52">
        <f>IF(AND(M11=1,A11=A27),AWS_Athena!D$1,0)</f>
        <v>0</v>
      </c>
      <c r="N27" s="52">
        <f>IF(AND(N11=1,A11=A27),CloudFormation_Analysis!D$1,0)</f>
        <v>0</v>
      </c>
      <c r="O27" s="52">
        <f>IF(AND(O11=1,A11=A27),CloudWatch!D$1,0)</f>
        <v>0</v>
      </c>
      <c r="P27" s="52">
        <f>IF(AND(P11=1,A11=A27),AWS_EMR!D$1,0)</f>
        <v>0</v>
      </c>
      <c r="Q27" s="52">
        <v>0</v>
      </c>
      <c r="R27" s="52">
        <v>0</v>
      </c>
      <c r="T27">
        <f>SUM(Table3[[#This Row],[KS_Cost]:[PH3_Cost]])</f>
        <v>5.5679999999999996</v>
      </c>
    </row>
    <row r="28" spans="1:20">
      <c r="A28" s="52" t="s">
        <v>434</v>
      </c>
      <c r="B28" s="52">
        <f>IF(AND(B12=1,A12=A28),Kinesis_Streams!D$1,0)</f>
        <v>0</v>
      </c>
      <c r="C28" s="52">
        <f>IF(AND(C12=1,A12=A28),S3_Cost_Analysis!D$1,0)</f>
        <v>0</v>
      </c>
      <c r="D28" s="52">
        <f>IF(AND(D12=1,A12=A28),EC2_Cost_Analysis!D$1,0)</f>
        <v>0</v>
      </c>
      <c r="E28" s="52">
        <f>IF(AND(E12=1,A12=A28),Kinesis_Analytics!D9,0)</f>
        <v>0</v>
      </c>
      <c r="F28" s="52">
        <f>IF(AND(F12=1,A12=A28),Kinesis_Firehose!D$1,0)</f>
        <v>0</v>
      </c>
      <c r="G28" s="52">
        <f>IF(AND(G12=1,A12=A28),Lambda_Analysis!D$1,0)</f>
        <v>0</v>
      </c>
      <c r="H28" s="52">
        <f>IF(AND(H12=1,A12=A28),AWS_Glue!D$1,0)</f>
        <v>0</v>
      </c>
      <c r="I28" s="52">
        <f>IF(AND(I12=1,A12=A28),AWS_SNS!D$1,0)</f>
        <v>0</v>
      </c>
      <c r="J28" s="52">
        <f>IF(AND(J12=1,A12=A28),AWS_SQS!D$1,0)</f>
        <v>0</v>
      </c>
      <c r="K28" s="52">
        <f>IF(AND(K12=1,A12=A28),AWS_Redshift!D$1,0)</f>
        <v>0</v>
      </c>
      <c r="L28" s="52">
        <f>IF(AND(L12=1,A12=A28),AWS_LakeFormation!D$1,0)</f>
        <v>0</v>
      </c>
      <c r="M28" s="52">
        <f>IF(AND(M12=1,A12=A28),AWS_Athena!D$1,0)</f>
        <v>0</v>
      </c>
      <c r="N28" s="52">
        <f>IF(AND(N12=1,A12=A28),CloudFormation_Analysis!D$1,0)</f>
        <v>0</v>
      </c>
      <c r="O28" s="52">
        <f>IF(AND(O12=1,A12=A28),CloudWatch!D$1,0)</f>
        <v>0</v>
      </c>
      <c r="P28" s="52">
        <f>IF(AND(P12=1,A12=A28),AWS_EMR!D$1,0)</f>
        <v>0</v>
      </c>
      <c r="Q28" s="52">
        <v>0</v>
      </c>
      <c r="R28" s="52">
        <v>0</v>
      </c>
      <c r="T28">
        <f>SUM(Table3[[#This Row],[KS_Cost]:[PH3_Cost]])</f>
        <v>0</v>
      </c>
    </row>
    <row r="29" spans="1:20">
      <c r="A29" s="52" t="s">
        <v>434</v>
      </c>
      <c r="B29" s="52">
        <f>IF(AND(B13=1,A13=A29),Kinesis_Streams!D$1,0)</f>
        <v>0</v>
      </c>
      <c r="C29" s="52">
        <f>IF(AND(C13=1,A13=A29),S3_Cost_Analysis!D$1,0)</f>
        <v>0</v>
      </c>
      <c r="D29" s="52">
        <f>IF(AND(D13=1,A13=A29),EC2_Cost_Analysis!D$1,0)</f>
        <v>0</v>
      </c>
      <c r="E29" s="52">
        <f>IF(AND(E13=1,A13=A29),Kinesis_Analytics!D10,0)</f>
        <v>0</v>
      </c>
      <c r="F29" s="52">
        <f>IF(AND(F13=1,A13=A29),Kinesis_Firehose!D$1,0)</f>
        <v>0</v>
      </c>
      <c r="G29" s="52">
        <f>IF(AND(G13=1,A13=A29),Lambda_Analysis!D$1,0)</f>
        <v>0</v>
      </c>
      <c r="H29" s="52">
        <f>IF(AND(H13=1,A13=A29),AWS_Glue!D$1,0)</f>
        <v>0</v>
      </c>
      <c r="I29" s="52">
        <f>IF(AND(I13=1,A13=A29),AWS_SNS!D$1,0)</f>
        <v>0</v>
      </c>
      <c r="J29" s="52">
        <f>IF(AND(J13=1,A13=A29),AWS_SQS!D$1,0)</f>
        <v>0</v>
      </c>
      <c r="K29" s="52">
        <f>IF(AND(K13=1,A13=A29),AWS_Redshift!D$1,0)</f>
        <v>0</v>
      </c>
      <c r="L29" s="52">
        <f>IF(AND(L13=1,A13=A29),AWS_LakeFormation!D$1,0)</f>
        <v>0</v>
      </c>
      <c r="M29" s="52">
        <f>IF(AND(M13=1,A13=A29),AWS_Athena!D$1,0)</f>
        <v>0</v>
      </c>
      <c r="N29" s="52">
        <f>IF(AND(N13=1,A13=A29),CloudFormation_Analysis!D$1,0)</f>
        <v>0</v>
      </c>
      <c r="O29" s="52">
        <f>IF(AND(O13=1,A13=A29),CloudWatch!D$1,0)</f>
        <v>0</v>
      </c>
      <c r="P29" s="52">
        <f>IF(AND(P13=1,A13=A29),AWS_EMR!D$1,0)</f>
        <v>0</v>
      </c>
      <c r="Q29" s="52">
        <v>0</v>
      </c>
      <c r="R29" s="52">
        <v>0</v>
      </c>
      <c r="T29">
        <f>SUM(Table3[[#This Row],[KS_Cost]:[PH3_Cost]])</f>
        <v>0</v>
      </c>
    </row>
    <row r="30" spans="1:20">
      <c r="A30" s="52" t="s">
        <v>435</v>
      </c>
      <c r="B30" s="52">
        <f>IF(AND(B14=1,A14=A30),Kinesis_Streams!D$1,0)</f>
        <v>0</v>
      </c>
      <c r="C30" s="52">
        <f>IF(AND(C14=1,A14=A30),S3_Cost_Analysis!D$1,0)</f>
        <v>0</v>
      </c>
      <c r="D30" s="52">
        <f>IF(AND(D14=1,A14=A30),EC2_Cost_Analysis!D$1,0)</f>
        <v>0</v>
      </c>
      <c r="E30" s="52">
        <f>IF(AND(E14=1,A14=A30),Kinesis_Analytics!D11,0)</f>
        <v>0</v>
      </c>
      <c r="F30" s="52">
        <f>IF(AND(F14=1,A14=A30),Kinesis_Firehose!D$1,0)</f>
        <v>0</v>
      </c>
      <c r="G30" s="52">
        <f>IF(AND(G14=1,A14=A30),Lambda_Analysis!D$1,0)</f>
        <v>0</v>
      </c>
      <c r="H30" s="52">
        <f>IF(AND(H14=1,A14=A30),AWS_Glue!D$1,0)</f>
        <v>0</v>
      </c>
      <c r="I30" s="52">
        <f>IF(AND(I14=1,A14=A30),AWS_SNS!D$1,0)</f>
        <v>0</v>
      </c>
      <c r="J30" s="52">
        <f>IF(AND(J14=1,A14=A30),AWS_SQS!D$1,0)</f>
        <v>0</v>
      </c>
      <c r="K30" s="52">
        <f>IF(AND(K14=1,A14=A30),AWS_Redshift!D$1,0)</f>
        <v>0</v>
      </c>
      <c r="L30" s="52">
        <f>IF(AND(L14=1,A14=A30),AWS_LakeFormation!D$1,0)</f>
        <v>0</v>
      </c>
      <c r="M30" s="52">
        <f>IF(AND(M14=1,A14=A30),AWS_Athena!D$1,0)</f>
        <v>0</v>
      </c>
      <c r="N30" s="52">
        <f>IF(AND(N14=1,A14=A30),CloudFormation_Analysis!D$1,0)</f>
        <v>0</v>
      </c>
      <c r="O30" s="52">
        <f>IF(AND(O14=1,A14=A30),CloudWatch!D$1,0)</f>
        <v>0</v>
      </c>
      <c r="P30" s="52">
        <f>IF(AND(P14=1,A14=A30),AWS_EMR!D$1,0)</f>
        <v>0</v>
      </c>
      <c r="Q30" s="52">
        <v>0</v>
      </c>
      <c r="R30" s="52">
        <v>0</v>
      </c>
      <c r="T30">
        <f>SUM(Table3[[#This Row],[KS_Cost]:[PH3_Cost]])</f>
        <v>0</v>
      </c>
    </row>
    <row r="31" spans="1:20">
      <c r="A31" s="52" t="s">
        <v>435</v>
      </c>
      <c r="B31" s="52">
        <f>IF(AND(B15=1,A15=A31),Kinesis_Streams!D$1,0)</f>
        <v>0</v>
      </c>
      <c r="C31" s="52">
        <f>IF(AND(C15=1,A15=A31),S3_Cost_Analysis!D$1,0)</f>
        <v>0</v>
      </c>
      <c r="D31" s="52">
        <f>IF(AND(D15=1,A15=A31),EC2_Cost_Analysis!D$1,0)</f>
        <v>0</v>
      </c>
      <c r="E31" s="52">
        <f>IF(AND(E15=1,A15=A31),Kinesis_Analytics!D12,0)</f>
        <v>0</v>
      </c>
      <c r="F31" s="52">
        <f>IF(AND(F15=1,A15=A31),Kinesis_Firehose!D$1,0)</f>
        <v>0</v>
      </c>
      <c r="G31" s="52">
        <f>IF(AND(G15=1,A15=A31),Lambda_Analysis!D$1,0)</f>
        <v>0</v>
      </c>
      <c r="H31" s="52">
        <f>IF(AND(H15=1,A15=A31),AWS_Glue!D$1,0)</f>
        <v>0</v>
      </c>
      <c r="I31" s="52">
        <f>IF(AND(I15=1,A15=A31),AWS_SNS!D$1,0)</f>
        <v>0</v>
      </c>
      <c r="J31" s="52">
        <f>IF(AND(J15=1,A15=A31),AWS_SQS!D$1,0)</f>
        <v>0</v>
      </c>
      <c r="K31" s="52">
        <f>IF(AND(K15=1,A15=A31),AWS_Redshift!D$1,0)</f>
        <v>0</v>
      </c>
      <c r="L31" s="52">
        <f>IF(AND(L15=1,A15=A31),AWS_LakeFormation!D$1,0)</f>
        <v>0</v>
      </c>
      <c r="M31" s="52">
        <f>IF(AND(M15=1,A15=A31),AWS_Athena!D$1,0)</f>
        <v>0</v>
      </c>
      <c r="N31" s="52">
        <f>IF(AND(N15=1,A15=A31),CloudFormation_Analysis!D$1,0)</f>
        <v>0</v>
      </c>
      <c r="O31" s="52">
        <f>IF(AND(O15=1,A15=A31),CloudWatch!D$1,0)</f>
        <v>0</v>
      </c>
      <c r="P31" s="52">
        <f>IF(AND(P15=1,A15=A31),AWS_EMR!D$1,0)</f>
        <v>0</v>
      </c>
      <c r="Q31" s="52">
        <v>0</v>
      </c>
      <c r="R31" s="52">
        <v>0</v>
      </c>
      <c r="T31">
        <f>SUM(Table3[[#This Row],[KS_Cost]:[PH3_Cost]])</f>
        <v>0</v>
      </c>
    </row>
    <row r="32" spans="1:20">
      <c r="A32" s="52" t="s">
        <v>436</v>
      </c>
      <c r="B32" s="52">
        <f>IF(AND(B16=1,A16=A32),Kinesis_Streams!D$1,0)</f>
        <v>0</v>
      </c>
      <c r="C32" s="52">
        <f>IF(AND(C16=1,A16=A32),S3_Cost_Analysis!D$1,0)</f>
        <v>0</v>
      </c>
      <c r="D32" s="52">
        <f>IF(AND(D16=1,A16=A32),EC2_Cost_Analysis!D$1,0)</f>
        <v>0</v>
      </c>
      <c r="E32" s="52">
        <f>IF(AND(E16=1,A16=A32),Kinesis_Analytics!D13,0)</f>
        <v>0</v>
      </c>
      <c r="F32" s="52">
        <f>IF(AND(F16=1,A16=A32),Kinesis_Firehose!D$1,0)</f>
        <v>0</v>
      </c>
      <c r="G32" s="52">
        <f>IF(AND(G16=1,A16=A32),Lambda_Analysis!D$1,0)</f>
        <v>0</v>
      </c>
      <c r="H32" s="52">
        <f>IF(AND(H16=1,A16=A32),AWS_Glue!D$1,0)</f>
        <v>0</v>
      </c>
      <c r="I32" s="52">
        <f>IF(AND(I16=1,A16=A32),AWS_SNS!D$1,0)</f>
        <v>0</v>
      </c>
      <c r="J32" s="52">
        <f>IF(AND(J16=1,A16=A32),AWS_SQS!D$1,0)</f>
        <v>0</v>
      </c>
      <c r="K32" s="52">
        <f>IF(AND(K16=1,A16=A32),AWS_Redshift!D$1,0)</f>
        <v>0</v>
      </c>
      <c r="L32" s="52">
        <f>IF(AND(L16=1,A16=A32),AWS_LakeFormation!D$1,0)</f>
        <v>0</v>
      </c>
      <c r="M32" s="52">
        <f>IF(AND(M16=1,A16=A32),AWS_Athena!D$1,0)</f>
        <v>0</v>
      </c>
      <c r="N32" s="52">
        <f>IF(AND(N16=1,A16=A32),CloudFormation_Analysis!D$1,0)</f>
        <v>0</v>
      </c>
      <c r="O32" s="52">
        <f>IF(AND(O16=1,A16=A32),CloudWatch!D$1,0)</f>
        <v>0</v>
      </c>
      <c r="P32" s="52">
        <f>IF(AND(P16=1,A16=A32),AWS_EMR!D$1,0)</f>
        <v>0</v>
      </c>
      <c r="Q32" s="52">
        <v>0</v>
      </c>
      <c r="R32" s="52">
        <v>0</v>
      </c>
      <c r="T32">
        <f>SUM(Table3[[#This Row],[KS_Cost]:[PH3_Cost]])</f>
        <v>0</v>
      </c>
    </row>
    <row r="33" spans="1:20">
      <c r="A33" s="52" t="s">
        <v>436</v>
      </c>
      <c r="B33" s="52">
        <f>IF(AND(B17=1,A17=A33),Kinesis_Streams!D$1,0)</f>
        <v>0</v>
      </c>
      <c r="C33" s="52">
        <f>IF(AND(C17=1,A17=A33),S3_Cost_Analysis!D$1,0)</f>
        <v>0</v>
      </c>
      <c r="D33" s="52">
        <f>IF(AND(D17=1,A17=A33),EC2_Cost_Analysis!D$1,0)</f>
        <v>0</v>
      </c>
      <c r="E33" s="52">
        <f>IF(AND(E17=1,A17=A33),Kinesis_Analytics!D14,0)</f>
        <v>0</v>
      </c>
      <c r="F33" s="52">
        <f>IF(AND(F17=1,A17=A33),Kinesis_Firehose!D$1,0)</f>
        <v>0</v>
      </c>
      <c r="G33" s="52">
        <f>IF(AND(G17=1,A17=A33),Lambda_Analysis!D$1,0)</f>
        <v>0</v>
      </c>
      <c r="H33" s="52">
        <f>IF(AND(H17=1,A17=A33),AWS_Glue!D$1,0)</f>
        <v>0</v>
      </c>
      <c r="I33" s="52">
        <f>IF(AND(I17=1,A17=A33),AWS_SNS!D$1,0)</f>
        <v>0</v>
      </c>
      <c r="J33" s="52">
        <f>IF(AND(J17=1,A17=A33),AWS_SQS!D$1,0)</f>
        <v>0</v>
      </c>
      <c r="K33" s="52">
        <f>IF(AND(K17=1,A17=A33),AWS_Redshift!D$1,0)</f>
        <v>0</v>
      </c>
      <c r="L33" s="52">
        <f>IF(AND(L17=1,A17=A33),AWS_LakeFormation!D$1,0)</f>
        <v>0</v>
      </c>
      <c r="M33" s="52">
        <f>IF(AND(M17=1,A17=A33),AWS_Athena!D$1,0)</f>
        <v>0</v>
      </c>
      <c r="N33" s="52">
        <f>IF(AND(N17=1,A17=A33),CloudFormation_Analysis!D$1,0)</f>
        <v>0</v>
      </c>
      <c r="O33" s="52">
        <f>IF(AND(O17=1,A17=A33),CloudWatch!D$1,0)</f>
        <v>0</v>
      </c>
      <c r="P33" s="52">
        <f>IF(AND(P17=1,A17=A33),AWS_EMR!D$1,0)</f>
        <v>0</v>
      </c>
      <c r="Q33" s="52"/>
      <c r="R33" s="52"/>
      <c r="T33">
        <f>SUM(Table3[[#This Row],[KS_Cost]:[PH3_Cost]])</f>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7684-44E3-E741-8B48-5D70DFD6145E}">
  <dimension ref="A1:M74"/>
  <sheetViews>
    <sheetView topLeftCell="D50" workbookViewId="0">
      <selection activeCell="I72" sqref="I72"/>
    </sheetView>
  </sheetViews>
  <sheetFormatPr baseColWidth="10" defaultRowHeight="16"/>
  <cols>
    <col min="1" max="1" width="103.33203125" bestFit="1" customWidth="1"/>
    <col min="2" max="2" width="17" bestFit="1" customWidth="1"/>
    <col min="3" max="3" width="25.33203125" bestFit="1" customWidth="1"/>
    <col min="4" max="4" width="24.5" bestFit="1" customWidth="1"/>
    <col min="5" max="5" width="92.5" bestFit="1" customWidth="1"/>
    <col min="6" max="6" width="24.1640625" customWidth="1"/>
    <col min="9" max="9" width="17.6640625" bestFit="1" customWidth="1"/>
    <col min="11" max="11" width="31.33203125" bestFit="1" customWidth="1"/>
    <col min="12" max="12" width="24.5" bestFit="1" customWidth="1"/>
    <col min="13" max="13" width="24.83203125" bestFit="1" customWidth="1"/>
    <col min="15" max="15" width="14.83203125" bestFit="1" customWidth="1"/>
  </cols>
  <sheetData>
    <row r="1" spans="1:13">
      <c r="A1" s="4" t="s">
        <v>0</v>
      </c>
      <c r="D1" s="56">
        <f>I72</f>
        <v>5.5679999999999996</v>
      </c>
      <c r="E1" s="55">
        <v>789</v>
      </c>
    </row>
    <row r="2" spans="1:13">
      <c r="A2" s="36" t="s">
        <v>152</v>
      </c>
      <c r="B2" s="36"/>
      <c r="E2" s="36" t="s">
        <v>633</v>
      </c>
      <c r="F2" s="36"/>
      <c r="H2" s="36" t="s">
        <v>74</v>
      </c>
      <c r="I2" s="36"/>
      <c r="K2" s="36" t="s">
        <v>75</v>
      </c>
      <c r="L2" s="36"/>
    </row>
    <row r="3" spans="1:13">
      <c r="A3" t="s">
        <v>108</v>
      </c>
      <c r="B3" s="6">
        <v>2.3E-2</v>
      </c>
      <c r="D3" t="s">
        <v>108</v>
      </c>
      <c r="E3" t="s">
        <v>163</v>
      </c>
      <c r="F3">
        <v>5.0000000000000001E-3</v>
      </c>
      <c r="H3" t="s">
        <v>65</v>
      </c>
      <c r="I3" t="s">
        <v>67</v>
      </c>
      <c r="K3" s="36" t="s">
        <v>165</v>
      </c>
      <c r="L3" s="36"/>
      <c r="M3" s="36"/>
    </row>
    <row r="4" spans="1:13">
      <c r="A4" t="s">
        <v>149</v>
      </c>
      <c r="B4" s="6">
        <v>0.04</v>
      </c>
      <c r="D4" t="s">
        <v>149</v>
      </c>
      <c r="E4" t="s">
        <v>163</v>
      </c>
      <c r="F4">
        <v>0.02</v>
      </c>
      <c r="H4" t="s">
        <v>66</v>
      </c>
      <c r="I4" s="6">
        <v>0.09</v>
      </c>
      <c r="L4" t="s">
        <v>166</v>
      </c>
      <c r="M4" t="s">
        <v>167</v>
      </c>
    </row>
    <row r="5" spans="1:13">
      <c r="A5" t="s">
        <v>150</v>
      </c>
      <c r="B5" s="6">
        <v>3.5999999999999999E-3</v>
      </c>
      <c r="D5" t="s">
        <v>150</v>
      </c>
      <c r="E5" t="s">
        <v>163</v>
      </c>
      <c r="F5">
        <v>0.03</v>
      </c>
      <c r="K5" t="s">
        <v>108</v>
      </c>
      <c r="L5">
        <v>2E-3</v>
      </c>
      <c r="M5">
        <v>6.9999999999999999E-4</v>
      </c>
    </row>
    <row r="6" spans="1:13">
      <c r="A6" t="s">
        <v>151</v>
      </c>
      <c r="B6" s="6">
        <v>9.8999999999999999E-4</v>
      </c>
      <c r="D6" t="s">
        <v>151</v>
      </c>
      <c r="E6" t="s">
        <v>163</v>
      </c>
      <c r="F6">
        <v>0.05</v>
      </c>
      <c r="K6" t="s">
        <v>149</v>
      </c>
      <c r="L6">
        <v>2E-3</v>
      </c>
      <c r="M6">
        <v>0.03</v>
      </c>
    </row>
    <row r="7" spans="1:13">
      <c r="B7" s="6"/>
      <c r="K7" t="s">
        <v>150</v>
      </c>
      <c r="L7">
        <v>2E-3</v>
      </c>
      <c r="M7">
        <v>0.03</v>
      </c>
    </row>
    <row r="8" spans="1:13">
      <c r="B8" s="6"/>
      <c r="D8" t="s">
        <v>108</v>
      </c>
      <c r="E8" t="s">
        <v>164</v>
      </c>
      <c r="F8">
        <v>4.0000000000000002E-4</v>
      </c>
      <c r="K8" t="s">
        <v>151</v>
      </c>
      <c r="L8" t="s">
        <v>168</v>
      </c>
      <c r="M8" t="s">
        <v>168</v>
      </c>
    </row>
    <row r="9" spans="1:13">
      <c r="B9" s="6"/>
      <c r="D9" t="s">
        <v>149</v>
      </c>
      <c r="E9" t="s">
        <v>164</v>
      </c>
      <c r="F9">
        <v>0.01</v>
      </c>
    </row>
    <row r="10" spans="1:13">
      <c r="B10" s="6"/>
      <c r="D10" t="s">
        <v>150</v>
      </c>
      <c r="E10" t="s">
        <v>164</v>
      </c>
      <c r="F10">
        <v>4.0000000000000002E-4</v>
      </c>
      <c r="H10" s="4" t="s">
        <v>178</v>
      </c>
    </row>
    <row r="11" spans="1:13">
      <c r="D11" t="s">
        <v>151</v>
      </c>
      <c r="E11" t="s">
        <v>164</v>
      </c>
      <c r="F11">
        <v>4.0000000000000002E-4</v>
      </c>
    </row>
    <row r="13" spans="1:13">
      <c r="A13" s="36" t="s">
        <v>76</v>
      </c>
      <c r="B13" s="36"/>
      <c r="E13" s="36" t="s">
        <v>77</v>
      </c>
      <c r="F13" s="36"/>
    </row>
    <row r="14" spans="1:13" ht="39" customHeight="1">
      <c r="A14" s="34" t="s">
        <v>170</v>
      </c>
      <c r="B14" s="35"/>
      <c r="E14" s="2"/>
      <c r="F14" s="2"/>
    </row>
    <row r="15" spans="1:13">
      <c r="A15" t="s">
        <v>169</v>
      </c>
      <c r="B15">
        <v>1.4999999999999999E-2</v>
      </c>
    </row>
    <row r="16" spans="1:13">
      <c r="A16" s="35" t="s">
        <v>171</v>
      </c>
      <c r="B16" s="35"/>
    </row>
    <row r="17" spans="1:9">
      <c r="A17" t="s">
        <v>172</v>
      </c>
      <c r="B17" s="27">
        <v>0.25</v>
      </c>
      <c r="C17" t="s">
        <v>176</v>
      </c>
    </row>
    <row r="18" spans="1:9">
      <c r="A18" t="s">
        <v>173</v>
      </c>
      <c r="B18" s="27" t="s">
        <v>175</v>
      </c>
      <c r="C18" t="s">
        <v>174</v>
      </c>
    </row>
    <row r="21" spans="1:9">
      <c r="B21" s="4" t="s">
        <v>108</v>
      </c>
      <c r="D21" s="4" t="s">
        <v>153</v>
      </c>
      <c r="E21" s="4" t="s">
        <v>154</v>
      </c>
      <c r="F21" s="4" t="s">
        <v>155</v>
      </c>
    </row>
    <row r="22" spans="1:9">
      <c r="A22" s="4" t="s">
        <v>70</v>
      </c>
      <c r="B22" s="13">
        <f>B3+I4</f>
        <v>0.11299999999999999</v>
      </c>
      <c r="C22" s="13"/>
      <c r="D22" s="13">
        <f>B4+I4</f>
        <v>0.13</v>
      </c>
      <c r="E22" s="13">
        <f>B5+I4</f>
        <v>9.3600000000000003E-2</v>
      </c>
      <c r="F22" s="13">
        <f>B6+I4</f>
        <v>9.0990000000000001E-2</v>
      </c>
    </row>
    <row r="24" spans="1:9" ht="24">
      <c r="A24" s="48" t="s">
        <v>519</v>
      </c>
      <c r="E24" s="57" t="s">
        <v>520</v>
      </c>
      <c r="I24" t="s">
        <v>632</v>
      </c>
    </row>
    <row r="26" spans="1:9" ht="23">
      <c r="A26" s="45" t="s">
        <v>438</v>
      </c>
      <c r="E26" s="45" t="s">
        <v>438</v>
      </c>
    </row>
    <row r="28" spans="1:9">
      <c r="A28" t="s">
        <v>245</v>
      </c>
      <c r="B28">
        <v>1</v>
      </c>
      <c r="E28" t="s">
        <v>245</v>
      </c>
      <c r="F28">
        <v>1</v>
      </c>
    </row>
    <row r="30" spans="1:9">
      <c r="A30" t="s">
        <v>439</v>
      </c>
      <c r="B30" t="s">
        <v>440</v>
      </c>
      <c r="C30">
        <v>665.39</v>
      </c>
      <c r="E30" t="s">
        <v>439</v>
      </c>
      <c r="F30" t="s">
        <v>507</v>
      </c>
      <c r="G30" s="51">
        <v>5701.2</v>
      </c>
      <c r="I30">
        <f>0.005*1000000/1000</f>
        <v>5</v>
      </c>
    </row>
    <row r="32" spans="1:9" ht="23">
      <c r="A32" s="45" t="s">
        <v>441</v>
      </c>
      <c r="E32" s="45" t="s">
        <v>441</v>
      </c>
    </row>
    <row r="34" spans="1:9">
      <c r="A34" t="s">
        <v>245</v>
      </c>
      <c r="B34">
        <v>1</v>
      </c>
      <c r="E34" t="s">
        <v>245</v>
      </c>
      <c r="F34">
        <v>1</v>
      </c>
    </row>
    <row r="36" spans="1:9">
      <c r="A36" t="s">
        <v>442</v>
      </c>
      <c r="B36" t="s">
        <v>443</v>
      </c>
      <c r="C36">
        <v>175.76</v>
      </c>
      <c r="E36" t="s">
        <v>442</v>
      </c>
      <c r="F36" t="s">
        <v>508</v>
      </c>
      <c r="G36" s="51">
        <v>2966.9</v>
      </c>
      <c r="I36">
        <f>0.004*1000000/10000</f>
        <v>0.4</v>
      </c>
    </row>
    <row r="38" spans="1:9" ht="23">
      <c r="A38" s="45" t="s">
        <v>444</v>
      </c>
      <c r="E38" s="45" t="s">
        <v>444</v>
      </c>
    </row>
    <row r="40" spans="1:9">
      <c r="A40" t="s">
        <v>245</v>
      </c>
      <c r="B40">
        <v>1</v>
      </c>
      <c r="E40" t="s">
        <v>245</v>
      </c>
      <c r="F40">
        <v>1</v>
      </c>
    </row>
    <row r="42" spans="1:9">
      <c r="A42" t="s">
        <v>445</v>
      </c>
      <c r="B42" t="s">
        <v>446</v>
      </c>
      <c r="C42">
        <v>0</v>
      </c>
      <c r="E42" t="s">
        <v>445</v>
      </c>
      <c r="F42" t="s">
        <v>509</v>
      </c>
      <c r="G42">
        <v>0</v>
      </c>
      <c r="I42">
        <v>0</v>
      </c>
    </row>
    <row r="44" spans="1:9" ht="23">
      <c r="A44" s="45" t="s">
        <v>447</v>
      </c>
      <c r="E44" s="45" t="s">
        <v>447</v>
      </c>
    </row>
    <row r="46" spans="1:9">
      <c r="A46" t="s">
        <v>245</v>
      </c>
      <c r="B46">
        <v>1</v>
      </c>
      <c r="E46" t="s">
        <v>245</v>
      </c>
      <c r="F46">
        <v>1</v>
      </c>
    </row>
    <row r="48" spans="1:9">
      <c r="A48" t="s">
        <v>448</v>
      </c>
      <c r="B48" t="s">
        <v>449</v>
      </c>
      <c r="C48">
        <v>0</v>
      </c>
      <c r="E48" t="s">
        <v>448</v>
      </c>
      <c r="F48" t="s">
        <v>510</v>
      </c>
      <c r="G48">
        <v>0</v>
      </c>
      <c r="I48">
        <v>2E-3</v>
      </c>
    </row>
    <row r="50" spans="1:9" ht="23">
      <c r="A50" s="45" t="s">
        <v>450</v>
      </c>
      <c r="E50" s="45" t="s">
        <v>511</v>
      </c>
    </row>
    <row r="52" spans="1:9">
      <c r="A52" t="s">
        <v>245</v>
      </c>
      <c r="B52">
        <v>1</v>
      </c>
      <c r="E52" t="s">
        <v>245</v>
      </c>
      <c r="F52">
        <v>1</v>
      </c>
    </row>
    <row r="54" spans="1:9">
      <c r="A54" t="s">
        <v>451</v>
      </c>
      <c r="B54" t="s">
        <v>452</v>
      </c>
      <c r="C54">
        <v>0</v>
      </c>
      <c r="E54" t="s">
        <v>512</v>
      </c>
      <c r="F54" t="s">
        <v>513</v>
      </c>
      <c r="G54">
        <v>7.12</v>
      </c>
      <c r="I54">
        <v>0.1</v>
      </c>
    </row>
    <row r="56" spans="1:9" ht="23">
      <c r="A56" s="45" t="s">
        <v>453</v>
      </c>
      <c r="E56" s="45" t="s">
        <v>450</v>
      </c>
    </row>
    <row r="58" spans="1:9">
      <c r="A58" t="s">
        <v>245</v>
      </c>
      <c r="B58">
        <v>3</v>
      </c>
      <c r="E58" t="s">
        <v>245</v>
      </c>
      <c r="F58">
        <v>1</v>
      </c>
    </row>
    <row r="60" spans="1:9">
      <c r="A60" t="s">
        <v>454</v>
      </c>
      <c r="B60" t="s">
        <v>455</v>
      </c>
      <c r="C60" t="s">
        <v>456</v>
      </c>
      <c r="E60" t="s">
        <v>451</v>
      </c>
      <c r="F60" t="s">
        <v>514</v>
      </c>
      <c r="G60">
        <v>0</v>
      </c>
      <c r="I60">
        <v>0</v>
      </c>
    </row>
    <row r="61" spans="1:9">
      <c r="A61" t="s">
        <v>457</v>
      </c>
      <c r="B61" t="s">
        <v>458</v>
      </c>
      <c r="C61" t="s">
        <v>459</v>
      </c>
    </row>
    <row r="62" spans="1:9">
      <c r="A62" t="s">
        <v>460</v>
      </c>
      <c r="B62" t="s">
        <v>461</v>
      </c>
      <c r="C62" t="s">
        <v>462</v>
      </c>
    </row>
    <row r="64" spans="1:9" ht="23">
      <c r="A64" s="45" t="s">
        <v>463</v>
      </c>
      <c r="E64" s="45" t="s">
        <v>453</v>
      </c>
    </row>
    <row r="66" spans="1:9">
      <c r="A66" t="s">
        <v>245</v>
      </c>
      <c r="B66">
        <v>1</v>
      </c>
      <c r="E66" t="s">
        <v>245</v>
      </c>
      <c r="F66">
        <v>3</v>
      </c>
    </row>
    <row r="68" spans="1:9">
      <c r="A68" t="s">
        <v>464</v>
      </c>
      <c r="B68" t="s">
        <v>334</v>
      </c>
      <c r="C68">
        <v>0</v>
      </c>
      <c r="E68" t="s">
        <v>515</v>
      </c>
      <c r="F68" t="s">
        <v>516</v>
      </c>
      <c r="G68" s="51">
        <v>12930.7</v>
      </c>
      <c r="I68">
        <v>2.1000000000000001E-2</v>
      </c>
    </row>
    <row r="69" spans="1:9">
      <c r="E69" t="s">
        <v>457</v>
      </c>
      <c r="F69" t="s">
        <v>517</v>
      </c>
      <c r="G69" s="51">
        <v>7327.23</v>
      </c>
      <c r="I69">
        <v>2.1999999999999999E-2</v>
      </c>
    </row>
    <row r="70" spans="1:9" ht="23">
      <c r="A70" s="45" t="s">
        <v>465</v>
      </c>
      <c r="E70" t="s">
        <v>460</v>
      </c>
      <c r="F70" t="s">
        <v>518</v>
      </c>
      <c r="G70">
        <v>858.54</v>
      </c>
      <c r="I70">
        <v>2.3E-2</v>
      </c>
    </row>
    <row r="71" spans="1:9">
      <c r="E71" s="49"/>
    </row>
    <row r="72" spans="1:9">
      <c r="A72" t="s">
        <v>245</v>
      </c>
      <c r="B72">
        <v>1</v>
      </c>
      <c r="H72" t="s">
        <v>242</v>
      </c>
      <c r="I72">
        <f>SUM(I25:I70)</f>
        <v>5.5679999999999996</v>
      </c>
    </row>
    <row r="73" spans="1:9">
      <c r="E73" s="49"/>
    </row>
    <row r="74" spans="1:9">
      <c r="A74" t="s">
        <v>466</v>
      </c>
      <c r="B74" t="s">
        <v>334</v>
      </c>
      <c r="C74" t="s">
        <v>272</v>
      </c>
    </row>
  </sheetData>
  <mergeCells count="9">
    <mergeCell ref="K2:L2"/>
    <mergeCell ref="A13:B13"/>
    <mergeCell ref="E13:F13"/>
    <mergeCell ref="K3:M3"/>
    <mergeCell ref="A14:B14"/>
    <mergeCell ref="A16:B16"/>
    <mergeCell ref="A2:B2"/>
    <mergeCell ref="E2:F2"/>
    <mergeCell ref="H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CC41-8F4B-B74F-A0F4-0BA8AD61E3E5}">
  <dimension ref="A1:M76"/>
  <sheetViews>
    <sheetView tabSelected="1" topLeftCell="B1" workbookViewId="0">
      <selection activeCell="E2" sqref="E2"/>
    </sheetView>
  </sheetViews>
  <sheetFormatPr baseColWidth="10" defaultRowHeight="16"/>
  <cols>
    <col min="1" max="1" width="98" bestFit="1" customWidth="1"/>
    <col min="2" max="2" width="43.83203125" bestFit="1" customWidth="1"/>
    <col min="4" max="4" width="25.5" bestFit="1" customWidth="1"/>
    <col min="5" max="5" width="100.83203125" bestFit="1" customWidth="1"/>
    <col min="6" max="6" width="18" bestFit="1" customWidth="1"/>
    <col min="7" max="7" width="12" bestFit="1" customWidth="1"/>
    <col min="9" max="9" width="17.6640625" bestFit="1" customWidth="1"/>
  </cols>
  <sheetData>
    <row r="1" spans="1:7" ht="24">
      <c r="A1" s="5" t="s">
        <v>1</v>
      </c>
      <c r="B1" t="s">
        <v>82</v>
      </c>
      <c r="D1">
        <f>I69</f>
        <v>59.311395909114914</v>
      </c>
      <c r="E1" s="9" t="s">
        <v>665</v>
      </c>
    </row>
    <row r="3" spans="1:7">
      <c r="A3" s="36" t="s">
        <v>74</v>
      </c>
      <c r="B3" s="36"/>
      <c r="G3" t="s">
        <v>107</v>
      </c>
    </row>
    <row r="4" spans="1:7">
      <c r="A4" t="s">
        <v>2</v>
      </c>
      <c r="B4" t="s">
        <v>78</v>
      </c>
      <c r="G4" t="s">
        <v>106</v>
      </c>
    </row>
    <row r="5" spans="1:7">
      <c r="A5" t="s">
        <v>3</v>
      </c>
      <c r="B5" s="6">
        <v>0.09</v>
      </c>
      <c r="G5" t="s">
        <v>104</v>
      </c>
    </row>
    <row r="6" spans="1:7">
      <c r="B6" s="29" t="s">
        <v>79</v>
      </c>
      <c r="D6" s="29" t="s">
        <v>83</v>
      </c>
      <c r="G6" t="s">
        <v>105</v>
      </c>
    </row>
    <row r="7" spans="1:7">
      <c r="A7" t="s">
        <v>10</v>
      </c>
      <c r="B7" s="12">
        <v>0.2</v>
      </c>
      <c r="D7" s="12" t="s">
        <v>84</v>
      </c>
      <c r="E7" s="6" t="s">
        <v>85</v>
      </c>
      <c r="G7" t="s">
        <v>142</v>
      </c>
    </row>
    <row r="8" spans="1:7">
      <c r="G8" t="s">
        <v>143</v>
      </c>
    </row>
    <row r="9" spans="1:7">
      <c r="G9" t="s">
        <v>144</v>
      </c>
    </row>
    <row r="10" spans="1:7">
      <c r="A10" t="s">
        <v>81</v>
      </c>
      <c r="B10" s="4" t="s">
        <v>80</v>
      </c>
      <c r="G10" t="s">
        <v>145</v>
      </c>
    </row>
    <row r="11" spans="1:7">
      <c r="B11" s="4" t="s">
        <v>100</v>
      </c>
      <c r="D11" s="4" t="s">
        <v>101</v>
      </c>
      <c r="E11" t="s">
        <v>103</v>
      </c>
      <c r="G11" t="s">
        <v>146</v>
      </c>
    </row>
    <row r="12" spans="1:7">
      <c r="A12" t="s">
        <v>70</v>
      </c>
      <c r="B12" s="14">
        <f>B5+B7</f>
        <v>0.29000000000000004</v>
      </c>
      <c r="D12" s="13">
        <f>B5+0.0654</f>
        <v>0.15539999999999998</v>
      </c>
      <c r="E12" t="s">
        <v>102</v>
      </c>
      <c r="G12" t="s">
        <v>147</v>
      </c>
    </row>
    <row r="13" spans="1:7">
      <c r="G13" t="s">
        <v>148</v>
      </c>
    </row>
    <row r="17" spans="1:11" ht="24">
      <c r="A17" s="48" t="s">
        <v>519</v>
      </c>
      <c r="E17" s="57" t="s">
        <v>520</v>
      </c>
      <c r="I17" t="s">
        <v>634</v>
      </c>
    </row>
    <row r="19" spans="1:11" ht="23">
      <c r="A19" s="45" t="s">
        <v>266</v>
      </c>
      <c r="E19" s="45" t="s">
        <v>266</v>
      </c>
    </row>
    <row r="21" spans="1:11">
      <c r="A21" t="s">
        <v>243</v>
      </c>
      <c r="B21">
        <v>2</v>
      </c>
      <c r="E21" t="s">
        <v>245</v>
      </c>
      <c r="F21">
        <v>2</v>
      </c>
    </row>
    <row r="23" spans="1:11">
      <c r="A23" t="s">
        <v>267</v>
      </c>
      <c r="B23" t="s">
        <v>268</v>
      </c>
      <c r="C23">
        <v>37.549999999999997</v>
      </c>
      <c r="E23" t="s">
        <v>267</v>
      </c>
      <c r="F23" t="s">
        <v>537</v>
      </c>
      <c r="G23">
        <v>143.56</v>
      </c>
      <c r="I23">
        <v>4.4999999999999998E-2</v>
      </c>
    </row>
    <row r="24" spans="1:11">
      <c r="A24" t="s">
        <v>269</v>
      </c>
      <c r="B24" s="7">
        <v>4403</v>
      </c>
      <c r="C24">
        <v>198.14</v>
      </c>
      <c r="E24" t="s">
        <v>269</v>
      </c>
      <c r="F24" s="7">
        <v>3858</v>
      </c>
      <c r="G24">
        <v>173.61</v>
      </c>
      <c r="I24">
        <v>1.08</v>
      </c>
      <c r="K24" t="s">
        <v>636</v>
      </c>
    </row>
    <row r="26" spans="1:11" ht="23">
      <c r="A26" t="s">
        <v>245</v>
      </c>
      <c r="B26">
        <v>14</v>
      </c>
      <c r="E26" s="45" t="s">
        <v>282</v>
      </c>
    </row>
    <row r="27" spans="1:11">
      <c r="E27" t="s">
        <v>245</v>
      </c>
      <c r="F27">
        <v>13</v>
      </c>
    </row>
    <row r="28" spans="1:11">
      <c r="A28" t="s">
        <v>270</v>
      </c>
      <c r="B28">
        <v>629</v>
      </c>
      <c r="C28">
        <v>565.4</v>
      </c>
      <c r="F28" t="s">
        <v>635</v>
      </c>
    </row>
    <row r="29" spans="1:11">
      <c r="A29" t="s">
        <v>273</v>
      </c>
      <c r="B29">
        <v>145</v>
      </c>
      <c r="C29">
        <v>135.94</v>
      </c>
      <c r="E29" t="s">
        <v>531</v>
      </c>
      <c r="F29" s="7">
        <v>2572</v>
      </c>
      <c r="G29">
        <v>111.17</v>
      </c>
      <c r="I29">
        <f>(G29/F29) *24</f>
        <v>1.0373561430793157</v>
      </c>
    </row>
    <row r="30" spans="1:11">
      <c r="A30" t="s">
        <v>274</v>
      </c>
      <c r="B30">
        <v>629</v>
      </c>
      <c r="C30">
        <v>30.52</v>
      </c>
      <c r="E30" t="s">
        <v>274</v>
      </c>
      <c r="F30">
        <v>643</v>
      </c>
      <c r="G30">
        <v>31.2</v>
      </c>
      <c r="I30">
        <f t="shared" ref="I30:I38" si="0">(G30/F30) *24</f>
        <v>1.1645412130637636</v>
      </c>
    </row>
    <row r="31" spans="1:11">
      <c r="A31" t="s">
        <v>275</v>
      </c>
      <c r="B31">
        <v>642.91999999999996</v>
      </c>
      <c r="C31" s="51">
        <v>1840.66</v>
      </c>
      <c r="E31" t="s">
        <v>532</v>
      </c>
      <c r="F31">
        <v>802.55200000000002</v>
      </c>
      <c r="G31">
        <v>310.35000000000002</v>
      </c>
      <c r="I31">
        <f t="shared" si="0"/>
        <v>9.2808939483049073</v>
      </c>
    </row>
    <row r="32" spans="1:11">
      <c r="A32" t="s">
        <v>276</v>
      </c>
      <c r="B32">
        <v>629</v>
      </c>
      <c r="C32">
        <v>62.36</v>
      </c>
      <c r="E32" t="s">
        <v>277</v>
      </c>
      <c r="F32" s="51">
        <v>56792.406000000003</v>
      </c>
      <c r="G32" s="51">
        <v>5517.08</v>
      </c>
      <c r="I32">
        <f t="shared" si="0"/>
        <v>2.3314722746558756</v>
      </c>
    </row>
    <row r="33" spans="1:9">
      <c r="A33" t="s">
        <v>277</v>
      </c>
      <c r="B33">
        <v>508.15600000000001</v>
      </c>
      <c r="C33">
        <v>49.36</v>
      </c>
      <c r="E33" t="s">
        <v>533</v>
      </c>
      <c r="F33">
        <v>71.239000000000004</v>
      </c>
      <c r="G33">
        <v>12.34</v>
      </c>
      <c r="I33">
        <f t="shared" si="0"/>
        <v>4.1572734036131891</v>
      </c>
    </row>
    <row r="34" spans="1:9">
      <c r="A34" t="s">
        <v>278</v>
      </c>
      <c r="B34">
        <v>596.35400000000004</v>
      </c>
      <c r="C34">
        <v>46.09</v>
      </c>
      <c r="E34" t="s">
        <v>534</v>
      </c>
      <c r="F34">
        <v>35.622</v>
      </c>
      <c r="G34">
        <v>3.1</v>
      </c>
      <c r="I34">
        <f t="shared" si="0"/>
        <v>2.088596934478693</v>
      </c>
    </row>
    <row r="35" spans="1:9">
      <c r="A35" t="s">
        <v>279</v>
      </c>
      <c r="B35">
        <v>0.98799999999999999</v>
      </c>
      <c r="C35">
        <v>0.5</v>
      </c>
      <c r="E35" t="s">
        <v>535</v>
      </c>
      <c r="F35">
        <v>642</v>
      </c>
      <c r="G35">
        <v>99.23</v>
      </c>
      <c r="I35">
        <f t="shared" si="0"/>
        <v>3.7095327102803743</v>
      </c>
    </row>
    <row r="36" spans="1:9">
      <c r="A36" t="s">
        <v>280</v>
      </c>
      <c r="B36" s="51">
        <v>5162.2</v>
      </c>
      <c r="C36" s="51">
        <v>5245.97</v>
      </c>
      <c r="E36" t="s">
        <v>278</v>
      </c>
      <c r="F36">
        <v>315.20400000000001</v>
      </c>
      <c r="G36">
        <v>24.36</v>
      </c>
      <c r="I36">
        <f t="shared" si="0"/>
        <v>1.8547987969695816</v>
      </c>
    </row>
    <row r="37" spans="1:9">
      <c r="A37" t="s">
        <v>281</v>
      </c>
      <c r="B37">
        <v>0.32100000000000001</v>
      </c>
      <c r="C37">
        <v>0</v>
      </c>
      <c r="E37" t="s">
        <v>280</v>
      </c>
      <c r="F37" s="51">
        <v>7384.68</v>
      </c>
      <c r="G37" s="51">
        <v>7504.51</v>
      </c>
      <c r="I37">
        <f t="shared" si="0"/>
        <v>24.38944409236419</v>
      </c>
    </row>
    <row r="38" spans="1:9">
      <c r="A38" s="49"/>
      <c r="E38" t="s">
        <v>536</v>
      </c>
      <c r="F38" s="51">
        <v>21082.001</v>
      </c>
      <c r="G38" s="51">
        <v>2684.15</v>
      </c>
      <c r="I38">
        <f t="shared" si="0"/>
        <v>3.0556681977199411</v>
      </c>
    </row>
    <row r="39" spans="1:9" ht="23">
      <c r="A39" s="45" t="s">
        <v>282</v>
      </c>
    </row>
    <row r="40" spans="1:9" ht="23">
      <c r="A40" s="45"/>
      <c r="E40" s="45" t="s">
        <v>521</v>
      </c>
    </row>
    <row r="41" spans="1:9">
      <c r="A41" t="s">
        <v>284</v>
      </c>
      <c r="B41">
        <v>1</v>
      </c>
    </row>
    <row r="42" spans="1:9">
      <c r="E42" t="s">
        <v>245</v>
      </c>
      <c r="F42">
        <v>1</v>
      </c>
    </row>
    <row r="43" spans="1:9">
      <c r="A43" t="s">
        <v>283</v>
      </c>
      <c r="B43">
        <v>2</v>
      </c>
      <c r="C43">
        <v>0.15</v>
      </c>
      <c r="F43" t="s">
        <v>635</v>
      </c>
    </row>
    <row r="44" spans="1:9">
      <c r="E44" t="s">
        <v>530</v>
      </c>
      <c r="F44">
        <v>381.726</v>
      </c>
      <c r="G44">
        <v>25.8</v>
      </c>
      <c r="I44">
        <f>(G44/F44)*24</f>
        <v>1.6221059084264629</v>
      </c>
    </row>
    <row r="45" spans="1:9" ht="23">
      <c r="A45" s="45" t="s">
        <v>285</v>
      </c>
    </row>
    <row r="46" spans="1:9" ht="23">
      <c r="E46" s="45" t="s">
        <v>285</v>
      </c>
    </row>
    <row r="47" spans="1:9">
      <c r="A47" t="s">
        <v>284</v>
      </c>
      <c r="B47">
        <v>1</v>
      </c>
    </row>
    <row r="48" spans="1:9">
      <c r="E48" t="s">
        <v>245</v>
      </c>
      <c r="F48">
        <v>1</v>
      </c>
    </row>
    <row r="49" spans="1:9" ht="18">
      <c r="A49" s="22" t="s">
        <v>286</v>
      </c>
      <c r="B49">
        <v>629</v>
      </c>
      <c r="C49">
        <v>79.53</v>
      </c>
      <c r="F49" t="s">
        <v>635</v>
      </c>
    </row>
    <row r="50" spans="1:9">
      <c r="E50" t="s">
        <v>286</v>
      </c>
      <c r="F50" s="7">
        <v>1286</v>
      </c>
      <c r="G50">
        <v>162.61000000000001</v>
      </c>
      <c r="I50">
        <f>(G50/F50)*24</f>
        <v>3.0347122861586318</v>
      </c>
    </row>
    <row r="51" spans="1:9" ht="23">
      <c r="A51" s="45" t="s">
        <v>287</v>
      </c>
    </row>
    <row r="52" spans="1:9" ht="23">
      <c r="E52" s="45" t="s">
        <v>287</v>
      </c>
    </row>
    <row r="53" spans="1:9">
      <c r="A53" t="s">
        <v>284</v>
      </c>
      <c r="B53">
        <v>6</v>
      </c>
      <c r="E53" t="s">
        <v>245</v>
      </c>
      <c r="F53">
        <v>6</v>
      </c>
    </row>
    <row r="55" spans="1:9">
      <c r="A55" t="s">
        <v>288</v>
      </c>
      <c r="B55">
        <v>0.98799999999999999</v>
      </c>
      <c r="C55">
        <v>0</v>
      </c>
      <c r="E55" t="s">
        <v>522</v>
      </c>
      <c r="F55">
        <v>642</v>
      </c>
      <c r="G55">
        <v>0</v>
      </c>
      <c r="I55">
        <v>0</v>
      </c>
    </row>
    <row r="56" spans="1:9">
      <c r="A56" t="s">
        <v>289</v>
      </c>
      <c r="B56" t="s">
        <v>290</v>
      </c>
      <c r="C56">
        <v>33.450000000000003</v>
      </c>
      <c r="E56" t="s">
        <v>523</v>
      </c>
      <c r="F56">
        <v>643</v>
      </c>
      <c r="G56">
        <v>0</v>
      </c>
      <c r="I56">
        <v>0</v>
      </c>
    </row>
    <row r="57" spans="1:9">
      <c r="A57" t="s">
        <v>291</v>
      </c>
      <c r="B57" t="s">
        <v>292</v>
      </c>
      <c r="C57">
        <v>167.92</v>
      </c>
      <c r="E57" t="s">
        <v>289</v>
      </c>
      <c r="F57" t="s">
        <v>524</v>
      </c>
      <c r="G57">
        <v>183.53</v>
      </c>
      <c r="I57">
        <v>0.05</v>
      </c>
    </row>
    <row r="58" spans="1:9">
      <c r="A58" t="s">
        <v>293</v>
      </c>
      <c r="B58" t="s">
        <v>294</v>
      </c>
      <c r="C58">
        <v>0.13</v>
      </c>
      <c r="E58" t="s">
        <v>525</v>
      </c>
      <c r="F58" t="s">
        <v>526</v>
      </c>
      <c r="G58" s="51">
        <v>2861.81</v>
      </c>
      <c r="I58">
        <v>6.5000000000000002E-2</v>
      </c>
    </row>
    <row r="59" spans="1:9">
      <c r="A59" t="s">
        <v>295</v>
      </c>
      <c r="B59" t="s">
        <v>296</v>
      </c>
      <c r="C59" s="51">
        <v>2381.52</v>
      </c>
      <c r="E59" t="s">
        <v>295</v>
      </c>
      <c r="F59" t="s">
        <v>527</v>
      </c>
      <c r="G59" s="51">
        <v>1957.53</v>
      </c>
      <c r="I59">
        <v>0.1</v>
      </c>
    </row>
    <row r="60" spans="1:9">
      <c r="A60" t="s">
        <v>297</v>
      </c>
      <c r="B60" t="s">
        <v>298</v>
      </c>
      <c r="C60">
        <v>1.08</v>
      </c>
      <c r="E60" t="s">
        <v>528</v>
      </c>
      <c r="F60" t="s">
        <v>529</v>
      </c>
      <c r="G60">
        <v>456.79</v>
      </c>
      <c r="I60">
        <v>0.125</v>
      </c>
    </row>
    <row r="61" spans="1:9">
      <c r="A61" s="49"/>
    </row>
    <row r="62" spans="1:9" ht="23">
      <c r="A62" s="45" t="s">
        <v>299</v>
      </c>
      <c r="E62" s="45" t="s">
        <v>299</v>
      </c>
    </row>
    <row r="64" spans="1:9">
      <c r="A64" t="s">
        <v>284</v>
      </c>
      <c r="B64">
        <v>1</v>
      </c>
      <c r="E64" t="s">
        <v>245</v>
      </c>
      <c r="F64">
        <v>1</v>
      </c>
    </row>
    <row r="66" spans="1:13">
      <c r="A66" t="s">
        <v>300</v>
      </c>
      <c r="B66" s="51">
        <v>4394.6000000000004</v>
      </c>
      <c r="C66">
        <v>21.97</v>
      </c>
      <c r="E66" t="s">
        <v>300</v>
      </c>
      <c r="F66" s="7">
        <v>3852</v>
      </c>
      <c r="G66">
        <v>19.260000000000002</v>
      </c>
      <c r="I66">
        <f>(G66/F66)*24</f>
        <v>0.12</v>
      </c>
    </row>
    <row r="69" spans="1:13">
      <c r="I69">
        <f>SUM(I18:I66)</f>
        <v>59.311395909114914</v>
      </c>
    </row>
    <row r="74" spans="1:13">
      <c r="M74" s="49"/>
    </row>
    <row r="76" spans="1:13">
      <c r="M76" s="49"/>
    </row>
  </sheetData>
  <mergeCells count="1">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3EB2-461B-6840-BA56-9773CE26CDDC}">
  <dimension ref="A1:I45"/>
  <sheetViews>
    <sheetView topLeftCell="A17" workbookViewId="0">
      <selection activeCell="I45" sqref="I45"/>
    </sheetView>
  </sheetViews>
  <sheetFormatPr baseColWidth="10" defaultRowHeight="16"/>
  <cols>
    <col min="1" max="1" width="78.5" bestFit="1" customWidth="1"/>
    <col min="2" max="2" width="30" bestFit="1" customWidth="1"/>
    <col min="5" max="5" width="70.5" bestFit="1" customWidth="1"/>
    <col min="6" max="6" width="30.33203125" bestFit="1" customWidth="1"/>
    <col min="7" max="7" width="12.1640625" bestFit="1" customWidth="1"/>
  </cols>
  <sheetData>
    <row r="1" spans="1:9">
      <c r="A1" t="s">
        <v>4</v>
      </c>
      <c r="D1">
        <f>I45</f>
        <v>1.2270002153046888</v>
      </c>
    </row>
    <row r="3" spans="1:9">
      <c r="A3" s="36" t="s">
        <v>9</v>
      </c>
      <c r="B3" s="36"/>
      <c r="C3" s="36"/>
      <c r="D3" s="36"/>
      <c r="E3" s="36"/>
      <c r="F3" s="36"/>
      <c r="G3" s="36"/>
      <c r="H3" s="36"/>
    </row>
    <row r="5" spans="1:9">
      <c r="A5" t="s">
        <v>5</v>
      </c>
      <c r="B5" s="6">
        <v>0.04</v>
      </c>
    </row>
    <row r="6" spans="1:9">
      <c r="A6" t="s">
        <v>6</v>
      </c>
      <c r="B6" s="6">
        <v>0.08</v>
      </c>
    </row>
    <row r="7" spans="1:9">
      <c r="A7" t="s">
        <v>7</v>
      </c>
      <c r="B7" s="6">
        <v>0.04</v>
      </c>
    </row>
    <row r="8" spans="1:9">
      <c r="F8" t="s">
        <v>236</v>
      </c>
      <c r="G8" t="s">
        <v>237</v>
      </c>
    </row>
    <row r="9" spans="1:9">
      <c r="A9" t="s">
        <v>70</v>
      </c>
      <c r="B9" s="13">
        <f>SUM(B5:B7)</f>
        <v>0.16</v>
      </c>
    </row>
    <row r="10" spans="1:9">
      <c r="F10" t="s">
        <v>235</v>
      </c>
    </row>
    <row r="15" spans="1:9" ht="24">
      <c r="A15" s="48" t="s">
        <v>519</v>
      </c>
      <c r="E15" s="57" t="s">
        <v>520</v>
      </c>
      <c r="I15" t="s">
        <v>634</v>
      </c>
    </row>
    <row r="17" spans="1:9" ht="23">
      <c r="A17" s="45" t="s">
        <v>254</v>
      </c>
      <c r="E17" s="45" t="s">
        <v>254</v>
      </c>
    </row>
    <row r="18" spans="1:9" ht="15" customHeight="1">
      <c r="A18" s="45"/>
    </row>
    <row r="19" spans="1:9" ht="15" customHeight="1">
      <c r="A19" t="s">
        <v>243</v>
      </c>
      <c r="B19">
        <v>1</v>
      </c>
      <c r="E19" t="s">
        <v>243</v>
      </c>
      <c r="F19">
        <v>1</v>
      </c>
    </row>
    <row r="20" spans="1:9" ht="17" customHeight="1">
      <c r="A20" s="45"/>
      <c r="F20" t="s">
        <v>637</v>
      </c>
    </row>
    <row r="21" spans="1:9">
      <c r="A21" t="s">
        <v>252</v>
      </c>
      <c r="B21" t="s">
        <v>253</v>
      </c>
      <c r="C21">
        <v>527.13</v>
      </c>
      <c r="E21" t="s">
        <v>252</v>
      </c>
      <c r="F21" s="51">
        <v>1124774.557</v>
      </c>
      <c r="G21" s="51">
        <v>16871.62</v>
      </c>
      <c r="I21">
        <f>(G21/F21)*24</f>
        <v>0.36000003510036716</v>
      </c>
    </row>
    <row r="22" spans="1:9">
      <c r="A22" s="49"/>
    </row>
    <row r="24" spans="1:9" ht="23">
      <c r="A24" s="45" t="s">
        <v>255</v>
      </c>
      <c r="E24" s="45" t="s">
        <v>255</v>
      </c>
    </row>
    <row r="25" spans="1:9" ht="23">
      <c r="A25" s="45"/>
    </row>
    <row r="26" spans="1:9">
      <c r="A26" t="s">
        <v>243</v>
      </c>
      <c r="B26">
        <v>1</v>
      </c>
      <c r="E26" t="s">
        <v>243</v>
      </c>
      <c r="F26">
        <v>1</v>
      </c>
    </row>
    <row r="28" spans="1:9" ht="18">
      <c r="A28" s="22" t="s">
        <v>256</v>
      </c>
      <c r="B28" s="22" t="s">
        <v>257</v>
      </c>
      <c r="C28">
        <v>8.31</v>
      </c>
      <c r="E28" t="s">
        <v>256</v>
      </c>
      <c r="F28" t="s">
        <v>544</v>
      </c>
      <c r="G28">
        <v>920.65</v>
      </c>
      <c r="I28">
        <v>1.2999999999999999E-2</v>
      </c>
    </row>
    <row r="30" spans="1:9" ht="23">
      <c r="A30" s="45" t="s">
        <v>258</v>
      </c>
      <c r="E30" s="45" t="s">
        <v>258</v>
      </c>
    </row>
    <row r="31" spans="1:9" ht="23">
      <c r="A31" s="45"/>
    </row>
    <row r="32" spans="1:9">
      <c r="A32" t="s">
        <v>243</v>
      </c>
      <c r="B32">
        <v>1</v>
      </c>
      <c r="E32" t="s">
        <v>243</v>
      </c>
      <c r="F32">
        <v>1</v>
      </c>
    </row>
    <row r="34" spans="1:9" ht="18">
      <c r="A34" s="22" t="s">
        <v>259</v>
      </c>
      <c r="B34" s="22" t="s">
        <v>260</v>
      </c>
      <c r="C34">
        <v>36.270000000000003</v>
      </c>
      <c r="E34" t="s">
        <v>259</v>
      </c>
      <c r="F34" t="s">
        <v>543</v>
      </c>
      <c r="G34">
        <v>405.58</v>
      </c>
      <c r="I34">
        <v>1.4E-2</v>
      </c>
    </row>
    <row r="37" spans="1:9" ht="23">
      <c r="A37" s="45" t="s">
        <v>261</v>
      </c>
      <c r="E37" s="45" t="s">
        <v>261</v>
      </c>
    </row>
    <row r="38" spans="1:9" ht="23">
      <c r="A38" s="45"/>
    </row>
    <row r="39" spans="1:9">
      <c r="A39" t="s">
        <v>243</v>
      </c>
      <c r="B39">
        <v>2</v>
      </c>
      <c r="E39" t="s">
        <v>243</v>
      </c>
      <c r="F39">
        <v>2</v>
      </c>
    </row>
    <row r="40" spans="1:9">
      <c r="F40" t="s">
        <v>638</v>
      </c>
    </row>
    <row r="41" spans="1:9">
      <c r="A41" t="s">
        <v>262</v>
      </c>
      <c r="B41" t="s">
        <v>263</v>
      </c>
      <c r="C41">
        <v>676.76</v>
      </c>
      <c r="E41" t="s">
        <v>542</v>
      </c>
      <c r="F41" s="51">
        <v>299659.84999999998</v>
      </c>
      <c r="G41" s="51">
        <v>4494.8999999999996</v>
      </c>
      <c r="I41">
        <f>(G41/F41)*24</f>
        <v>0.36000018020432167</v>
      </c>
    </row>
    <row r="42" spans="1:9">
      <c r="A42" t="s">
        <v>264</v>
      </c>
      <c r="B42" t="s">
        <v>265</v>
      </c>
      <c r="C42">
        <v>141.46</v>
      </c>
      <c r="E42" t="s">
        <v>264</v>
      </c>
      <c r="F42" s="7">
        <v>25720</v>
      </c>
      <c r="G42">
        <v>514.4</v>
      </c>
      <c r="I42">
        <f>(G42/F42)*24</f>
        <v>0.48</v>
      </c>
    </row>
    <row r="45" spans="1:9">
      <c r="I45">
        <f>SUM(I16:I43)</f>
        <v>1.2270002153046888</v>
      </c>
    </row>
  </sheetData>
  <mergeCells count="1">
    <mergeCell ref="A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9EF-4197-7C4B-BCE8-9385085B45A0}">
  <dimension ref="A1:M42"/>
  <sheetViews>
    <sheetView topLeftCell="C1" workbookViewId="0">
      <selection activeCell="D2" sqref="D2"/>
    </sheetView>
  </sheetViews>
  <sheetFormatPr baseColWidth="10" defaultRowHeight="16"/>
  <cols>
    <col min="1" max="1" width="75.5" bestFit="1" customWidth="1"/>
    <col min="2" max="2" width="20.83203125" bestFit="1" customWidth="1"/>
    <col min="3" max="3" width="18" bestFit="1" customWidth="1"/>
    <col min="6" max="6" width="73.6640625" bestFit="1" customWidth="1"/>
    <col min="7" max="7" width="13.1640625" bestFit="1" customWidth="1"/>
  </cols>
  <sheetData>
    <row r="1" spans="1:13" ht="24">
      <c r="A1" s="5" t="s">
        <v>8</v>
      </c>
      <c r="D1">
        <f>I42</f>
        <v>0.80600000000000005</v>
      </c>
    </row>
    <row r="3" spans="1:13">
      <c r="A3" s="37" t="s">
        <v>11</v>
      </c>
      <c r="B3" s="37"/>
      <c r="C3" s="37"/>
      <c r="D3" s="37"/>
      <c r="E3" s="37"/>
      <c r="F3" s="37"/>
      <c r="G3" s="37"/>
      <c r="H3" s="37"/>
      <c r="I3" s="37"/>
      <c r="J3" s="37"/>
      <c r="K3" s="37"/>
      <c r="L3" s="37"/>
      <c r="M3" s="37"/>
    </row>
    <row r="5" spans="1:13" ht="18">
      <c r="A5" s="22" t="s">
        <v>12</v>
      </c>
      <c r="B5" s="6">
        <v>2.9000000000000001E-2</v>
      </c>
    </row>
    <row r="6" spans="1:13" ht="18">
      <c r="A6" s="22" t="s">
        <v>13</v>
      </c>
      <c r="B6" s="6">
        <v>0.18</v>
      </c>
    </row>
    <row r="8" spans="1:13" ht="18">
      <c r="A8" s="22" t="s">
        <v>14</v>
      </c>
      <c r="B8" s="6">
        <v>0.02</v>
      </c>
    </row>
    <row r="9" spans="1:13" ht="18">
      <c r="A9" s="22" t="s">
        <v>15</v>
      </c>
      <c r="B9" s="6">
        <v>5.0000000000000001E-3</v>
      </c>
    </row>
    <row r="11" spans="1:13" ht="18">
      <c r="A11" s="22" t="s">
        <v>70</v>
      </c>
      <c r="B11" s="13">
        <f>SUM(B5:B8)</f>
        <v>0.22899999999999998</v>
      </c>
    </row>
    <row r="14" spans="1:13" ht="24">
      <c r="A14" s="48" t="s">
        <v>519</v>
      </c>
      <c r="F14" s="57" t="s">
        <v>520</v>
      </c>
      <c r="I14" t="s">
        <v>639</v>
      </c>
    </row>
    <row r="15" spans="1:13" ht="23">
      <c r="A15" s="45" t="s">
        <v>239</v>
      </c>
      <c r="F15" s="45" t="s">
        <v>545</v>
      </c>
    </row>
    <row r="17" spans="1:10">
      <c r="A17" t="s">
        <v>243</v>
      </c>
      <c r="B17">
        <v>2</v>
      </c>
      <c r="C17" s="51"/>
      <c r="F17" t="s">
        <v>245</v>
      </c>
      <c r="G17">
        <v>1</v>
      </c>
    </row>
    <row r="18" spans="1:10" ht="19">
      <c r="C18" s="47" t="s">
        <v>247</v>
      </c>
    </row>
    <row r="19" spans="1:10">
      <c r="A19" t="s">
        <v>250</v>
      </c>
      <c r="B19">
        <v>5906253</v>
      </c>
      <c r="C19" s="51">
        <v>29.53</v>
      </c>
      <c r="F19" t="s">
        <v>546</v>
      </c>
      <c r="G19" t="s">
        <v>547</v>
      </c>
      <c r="H19" s="51">
        <v>1221.71</v>
      </c>
      <c r="I19">
        <v>1.7999999999999999E-2</v>
      </c>
    </row>
    <row r="20" spans="1:10">
      <c r="A20" t="s">
        <v>249</v>
      </c>
      <c r="B20">
        <v>22169.223000000002</v>
      </c>
      <c r="C20" s="51">
        <v>443.38</v>
      </c>
    </row>
    <row r="21" spans="1:10" ht="23">
      <c r="B21" t="s">
        <v>242</v>
      </c>
      <c r="C21" s="51">
        <v>472.92</v>
      </c>
      <c r="F21" s="45" t="s">
        <v>239</v>
      </c>
    </row>
    <row r="23" spans="1:10">
      <c r="F23" t="s">
        <v>245</v>
      </c>
      <c r="G23">
        <v>3</v>
      </c>
    </row>
    <row r="24" spans="1:10" ht="23">
      <c r="A24" s="45" t="s">
        <v>244</v>
      </c>
    </row>
    <row r="25" spans="1:10">
      <c r="F25" t="s">
        <v>240</v>
      </c>
      <c r="G25" t="s">
        <v>548</v>
      </c>
      <c r="H25" s="51">
        <v>0.01</v>
      </c>
      <c r="I25" s="51">
        <v>0.01</v>
      </c>
      <c r="J25" t="s">
        <v>640</v>
      </c>
    </row>
    <row r="26" spans="1:10">
      <c r="A26" t="s">
        <v>245</v>
      </c>
      <c r="B26">
        <v>1</v>
      </c>
      <c r="C26" s="51"/>
      <c r="F26" t="s">
        <v>241</v>
      </c>
      <c r="G26" t="s">
        <v>549</v>
      </c>
      <c r="H26" s="51">
        <v>0.61</v>
      </c>
      <c r="I26" s="51">
        <v>0.61</v>
      </c>
      <c r="J26" t="s">
        <v>640</v>
      </c>
    </row>
    <row r="27" spans="1:10">
      <c r="F27" t="s">
        <v>550</v>
      </c>
      <c r="G27" t="s">
        <v>551</v>
      </c>
      <c r="H27" s="51">
        <v>0.11</v>
      </c>
      <c r="I27" s="51">
        <v>0.11</v>
      </c>
      <c r="J27" t="s">
        <v>640</v>
      </c>
    </row>
    <row r="28" spans="1:10">
      <c r="A28" t="s">
        <v>251</v>
      </c>
      <c r="B28">
        <v>23900.607</v>
      </c>
      <c r="C28" s="51">
        <v>693.12</v>
      </c>
    </row>
    <row r="29" spans="1:10" ht="23">
      <c r="C29" s="51"/>
      <c r="F29" s="45" t="s">
        <v>244</v>
      </c>
    </row>
    <row r="30" spans="1:10">
      <c r="A30" t="s">
        <v>248</v>
      </c>
      <c r="C30" s="51">
        <v>1166.03</v>
      </c>
    </row>
    <row r="31" spans="1:10">
      <c r="F31" t="s">
        <v>245</v>
      </c>
      <c r="G31">
        <v>1</v>
      </c>
    </row>
    <row r="33" spans="6:9">
      <c r="F33" t="s">
        <v>246</v>
      </c>
      <c r="G33" t="s">
        <v>552</v>
      </c>
      <c r="H33" s="51">
        <v>1984.33</v>
      </c>
      <c r="I33">
        <v>2.9000000000000001E-2</v>
      </c>
    </row>
    <row r="35" spans="6:9" ht="23">
      <c r="F35" s="45" t="s">
        <v>553</v>
      </c>
    </row>
    <row r="37" spans="6:9">
      <c r="F37" t="s">
        <v>245</v>
      </c>
      <c r="G37">
        <v>1</v>
      </c>
    </row>
    <row r="39" spans="6:9">
      <c r="F39" t="s">
        <v>554</v>
      </c>
      <c r="G39" t="s">
        <v>555</v>
      </c>
      <c r="H39" s="51">
        <v>60.71</v>
      </c>
      <c r="I39">
        <v>2.9000000000000001E-2</v>
      </c>
    </row>
    <row r="42" spans="6:9">
      <c r="I42">
        <f>SUM(I15:I39)</f>
        <v>0.80600000000000005</v>
      </c>
    </row>
  </sheetData>
  <mergeCells count="1">
    <mergeCell ref="A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D9E24-1A10-DE48-A512-2C7C74135793}">
  <dimension ref="A1:I32"/>
  <sheetViews>
    <sheetView topLeftCell="A10" workbookViewId="0">
      <selection activeCell="D2" sqref="D2"/>
    </sheetView>
  </sheetViews>
  <sheetFormatPr baseColWidth="10" defaultRowHeight="16"/>
  <cols>
    <col min="1" max="1" width="63.83203125" bestFit="1" customWidth="1"/>
    <col min="2" max="2" width="21.83203125" bestFit="1" customWidth="1"/>
    <col min="3" max="3" width="15.83203125" bestFit="1" customWidth="1"/>
    <col min="5" max="5" width="63.83203125" bestFit="1" customWidth="1"/>
    <col min="6" max="6" width="20.33203125" customWidth="1"/>
    <col min="9" max="9" width="17.6640625" bestFit="1" customWidth="1"/>
  </cols>
  <sheetData>
    <row r="1" spans="1:9" ht="24">
      <c r="A1" s="5" t="s">
        <v>16</v>
      </c>
      <c r="D1">
        <f>I32</f>
        <v>5.4030000000000005</v>
      </c>
    </row>
    <row r="2" spans="1:9">
      <c r="A2" s="35" t="s">
        <v>17</v>
      </c>
      <c r="B2" s="35"/>
      <c r="C2" s="35"/>
    </row>
    <row r="4" spans="1:9">
      <c r="A4" t="s">
        <v>18</v>
      </c>
      <c r="B4" s="6">
        <v>0.11</v>
      </c>
    </row>
    <row r="5" spans="1:9">
      <c r="A5" t="s">
        <v>21</v>
      </c>
      <c r="B5" s="6">
        <v>0.1</v>
      </c>
    </row>
    <row r="6" spans="1:9">
      <c r="A6" t="s">
        <v>19</v>
      </c>
      <c r="B6" s="6">
        <v>2.3E-2</v>
      </c>
    </row>
    <row r="7" spans="1:9">
      <c r="A7" t="s">
        <v>20</v>
      </c>
      <c r="B7" s="6">
        <v>0.11</v>
      </c>
    </row>
    <row r="8" spans="1:9">
      <c r="A8" t="s">
        <v>22</v>
      </c>
      <c r="B8" s="6">
        <v>0.1</v>
      </c>
    </row>
    <row r="11" spans="1:9">
      <c r="A11" t="s">
        <v>70</v>
      </c>
      <c r="B11" s="13">
        <f>SUM(B4:B8)</f>
        <v>0.44300000000000006</v>
      </c>
    </row>
    <row r="15" spans="1:9" ht="24">
      <c r="A15" s="48" t="s">
        <v>238</v>
      </c>
      <c r="E15" s="57" t="s">
        <v>520</v>
      </c>
      <c r="I15" t="s">
        <v>641</v>
      </c>
    </row>
    <row r="17" spans="1:9" ht="23">
      <c r="A17" s="45" t="s">
        <v>301</v>
      </c>
      <c r="E17" s="45" t="s">
        <v>301</v>
      </c>
    </row>
    <row r="18" spans="1:9" ht="23">
      <c r="A18" s="45"/>
    </row>
    <row r="19" spans="1:9">
      <c r="A19" t="s">
        <v>305</v>
      </c>
      <c r="B19">
        <v>1</v>
      </c>
      <c r="E19" t="s">
        <v>305</v>
      </c>
      <c r="F19">
        <v>1</v>
      </c>
    </row>
    <row r="21" spans="1:9">
      <c r="A21" t="s">
        <v>302</v>
      </c>
      <c r="B21" t="s">
        <v>303</v>
      </c>
      <c r="C21">
        <v>5.88</v>
      </c>
      <c r="E21" t="s">
        <v>302</v>
      </c>
      <c r="F21" t="s">
        <v>556</v>
      </c>
      <c r="G21">
        <v>5.05</v>
      </c>
      <c r="I21">
        <v>2.3E-2</v>
      </c>
    </row>
    <row r="22" spans="1:9">
      <c r="A22" s="49"/>
    </row>
    <row r="23" spans="1:9" ht="23">
      <c r="A23" s="45" t="s">
        <v>304</v>
      </c>
      <c r="E23" s="45" t="s">
        <v>304</v>
      </c>
    </row>
    <row r="25" spans="1:9">
      <c r="A25" t="s">
        <v>305</v>
      </c>
      <c r="B25">
        <v>4</v>
      </c>
      <c r="E25" s="61" t="s">
        <v>305</v>
      </c>
      <c r="F25">
        <v>3</v>
      </c>
    </row>
    <row r="26" spans="1:9" ht="23">
      <c r="E26" s="60"/>
    </row>
    <row r="27" spans="1:9">
      <c r="A27" t="s">
        <v>306</v>
      </c>
      <c r="B27" t="s">
        <v>307</v>
      </c>
      <c r="C27">
        <v>12.9</v>
      </c>
      <c r="E27" t="s">
        <v>306</v>
      </c>
      <c r="F27" t="s">
        <v>557</v>
      </c>
      <c r="G27">
        <v>258.86</v>
      </c>
      <c r="I27">
        <v>0.1</v>
      </c>
    </row>
    <row r="28" spans="1:9">
      <c r="A28" t="s">
        <v>308</v>
      </c>
      <c r="B28" t="s">
        <v>309</v>
      </c>
      <c r="C28">
        <v>87.36</v>
      </c>
      <c r="E28" t="s">
        <v>310</v>
      </c>
      <c r="F28" t="s">
        <v>558</v>
      </c>
      <c r="G28" s="51">
        <v>4458.96</v>
      </c>
      <c r="I28">
        <f>0.11*24</f>
        <v>2.64</v>
      </c>
    </row>
    <row r="29" spans="1:9">
      <c r="A29" t="s">
        <v>310</v>
      </c>
      <c r="B29" t="s">
        <v>311</v>
      </c>
      <c r="C29">
        <v>221.87</v>
      </c>
      <c r="E29" t="s">
        <v>559</v>
      </c>
      <c r="F29" t="s">
        <v>560</v>
      </c>
      <c r="G29" s="51">
        <v>2178.77</v>
      </c>
      <c r="I29">
        <f>0.11*24</f>
        <v>2.64</v>
      </c>
    </row>
    <row r="30" spans="1:9">
      <c r="A30" t="s">
        <v>312</v>
      </c>
      <c r="B30" t="s">
        <v>313</v>
      </c>
      <c r="C30">
        <v>1660.56</v>
      </c>
    </row>
    <row r="32" spans="1:9">
      <c r="I32">
        <f>SUM(I16:I30)</f>
        <v>5.4030000000000005</v>
      </c>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FFD3-D15C-BC4B-97A2-768CF805C0C5}">
  <dimension ref="A1:I49"/>
  <sheetViews>
    <sheetView topLeftCell="B14" workbookViewId="0">
      <selection activeCell="I25" sqref="I25"/>
    </sheetView>
  </sheetViews>
  <sheetFormatPr baseColWidth="10" defaultRowHeight="16"/>
  <cols>
    <col min="1" max="1" width="82.6640625" bestFit="1" customWidth="1"/>
    <col min="2" max="2" width="36.6640625" bestFit="1" customWidth="1"/>
    <col min="3" max="3" width="18.6640625" bestFit="1" customWidth="1"/>
    <col min="5" max="5" width="62" bestFit="1" customWidth="1"/>
    <col min="6" max="6" width="19.33203125" bestFit="1" customWidth="1"/>
    <col min="7" max="7" width="20" bestFit="1" customWidth="1"/>
  </cols>
  <sheetData>
    <row r="1" spans="1:8" ht="24">
      <c r="A1" s="5" t="s">
        <v>35</v>
      </c>
      <c r="B1" s="10" t="s">
        <v>61</v>
      </c>
      <c r="D1">
        <f>I34</f>
        <v>5.1153642145469069</v>
      </c>
    </row>
    <row r="3" spans="1:8">
      <c r="A3" s="29" t="s">
        <v>36</v>
      </c>
      <c r="B3" t="s">
        <v>40</v>
      </c>
      <c r="E3" s="29" t="s">
        <v>37</v>
      </c>
      <c r="F3" t="s">
        <v>41</v>
      </c>
    </row>
    <row r="4" spans="1:8" ht="18">
      <c r="A4" t="s">
        <v>38</v>
      </c>
      <c r="B4" s="16">
        <v>1.6666700000000001E-5</v>
      </c>
      <c r="F4" s="16">
        <v>1.33334E-5</v>
      </c>
    </row>
    <row r="5" spans="1:8" ht="18">
      <c r="A5" t="s">
        <v>39</v>
      </c>
      <c r="B5" s="15">
        <v>0.2</v>
      </c>
      <c r="F5" s="3">
        <v>0.2</v>
      </c>
    </row>
    <row r="7" spans="1:8" ht="18">
      <c r="A7" t="s">
        <v>42</v>
      </c>
      <c r="B7" s="16">
        <v>8.2999999999999999E-9</v>
      </c>
      <c r="F7" s="16">
        <v>6.6999999999999996E-9</v>
      </c>
    </row>
    <row r="9" spans="1:8" ht="18">
      <c r="A9" t="s">
        <v>43</v>
      </c>
      <c r="B9" s="16">
        <v>3.0899999999999999E-8</v>
      </c>
      <c r="F9" s="16">
        <v>3.0899999999999999E-8</v>
      </c>
    </row>
    <row r="10" spans="1:8">
      <c r="C10" s="4" t="s">
        <v>38</v>
      </c>
      <c r="D10" s="4" t="s">
        <v>39</v>
      </c>
      <c r="G10" s="4" t="s">
        <v>38</v>
      </c>
      <c r="H10" s="4" t="s">
        <v>39</v>
      </c>
    </row>
    <row r="11" spans="1:8" ht="18">
      <c r="A11" t="s">
        <v>44</v>
      </c>
      <c r="B11" s="16">
        <v>4.1667000000000003E-6</v>
      </c>
      <c r="C11" s="16">
        <v>9.7221999999999999E-6</v>
      </c>
      <c r="D11" s="3">
        <v>0.2</v>
      </c>
      <c r="F11" s="16">
        <v>3.3334000000000001E-6</v>
      </c>
      <c r="G11" s="16">
        <v>7.7778000000000003E-6</v>
      </c>
      <c r="H11" s="3">
        <v>0.2</v>
      </c>
    </row>
    <row r="15" spans="1:8">
      <c r="A15" t="s">
        <v>70</v>
      </c>
      <c r="B15" s="17">
        <f>B4+B5+B7+B9+B11+C11+D11</f>
        <v>0.40003059480000003</v>
      </c>
      <c r="F15" s="18">
        <f>F4+F5+F7+F9+F11+G11+H11</f>
        <v>0.40002448220000003</v>
      </c>
    </row>
    <row r="19" spans="1:9" ht="24">
      <c r="A19" s="48" t="s">
        <v>519</v>
      </c>
      <c r="E19" s="57" t="s">
        <v>520</v>
      </c>
      <c r="I19" t="s">
        <v>644</v>
      </c>
    </row>
    <row r="21" spans="1:9" ht="23">
      <c r="A21" s="45" t="s">
        <v>389</v>
      </c>
      <c r="E21" s="45" t="s">
        <v>389</v>
      </c>
    </row>
    <row r="23" spans="1:9">
      <c r="A23" t="s">
        <v>245</v>
      </c>
      <c r="B23">
        <v>1</v>
      </c>
      <c r="E23" t="s">
        <v>245</v>
      </c>
      <c r="F23">
        <v>1</v>
      </c>
    </row>
    <row r="24" spans="1:9">
      <c r="F24" t="s">
        <v>642</v>
      </c>
    </row>
    <row r="25" spans="1:9">
      <c r="A25" t="s">
        <v>390</v>
      </c>
      <c r="B25" t="s">
        <v>391</v>
      </c>
      <c r="C25">
        <v>251.46</v>
      </c>
      <c r="E25" t="s">
        <v>561</v>
      </c>
      <c r="F25" s="51">
        <v>828607.17099999997</v>
      </c>
      <c r="G25">
        <v>47.14</v>
      </c>
      <c r="I25">
        <f>(G25/F25)*86400</f>
        <v>4.9153521023534568</v>
      </c>
    </row>
    <row r="27" spans="1:9" ht="23">
      <c r="A27" s="45" t="s">
        <v>392</v>
      </c>
      <c r="E27" s="45" t="s">
        <v>401</v>
      </c>
    </row>
    <row r="29" spans="1:9">
      <c r="A29" t="s">
        <v>245</v>
      </c>
      <c r="B29">
        <v>1</v>
      </c>
      <c r="E29" t="s">
        <v>245</v>
      </c>
      <c r="F29">
        <v>1</v>
      </c>
    </row>
    <row r="30" spans="1:9">
      <c r="F30" t="s">
        <v>643</v>
      </c>
    </row>
    <row r="31" spans="1:9">
      <c r="A31" t="s">
        <v>393</v>
      </c>
      <c r="B31" t="s">
        <v>394</v>
      </c>
      <c r="C31">
        <v>11.78</v>
      </c>
      <c r="E31" t="s">
        <v>402</v>
      </c>
      <c r="F31" s="7">
        <v>127392285</v>
      </c>
      <c r="G31">
        <v>25.48</v>
      </c>
      <c r="I31">
        <f>(G31/F31)*1000000</f>
        <v>0.20001211219345036</v>
      </c>
    </row>
    <row r="33" spans="1:9" ht="23">
      <c r="A33" s="45" t="s">
        <v>395</v>
      </c>
    </row>
    <row r="34" spans="1:9">
      <c r="I34">
        <f>SUM(I20:I32)</f>
        <v>5.1153642145469069</v>
      </c>
    </row>
    <row r="35" spans="1:9">
      <c r="A35" t="s">
        <v>245</v>
      </c>
      <c r="B35">
        <v>1</v>
      </c>
    </row>
    <row r="37" spans="1:9">
      <c r="A37" t="s">
        <v>396</v>
      </c>
      <c r="B37" t="s">
        <v>397</v>
      </c>
      <c r="C37" s="49">
        <v>0.02</v>
      </c>
    </row>
    <row r="39" spans="1:9" ht="23">
      <c r="A39" s="45" t="s">
        <v>398</v>
      </c>
    </row>
    <row r="41" spans="1:9">
      <c r="A41" t="s">
        <v>245</v>
      </c>
      <c r="B41">
        <v>1</v>
      </c>
    </row>
    <row r="43" spans="1:9">
      <c r="A43" t="s">
        <v>399</v>
      </c>
      <c r="B43" t="s">
        <v>400</v>
      </c>
      <c r="C43">
        <v>0</v>
      </c>
    </row>
    <row r="45" spans="1:9" ht="23">
      <c r="A45" s="45" t="s">
        <v>401</v>
      </c>
    </row>
    <row r="47" spans="1:9">
      <c r="A47" t="s">
        <v>245</v>
      </c>
      <c r="B47">
        <v>1</v>
      </c>
    </row>
    <row r="49" spans="1:3">
      <c r="A49" t="s">
        <v>402</v>
      </c>
      <c r="B49" t="s">
        <v>403</v>
      </c>
      <c r="C49">
        <v>1.85</v>
      </c>
    </row>
  </sheetData>
  <hyperlinks>
    <hyperlink ref="B1" r:id="rId1" xr:uid="{0E6A7EB3-52AD-CD4E-A4CB-6F2D74BDCB0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1D8C-DC74-2948-AD13-BBA7C4D25A51}">
  <dimension ref="A1:J49"/>
  <sheetViews>
    <sheetView workbookViewId="0">
      <selection activeCell="D2" sqref="D2"/>
    </sheetView>
  </sheetViews>
  <sheetFormatPr baseColWidth="10" defaultRowHeight="16"/>
  <cols>
    <col min="1" max="1" width="59.5" bestFit="1" customWidth="1"/>
    <col min="2" max="2" width="20.6640625" bestFit="1" customWidth="1"/>
    <col min="3" max="3" width="41" bestFit="1" customWidth="1"/>
    <col min="5" max="5" width="65.6640625" bestFit="1" customWidth="1"/>
    <col min="6" max="6" width="23.33203125" bestFit="1" customWidth="1"/>
    <col min="7" max="7" width="12.5" bestFit="1" customWidth="1"/>
    <col min="8" max="8" width="12.33203125" customWidth="1"/>
  </cols>
  <sheetData>
    <row r="1" spans="1:8">
      <c r="A1" s="4" t="s">
        <v>86</v>
      </c>
      <c r="D1">
        <f>I46-10</f>
        <v>2.5614015756707609</v>
      </c>
      <c r="H1" s="29" t="s">
        <v>95</v>
      </c>
    </row>
    <row r="4" spans="1:8">
      <c r="A4" s="29" t="s">
        <v>87</v>
      </c>
      <c r="H4" s="6" t="s">
        <v>96</v>
      </c>
    </row>
    <row r="6" spans="1:8">
      <c r="A6" t="s">
        <v>73</v>
      </c>
      <c r="B6" t="s">
        <v>24</v>
      </c>
      <c r="C6" t="s">
        <v>91</v>
      </c>
    </row>
    <row r="7" spans="1:8">
      <c r="B7" t="s">
        <v>88</v>
      </c>
      <c r="C7" s="6" t="s">
        <v>89</v>
      </c>
      <c r="D7">
        <f>1 * 10</f>
        <v>10</v>
      </c>
      <c r="E7" s="9" t="s">
        <v>177</v>
      </c>
    </row>
    <row r="9" spans="1:8">
      <c r="A9" t="s">
        <v>39</v>
      </c>
      <c r="B9" t="s">
        <v>24</v>
      </c>
      <c r="C9" t="s">
        <v>92</v>
      </c>
    </row>
    <row r="10" spans="1:8">
      <c r="B10" t="s">
        <v>90</v>
      </c>
      <c r="C10" s="6" t="s">
        <v>93</v>
      </c>
    </row>
    <row r="12" spans="1:8">
      <c r="C12" s="9" t="s">
        <v>94</v>
      </c>
    </row>
    <row r="13" spans="1:8">
      <c r="C13" t="s">
        <v>70</v>
      </c>
      <c r="D13" s="13">
        <f>1 + 1</f>
        <v>2</v>
      </c>
    </row>
    <row r="18" spans="1:9">
      <c r="A18" s="29" t="s">
        <v>97</v>
      </c>
      <c r="C18" s="28" t="s">
        <v>98</v>
      </c>
      <c r="E18" s="28" t="s">
        <v>99</v>
      </c>
    </row>
    <row r="24" spans="1:9" ht="24">
      <c r="A24" s="48" t="s">
        <v>519</v>
      </c>
      <c r="E24" s="57" t="s">
        <v>520</v>
      </c>
      <c r="I24" t="s">
        <v>647</v>
      </c>
    </row>
    <row r="26" spans="1:9" ht="23">
      <c r="A26" s="45" t="s">
        <v>373</v>
      </c>
      <c r="E26" s="45" t="s">
        <v>376</v>
      </c>
    </row>
    <row r="28" spans="1:9">
      <c r="A28" t="s">
        <v>245</v>
      </c>
      <c r="B28">
        <v>1</v>
      </c>
      <c r="E28" t="s">
        <v>245</v>
      </c>
      <c r="F28">
        <v>1</v>
      </c>
    </row>
    <row r="29" spans="1:9">
      <c r="F29" t="s">
        <v>645</v>
      </c>
    </row>
    <row r="30" spans="1:9">
      <c r="A30" t="s">
        <v>374</v>
      </c>
      <c r="B30" t="s">
        <v>375</v>
      </c>
      <c r="C30">
        <v>0.52</v>
      </c>
      <c r="E30" t="s">
        <v>377</v>
      </c>
      <c r="F30">
        <v>72.603999999999999</v>
      </c>
      <c r="G30">
        <v>31.95</v>
      </c>
      <c r="I30">
        <f>(G30/F30)*24</f>
        <v>10.561401575670761</v>
      </c>
    </row>
    <row r="32" spans="1:9" ht="23">
      <c r="A32" s="45" t="s">
        <v>376</v>
      </c>
      <c r="E32" s="45" t="s">
        <v>379</v>
      </c>
    </row>
    <row r="34" spans="1:10">
      <c r="A34" t="s">
        <v>245</v>
      </c>
      <c r="B34">
        <v>1</v>
      </c>
      <c r="E34" t="s">
        <v>245</v>
      </c>
      <c r="F34">
        <v>2</v>
      </c>
    </row>
    <row r="36" spans="1:10">
      <c r="A36" t="s">
        <v>377</v>
      </c>
      <c r="B36" t="s">
        <v>378</v>
      </c>
      <c r="C36">
        <v>9.66</v>
      </c>
      <c r="E36" t="s">
        <v>380</v>
      </c>
      <c r="F36" t="s">
        <v>562</v>
      </c>
      <c r="G36">
        <v>0</v>
      </c>
      <c r="I36">
        <v>0</v>
      </c>
    </row>
    <row r="37" spans="1:10">
      <c r="E37" t="s">
        <v>382</v>
      </c>
      <c r="F37" t="s">
        <v>563</v>
      </c>
      <c r="G37">
        <v>101.84</v>
      </c>
      <c r="I37">
        <v>1</v>
      </c>
    </row>
    <row r="38" spans="1:10" ht="23">
      <c r="A38" s="45" t="s">
        <v>379</v>
      </c>
    </row>
    <row r="39" spans="1:10" ht="23">
      <c r="A39" t="s">
        <v>245</v>
      </c>
      <c r="B39">
        <v>2</v>
      </c>
      <c r="E39" s="45" t="s">
        <v>384</v>
      </c>
    </row>
    <row r="41" spans="1:10">
      <c r="A41" t="s">
        <v>380</v>
      </c>
      <c r="B41" t="s">
        <v>381</v>
      </c>
      <c r="C41">
        <v>0</v>
      </c>
      <c r="E41" t="s">
        <v>245</v>
      </c>
      <c r="F41">
        <v>2</v>
      </c>
    </row>
    <row r="42" spans="1:10">
      <c r="A42" t="s">
        <v>382</v>
      </c>
      <c r="B42" t="s">
        <v>383</v>
      </c>
      <c r="C42">
        <v>1.54</v>
      </c>
    </row>
    <row r="43" spans="1:10">
      <c r="E43" t="s">
        <v>385</v>
      </c>
      <c r="F43" t="s">
        <v>565</v>
      </c>
      <c r="G43">
        <v>0</v>
      </c>
      <c r="I43">
        <v>0</v>
      </c>
    </row>
    <row r="44" spans="1:10" ht="23">
      <c r="A44" s="45" t="s">
        <v>384</v>
      </c>
      <c r="E44" t="s">
        <v>387</v>
      </c>
      <c r="F44" t="s">
        <v>566</v>
      </c>
      <c r="G44" t="s">
        <v>564</v>
      </c>
      <c r="I44">
        <v>1</v>
      </c>
      <c r="J44" t="s">
        <v>646</v>
      </c>
    </row>
    <row r="46" spans="1:10">
      <c r="A46" t="s">
        <v>245</v>
      </c>
      <c r="B46">
        <v>2</v>
      </c>
      <c r="I46">
        <f>SUM(I26:I44)</f>
        <v>12.561401575670761</v>
      </c>
    </row>
    <row r="48" spans="1:10">
      <c r="A48" t="s">
        <v>385</v>
      </c>
      <c r="B48" t="s">
        <v>386</v>
      </c>
      <c r="C48">
        <v>0</v>
      </c>
    </row>
    <row r="49" spans="1:3">
      <c r="A49" t="s">
        <v>387</v>
      </c>
      <c r="B49" t="s">
        <v>388</v>
      </c>
      <c r="C49">
        <v>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Summary</vt:lpstr>
      <vt:lpstr>Cost_Sheet</vt:lpstr>
      <vt:lpstr>S3_Cost_Analysis</vt:lpstr>
      <vt:lpstr>EC2_Cost_Analysis</vt:lpstr>
      <vt:lpstr>Kinesis_Streams</vt:lpstr>
      <vt:lpstr>Kinesis_Firehose</vt:lpstr>
      <vt:lpstr>Kinesis_Analytics</vt:lpstr>
      <vt:lpstr>Lambda_Analysis</vt:lpstr>
      <vt:lpstr>AWS_Glue</vt:lpstr>
      <vt:lpstr>AWS_SNS</vt:lpstr>
      <vt:lpstr>AWS_SQS</vt:lpstr>
      <vt:lpstr>AWS_Redshift</vt:lpstr>
      <vt:lpstr>AWS_DynamoDB</vt:lpstr>
      <vt:lpstr>AWS_EMR</vt:lpstr>
      <vt:lpstr>AWS_LakeFormation</vt:lpstr>
      <vt:lpstr>AWS_Athena</vt:lpstr>
      <vt:lpstr>CloudFormation_Analysis</vt:lpstr>
      <vt:lpstr>CloudWatch</vt:lpstr>
      <vt:lpstr>PH1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2022-09-25T19:50:19Z</dcterms:created>
  <dcterms:modified xsi:type="dcterms:W3CDTF">2022-09-29T16:55:06Z</dcterms:modified>
</cp:coreProperties>
</file>