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91708\Desktop\"/>
    </mc:Choice>
  </mc:AlternateContent>
  <xr:revisionPtr revIDLastSave="0" documentId="8_{D1D7A1F0-C4F4-43B1-B522-43E316459563}" xr6:coauthVersionLast="45" xr6:coauthVersionMax="45" xr10:uidLastSave="{00000000-0000-0000-0000-000000000000}"/>
  <bookViews>
    <workbookView xWindow="-108" yWindow="-108" windowWidth="23256" windowHeight="12576" activeTab="3" xr2:uid="{00000000-000D-0000-FFFF-FFFF00000000}"/>
  </bookViews>
  <sheets>
    <sheet name="Profit &amp; Loss" sheetId="3" r:id="rId1"/>
    <sheet name="Balance Sheet" sheetId="6" r:id="rId2"/>
    <sheet name="FCF, UCFF" sheetId="7" r:id="rId3"/>
    <sheet name="Discounted Cash Flow, Valuation"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10" l="1"/>
  <c r="F35" i="10"/>
  <c r="F31" i="10"/>
  <c r="B39" i="10"/>
  <c r="B35" i="10"/>
  <c r="B31" i="10"/>
  <c r="J27" i="10"/>
  <c r="B16" i="10"/>
  <c r="I16" i="10"/>
  <c r="G9" i="10"/>
  <c r="F9" i="10"/>
  <c r="E9" i="10"/>
  <c r="D9" i="10"/>
  <c r="C9" i="10"/>
  <c r="B9" i="10"/>
  <c r="G4" i="10"/>
  <c r="G3" i="10"/>
  <c r="G5" i="10"/>
  <c r="F6" i="10"/>
  <c r="G7" i="10"/>
  <c r="G6" i="10"/>
  <c r="C14" i="7"/>
  <c r="D14" i="7"/>
  <c r="D15" i="7" s="1"/>
  <c r="E14" i="7"/>
  <c r="F14" i="7"/>
  <c r="G14" i="7"/>
  <c r="H14" i="7"/>
  <c r="H15" i="7" s="1"/>
  <c r="I14" i="7"/>
  <c r="B14" i="7"/>
  <c r="C10" i="7"/>
  <c r="D10" i="7"/>
  <c r="E10" i="7"/>
  <c r="F10" i="7"/>
  <c r="B10" i="7"/>
  <c r="D9" i="7"/>
  <c r="E9" i="7"/>
  <c r="F9" i="7"/>
  <c r="G9" i="7"/>
  <c r="H9" i="7"/>
  <c r="I9" i="7"/>
  <c r="C9" i="7"/>
  <c r="D6" i="7"/>
  <c r="E6" i="7"/>
  <c r="F6" i="7"/>
  <c r="C6" i="7"/>
  <c r="D5" i="7"/>
  <c r="E5" i="7"/>
  <c r="F5" i="7"/>
  <c r="C5" i="7"/>
  <c r="D4" i="7"/>
  <c r="E4" i="7"/>
  <c r="F4" i="7"/>
  <c r="C4" i="7"/>
  <c r="D16" i="6"/>
  <c r="E16" i="6"/>
  <c r="F16" i="6"/>
  <c r="C16" i="6"/>
  <c r="C15" i="6"/>
  <c r="G15" i="6" s="1"/>
  <c r="G14" i="6" s="1"/>
  <c r="D15" i="6"/>
  <c r="E15" i="6"/>
  <c r="F15" i="6"/>
  <c r="B15" i="6"/>
  <c r="B18" i="6"/>
  <c r="C18" i="6"/>
  <c r="C12" i="6"/>
  <c r="D12" i="6"/>
  <c r="E12" i="6"/>
  <c r="F12" i="6"/>
  <c r="D18" i="6"/>
  <c r="E18" i="6"/>
  <c r="F18" i="6"/>
  <c r="G12" i="6"/>
  <c r="H12" i="6"/>
  <c r="I12" i="6"/>
  <c r="G16" i="6" l="1"/>
  <c r="G18" i="6"/>
  <c r="G4" i="7"/>
  <c r="G19" i="7"/>
  <c r="E19" i="7"/>
  <c r="C19" i="7"/>
  <c r="E15" i="7"/>
  <c r="D19" i="7"/>
  <c r="C15" i="7"/>
  <c r="B15" i="7"/>
  <c r="B19" i="7" s="1"/>
  <c r="I15" i="7"/>
  <c r="I19" i="7" s="1"/>
  <c r="H15" i="6"/>
  <c r="H14" i="6" s="1"/>
  <c r="H19" i="7"/>
  <c r="G15" i="7"/>
  <c r="F15" i="7"/>
  <c r="F19" i="7" s="1"/>
  <c r="C9" i="6"/>
  <c r="D9" i="6"/>
  <c r="E9" i="6"/>
  <c r="F9" i="6"/>
  <c r="B9" i="6"/>
  <c r="D7" i="6"/>
  <c r="E7" i="6"/>
  <c r="F7" i="6"/>
  <c r="C7" i="6"/>
  <c r="C6" i="6"/>
  <c r="D6" i="6"/>
  <c r="E6" i="6"/>
  <c r="F6" i="6"/>
  <c r="B6" i="6"/>
  <c r="H16" i="6" l="1"/>
  <c r="H18" i="6"/>
  <c r="H4" i="7"/>
  <c r="I15" i="6"/>
  <c r="I14" i="6" s="1"/>
  <c r="G6" i="6"/>
  <c r="G2" i="3"/>
  <c r="H2" i="3" s="1"/>
  <c r="I2" i="3" s="1"/>
  <c r="H6" i="6" l="1"/>
  <c r="G5" i="6"/>
  <c r="I16" i="6"/>
  <c r="I18" i="6"/>
  <c r="I4" i="7"/>
  <c r="C7" i="3"/>
  <c r="D7" i="3"/>
  <c r="E7" i="3"/>
  <c r="F7" i="3"/>
  <c r="G7" i="3"/>
  <c r="H7" i="3"/>
  <c r="I7" i="3"/>
  <c r="B7" i="3"/>
  <c r="C5" i="3"/>
  <c r="C9" i="3" s="1"/>
  <c r="C10" i="3" s="1"/>
  <c r="C15" i="3" s="1"/>
  <c r="D5" i="3"/>
  <c r="D9" i="3" s="1"/>
  <c r="D10" i="3" s="1"/>
  <c r="E5" i="3"/>
  <c r="E9" i="3" s="1"/>
  <c r="E10" i="3" s="1"/>
  <c r="F5" i="3"/>
  <c r="F9" i="3" s="1"/>
  <c r="F10" i="3" s="1"/>
  <c r="B5" i="3"/>
  <c r="B9" i="3" s="1"/>
  <c r="B10" i="3" s="1"/>
  <c r="F3" i="3"/>
  <c r="E3" i="3"/>
  <c r="D3" i="3"/>
  <c r="C3" i="3"/>
  <c r="G5" i="7" l="1"/>
  <c r="G6" i="7" s="1"/>
  <c r="G10" i="7" s="1"/>
  <c r="G7" i="6"/>
  <c r="G9" i="6"/>
  <c r="I6" i="6"/>
  <c r="I5" i="6" s="1"/>
  <c r="H5" i="6"/>
  <c r="I7" i="6"/>
  <c r="I9" i="6"/>
  <c r="B12" i="3"/>
  <c r="B14" i="3"/>
  <c r="B15" i="3"/>
  <c r="C12" i="3"/>
  <c r="C14" i="3"/>
  <c r="D12" i="3"/>
  <c r="D15" i="3"/>
  <c r="D14" i="3"/>
  <c r="E15" i="3"/>
  <c r="E14" i="3"/>
  <c r="E12" i="3"/>
  <c r="F15" i="3"/>
  <c r="F14" i="3"/>
  <c r="F12" i="3"/>
  <c r="H5" i="7" l="1"/>
  <c r="H6" i="7" s="1"/>
  <c r="H10" i="7" s="1"/>
  <c r="H7" i="6"/>
  <c r="H9" i="6"/>
  <c r="I5" i="7"/>
  <c r="I6" i="7" s="1"/>
  <c r="I10" i="7" s="1"/>
  <c r="G5" i="3"/>
  <c r="G9" i="3" s="1"/>
  <c r="G10" i="3" s="1"/>
  <c r="G3" i="3"/>
  <c r="G15" i="3" l="1"/>
  <c r="G14" i="3"/>
  <c r="G12" i="3"/>
  <c r="I5" i="3"/>
  <c r="I9" i="3" s="1"/>
  <c r="I10" i="3" s="1"/>
  <c r="H5" i="3"/>
  <c r="H9" i="3" s="1"/>
  <c r="H10" i="3" s="1"/>
  <c r="I12" i="3" l="1"/>
  <c r="I15" i="3"/>
  <c r="I14" i="3"/>
  <c r="H15" i="3"/>
  <c r="H14" i="3"/>
  <c r="H12" i="3"/>
</calcChain>
</file>

<file path=xl/sharedStrings.xml><?xml version="1.0" encoding="utf-8"?>
<sst xmlns="http://schemas.openxmlformats.org/spreadsheetml/2006/main" count="140" uniqueCount="107">
  <si>
    <t>Change (%)</t>
  </si>
  <si>
    <t>Tax Rate</t>
  </si>
  <si>
    <t>EBIT</t>
  </si>
  <si>
    <t>Interest</t>
  </si>
  <si>
    <t>Sales</t>
  </si>
  <si>
    <t>Other Income</t>
  </si>
  <si>
    <t>Total Income</t>
  </si>
  <si>
    <t>Tax</t>
  </si>
  <si>
    <t>Net Profit</t>
  </si>
  <si>
    <t>FY20E</t>
  </si>
  <si>
    <t>FY21E</t>
  </si>
  <si>
    <t>FY22E</t>
  </si>
  <si>
    <t>FY15A</t>
  </si>
  <si>
    <t>FY16A</t>
  </si>
  <si>
    <t>FY17A</t>
  </si>
  <si>
    <t>FY18A</t>
  </si>
  <si>
    <t>FY19A</t>
  </si>
  <si>
    <t>Tax rate</t>
  </si>
  <si>
    <t>Share Capital</t>
  </si>
  <si>
    <t>Reserves &amp; Surplus</t>
  </si>
  <si>
    <t>Current Liabilities</t>
  </si>
  <si>
    <t>Other Liabilities</t>
  </si>
  <si>
    <t>Total Liabilities</t>
  </si>
  <si>
    <t>Fixed Assets</t>
  </si>
  <si>
    <t>Current Assets</t>
  </si>
  <si>
    <t>Other Assets</t>
  </si>
  <si>
    <t>Total Assets</t>
  </si>
  <si>
    <t>Equity &amp; Liabilities</t>
  </si>
  <si>
    <t>Depreciation</t>
  </si>
  <si>
    <t>Change</t>
  </si>
  <si>
    <t>Assumption 1</t>
  </si>
  <si>
    <t>Change in Current Assets</t>
  </si>
  <si>
    <t>Change in Current Liabilities</t>
  </si>
  <si>
    <t>Reasons behind the Methodologies/Performa</t>
  </si>
  <si>
    <t>Free Cash Flow (FCF)</t>
  </si>
  <si>
    <t>Cash Flow (CF)</t>
  </si>
  <si>
    <t>Cash Flow from Investing (CFI) - PP&amp;E</t>
  </si>
  <si>
    <t>Cash Flow from Operations (CFO)</t>
  </si>
  <si>
    <t>Tangible Assets</t>
  </si>
  <si>
    <t>Change in NWC</t>
  </si>
  <si>
    <t>CapEx</t>
  </si>
  <si>
    <t>Unlevered Free Cash Flow</t>
  </si>
  <si>
    <t>EV/EBITDA</t>
  </si>
  <si>
    <t>Mean EV/EBITDA</t>
  </si>
  <si>
    <t>EBITD</t>
  </si>
  <si>
    <t>Operating Expenses</t>
  </si>
  <si>
    <t>Terminal Value</t>
  </si>
  <si>
    <t>Terminal Value at March 2022</t>
  </si>
  <si>
    <t>Balance Sheet (Rs Cr.)</t>
  </si>
  <si>
    <t>Perpetual Growth</t>
  </si>
  <si>
    <t>Inflation Rate</t>
  </si>
  <si>
    <t>GDP Growth Rate</t>
  </si>
  <si>
    <t>Rate</t>
  </si>
  <si>
    <t>Mean</t>
  </si>
  <si>
    <t>WACC</t>
  </si>
  <si>
    <t>Weight of Equity</t>
  </si>
  <si>
    <t>Weight of Debt</t>
  </si>
  <si>
    <t>Cost of Debt</t>
  </si>
  <si>
    <t>Cost of Equity (CAPM)</t>
  </si>
  <si>
    <t>NPV of the company</t>
  </si>
  <si>
    <t>Average</t>
  </si>
  <si>
    <t>Discount Rate (WACC + 3%)</t>
  </si>
  <si>
    <t>O.E. to Sales</t>
  </si>
  <si>
    <t>EBT</t>
  </si>
  <si>
    <t>Best Case Scenario</t>
  </si>
  <si>
    <t>Discount Rate (WACC + 1.5%)</t>
  </si>
  <si>
    <t>Worst Case Scenario</t>
  </si>
  <si>
    <t>Discount Rate (WACC + 5%)</t>
  </si>
  <si>
    <t>Average Case Scenario</t>
  </si>
  <si>
    <t>Profit &amp; Loss (in Cr.)</t>
  </si>
  <si>
    <t>UCFF or FCFF (in Cr.)</t>
  </si>
  <si>
    <t>FCF (in Cr.)</t>
  </si>
  <si>
    <t>C.L. to Sales Ratio</t>
  </si>
  <si>
    <t>C.A. to Sales Ratio</t>
  </si>
  <si>
    <t>Terminal Value using EV/EBITDA (in Cr.)</t>
  </si>
  <si>
    <t>Terminal value using Perpetual Growth (in Cr.)</t>
  </si>
  <si>
    <t>Industry Growth Rate</t>
  </si>
  <si>
    <t>References</t>
  </si>
  <si>
    <t>Weights</t>
  </si>
  <si>
    <t>Weights for each year</t>
  </si>
  <si>
    <t>-</t>
  </si>
  <si>
    <t>FY19</t>
  </si>
  <si>
    <t>FY18</t>
  </si>
  <si>
    <t>FY17</t>
  </si>
  <si>
    <t>FY16</t>
  </si>
  <si>
    <t>Assets</t>
  </si>
  <si>
    <t>Number of outstanding shares = 9894.56 million</t>
  </si>
  <si>
    <t xml:space="preserve">So, the price of each share = </t>
  </si>
  <si>
    <t>Assumption 2</t>
  </si>
  <si>
    <t xml:space="preserve">Assuming that using the weighted mean: FY19 = 35%; FY18 = 30%; FY17 = 25%; FY16 = 10% </t>
  </si>
  <si>
    <t>Here the weights are alloted higher to more rescent years as they represent company's more rescent condition and company is more likely to continue its rescent trend as compared to its previous years</t>
  </si>
  <si>
    <t>The OE to sales Ratio remains constant - Its quite likely as its power intensive with each production unit it operating expense would rise proportionally which is not the case with tech companies</t>
  </si>
  <si>
    <t>e.g facebook's cost per new user doest not rise proportionally so it would not be valid to assume OE to sales ratio constant there</t>
  </si>
  <si>
    <t>Assumption 3</t>
  </si>
  <si>
    <t>sales ,Depreciation ,  other income and EBITA to increase linearly as is visible from the trend</t>
  </si>
  <si>
    <t>Linear variation</t>
  </si>
  <si>
    <t>CL to sales ratio remains constant</t>
  </si>
  <si>
    <t>CA to sales ratio remains constant</t>
  </si>
  <si>
    <t>As ratio of total Assets to total liabilites is close to 1 this shows our assumtions are close</t>
  </si>
  <si>
    <t xml:space="preserve">took weighted average with higher weights to more rescent years </t>
  </si>
  <si>
    <t>Assumptions-</t>
  </si>
  <si>
    <t>The company lives for eternity</t>
  </si>
  <si>
    <t>The company generates evenly growing cash flow (UFCF) at all times after March 2022</t>
  </si>
  <si>
    <t>The WACC remains the same till perpetuity</t>
  </si>
  <si>
    <t>The corporate structure is going to be the same till perpetuity</t>
  </si>
  <si>
    <t>The management or a part of the management will never get into any moral hazard issue.</t>
  </si>
  <si>
    <t>The stock price has a very high correlation with the valuation of the company ignoring  Behavioural Economics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</si>
</sst>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 #,##0;[Red]&quot;₹&quot;\ \-#,##0"/>
    <numFmt numFmtId="8" formatCode="&quot;₹&quot;\ #,##0.00;[Red]&quot;₹&quot;\ \-#,##0.00"/>
    <numFmt numFmtId="44" formatCode="_ &quot;₹&quot;\ * #,##0.00_ ;_ &quot;₹&quot;\ * \-#,##0.00_ ;_ &quot;₹&quot;\ * &quot;-&quot;??_ ;_ @_ "/>
    <numFmt numFmtId="43" formatCode="_ * #,##0.00_ ;_ * \-#,##0.00_ ;_ * &quot;-&quot;??_ ;_ @_ "/>
    <numFmt numFmtId="164" formatCode="0.0%"/>
    <numFmt numFmtId="165" formatCode="_ * #,##0_ ;_ * \-#,##0_ ;_ * &quot;-&quot;??_ ;_ @_ "/>
    <numFmt numFmtId="166" formatCode="0.000"/>
    <numFmt numFmtId="167" formatCode="&quot;₹&quot;\ #,##0"/>
    <numFmt numFmtId="168" formatCode="&quot;₹&quot;\ #,##0.00"/>
    <numFmt numFmtId="169" formatCode="#,##0.000"/>
  </numFmts>
  <fonts count="1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3"/>
      <color theme="3"/>
      <name val="Calibri"/>
      <family val="2"/>
      <scheme val="minor"/>
    </font>
    <font>
      <sz val="11"/>
      <color rgb="FF3F3F76"/>
      <name val="Calibri"/>
      <family val="2"/>
      <scheme val="minor"/>
    </font>
    <font>
      <b/>
      <sz val="11"/>
      <color rgb="FF3F3F3F"/>
      <name val="Calibri"/>
      <family val="2"/>
      <scheme val="minor"/>
    </font>
    <font>
      <sz val="11"/>
      <color rgb="FFFF0000"/>
      <name val="Calibri"/>
      <family val="2"/>
      <scheme val="minor"/>
    </font>
    <font>
      <b/>
      <sz val="12"/>
      <color rgb="FF002060"/>
      <name val="Calibri"/>
      <family val="2"/>
      <scheme val="minor"/>
    </font>
    <font>
      <b/>
      <sz val="11"/>
      <name val="Calibri"/>
      <family val="2"/>
      <scheme val="minor"/>
    </font>
    <font>
      <sz val="11"/>
      <color theme="9" tint="-0.249977111117893"/>
      <name val="Calibri"/>
      <family val="2"/>
      <scheme val="minor"/>
    </font>
    <font>
      <b/>
      <sz val="15"/>
      <color theme="3"/>
      <name val="Calibri"/>
      <family val="2"/>
      <scheme val="minor"/>
    </font>
    <font>
      <b/>
      <sz val="11"/>
      <color theme="3"/>
      <name val="Calibri"/>
      <family val="2"/>
      <scheme val="minor"/>
    </font>
    <font>
      <b/>
      <sz val="11"/>
      <color rgb="FF3F3F76"/>
      <name val="Calibri"/>
      <family val="2"/>
      <scheme val="minor"/>
    </font>
    <font>
      <b/>
      <sz val="12"/>
      <color theme="3"/>
      <name val="Calibri"/>
      <family val="2"/>
      <scheme val="minor"/>
    </font>
    <font>
      <u/>
      <sz val="11"/>
      <color theme="10"/>
      <name val="Calibri"/>
      <family val="2"/>
      <scheme val="minor"/>
    </font>
    <font>
      <sz val="12"/>
      <color rgb="FFFF0000"/>
      <name val="Calibri"/>
      <family val="2"/>
      <scheme val="minor"/>
    </font>
    <font>
      <sz val="8"/>
      <name val="Calibri"/>
      <family val="2"/>
      <scheme val="minor"/>
    </font>
    <font>
      <b/>
      <sz val="9"/>
      <color rgb="FF1D1C1D"/>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tint="-0.34998626667073579"/>
        <bgColor indexed="64"/>
      </patternFill>
    </fill>
    <fill>
      <patternFill patternType="solid">
        <fgColor theme="9" tint="0.39997558519241921"/>
        <bgColor indexed="64"/>
      </patternFill>
    </fill>
    <fill>
      <patternFill patternType="solid">
        <fgColor theme="0"/>
        <bgColor indexed="64"/>
      </patternFill>
    </fill>
    <fill>
      <patternFill patternType="solid">
        <fgColor theme="7"/>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ck">
        <color rgb="FF0070C0"/>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style="thick">
        <color rgb="FF0070C0"/>
      </right>
      <top/>
      <bottom style="thick">
        <color rgb="FF0070C0"/>
      </bottom>
      <diagonal/>
    </border>
    <border>
      <left style="thick">
        <color rgb="FFFFC000"/>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style="thick">
        <color rgb="FFFFC000"/>
      </right>
      <top/>
      <bottom style="thick">
        <color rgb="FFFFC000"/>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
      <left style="mediumDashDotDot">
        <color auto="1"/>
      </left>
      <right/>
      <top/>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13" applyNumberFormat="0" applyFill="0" applyAlignment="0" applyProtection="0"/>
    <xf numFmtId="0" fontId="5" fillId="4" borderId="14" applyNumberFormat="0" applyAlignment="0" applyProtection="0"/>
    <xf numFmtId="0" fontId="6" fillId="5" borderId="15" applyNumberFormat="0" applyAlignment="0" applyProtection="0"/>
    <xf numFmtId="0" fontId="1" fillId="6" borderId="16" applyNumberFormat="0" applyFont="0" applyAlignment="0" applyProtection="0"/>
    <xf numFmtId="0" fontId="2" fillId="0" borderId="17" applyNumberFormat="0" applyFill="0" applyAlignment="0" applyProtection="0"/>
    <xf numFmtId="0" fontId="11" fillId="0" borderId="18" applyNumberFormat="0" applyFill="0" applyAlignment="0" applyProtection="0"/>
    <xf numFmtId="0" fontId="12"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44" fontId="1" fillId="0" borderId="0" applyFont="0" applyFill="0" applyBorder="0" applyAlignment="0" applyProtection="0"/>
  </cellStyleXfs>
  <cellXfs count="162">
    <xf numFmtId="0" fontId="0" fillId="0" borderId="0" xfId="0"/>
    <xf numFmtId="17" fontId="0" fillId="0" borderId="0" xfId="0" applyNumberFormat="1"/>
    <xf numFmtId="0" fontId="2" fillId="0" borderId="0" xfId="0" applyFont="1"/>
    <xf numFmtId="10" fontId="3" fillId="2" borderId="0" xfId="2" applyNumberFormat="1" applyFont="1" applyFill="1" applyBorder="1"/>
    <xf numFmtId="4" fontId="0" fillId="0" borderId="0" xfId="0" applyNumberFormat="1"/>
    <xf numFmtId="1" fontId="0" fillId="0" borderId="0" xfId="0" applyNumberFormat="1"/>
    <xf numFmtId="165" fontId="0" fillId="0" borderId="0" xfId="1" applyNumberFormat="1" applyFont="1"/>
    <xf numFmtId="165" fontId="0" fillId="2" borderId="1" xfId="1" applyNumberFormat="1" applyFont="1" applyFill="1" applyBorder="1"/>
    <xf numFmtId="165" fontId="0" fillId="2" borderId="0" xfId="1" applyNumberFormat="1" applyFont="1" applyFill="1" applyBorder="1"/>
    <xf numFmtId="165" fontId="0" fillId="2" borderId="7" xfId="1" applyNumberFormat="1" applyFont="1" applyFill="1" applyBorder="1"/>
    <xf numFmtId="165" fontId="0" fillId="2" borderId="8" xfId="1" applyNumberFormat="1" applyFont="1" applyFill="1" applyBorder="1"/>
    <xf numFmtId="165" fontId="3" fillId="2" borderId="0" xfId="1" applyNumberFormat="1" applyFont="1" applyFill="1" applyBorder="1"/>
    <xf numFmtId="0" fontId="2" fillId="0" borderId="0" xfId="0" applyFont="1" applyFill="1" applyBorder="1"/>
    <xf numFmtId="165" fontId="0" fillId="0" borderId="0" xfId="0" applyNumberFormat="1"/>
    <xf numFmtId="10" fontId="3" fillId="2" borderId="6" xfId="2" applyNumberFormat="1" applyFont="1" applyFill="1" applyBorder="1"/>
    <xf numFmtId="0" fontId="2" fillId="7" borderId="0" xfId="0" applyFont="1" applyFill="1" applyBorder="1" applyAlignment="1">
      <alignment horizontal="center"/>
    </xf>
    <xf numFmtId="165" fontId="0" fillId="2" borderId="3" xfId="1" applyNumberFormat="1" applyFont="1" applyFill="1" applyBorder="1"/>
    <xf numFmtId="165" fontId="0" fillId="2" borderId="4" xfId="1" applyNumberFormat="1" applyFont="1" applyFill="1" applyBorder="1"/>
    <xf numFmtId="165" fontId="0" fillId="2" borderId="5" xfId="1" applyNumberFormat="1" applyFont="1" applyFill="1" applyBorder="1"/>
    <xf numFmtId="165" fontId="0" fillId="2" borderId="6" xfId="1" applyNumberFormat="1" applyFont="1" applyFill="1" applyBorder="1"/>
    <xf numFmtId="165" fontId="0" fillId="2" borderId="9" xfId="1" applyNumberFormat="1" applyFont="1" applyFill="1" applyBorder="1"/>
    <xf numFmtId="0" fontId="0" fillId="0" borderId="0" xfId="0" applyAlignment="1"/>
    <xf numFmtId="0" fontId="4" fillId="0" borderId="13" xfId="3" applyAlignment="1">
      <alignment horizontal="center"/>
    </xf>
    <xf numFmtId="0" fontId="5" fillId="4" borderId="14" xfId="4"/>
    <xf numFmtId="0" fontId="2" fillId="0" borderId="17" xfId="7"/>
    <xf numFmtId="0" fontId="5" fillId="4" borderId="14" xfId="4" applyAlignment="1">
      <alignment horizontal="left"/>
    </xf>
    <xf numFmtId="0" fontId="10" fillId="9" borderId="14" xfId="4" applyFont="1" applyFill="1" applyAlignment="1">
      <alignment horizontal="left"/>
    </xf>
    <xf numFmtId="0" fontId="7" fillId="9" borderId="14" xfId="4" applyFont="1" applyFill="1" applyAlignment="1">
      <alignment horizontal="left"/>
    </xf>
    <xf numFmtId="0" fontId="4" fillId="0" borderId="13" xfId="3"/>
    <xf numFmtId="0" fontId="2" fillId="9" borderId="17" xfId="7" applyFill="1" applyAlignment="1">
      <alignment horizontal="left"/>
    </xf>
    <xf numFmtId="17" fontId="2" fillId="9" borderId="12" xfId="0" applyNumberFormat="1" applyFont="1" applyFill="1" applyBorder="1"/>
    <xf numFmtId="0" fontId="2" fillId="9" borderId="3" xfId="0" applyFont="1" applyFill="1" applyBorder="1" applyAlignment="1">
      <alignment horizontal="right"/>
    </xf>
    <xf numFmtId="0" fontId="2" fillId="9" borderId="4" xfId="0" applyFont="1" applyFill="1" applyBorder="1" applyAlignment="1">
      <alignment horizontal="right"/>
    </xf>
    <xf numFmtId="0" fontId="2" fillId="9" borderId="5" xfId="0" applyFont="1" applyFill="1" applyBorder="1" applyAlignment="1">
      <alignment horizontal="right"/>
    </xf>
    <xf numFmtId="17" fontId="2" fillId="9" borderId="2" xfId="0" applyNumberFormat="1" applyFont="1" applyFill="1" applyBorder="1"/>
    <xf numFmtId="0" fontId="2" fillId="0" borderId="0" xfId="0" applyFont="1" applyAlignment="1"/>
    <xf numFmtId="0" fontId="0" fillId="0" borderId="1" xfId="0" applyBorder="1"/>
    <xf numFmtId="0" fontId="0" fillId="0" borderId="0" xfId="0" applyBorder="1"/>
    <xf numFmtId="0" fontId="2" fillId="0" borderId="0" xfId="0" applyFont="1" applyBorder="1"/>
    <xf numFmtId="0" fontId="0" fillId="0" borderId="0" xfId="0" applyNumberFormat="1" applyBorder="1" applyAlignment="1">
      <alignment horizontal="center"/>
    </xf>
    <xf numFmtId="10" fontId="0" fillId="0" borderId="0" xfId="0" applyNumberFormat="1" applyBorder="1" applyAlignment="1">
      <alignment horizontal="center"/>
    </xf>
    <xf numFmtId="0" fontId="0" fillId="0" borderId="3" xfId="0" applyBorder="1"/>
    <xf numFmtId="17" fontId="0" fillId="0" borderId="4" xfId="0" applyNumberFormat="1" applyBorder="1"/>
    <xf numFmtId="17" fontId="0" fillId="0" borderId="5" xfId="0" applyNumberFormat="1" applyBorder="1"/>
    <xf numFmtId="0" fontId="0" fillId="0" borderId="7" xfId="0" applyFont="1" applyBorder="1"/>
    <xf numFmtId="0" fontId="2" fillId="0" borderId="0" xfId="0" applyFont="1" applyBorder="1" applyAlignment="1">
      <alignment vertical="center" wrapText="1"/>
    </xf>
    <xf numFmtId="2" fontId="0" fillId="0" borderId="0" xfId="0" applyNumberFormat="1"/>
    <xf numFmtId="166" fontId="0" fillId="0" borderId="0" xfId="0" applyNumberFormat="1"/>
    <xf numFmtId="43" fontId="0" fillId="0" borderId="0" xfId="1" applyFont="1" applyAlignment="1">
      <alignment vertical="center"/>
    </xf>
    <xf numFmtId="0" fontId="2" fillId="0" borderId="2" xfId="0" applyFont="1" applyBorder="1"/>
    <xf numFmtId="165" fontId="2" fillId="0" borderId="21" xfId="1" applyNumberFormat="1" applyFont="1" applyBorder="1" applyAlignment="1">
      <alignment vertical="center" wrapText="1"/>
    </xf>
    <xf numFmtId="165" fontId="2" fillId="0" borderId="22" xfId="1" applyNumberFormat="1" applyFont="1" applyBorder="1" applyAlignment="1">
      <alignment vertical="center" wrapText="1"/>
    </xf>
    <xf numFmtId="0" fontId="0" fillId="0" borderId="12" xfId="0" applyBorder="1"/>
    <xf numFmtId="0" fontId="0" fillId="0" borderId="0" xfId="0" applyAlignment="1">
      <alignment horizontal="right"/>
    </xf>
    <xf numFmtId="0" fontId="2" fillId="0" borderId="0" xfId="0" applyFont="1" applyAlignment="1">
      <alignment horizontal="center"/>
    </xf>
    <xf numFmtId="164" fontId="0" fillId="2" borderId="1" xfId="2" applyNumberFormat="1" applyFont="1" applyFill="1" applyBorder="1"/>
    <xf numFmtId="164" fontId="3" fillId="2" borderId="7" xfId="2" applyNumberFormat="1" applyFont="1" applyFill="1" applyBorder="1"/>
    <xf numFmtId="6" fontId="0" fillId="0" borderId="0" xfId="0" applyNumberFormat="1"/>
    <xf numFmtId="0" fontId="5" fillId="4" borderId="27" xfId="4" applyBorder="1"/>
    <xf numFmtId="10" fontId="0" fillId="0" borderId="28" xfId="0" applyNumberFormat="1" applyBorder="1"/>
    <xf numFmtId="0" fontId="2" fillId="0" borderId="29" xfId="0" applyFont="1" applyBorder="1"/>
    <xf numFmtId="167" fontId="0" fillId="0" borderId="30" xfId="1" applyNumberFormat="1" applyFont="1" applyBorder="1"/>
    <xf numFmtId="0" fontId="5" fillId="4" borderId="33" xfId="4" applyBorder="1"/>
    <xf numFmtId="10" fontId="0" fillId="0" borderId="34" xfId="2" applyNumberFormat="1" applyFont="1" applyBorder="1"/>
    <xf numFmtId="0" fontId="2" fillId="0" borderId="35" xfId="0" applyFont="1" applyBorder="1"/>
    <xf numFmtId="6" fontId="0" fillId="0" borderId="36" xfId="0" applyNumberFormat="1" applyBorder="1"/>
    <xf numFmtId="0" fontId="5" fillId="4" borderId="39" xfId="4" applyBorder="1"/>
    <xf numFmtId="10" fontId="0" fillId="0" borderId="40" xfId="2" applyNumberFormat="1" applyFont="1" applyBorder="1"/>
    <xf numFmtId="0" fontId="2" fillId="0" borderId="41" xfId="0" applyFont="1" applyBorder="1"/>
    <xf numFmtId="6" fontId="0" fillId="0" borderId="42" xfId="0" applyNumberFormat="1" applyBorder="1"/>
    <xf numFmtId="167" fontId="2" fillId="0" borderId="0" xfId="1" applyNumberFormat="1" applyFont="1" applyBorder="1" applyAlignment="1">
      <alignment horizontal="center" vertical="center"/>
    </xf>
    <xf numFmtId="167" fontId="2" fillId="0" borderId="2" xfId="1" applyNumberFormat="1" applyFont="1" applyBorder="1" applyAlignment="1">
      <alignment vertical="center" wrapText="1"/>
    </xf>
    <xf numFmtId="167" fontId="0" fillId="2" borderId="3" xfId="0" applyNumberFormat="1" applyFill="1" applyBorder="1"/>
    <xf numFmtId="167" fontId="0" fillId="2" borderId="4" xfId="0" applyNumberFormat="1" applyFill="1" applyBorder="1"/>
    <xf numFmtId="167" fontId="0" fillId="2" borderId="5" xfId="0" applyNumberFormat="1" applyFill="1" applyBorder="1"/>
    <xf numFmtId="167" fontId="0" fillId="3" borderId="3" xfId="0" applyNumberFormat="1" applyFill="1" applyBorder="1"/>
    <xf numFmtId="167" fontId="0" fillId="3" borderId="4" xfId="0" applyNumberFormat="1" applyFill="1" applyBorder="1"/>
    <xf numFmtId="167" fontId="0" fillId="2" borderId="1" xfId="0" applyNumberFormat="1" applyFill="1" applyBorder="1"/>
    <xf numFmtId="167" fontId="0" fillId="2" borderId="0" xfId="0" applyNumberFormat="1" applyFill="1" applyBorder="1"/>
    <xf numFmtId="167" fontId="0" fillId="2" borderId="6" xfId="0" applyNumberFormat="1" applyFill="1" applyBorder="1"/>
    <xf numFmtId="167" fontId="0" fillId="3" borderId="1" xfId="0" applyNumberFormat="1" applyFill="1" applyBorder="1"/>
    <xf numFmtId="167" fontId="0" fillId="3" borderId="0" xfId="0" applyNumberFormat="1" applyFill="1" applyBorder="1"/>
    <xf numFmtId="167" fontId="0" fillId="2" borderId="7" xfId="0" applyNumberFormat="1" applyFill="1" applyBorder="1"/>
    <xf numFmtId="167" fontId="0" fillId="2" borderId="8" xfId="0" applyNumberFormat="1" applyFill="1" applyBorder="1"/>
    <xf numFmtId="167" fontId="0" fillId="2" borderId="9" xfId="0" applyNumberFormat="1" applyFill="1" applyBorder="1"/>
    <xf numFmtId="167" fontId="0" fillId="3" borderId="7" xfId="0" applyNumberFormat="1" applyFill="1" applyBorder="1"/>
    <xf numFmtId="167" fontId="0" fillId="3" borderId="8" xfId="0" applyNumberFormat="1" applyFill="1" applyBorder="1"/>
    <xf numFmtId="167" fontId="6" fillId="5" borderId="19" xfId="5" applyNumberFormat="1" applyBorder="1"/>
    <xf numFmtId="167" fontId="6" fillId="5" borderId="20" xfId="5" applyNumberFormat="1" applyBorder="1"/>
    <xf numFmtId="167" fontId="6" fillId="5" borderId="23" xfId="5" applyNumberFormat="1" applyBorder="1"/>
    <xf numFmtId="167" fontId="0" fillId="2" borderId="4" xfId="1" applyNumberFormat="1" applyFont="1" applyFill="1" applyBorder="1"/>
    <xf numFmtId="167" fontId="1" fillId="2" borderId="0" xfId="1" applyNumberFormat="1" applyFont="1" applyFill="1" applyBorder="1"/>
    <xf numFmtId="167" fontId="1" fillId="2" borderId="6" xfId="1" applyNumberFormat="1" applyFont="1" applyFill="1" applyBorder="1"/>
    <xf numFmtId="167" fontId="6" fillId="5" borderId="24" xfId="5" applyNumberFormat="1" applyBorder="1"/>
    <xf numFmtId="0" fontId="5" fillId="4" borderId="14" xfId="4" applyAlignment="1">
      <alignment horizontal="right"/>
    </xf>
    <xf numFmtId="0" fontId="10" fillId="9" borderId="14" xfId="4" applyFont="1" applyFill="1" applyAlignment="1">
      <alignment horizontal="right"/>
    </xf>
    <xf numFmtId="0" fontId="7" fillId="9" borderId="14" xfId="4" applyFont="1" applyFill="1" applyAlignment="1">
      <alignment horizontal="right"/>
    </xf>
    <xf numFmtId="0" fontId="14" fillId="0" borderId="0" xfId="9" applyFont="1" applyAlignment="1">
      <alignment vertical="center" wrapText="1"/>
    </xf>
    <xf numFmtId="0" fontId="15" fillId="0" borderId="0" xfId="11"/>
    <xf numFmtId="0" fontId="0" fillId="0" borderId="43" xfId="0" applyBorder="1"/>
    <xf numFmtId="9" fontId="0" fillId="0" borderId="0" xfId="0" applyNumberFormat="1" applyBorder="1"/>
    <xf numFmtId="0" fontId="0" fillId="0" borderId="2" xfId="0" applyBorder="1"/>
    <xf numFmtId="0" fontId="3" fillId="0" borderId="0" xfId="0" applyFont="1" applyAlignment="1">
      <alignment horizontal="right"/>
    </xf>
    <xf numFmtId="164" fontId="3" fillId="0" borderId="0" xfId="2" applyNumberFormat="1" applyFont="1" applyBorder="1"/>
    <xf numFmtId="3" fontId="0" fillId="2" borderId="1" xfId="0" applyNumberFormat="1" applyFill="1" applyBorder="1" applyAlignment="1">
      <alignment horizontal="center" vertical="top"/>
    </xf>
    <xf numFmtId="9" fontId="0" fillId="0" borderId="0" xfId="0" applyNumberFormat="1"/>
    <xf numFmtId="164" fontId="3" fillId="2" borderId="1" xfId="2" applyNumberFormat="1" applyFont="1" applyFill="1" applyBorder="1"/>
    <xf numFmtId="167" fontId="0" fillId="2" borderId="3" xfId="1" applyNumberFormat="1" applyFont="1" applyFill="1" applyBorder="1"/>
    <xf numFmtId="167" fontId="0" fillId="2" borderId="1" xfId="12" applyNumberFormat="1" applyFont="1" applyFill="1" applyBorder="1"/>
    <xf numFmtId="167" fontId="1" fillId="2" borderId="0" xfId="12" applyNumberFormat="1" applyFont="1" applyFill="1" applyBorder="1"/>
    <xf numFmtId="165" fontId="0" fillId="2" borderId="1" xfId="1" applyNumberFormat="1" applyFont="1" applyFill="1" applyBorder="1" applyAlignment="1">
      <alignment horizontal="center" vertical="top"/>
    </xf>
    <xf numFmtId="10" fontId="0" fillId="2" borderId="1" xfId="1" applyNumberFormat="1" applyFont="1" applyFill="1" applyBorder="1" applyAlignment="1">
      <alignment horizontal="center" vertical="top"/>
    </xf>
    <xf numFmtId="10" fontId="3" fillId="2" borderId="0" xfId="1" applyNumberFormat="1" applyFont="1" applyFill="1" applyBorder="1"/>
    <xf numFmtId="0" fontId="2" fillId="0" borderId="0" xfId="0" applyFont="1" applyAlignment="1">
      <alignment horizontal="center"/>
    </xf>
    <xf numFmtId="164" fontId="0" fillId="2" borderId="1" xfId="1" applyNumberFormat="1" applyFont="1" applyFill="1" applyBorder="1"/>
    <xf numFmtId="10" fontId="3" fillId="2" borderId="1" xfId="1" applyNumberFormat="1" applyFont="1" applyFill="1" applyBorder="1"/>
    <xf numFmtId="167" fontId="0" fillId="2" borderId="0" xfId="12" applyNumberFormat="1" applyFont="1" applyFill="1" applyBorder="1"/>
    <xf numFmtId="167" fontId="0" fillId="2" borderId="6" xfId="12" applyNumberFormat="1" applyFont="1" applyFill="1" applyBorder="1"/>
    <xf numFmtId="167" fontId="0" fillId="2" borderId="1" xfId="1" applyNumberFormat="1" applyFont="1" applyFill="1" applyBorder="1"/>
    <xf numFmtId="167" fontId="0" fillId="2" borderId="0" xfId="1" applyNumberFormat="1" applyFont="1" applyFill="1" applyBorder="1"/>
    <xf numFmtId="167" fontId="0" fillId="2" borderId="6" xfId="1" applyNumberFormat="1" applyFont="1" applyFill="1" applyBorder="1"/>
    <xf numFmtId="167" fontId="0" fillId="2" borderId="1" xfId="1" applyNumberFormat="1" applyFont="1" applyFill="1" applyBorder="1" applyAlignment="1">
      <alignment horizontal="center" vertical="top"/>
    </xf>
    <xf numFmtId="167" fontId="6" fillId="5" borderId="15" xfId="1" applyNumberFormat="1" applyFont="1" applyFill="1" applyBorder="1"/>
    <xf numFmtId="164" fontId="3" fillId="0" borderId="0" xfId="2" applyNumberFormat="1" applyFont="1" applyBorder="1" applyAlignment="1">
      <alignment horizontal="center" vertical="top"/>
    </xf>
    <xf numFmtId="166" fontId="0" fillId="0" borderId="0" xfId="0" applyNumberFormat="1" applyBorder="1" applyAlignment="1">
      <alignment horizontal="center" vertical="top"/>
    </xf>
    <xf numFmtId="9" fontId="0" fillId="0" borderId="6" xfId="0" applyNumberFormat="1" applyBorder="1"/>
    <xf numFmtId="9" fontId="0" fillId="0" borderId="6" xfId="2" applyNumberFormat="1" applyFont="1" applyBorder="1"/>
    <xf numFmtId="9" fontId="0" fillId="0" borderId="0" xfId="2" applyNumberFormat="1" applyFont="1" applyBorder="1"/>
    <xf numFmtId="167" fontId="0" fillId="0" borderId="0" xfId="0" applyNumberFormat="1" applyBorder="1"/>
    <xf numFmtId="167" fontId="0" fillId="0" borderId="6" xfId="0" applyNumberFormat="1" applyBorder="1"/>
    <xf numFmtId="168" fontId="0" fillId="0" borderId="0" xfId="0" applyNumberFormat="1"/>
    <xf numFmtId="169" fontId="0" fillId="0" borderId="0" xfId="0" applyNumberFormat="1"/>
    <xf numFmtId="8" fontId="0" fillId="0" borderId="0" xfId="0" applyNumberFormat="1"/>
    <xf numFmtId="0" fontId="0" fillId="10" borderId="0" xfId="0" applyFill="1"/>
    <xf numFmtId="0" fontId="2" fillId="10" borderId="0" xfId="0" applyFont="1" applyFill="1"/>
    <xf numFmtId="0" fontId="18" fillId="0" borderId="0" xfId="0" applyFont="1" applyAlignment="1">
      <alignment horizontal="left" vertical="center" wrapText="1" indent="1"/>
    </xf>
    <xf numFmtId="3" fontId="2" fillId="0" borderId="0" xfId="0" applyNumberFormat="1" applyFont="1"/>
    <xf numFmtId="0" fontId="8" fillId="10" borderId="16" xfId="6" applyFont="1" applyFill="1" applyAlignment="1">
      <alignment horizontal="center"/>
    </xf>
    <xf numFmtId="0" fontId="2" fillId="8" borderId="10" xfId="0" applyFont="1" applyFill="1" applyBorder="1" applyAlignment="1">
      <alignment horizontal="center"/>
    </xf>
    <xf numFmtId="0" fontId="2" fillId="8" borderId="11"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9" fillId="8" borderId="10" xfId="0" applyFont="1" applyFill="1" applyBorder="1" applyAlignment="1">
      <alignment horizontal="center"/>
    </xf>
    <xf numFmtId="0" fontId="9" fillId="8" borderId="11" xfId="0" applyFont="1" applyFill="1" applyBorder="1" applyAlignment="1">
      <alignment horizontal="center"/>
    </xf>
    <xf numFmtId="0" fontId="9" fillId="8" borderId="0" xfId="0" applyFont="1" applyFill="1" applyBorder="1" applyAlignment="1">
      <alignment horizontal="center"/>
    </xf>
    <xf numFmtId="0" fontId="9" fillId="8" borderId="6" xfId="0" applyFont="1" applyFill="1" applyBorder="1" applyAlignment="1">
      <alignment horizontal="center"/>
    </xf>
    <xf numFmtId="0" fontId="13" fillId="9" borderId="37" xfId="4" applyFont="1" applyFill="1" applyBorder="1" applyAlignment="1">
      <alignment horizontal="center"/>
    </xf>
    <xf numFmtId="0" fontId="13" fillId="9" borderId="38" xfId="4" applyFont="1" applyFill="1" applyBorder="1" applyAlignment="1">
      <alignment horizontal="center"/>
    </xf>
    <xf numFmtId="0" fontId="11" fillId="0" borderId="18" xfId="8" applyAlignment="1">
      <alignment horizontal="center"/>
    </xf>
    <xf numFmtId="168" fontId="0" fillId="0" borderId="8"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4" fillId="0" borderId="0" xfId="3" applyBorder="1" applyAlignment="1">
      <alignment horizontal="center"/>
    </xf>
    <xf numFmtId="0" fontId="16" fillId="0" borderId="43" xfId="10" applyFont="1" applyBorder="1" applyAlignment="1">
      <alignment horizontal="center"/>
    </xf>
    <xf numFmtId="0" fontId="16" fillId="0" borderId="0" xfId="10" applyFont="1" applyBorder="1" applyAlignment="1">
      <alignment horizontal="center"/>
    </xf>
    <xf numFmtId="10" fontId="0" fillId="0" borderId="8" xfId="2" applyNumberFormat="1" applyFont="1" applyBorder="1" applyAlignment="1">
      <alignment horizontal="center"/>
    </xf>
    <xf numFmtId="10" fontId="0" fillId="0" borderId="9" xfId="2" applyNumberFormat="1" applyFont="1" applyBorder="1" applyAlignment="1">
      <alignment horizontal="center"/>
    </xf>
    <xf numFmtId="0" fontId="2" fillId="0" borderId="0" xfId="0" applyFont="1" applyAlignment="1">
      <alignment horizontal="center"/>
    </xf>
    <xf numFmtId="0" fontId="13" fillId="9" borderId="25" xfId="4" applyFont="1" applyFill="1" applyBorder="1" applyAlignment="1">
      <alignment horizontal="center"/>
    </xf>
    <xf numFmtId="0" fontId="13" fillId="9" borderId="26" xfId="4" applyFont="1" applyFill="1" applyBorder="1" applyAlignment="1">
      <alignment horizontal="center"/>
    </xf>
    <xf numFmtId="0" fontId="13" fillId="9" borderId="31" xfId="4" applyFont="1" applyFill="1" applyBorder="1" applyAlignment="1">
      <alignment horizontal="center"/>
    </xf>
    <xf numFmtId="0" fontId="13" fillId="9" borderId="32" xfId="4" applyFont="1" applyFill="1" applyBorder="1" applyAlignment="1">
      <alignment horizontal="center"/>
    </xf>
  </cellXfs>
  <cellStyles count="13">
    <cellStyle name="Comma" xfId="1" builtinId="3"/>
    <cellStyle name="Currency" xfId="12" builtinId="4"/>
    <cellStyle name="Heading 1" xfId="8" builtinId="16"/>
    <cellStyle name="Heading 2" xfId="3" builtinId="17"/>
    <cellStyle name="Heading 4" xfId="9" builtinId="19"/>
    <cellStyle name="Hyperlink" xfId="11" builtinId="8"/>
    <cellStyle name="Input" xfId="4" builtinId="20"/>
    <cellStyle name="Normal" xfId="0" builtinId="0"/>
    <cellStyle name="Note" xfId="6" builtinId="10"/>
    <cellStyle name="Output" xfId="5" builtinId="21"/>
    <cellStyle name="Percent" xfId="2" builtinId="5"/>
    <cellStyle name="Total" xfId="7" builtinId="25"/>
    <cellStyle name="Warning Text" xfId="10"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
  <sheetViews>
    <sheetView showGridLines="0" workbookViewId="0">
      <pane xSplit="1" topLeftCell="B1" activePane="topRight" state="frozen"/>
      <selection pane="topRight" activeCell="B22" sqref="B22:G22"/>
    </sheetView>
  </sheetViews>
  <sheetFormatPr defaultRowHeight="14.4" x14ac:dyDescent="0.3"/>
  <cols>
    <col min="1" max="1" width="23" bestFit="1" customWidth="1"/>
    <col min="2" max="2" width="11.5546875" bestFit="1" customWidth="1"/>
    <col min="3" max="3" width="12.88671875" bestFit="1" customWidth="1"/>
    <col min="4" max="6" width="12.33203125" bestFit="1" customWidth="1"/>
    <col min="7" max="7" width="14.33203125" bestFit="1" customWidth="1"/>
    <col min="8" max="9" width="12.33203125" bestFit="1" customWidth="1"/>
    <col min="10" max="10" width="10.6640625" bestFit="1" customWidth="1"/>
  </cols>
  <sheetData>
    <row r="1" spans="1:14" ht="18" thickBot="1" x14ac:dyDescent="0.4">
      <c r="A1" s="28" t="s">
        <v>69</v>
      </c>
      <c r="B1" s="31" t="s">
        <v>12</v>
      </c>
      <c r="C1" s="32" t="s">
        <v>13</v>
      </c>
      <c r="D1" s="32" t="s">
        <v>14</v>
      </c>
      <c r="E1" s="32" t="s">
        <v>15</v>
      </c>
      <c r="F1" s="32" t="s">
        <v>16</v>
      </c>
      <c r="G1" s="31" t="s">
        <v>9</v>
      </c>
      <c r="H1" s="32" t="s">
        <v>10</v>
      </c>
      <c r="I1" s="33" t="s">
        <v>11</v>
      </c>
    </row>
    <row r="2" spans="1:14" ht="15" thickTop="1" x14ac:dyDescent="0.3">
      <c r="A2" s="26" t="s">
        <v>4</v>
      </c>
      <c r="B2" s="72">
        <v>73237</v>
      </c>
      <c r="C2" s="73">
        <v>70844</v>
      </c>
      <c r="D2" s="73">
        <v>78273</v>
      </c>
      <c r="E2" s="73">
        <v>83453</v>
      </c>
      <c r="F2" s="74">
        <v>90307</v>
      </c>
      <c r="G2" s="72">
        <f>F2*(1 + AVERAGE(F3*N4 + E3*N5 + D3*N6 + C3*N7))</f>
        <v>96768.257138922403</v>
      </c>
      <c r="H2" s="73">
        <f>(H3 + 1)*G2</f>
        <v>103735.57165292482</v>
      </c>
      <c r="I2" s="74">
        <f>H2*(I3 + 1)</f>
        <v>111204.53281193541</v>
      </c>
      <c r="J2" s="4"/>
    </row>
    <row r="3" spans="1:14" x14ac:dyDescent="0.3">
      <c r="A3" s="95" t="s">
        <v>0</v>
      </c>
      <c r="B3" s="104" t="s">
        <v>80</v>
      </c>
      <c r="C3" s="3">
        <f>C2/B2 - 1</f>
        <v>-3.2674740909649502E-2</v>
      </c>
      <c r="D3" s="3">
        <f>D2/C2 - 1</f>
        <v>0.1048642086838687</v>
      </c>
      <c r="E3" s="3">
        <f>E2/D2 - 1</f>
        <v>6.6178631201052829E-2</v>
      </c>
      <c r="F3" s="14">
        <f>F2/E2 - 1</f>
        <v>8.2130061232070783E-2</v>
      </c>
      <c r="G3" s="106">
        <f>G2/F2 - 1</f>
        <v>7.1547688871542725E-2</v>
      </c>
      <c r="H3" s="106">
        <v>7.1999999999999995E-2</v>
      </c>
      <c r="I3" s="106">
        <v>7.1999999999999995E-2</v>
      </c>
      <c r="J3" s="4"/>
    </row>
    <row r="4" spans="1:14" x14ac:dyDescent="0.3">
      <c r="A4" s="26" t="s">
        <v>5</v>
      </c>
      <c r="B4" s="77">
        <v>2100</v>
      </c>
      <c r="C4" s="78">
        <v>1165</v>
      </c>
      <c r="D4" s="78">
        <v>1069</v>
      </c>
      <c r="E4" s="78">
        <v>1755</v>
      </c>
      <c r="F4" s="79">
        <v>1872</v>
      </c>
      <c r="G4" s="77">
        <v>1632.4</v>
      </c>
      <c r="H4" s="78">
        <v>1645.8</v>
      </c>
      <c r="I4" s="78">
        <v>1659.2</v>
      </c>
      <c r="J4" s="4"/>
      <c r="M4" t="s">
        <v>81</v>
      </c>
      <c r="N4" s="105">
        <v>0.35</v>
      </c>
    </row>
    <row r="5" spans="1:14" x14ac:dyDescent="0.3">
      <c r="A5" s="26" t="s">
        <v>6</v>
      </c>
      <c r="B5" s="89">
        <f>B4+B2</f>
        <v>75337</v>
      </c>
      <c r="C5" s="89">
        <f t="shared" ref="C5:I5" si="0">C4+C2</f>
        <v>72009</v>
      </c>
      <c r="D5" s="89">
        <f t="shared" si="0"/>
        <v>79342</v>
      </c>
      <c r="E5" s="89">
        <f t="shared" si="0"/>
        <v>85208</v>
      </c>
      <c r="F5" s="89">
        <f t="shared" si="0"/>
        <v>92179</v>
      </c>
      <c r="G5" s="89">
        <f t="shared" si="0"/>
        <v>98400.657138922397</v>
      </c>
      <c r="H5" s="89">
        <f t="shared" si="0"/>
        <v>105381.37165292482</v>
      </c>
      <c r="I5" s="89">
        <f t="shared" si="0"/>
        <v>112863.73281193541</v>
      </c>
      <c r="J5" s="4"/>
      <c r="M5" t="s">
        <v>82</v>
      </c>
      <c r="N5" s="105">
        <v>0.3</v>
      </c>
    </row>
    <row r="6" spans="1:14" x14ac:dyDescent="0.3">
      <c r="A6" s="27" t="s">
        <v>45</v>
      </c>
      <c r="B6" s="107">
        <v>57032</v>
      </c>
      <c r="C6" s="90">
        <v>56253</v>
      </c>
      <c r="D6" s="90">
        <v>60586</v>
      </c>
      <c r="E6" s="90">
        <v>65770</v>
      </c>
      <c r="F6" s="107">
        <v>72254</v>
      </c>
      <c r="G6" s="107">
        <v>74367.3</v>
      </c>
      <c r="H6" s="90">
        <v>78363.399999999994</v>
      </c>
      <c r="I6" s="90">
        <v>82359.5</v>
      </c>
      <c r="J6" s="4"/>
      <c r="M6" t="s">
        <v>83</v>
      </c>
      <c r="N6" s="105">
        <v>0.25</v>
      </c>
    </row>
    <row r="7" spans="1:14" x14ac:dyDescent="0.3">
      <c r="A7" s="96" t="s">
        <v>62</v>
      </c>
      <c r="B7" s="55">
        <f>B6/B2</f>
        <v>0.77873206166282072</v>
      </c>
      <c r="C7" s="55">
        <f t="shared" ref="C7:I7" si="1">C6/C2</f>
        <v>0.79404042685336795</v>
      </c>
      <c r="D7" s="55">
        <f t="shared" si="1"/>
        <v>0.77403446910173368</v>
      </c>
      <c r="E7" s="55">
        <f t="shared" si="1"/>
        <v>0.78810827651492454</v>
      </c>
      <c r="F7" s="55">
        <f t="shared" si="1"/>
        <v>0.80009301604526784</v>
      </c>
      <c r="G7" s="55">
        <f t="shared" si="1"/>
        <v>0.76850924258392761</v>
      </c>
      <c r="H7" s="55">
        <f t="shared" si="1"/>
        <v>0.75541493386844938</v>
      </c>
      <c r="I7" s="55">
        <f t="shared" si="1"/>
        <v>0.74061279623631027</v>
      </c>
      <c r="J7" s="4"/>
      <c r="M7" t="s">
        <v>84</v>
      </c>
      <c r="N7" s="105">
        <v>0.1</v>
      </c>
    </row>
    <row r="8" spans="1:14" x14ac:dyDescent="0.3">
      <c r="A8" s="27" t="s">
        <v>28</v>
      </c>
      <c r="B8" s="108">
        <v>4912</v>
      </c>
      <c r="C8" s="109">
        <v>5172</v>
      </c>
      <c r="D8" s="91">
        <v>5921</v>
      </c>
      <c r="E8" s="91">
        <v>7099</v>
      </c>
      <c r="F8" s="92">
        <v>7254</v>
      </c>
      <c r="G8" s="108">
        <v>8054.9</v>
      </c>
      <c r="H8" s="109">
        <v>8716</v>
      </c>
      <c r="I8" s="91">
        <v>9377.1</v>
      </c>
      <c r="J8" s="4"/>
    </row>
    <row r="9" spans="1:14" x14ac:dyDescent="0.3">
      <c r="A9" s="27" t="s">
        <v>44</v>
      </c>
      <c r="B9" s="82">
        <f>B5-B6</f>
        <v>18305</v>
      </c>
      <c r="C9" s="82">
        <f t="shared" ref="C9:I9" si="2">C5-C6</f>
        <v>15756</v>
      </c>
      <c r="D9" s="82">
        <f t="shared" si="2"/>
        <v>18756</v>
      </c>
      <c r="E9" s="82">
        <f t="shared" si="2"/>
        <v>19438</v>
      </c>
      <c r="F9" s="82">
        <f t="shared" si="2"/>
        <v>19925</v>
      </c>
      <c r="G9" s="82">
        <f t="shared" si="2"/>
        <v>24033.357138922394</v>
      </c>
      <c r="H9" s="82">
        <f t="shared" si="2"/>
        <v>27017.971652924825</v>
      </c>
      <c r="I9" s="82">
        <f t="shared" si="2"/>
        <v>30504.232811935406</v>
      </c>
      <c r="J9" s="4"/>
    </row>
    <row r="10" spans="1:14" x14ac:dyDescent="0.3">
      <c r="A10" s="27" t="s">
        <v>2</v>
      </c>
      <c r="B10" s="93">
        <f>B9-B8</f>
        <v>13393</v>
      </c>
      <c r="C10" s="93">
        <f t="shared" ref="C10:I10" si="3">C9-C8</f>
        <v>10584</v>
      </c>
      <c r="D10" s="93">
        <f t="shared" si="3"/>
        <v>12835</v>
      </c>
      <c r="E10" s="93">
        <f t="shared" si="3"/>
        <v>12339</v>
      </c>
      <c r="F10" s="93">
        <f t="shared" si="3"/>
        <v>12671</v>
      </c>
      <c r="G10" s="93">
        <f t="shared" si="3"/>
        <v>15978.457138922395</v>
      </c>
      <c r="H10" s="93">
        <f t="shared" si="3"/>
        <v>18301.971652924825</v>
      </c>
      <c r="I10" s="93">
        <f t="shared" si="3"/>
        <v>21127.132811935408</v>
      </c>
      <c r="J10" s="4"/>
    </row>
    <row r="11" spans="1:14" x14ac:dyDescent="0.3">
      <c r="A11" s="27" t="s">
        <v>3</v>
      </c>
      <c r="B11" s="72">
        <v>3570</v>
      </c>
      <c r="C11" s="73">
        <v>3314</v>
      </c>
      <c r="D11" s="73">
        <v>3651</v>
      </c>
      <c r="E11" s="73">
        <v>4435</v>
      </c>
      <c r="F11" s="74">
        <v>5261</v>
      </c>
      <c r="G11" s="72">
        <v>5397.1</v>
      </c>
      <c r="H11" s="73">
        <v>5847.4</v>
      </c>
      <c r="I11" s="73">
        <v>6297.7</v>
      </c>
      <c r="J11" s="4"/>
    </row>
    <row r="12" spans="1:14" x14ac:dyDescent="0.3">
      <c r="A12" s="27" t="s">
        <v>63</v>
      </c>
      <c r="B12" s="77">
        <f>B10-B11</f>
        <v>9823</v>
      </c>
      <c r="C12" s="77">
        <f t="shared" ref="C12:I12" si="4">C10-C11</f>
        <v>7270</v>
      </c>
      <c r="D12" s="77">
        <f t="shared" si="4"/>
        <v>9184</v>
      </c>
      <c r="E12" s="77">
        <f t="shared" si="4"/>
        <v>7904</v>
      </c>
      <c r="F12" s="77">
        <f t="shared" si="4"/>
        <v>7410</v>
      </c>
      <c r="G12" s="77">
        <f t="shared" si="4"/>
        <v>10581.357138922394</v>
      </c>
      <c r="H12" s="77">
        <f t="shared" si="4"/>
        <v>12454.571652924826</v>
      </c>
      <c r="I12" s="77">
        <f t="shared" si="4"/>
        <v>14829.432811935407</v>
      </c>
      <c r="J12" s="4"/>
    </row>
    <row r="13" spans="1:14" x14ac:dyDescent="0.3">
      <c r="A13" s="27" t="s">
        <v>7</v>
      </c>
      <c r="B13" s="77">
        <v>-3206</v>
      </c>
      <c r="C13" s="78">
        <v>2588</v>
      </c>
      <c r="D13" s="78">
        <v>3047</v>
      </c>
      <c r="E13" s="78">
        <v>-163</v>
      </c>
      <c r="F13" s="79">
        <v>464</v>
      </c>
      <c r="G13" s="77">
        <v>1922.7</v>
      </c>
      <c r="H13" s="78">
        <v>2381.6</v>
      </c>
      <c r="I13" s="78">
        <v>2840.5</v>
      </c>
      <c r="J13" s="4"/>
    </row>
    <row r="14" spans="1:14" x14ac:dyDescent="0.3">
      <c r="A14" s="96" t="s">
        <v>17</v>
      </c>
      <c r="B14" s="56">
        <f>B13/B10</f>
        <v>-0.23937877995968043</v>
      </c>
      <c r="C14" s="56">
        <f t="shared" ref="C14:I14" si="5">C13/C10</f>
        <v>0.24452003023431595</v>
      </c>
      <c r="D14" s="56">
        <f t="shared" si="5"/>
        <v>0.23739774055317492</v>
      </c>
      <c r="E14" s="56">
        <f t="shared" si="5"/>
        <v>-1.3210146689358944E-2</v>
      </c>
      <c r="F14" s="56">
        <f t="shared" si="5"/>
        <v>3.6619051377160448E-2</v>
      </c>
      <c r="G14" s="56">
        <f t="shared" si="5"/>
        <v>0.12033076681204961</v>
      </c>
      <c r="H14" s="56">
        <f t="shared" si="5"/>
        <v>0.13012805642824815</v>
      </c>
      <c r="I14" s="56">
        <f t="shared" si="5"/>
        <v>0.13444796439180373</v>
      </c>
      <c r="J14" s="4"/>
    </row>
    <row r="15" spans="1:14" ht="15" thickBot="1" x14ac:dyDescent="0.35">
      <c r="A15" s="29" t="s">
        <v>8</v>
      </c>
      <c r="B15" s="87">
        <f>B10-B11-B13</f>
        <v>13029</v>
      </c>
      <c r="C15" s="87">
        <f t="shared" ref="C15:I15" si="6">C10-C11-C13</f>
        <v>4682</v>
      </c>
      <c r="D15" s="87">
        <f t="shared" si="6"/>
        <v>6137</v>
      </c>
      <c r="E15" s="87">
        <f t="shared" si="6"/>
        <v>8067</v>
      </c>
      <c r="F15" s="87">
        <f t="shared" si="6"/>
        <v>6946</v>
      </c>
      <c r="G15" s="87">
        <f t="shared" si="6"/>
        <v>8658.6571389223936</v>
      </c>
      <c r="H15" s="87">
        <f t="shared" si="6"/>
        <v>10072.971652924825</v>
      </c>
      <c r="I15" s="87">
        <f t="shared" si="6"/>
        <v>11988.932811935407</v>
      </c>
    </row>
    <row r="16" spans="1:14" ht="15" thickTop="1" x14ac:dyDescent="0.3"/>
    <row r="18" spans="1:16" ht="15.6" x14ac:dyDescent="0.3">
      <c r="A18" s="12" t="s">
        <v>30</v>
      </c>
      <c r="B18" s="137" t="s">
        <v>89</v>
      </c>
      <c r="C18" s="137"/>
      <c r="D18" s="137"/>
      <c r="E18" s="137"/>
      <c r="F18" s="137"/>
      <c r="G18" s="137"/>
      <c r="H18" s="137"/>
      <c r="I18" s="137"/>
    </row>
    <row r="19" spans="1:16" x14ac:dyDescent="0.3">
      <c r="B19" t="s">
        <v>90</v>
      </c>
    </row>
    <row r="20" spans="1:16" x14ac:dyDescent="0.3">
      <c r="A20" s="12" t="s">
        <v>88</v>
      </c>
      <c r="B20" s="134" t="s">
        <v>91</v>
      </c>
      <c r="C20" s="134"/>
      <c r="D20" s="134"/>
      <c r="E20" s="134"/>
      <c r="F20" s="134"/>
      <c r="G20" s="134"/>
      <c r="H20" s="134"/>
      <c r="I20" s="134"/>
      <c r="J20" s="134"/>
      <c r="K20" s="134"/>
      <c r="L20" s="134"/>
      <c r="M20" s="134"/>
      <c r="N20" s="134"/>
      <c r="O20" s="134"/>
      <c r="P20" s="133"/>
    </row>
    <row r="21" spans="1:16" x14ac:dyDescent="0.3">
      <c r="B21" t="s">
        <v>92</v>
      </c>
    </row>
    <row r="22" spans="1:16" x14ac:dyDescent="0.3">
      <c r="A22" s="12" t="s">
        <v>93</v>
      </c>
      <c r="B22" s="2" t="s">
        <v>94</v>
      </c>
      <c r="C22" s="2"/>
      <c r="D22" s="2"/>
      <c r="E22" s="2"/>
      <c r="F22" s="2"/>
      <c r="G22" s="2"/>
    </row>
  </sheetData>
  <mergeCells count="1">
    <mergeCell ref="B18:I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showGridLines="0" workbookViewId="0">
      <selection activeCell="K19" sqref="K19"/>
    </sheetView>
  </sheetViews>
  <sheetFormatPr defaultRowHeight="14.4" x14ac:dyDescent="0.3"/>
  <cols>
    <col min="1" max="1" width="23.88671875" bestFit="1" customWidth="1"/>
    <col min="2" max="9" width="11.5546875" bestFit="1" customWidth="1"/>
    <col min="11" max="11" width="62.6640625" customWidth="1"/>
  </cols>
  <sheetData>
    <row r="1" spans="1:11" ht="18" thickBot="1" x14ac:dyDescent="0.4">
      <c r="A1" s="28" t="s">
        <v>48</v>
      </c>
      <c r="B1" s="30">
        <v>42064</v>
      </c>
      <c r="C1" s="30">
        <v>42430</v>
      </c>
      <c r="D1" s="30">
        <v>42795</v>
      </c>
      <c r="E1" s="30">
        <v>43160</v>
      </c>
      <c r="F1" s="30">
        <v>43525</v>
      </c>
      <c r="G1" s="30">
        <v>43891</v>
      </c>
      <c r="H1" s="30">
        <v>44256</v>
      </c>
      <c r="I1" s="30">
        <v>44621</v>
      </c>
      <c r="K1" s="15" t="s">
        <v>33</v>
      </c>
    </row>
    <row r="2" spans="1:11" ht="15" thickTop="1" x14ac:dyDescent="0.3">
      <c r="B2" s="138" t="s">
        <v>27</v>
      </c>
      <c r="C2" s="139"/>
      <c r="D2" s="139"/>
      <c r="E2" s="139"/>
      <c r="F2" s="139"/>
      <c r="G2" s="140"/>
      <c r="H2" s="140"/>
      <c r="I2" s="141"/>
    </row>
    <row r="3" spans="1:11" x14ac:dyDescent="0.3">
      <c r="A3" s="25" t="s">
        <v>18</v>
      </c>
      <c r="B3" s="17">
        <v>8245</v>
      </c>
      <c r="C3" s="17">
        <v>8245</v>
      </c>
      <c r="D3" s="17">
        <v>8245</v>
      </c>
      <c r="E3" s="17">
        <v>8245</v>
      </c>
      <c r="F3" s="18">
        <v>9895</v>
      </c>
      <c r="G3" s="17">
        <v>9565</v>
      </c>
      <c r="H3" s="17">
        <v>9895</v>
      </c>
      <c r="I3" s="17">
        <v>10225</v>
      </c>
      <c r="K3" s="54" t="s">
        <v>95</v>
      </c>
    </row>
    <row r="4" spans="1:11" x14ac:dyDescent="0.3">
      <c r="A4" s="25" t="s">
        <v>19</v>
      </c>
      <c r="B4" s="7">
        <v>75585</v>
      </c>
      <c r="C4" s="8">
        <v>83048</v>
      </c>
      <c r="D4" s="8">
        <v>87986</v>
      </c>
      <c r="E4" s="8">
        <v>93532</v>
      </c>
      <c r="F4" s="19">
        <v>97514</v>
      </c>
      <c r="G4" s="7">
        <v>103835.6</v>
      </c>
      <c r="H4" s="8">
        <v>109269.8</v>
      </c>
      <c r="I4" s="8">
        <v>114704</v>
      </c>
      <c r="K4" s="54"/>
    </row>
    <row r="5" spans="1:11" x14ac:dyDescent="0.3">
      <c r="A5" s="25" t="s">
        <v>20</v>
      </c>
      <c r="B5" s="7">
        <v>21320</v>
      </c>
      <c r="C5" s="8">
        <v>25028</v>
      </c>
      <c r="D5" s="8">
        <v>29677</v>
      </c>
      <c r="E5" s="8">
        <v>36148</v>
      </c>
      <c r="F5" s="19">
        <v>47748</v>
      </c>
      <c r="G5" s="7">
        <f>G6*'Profit &amp; Loss'!G2</f>
        <v>38425.205323951908</v>
      </c>
      <c r="H5" s="7">
        <f>H6*'Profit &amp; Loss'!H2</f>
        <v>43390.49821139389</v>
      </c>
      <c r="I5" s="7">
        <f>I6*'Profit &amp; Loss'!I2</f>
        <v>47960.196694696024</v>
      </c>
      <c r="K5" s="54"/>
    </row>
    <row r="6" spans="1:11" x14ac:dyDescent="0.3">
      <c r="A6" s="94" t="s">
        <v>72</v>
      </c>
      <c r="B6" s="55">
        <f>B5/'Profit &amp; Loss'!B2</f>
        <v>0.29110968499528928</v>
      </c>
      <c r="C6" s="55">
        <f>C5/'Profit &amp; Loss'!C2</f>
        <v>0.3532832702840043</v>
      </c>
      <c r="D6" s="55">
        <f>D5/'Profit &amp; Loss'!D2</f>
        <v>0.37914734327290384</v>
      </c>
      <c r="E6" s="55">
        <f>E5/'Profit &amp; Loss'!E2</f>
        <v>0.43315399086911194</v>
      </c>
      <c r="F6" s="55">
        <f>F5/'Profit &amp; Loss'!F2</f>
        <v>0.52872977731515824</v>
      </c>
      <c r="G6" s="114">
        <f>AVERAGE(B6:F6)</f>
        <v>0.39708481334729351</v>
      </c>
      <c r="H6" s="114">
        <f t="shared" ref="H6:I6" si="0">AVERAGE(C6:G6)</f>
        <v>0.41827983901769433</v>
      </c>
      <c r="I6" s="114">
        <f t="shared" si="0"/>
        <v>0.43127915276443235</v>
      </c>
      <c r="K6" s="54" t="s">
        <v>96</v>
      </c>
    </row>
    <row r="7" spans="1:11" x14ac:dyDescent="0.3">
      <c r="A7" s="94" t="s">
        <v>29</v>
      </c>
      <c r="B7" s="111" t="s">
        <v>80</v>
      </c>
      <c r="C7" s="112">
        <f>C5/B5 - 1</f>
        <v>0.17392120075046913</v>
      </c>
      <c r="D7" s="112">
        <f t="shared" ref="D7:F7" si="1">D5/C5 - 1</f>
        <v>0.18575195780725595</v>
      </c>
      <c r="E7" s="112">
        <f t="shared" si="1"/>
        <v>0.21804764632543727</v>
      </c>
      <c r="F7" s="112">
        <f t="shared" si="1"/>
        <v>0.32090295452030548</v>
      </c>
      <c r="G7" s="115">
        <f>G5/F5 - 1</f>
        <v>-0.19524995132881151</v>
      </c>
      <c r="H7" s="115">
        <f t="shared" ref="H7:I7" si="2">H5/G5 - 1</f>
        <v>0.12921968394393768</v>
      </c>
      <c r="I7" s="115">
        <f t="shared" si="2"/>
        <v>0.10531564908609825</v>
      </c>
      <c r="K7" s="54"/>
    </row>
    <row r="8" spans="1:11" x14ac:dyDescent="0.3">
      <c r="A8" s="25" t="s">
        <v>21</v>
      </c>
      <c r="B8" s="7">
        <v>92020</v>
      </c>
      <c r="C8" s="8">
        <v>98817</v>
      </c>
      <c r="D8" s="8">
        <v>115597</v>
      </c>
      <c r="E8" s="8">
        <v>129906</v>
      </c>
      <c r="F8" s="19">
        <v>135721</v>
      </c>
      <c r="G8" s="7">
        <v>149959.5</v>
      </c>
      <c r="H8" s="8">
        <v>161808.6</v>
      </c>
      <c r="I8" s="8">
        <v>173657.7</v>
      </c>
      <c r="K8" s="54"/>
    </row>
    <row r="9" spans="1:11" x14ac:dyDescent="0.3">
      <c r="A9" s="23" t="s">
        <v>22</v>
      </c>
      <c r="B9" s="9">
        <f>B8+B5+B4+B3</f>
        <v>197170</v>
      </c>
      <c r="C9" s="9">
        <f t="shared" ref="C9:I9" si="3">C8+C5+C4+C3</f>
        <v>215138</v>
      </c>
      <c r="D9" s="9">
        <f t="shared" si="3"/>
        <v>241505</v>
      </c>
      <c r="E9" s="9">
        <f t="shared" si="3"/>
        <v>267831</v>
      </c>
      <c r="F9" s="9">
        <f t="shared" si="3"/>
        <v>290878</v>
      </c>
      <c r="G9" s="9">
        <f t="shared" si="3"/>
        <v>301785.30532395188</v>
      </c>
      <c r="H9" s="9">
        <f t="shared" si="3"/>
        <v>324363.89821139391</v>
      </c>
      <c r="I9" s="9">
        <f t="shared" si="3"/>
        <v>346546.89669469604</v>
      </c>
      <c r="K9" s="54"/>
    </row>
    <row r="10" spans="1:11" x14ac:dyDescent="0.3">
      <c r="B10" s="142" t="s">
        <v>85</v>
      </c>
      <c r="C10" s="143"/>
      <c r="D10" s="143"/>
      <c r="E10" s="143"/>
      <c r="F10" s="143"/>
      <c r="G10" s="144"/>
      <c r="H10" s="144"/>
      <c r="I10" s="145"/>
    </row>
    <row r="11" spans="1:11" x14ac:dyDescent="0.3">
      <c r="A11" s="23" t="s">
        <v>23</v>
      </c>
      <c r="B11" s="16">
        <v>134909</v>
      </c>
      <c r="C11" s="17">
        <v>158196</v>
      </c>
      <c r="D11" s="17">
        <v>180093</v>
      </c>
      <c r="E11" s="17">
        <v>198835</v>
      </c>
      <c r="F11" s="18">
        <v>216827</v>
      </c>
      <c r="G11" s="16">
        <v>239114.5</v>
      </c>
      <c r="H11" s="17">
        <v>259562</v>
      </c>
      <c r="I11" s="17">
        <v>280009.5</v>
      </c>
      <c r="K11" s="113" t="s">
        <v>95</v>
      </c>
    </row>
    <row r="12" spans="1:11" x14ac:dyDescent="0.3">
      <c r="A12" s="23" t="s">
        <v>29</v>
      </c>
      <c r="B12" s="110" t="s">
        <v>80</v>
      </c>
      <c r="C12" s="11">
        <f>C11-B11</f>
        <v>23287</v>
      </c>
      <c r="D12" s="11">
        <f t="shared" ref="D12:I12" si="4">D11-C11</f>
        <v>21897</v>
      </c>
      <c r="E12" s="11">
        <f t="shared" si="4"/>
        <v>18742</v>
      </c>
      <c r="F12" s="11">
        <f t="shared" si="4"/>
        <v>17992</v>
      </c>
      <c r="G12" s="11">
        <f t="shared" si="4"/>
        <v>22287.5</v>
      </c>
      <c r="H12" s="11">
        <f t="shared" si="4"/>
        <v>20447.5</v>
      </c>
      <c r="I12" s="11">
        <f t="shared" si="4"/>
        <v>20447.5</v>
      </c>
    </row>
    <row r="13" spans="1:11" x14ac:dyDescent="0.3">
      <c r="A13" s="23" t="s">
        <v>38</v>
      </c>
      <c r="B13" s="7">
        <v>78153</v>
      </c>
      <c r="C13" s="8">
        <v>91499</v>
      </c>
      <c r="D13" s="8">
        <v>97443</v>
      </c>
      <c r="E13" s="8">
        <v>119428</v>
      </c>
      <c r="F13" s="19">
        <v>125291</v>
      </c>
      <c r="G13" s="7">
        <v>139024.29999999999</v>
      </c>
      <c r="H13" s="8">
        <v>151244.79999999999</v>
      </c>
      <c r="I13" s="8">
        <v>163465.29999999999</v>
      </c>
      <c r="K13" s="54"/>
    </row>
    <row r="14" spans="1:11" x14ac:dyDescent="0.3">
      <c r="A14" s="23" t="s">
        <v>24</v>
      </c>
      <c r="B14" s="7">
        <v>37228</v>
      </c>
      <c r="C14" s="8">
        <v>29756</v>
      </c>
      <c r="D14" s="8">
        <v>28421</v>
      </c>
      <c r="E14" s="8">
        <v>36731</v>
      </c>
      <c r="F14" s="19">
        <v>42261</v>
      </c>
      <c r="G14" s="7">
        <f>G15*'Profit &amp; Loss'!G2</f>
        <v>42569.421154096082</v>
      </c>
      <c r="H14" s="7">
        <f>H15*'Profit &amp; Loss'!H2</f>
        <v>44215.082578508504</v>
      </c>
      <c r="I14" s="7">
        <f>I15*'Profit &amp; Loss'!I2</f>
        <v>47536.624280961179</v>
      </c>
      <c r="K14" s="54"/>
    </row>
    <row r="15" spans="1:11" x14ac:dyDescent="0.3">
      <c r="A15" s="94" t="s">
        <v>73</v>
      </c>
      <c r="B15" s="55">
        <f>B14/'Profit &amp; Loss'!B2</f>
        <v>0.50832229610715896</v>
      </c>
      <c r="C15" s="55">
        <f>C14/'Profit &amp; Loss'!C2</f>
        <v>0.42002145559256959</v>
      </c>
      <c r="D15" s="55">
        <f>D14/'Profit &amp; Loss'!D2</f>
        <v>0.36310094157627792</v>
      </c>
      <c r="E15" s="55">
        <f>E14/'Profit &amp; Loss'!E2</f>
        <v>0.44013995901884895</v>
      </c>
      <c r="F15" s="55">
        <f>F14/'Profit &amp; Loss'!F2</f>
        <v>0.46797036774557899</v>
      </c>
      <c r="G15" s="55">
        <f>AVERAGE(B15:F15)</f>
        <v>0.43991100400808697</v>
      </c>
      <c r="H15" s="55">
        <f>AVERAGE(C15:G15)</f>
        <v>0.42622874558827251</v>
      </c>
      <c r="I15" s="55">
        <f>AVERAGE(D15:H15)</f>
        <v>0.427470203587413</v>
      </c>
      <c r="K15" s="113" t="s">
        <v>97</v>
      </c>
    </row>
    <row r="16" spans="1:11" x14ac:dyDescent="0.3">
      <c r="A16" s="94" t="s">
        <v>29</v>
      </c>
      <c r="B16" s="111" t="s">
        <v>80</v>
      </c>
      <c r="C16" s="112">
        <f>C14/B14 - 1</f>
        <v>-0.20070914365531323</v>
      </c>
      <c r="D16" s="112">
        <f t="shared" ref="D16:I16" si="5">D14/C14 - 1</f>
        <v>-4.4864901196397411E-2</v>
      </c>
      <c r="E16" s="112">
        <f t="shared" si="5"/>
        <v>0.29238943035079701</v>
      </c>
      <c r="F16" s="112">
        <f t="shared" si="5"/>
        <v>0.15055402793280881</v>
      </c>
      <c r="G16" s="112">
        <f t="shared" si="5"/>
        <v>7.2980088993654935E-3</v>
      </c>
      <c r="H16" s="112">
        <f t="shared" si="5"/>
        <v>3.8658299309622501E-2</v>
      </c>
      <c r="I16" s="112">
        <f t="shared" si="5"/>
        <v>7.5122367951138136E-2</v>
      </c>
    </row>
    <row r="17" spans="1:11" x14ac:dyDescent="0.3">
      <c r="A17" s="23" t="s">
        <v>25</v>
      </c>
      <c r="B17" s="7">
        <v>25033</v>
      </c>
      <c r="C17" s="8">
        <v>27186</v>
      </c>
      <c r="D17" s="8">
        <v>32991</v>
      </c>
      <c r="E17" s="8">
        <v>32265</v>
      </c>
      <c r="F17" s="19">
        <v>31790</v>
      </c>
      <c r="G17" s="7">
        <v>35430.9</v>
      </c>
      <c r="H17" s="8">
        <v>37290.199999999997</v>
      </c>
      <c r="I17" s="8">
        <v>39149.5</v>
      </c>
      <c r="K17" s="54"/>
    </row>
    <row r="18" spans="1:11" x14ac:dyDescent="0.3">
      <c r="A18" s="23" t="s">
        <v>26</v>
      </c>
      <c r="B18" s="9">
        <f t="shared" ref="B18:I18" si="6">B17+B14+B11</f>
        <v>197170</v>
      </c>
      <c r="C18" s="10">
        <f t="shared" si="6"/>
        <v>215138</v>
      </c>
      <c r="D18" s="10">
        <f t="shared" si="6"/>
        <v>241505</v>
      </c>
      <c r="E18" s="10">
        <f t="shared" si="6"/>
        <v>267831</v>
      </c>
      <c r="F18" s="20">
        <f t="shared" si="6"/>
        <v>290878</v>
      </c>
      <c r="G18" s="9">
        <f t="shared" si="6"/>
        <v>317114.82115409605</v>
      </c>
      <c r="H18" s="10">
        <f t="shared" si="6"/>
        <v>341067.28257850849</v>
      </c>
      <c r="I18" s="10">
        <f t="shared" si="6"/>
        <v>366695.62428096117</v>
      </c>
      <c r="K18" s="54" t="s">
        <v>98</v>
      </c>
    </row>
    <row r="19" spans="1:11" x14ac:dyDescent="0.3">
      <c r="B19" s="5"/>
      <c r="C19" s="5"/>
      <c r="D19" s="5"/>
      <c r="E19" s="5"/>
      <c r="F19" s="5"/>
    </row>
    <row r="20" spans="1:11" x14ac:dyDescent="0.3">
      <c r="B20" s="5"/>
      <c r="C20" s="5"/>
      <c r="D20" s="5"/>
      <c r="E20" s="5"/>
      <c r="F20" s="5"/>
    </row>
  </sheetData>
  <mergeCells count="2">
    <mergeCell ref="B2:I2"/>
    <mergeCell ref="B10:I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showGridLines="0" workbookViewId="0">
      <selection activeCell="K9" sqref="K9"/>
    </sheetView>
  </sheetViews>
  <sheetFormatPr defaultRowHeight="14.4" x14ac:dyDescent="0.3"/>
  <cols>
    <col min="1" max="1" width="34.88671875" bestFit="1" customWidth="1"/>
    <col min="2" max="2" width="11.33203125" bestFit="1" customWidth="1"/>
    <col min="3" max="3" width="11.5546875" bestFit="1" customWidth="1"/>
    <col min="4" max="4" width="10.77734375" bestFit="1" customWidth="1"/>
    <col min="5" max="7" width="11.5546875" bestFit="1" customWidth="1"/>
    <col min="8" max="8" width="11.33203125" bestFit="1" customWidth="1"/>
    <col min="9" max="9" width="11.5546875" bestFit="1" customWidth="1"/>
    <col min="11" max="11" width="57" bestFit="1" customWidth="1"/>
  </cols>
  <sheetData>
    <row r="1" spans="1:11" ht="18" thickBot="1" x14ac:dyDescent="0.4">
      <c r="A1" s="22" t="s">
        <v>71</v>
      </c>
      <c r="B1" s="34">
        <v>42064</v>
      </c>
      <c r="C1" s="34">
        <v>42430</v>
      </c>
      <c r="D1" s="34">
        <v>42795</v>
      </c>
      <c r="E1" s="34">
        <v>43160</v>
      </c>
      <c r="F1" s="34">
        <v>43525</v>
      </c>
      <c r="G1" s="34">
        <v>43891</v>
      </c>
      <c r="H1" s="34">
        <v>44256</v>
      </c>
      <c r="I1" s="34">
        <v>44621</v>
      </c>
      <c r="K1" s="15" t="s">
        <v>33</v>
      </c>
    </row>
    <row r="2" spans="1:11" ht="15" thickTop="1" x14ac:dyDescent="0.3">
      <c r="A2" s="23" t="s">
        <v>8</v>
      </c>
      <c r="B2" s="108">
        <v>13029</v>
      </c>
      <c r="C2" s="116">
        <v>4682</v>
      </c>
      <c r="D2" s="116">
        <v>6137</v>
      </c>
      <c r="E2" s="116">
        <v>8067</v>
      </c>
      <c r="F2" s="117">
        <v>6946</v>
      </c>
      <c r="G2" s="116">
        <v>8658.6571389223936</v>
      </c>
      <c r="H2" s="116">
        <v>10072.971652924825</v>
      </c>
      <c r="I2" s="117">
        <v>11988.932811935407</v>
      </c>
      <c r="K2" s="54"/>
    </row>
    <row r="3" spans="1:11" x14ac:dyDescent="0.3">
      <c r="A3" s="23" t="s">
        <v>28</v>
      </c>
      <c r="B3" s="108">
        <v>4912</v>
      </c>
      <c r="C3" s="109">
        <v>5172</v>
      </c>
      <c r="D3" s="91">
        <v>5921</v>
      </c>
      <c r="E3" s="91">
        <v>7099</v>
      </c>
      <c r="F3" s="92">
        <v>7254</v>
      </c>
      <c r="G3" s="108">
        <v>8054.9</v>
      </c>
      <c r="H3" s="109">
        <v>8716</v>
      </c>
      <c r="I3" s="91">
        <v>9377.1</v>
      </c>
      <c r="K3" s="54"/>
    </row>
    <row r="4" spans="1:11" x14ac:dyDescent="0.3">
      <c r="A4" s="23" t="s">
        <v>31</v>
      </c>
      <c r="B4" s="121" t="s">
        <v>80</v>
      </c>
      <c r="C4" s="119">
        <f>'Balance Sheet'!C14-'Balance Sheet'!B14</f>
        <v>-7472</v>
      </c>
      <c r="D4" s="119">
        <f>'Balance Sheet'!D14-'Balance Sheet'!C14</f>
        <v>-1335</v>
      </c>
      <c r="E4" s="119">
        <f>'Balance Sheet'!E14-'Balance Sheet'!D14</f>
        <v>8310</v>
      </c>
      <c r="F4" s="119">
        <f>'Balance Sheet'!F14-'Balance Sheet'!E14</f>
        <v>5530</v>
      </c>
      <c r="G4" s="119">
        <f>'Balance Sheet'!G14-'Balance Sheet'!F14</f>
        <v>308.42115409608232</v>
      </c>
      <c r="H4" s="119">
        <f>'Balance Sheet'!H14-'Balance Sheet'!G14</f>
        <v>1645.6614244124212</v>
      </c>
      <c r="I4" s="119">
        <f>'Balance Sheet'!I14-'Balance Sheet'!H14</f>
        <v>3321.541702452676</v>
      </c>
      <c r="K4" s="113"/>
    </row>
    <row r="5" spans="1:11" x14ac:dyDescent="0.3">
      <c r="A5" s="23" t="s">
        <v>32</v>
      </c>
      <c r="B5" s="121" t="s">
        <v>80</v>
      </c>
      <c r="C5" s="119">
        <f>'Balance Sheet'!C5-'Balance Sheet'!B5</f>
        <v>3708</v>
      </c>
      <c r="D5" s="119">
        <f>'Balance Sheet'!D5-'Balance Sheet'!C5</f>
        <v>4649</v>
      </c>
      <c r="E5" s="119">
        <f>'Balance Sheet'!E5-'Balance Sheet'!D5</f>
        <v>6471</v>
      </c>
      <c r="F5" s="119">
        <f>'Balance Sheet'!F5-'Balance Sheet'!E5</f>
        <v>11600</v>
      </c>
      <c r="G5" s="119">
        <f>'Balance Sheet'!G5-'Balance Sheet'!F5</f>
        <v>-9322.7946760480918</v>
      </c>
      <c r="H5" s="119">
        <f>'Balance Sheet'!H5-'Balance Sheet'!G5</f>
        <v>4965.2928874419813</v>
      </c>
      <c r="I5" s="119">
        <f>'Balance Sheet'!I5-'Balance Sheet'!H5</f>
        <v>4569.6984833021343</v>
      </c>
    </row>
    <row r="6" spans="1:11" x14ac:dyDescent="0.3">
      <c r="A6" s="23" t="s">
        <v>39</v>
      </c>
      <c r="B6" s="110">
        <v>0</v>
      </c>
      <c r="C6" s="119">
        <f>C5-C4</f>
        <v>11180</v>
      </c>
      <c r="D6" s="119">
        <f t="shared" ref="D6:I6" si="0">D5-D4</f>
        <v>5984</v>
      </c>
      <c r="E6" s="119">
        <f t="shared" si="0"/>
        <v>-1839</v>
      </c>
      <c r="F6" s="119">
        <f t="shared" si="0"/>
        <v>6070</v>
      </c>
      <c r="G6" s="119">
        <f t="shared" si="0"/>
        <v>-9631.2158301441741</v>
      </c>
      <c r="H6" s="119">
        <f t="shared" si="0"/>
        <v>3319.6314630295601</v>
      </c>
      <c r="I6" s="119">
        <f t="shared" si="0"/>
        <v>1248.1567808494583</v>
      </c>
      <c r="K6" s="54"/>
    </row>
    <row r="7" spans="1:11" x14ac:dyDescent="0.3">
      <c r="A7" s="23" t="s">
        <v>37</v>
      </c>
      <c r="B7" s="118">
        <v>14235</v>
      </c>
      <c r="C7" s="119">
        <v>23987</v>
      </c>
      <c r="D7" s="119">
        <v>20014</v>
      </c>
      <c r="E7" s="119">
        <v>19248</v>
      </c>
      <c r="F7" s="120">
        <v>16030</v>
      </c>
      <c r="G7" s="118">
        <v>18358.099999999999</v>
      </c>
      <c r="H7" s="119">
        <v>18243.2</v>
      </c>
      <c r="I7" s="119">
        <v>18128.3</v>
      </c>
    </row>
    <row r="8" spans="1:11" x14ac:dyDescent="0.3">
      <c r="A8" s="23" t="s">
        <v>35</v>
      </c>
      <c r="B8" s="118">
        <v>-1878</v>
      </c>
      <c r="C8" s="119">
        <v>-4550</v>
      </c>
      <c r="D8" s="119">
        <v>3185</v>
      </c>
      <c r="E8" s="119">
        <v>1043</v>
      </c>
      <c r="F8" s="120">
        <v>4828</v>
      </c>
      <c r="G8" s="118">
        <v>6227.1</v>
      </c>
      <c r="H8" s="119">
        <v>8127.6</v>
      </c>
      <c r="I8" s="119">
        <v>10028.1</v>
      </c>
      <c r="K8" s="54"/>
    </row>
    <row r="9" spans="1:11" x14ac:dyDescent="0.3">
      <c r="A9" s="23" t="s">
        <v>36</v>
      </c>
      <c r="B9" s="110">
        <v>0</v>
      </c>
      <c r="C9" s="119">
        <f>'Balance Sheet'!C13-'Balance Sheet'!B13</f>
        <v>13346</v>
      </c>
      <c r="D9" s="119">
        <f>'Balance Sheet'!D13-'Balance Sheet'!C13</f>
        <v>5944</v>
      </c>
      <c r="E9" s="119">
        <f>'Balance Sheet'!E13-'Balance Sheet'!D13</f>
        <v>21985</v>
      </c>
      <c r="F9" s="119">
        <f>'Balance Sheet'!F13-'Balance Sheet'!E13</f>
        <v>5863</v>
      </c>
      <c r="G9" s="119">
        <f>'Balance Sheet'!G13-'Balance Sheet'!F13</f>
        <v>13733.299999999988</v>
      </c>
      <c r="H9" s="119">
        <f>'Balance Sheet'!H13-'Balance Sheet'!G13</f>
        <v>12220.5</v>
      </c>
      <c r="I9" s="119">
        <f>'Balance Sheet'!I13-'Balance Sheet'!H13</f>
        <v>12220.5</v>
      </c>
      <c r="K9" s="113" t="s">
        <v>99</v>
      </c>
    </row>
    <row r="10" spans="1:11" ht="15" thickBot="1" x14ac:dyDescent="0.35">
      <c r="A10" s="24" t="s">
        <v>34</v>
      </c>
      <c r="B10" s="122">
        <f>B2+B3-B6-B9</f>
        <v>17941</v>
      </c>
      <c r="C10" s="122">
        <f t="shared" ref="C10:I10" si="1">C2+C3-C6-C9</f>
        <v>-14672</v>
      </c>
      <c r="D10" s="122">
        <f t="shared" si="1"/>
        <v>130</v>
      </c>
      <c r="E10" s="122">
        <f t="shared" si="1"/>
        <v>-4980</v>
      </c>
      <c r="F10" s="122">
        <f t="shared" si="1"/>
        <v>2267</v>
      </c>
      <c r="G10" s="122">
        <f t="shared" si="1"/>
        <v>12611.472969066577</v>
      </c>
      <c r="H10" s="122">
        <f t="shared" si="1"/>
        <v>3248.8401898952652</v>
      </c>
      <c r="I10" s="122">
        <f t="shared" si="1"/>
        <v>7897.3760310859507</v>
      </c>
      <c r="K10" s="54"/>
    </row>
    <row r="11" spans="1:11" ht="15" thickTop="1" x14ac:dyDescent="0.3">
      <c r="B11" s="13"/>
      <c r="C11" s="13"/>
      <c r="D11" s="13"/>
      <c r="E11" s="13"/>
      <c r="F11" s="13"/>
      <c r="G11" s="13"/>
      <c r="H11" s="13"/>
      <c r="I11" s="13"/>
    </row>
    <row r="12" spans="1:11" x14ac:dyDescent="0.3">
      <c r="B12" s="13"/>
      <c r="C12" s="13"/>
      <c r="D12" s="13"/>
      <c r="E12" s="13"/>
      <c r="F12" s="13"/>
      <c r="G12" s="13"/>
      <c r="H12" s="13"/>
      <c r="I12" s="13"/>
    </row>
    <row r="13" spans="1:11" ht="18" thickBot="1" x14ac:dyDescent="0.4">
      <c r="A13" s="22" t="s">
        <v>70</v>
      </c>
      <c r="B13" s="34">
        <v>42064</v>
      </c>
      <c r="C13" s="34">
        <v>42430</v>
      </c>
      <c r="D13" s="34">
        <v>42795</v>
      </c>
      <c r="E13" s="34">
        <v>43160</v>
      </c>
      <c r="F13" s="34">
        <v>43525</v>
      </c>
      <c r="G13" s="34">
        <v>43891</v>
      </c>
      <c r="H13" s="34">
        <v>44256</v>
      </c>
      <c r="I13" s="34">
        <v>44621</v>
      </c>
      <c r="K13" s="54"/>
    </row>
    <row r="14" spans="1:11" ht="15" thickTop="1" x14ac:dyDescent="0.3">
      <c r="A14" s="23" t="s">
        <v>2</v>
      </c>
      <c r="B14" s="107">
        <f>'Profit &amp; Loss'!B10</f>
        <v>13393</v>
      </c>
      <c r="C14" s="107">
        <f>'Profit &amp; Loss'!C10</f>
        <v>10584</v>
      </c>
      <c r="D14" s="107">
        <f>'Profit &amp; Loss'!D10</f>
        <v>12835</v>
      </c>
      <c r="E14" s="107">
        <f>'Profit &amp; Loss'!E10</f>
        <v>12339</v>
      </c>
      <c r="F14" s="107">
        <f>'Profit &amp; Loss'!F10</f>
        <v>12671</v>
      </c>
      <c r="G14" s="107">
        <f>'Profit &amp; Loss'!G10</f>
        <v>15978.457138922395</v>
      </c>
      <c r="H14" s="107">
        <f>'Profit &amp; Loss'!H10</f>
        <v>18301.971652924825</v>
      </c>
      <c r="I14" s="107">
        <f>'Profit &amp; Loss'!I10</f>
        <v>21127.132811935408</v>
      </c>
      <c r="K14" s="54"/>
    </row>
    <row r="15" spans="1:11" x14ac:dyDescent="0.3">
      <c r="A15" s="23" t="s">
        <v>7</v>
      </c>
      <c r="B15" s="118">
        <f>'Profit &amp; Loss'!B14*'FCF, UCFF'!B14</f>
        <v>-3206</v>
      </c>
      <c r="C15" s="118">
        <f>'Profit &amp; Loss'!C14*'FCF, UCFF'!C14</f>
        <v>2588</v>
      </c>
      <c r="D15" s="118">
        <f>'Profit &amp; Loss'!D14*'FCF, UCFF'!D14</f>
        <v>3047</v>
      </c>
      <c r="E15" s="118">
        <f>'Profit &amp; Loss'!E14*'FCF, UCFF'!E14</f>
        <v>-163</v>
      </c>
      <c r="F15" s="118">
        <f>'Profit &amp; Loss'!F14*'FCF, UCFF'!F14</f>
        <v>464.00000000000006</v>
      </c>
      <c r="G15" s="118">
        <f>'Profit &amp; Loss'!G14*'FCF, UCFF'!G14</f>
        <v>1922.7</v>
      </c>
      <c r="H15" s="118">
        <f>'Profit &amp; Loss'!H14*'FCF, UCFF'!H14</f>
        <v>2381.6</v>
      </c>
      <c r="I15" s="118">
        <f>'Profit &amp; Loss'!I14*'FCF, UCFF'!I14</f>
        <v>2840.5</v>
      </c>
      <c r="K15" s="54"/>
    </row>
    <row r="16" spans="1:11" x14ac:dyDescent="0.3">
      <c r="A16" s="23" t="s">
        <v>28</v>
      </c>
      <c r="B16" s="108">
        <v>4912</v>
      </c>
      <c r="C16" s="109">
        <v>5172</v>
      </c>
      <c r="D16" s="91">
        <v>5921</v>
      </c>
      <c r="E16" s="91">
        <v>7099</v>
      </c>
      <c r="F16" s="92">
        <v>7254</v>
      </c>
      <c r="G16" s="108">
        <v>8054.9</v>
      </c>
      <c r="H16" s="109">
        <v>8716</v>
      </c>
      <c r="I16" s="91">
        <v>9377.1</v>
      </c>
      <c r="K16" s="54"/>
    </row>
    <row r="17" spans="1:11" x14ac:dyDescent="0.3">
      <c r="A17" s="23" t="s">
        <v>39</v>
      </c>
      <c r="B17" s="118">
        <v>0</v>
      </c>
      <c r="C17" s="119">
        <v>11180</v>
      </c>
      <c r="D17" s="119">
        <v>5984</v>
      </c>
      <c r="E17" s="119">
        <v>-1839</v>
      </c>
      <c r="F17" s="120">
        <v>6070</v>
      </c>
      <c r="G17" s="118">
        <v>-9631.2158301441741</v>
      </c>
      <c r="H17" s="119">
        <v>3319.6314630295601</v>
      </c>
      <c r="I17" s="120">
        <v>1248.1567808494583</v>
      </c>
      <c r="K17" s="54"/>
    </row>
    <row r="18" spans="1:11" x14ac:dyDescent="0.3">
      <c r="A18" s="23" t="s">
        <v>40</v>
      </c>
      <c r="B18" s="118">
        <v>0</v>
      </c>
      <c r="C18" s="119">
        <v>13346</v>
      </c>
      <c r="D18" s="119">
        <v>5944</v>
      </c>
      <c r="E18" s="119">
        <v>21985</v>
      </c>
      <c r="F18" s="120">
        <v>5863</v>
      </c>
      <c r="G18" s="118">
        <v>13733.299999999988</v>
      </c>
      <c r="H18" s="119">
        <v>12220.5</v>
      </c>
      <c r="I18" s="120">
        <v>12220.5</v>
      </c>
      <c r="K18" s="54"/>
    </row>
    <row r="19" spans="1:11" ht="15" thickBot="1" x14ac:dyDescent="0.35">
      <c r="A19" s="24" t="s">
        <v>41</v>
      </c>
      <c r="B19" s="122">
        <f>B14-B15+B16-B17</f>
        <v>21511</v>
      </c>
      <c r="C19" s="122">
        <f t="shared" ref="C19:I19" si="2">C14-C15+C16-C17</f>
        <v>1988</v>
      </c>
      <c r="D19" s="122">
        <f t="shared" si="2"/>
        <v>9725</v>
      </c>
      <c r="E19" s="122">
        <f t="shared" si="2"/>
        <v>21440</v>
      </c>
      <c r="F19" s="122">
        <f t="shared" si="2"/>
        <v>13391</v>
      </c>
      <c r="G19" s="122">
        <f t="shared" si="2"/>
        <v>31741.872969066568</v>
      </c>
      <c r="H19" s="122">
        <f t="shared" si="2"/>
        <v>21316.740189895267</v>
      </c>
      <c r="I19" s="122">
        <f t="shared" si="2"/>
        <v>26415.576031085948</v>
      </c>
      <c r="K19" s="54"/>
    </row>
    <row r="20" spans="1:11"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48576"/>
  <sheetViews>
    <sheetView showGridLines="0" tabSelected="1" topLeftCell="A5" workbookViewId="0">
      <selection activeCell="H36" sqref="H36"/>
    </sheetView>
  </sheetViews>
  <sheetFormatPr defaultRowHeight="14.4" x14ac:dyDescent="0.3"/>
  <cols>
    <col min="1" max="1" width="27" bestFit="1" customWidth="1"/>
    <col min="2" max="2" width="13.6640625" bestFit="1" customWidth="1"/>
    <col min="3" max="4" width="11.6640625" bestFit="1" customWidth="1"/>
    <col min="5" max="5" width="40.5546875" bestFit="1" customWidth="1"/>
    <col min="6" max="6" width="11.6640625" bestFit="1" customWidth="1"/>
    <col min="7" max="7" width="11.44140625" bestFit="1" customWidth="1"/>
    <col min="8" max="8" width="23.33203125" customWidth="1"/>
    <col min="9" max="9" width="13.33203125" bestFit="1" customWidth="1"/>
    <col min="10" max="10" width="16.33203125" bestFit="1" customWidth="1"/>
    <col min="11" max="11" width="20.44140625" customWidth="1"/>
    <col min="13" max="13" width="21" customWidth="1"/>
  </cols>
  <sheetData>
    <row r="1" spans="1:14" ht="20.399999999999999" thickBot="1" x14ac:dyDescent="0.45">
      <c r="A1" s="148" t="s">
        <v>54</v>
      </c>
      <c r="B1" s="148"/>
      <c r="C1" s="148"/>
      <c r="D1" s="148"/>
      <c r="E1" s="148"/>
      <c r="F1" s="148"/>
      <c r="G1" s="148"/>
      <c r="H1" s="148"/>
      <c r="I1" s="148"/>
      <c r="J1" s="148"/>
      <c r="M1" s="99"/>
    </row>
    <row r="2" spans="1:14" ht="15" thickTop="1" x14ac:dyDescent="0.3">
      <c r="B2" s="1">
        <v>42064</v>
      </c>
      <c r="C2" s="1">
        <v>42430</v>
      </c>
      <c r="D2" s="1">
        <v>42795</v>
      </c>
      <c r="E2" s="1">
        <v>43160</v>
      </c>
      <c r="F2" s="1">
        <v>43525</v>
      </c>
      <c r="G2" t="s">
        <v>60</v>
      </c>
      <c r="M2" s="99"/>
    </row>
    <row r="3" spans="1:14" x14ac:dyDescent="0.3">
      <c r="A3" s="53" t="s">
        <v>55</v>
      </c>
      <c r="B3" s="47">
        <v>0.58399999999999996</v>
      </c>
      <c r="C3" s="47">
        <v>0.53580000000000005</v>
      </c>
      <c r="D3" s="47">
        <v>0.56110000000000004</v>
      </c>
      <c r="E3" s="47">
        <v>0.53500000000000003</v>
      </c>
      <c r="F3" s="47">
        <v>0.49759999999999999</v>
      </c>
      <c r="G3" s="47">
        <f>AVERAGE(B3:F3)</f>
        <v>0.54270000000000007</v>
      </c>
      <c r="M3" s="99"/>
    </row>
    <row r="4" spans="1:14" x14ac:dyDescent="0.3">
      <c r="A4" s="53" t="s">
        <v>56</v>
      </c>
      <c r="B4" s="47">
        <v>0.41599999999999998</v>
      </c>
      <c r="C4" s="47">
        <v>0.4642</v>
      </c>
      <c r="D4" s="47">
        <v>0.43890000000000001</v>
      </c>
      <c r="E4" s="47">
        <v>0.46500000000000002</v>
      </c>
      <c r="F4" s="47">
        <v>0.50239999999999996</v>
      </c>
      <c r="G4" s="47">
        <f>AVERAGE(B4:F4)</f>
        <v>0.45730000000000004</v>
      </c>
      <c r="M4" s="99"/>
    </row>
    <row r="5" spans="1:14" x14ac:dyDescent="0.3">
      <c r="A5" s="53" t="s">
        <v>58</v>
      </c>
      <c r="B5" s="47">
        <v>0.17339499999999999</v>
      </c>
      <c r="C5" s="47">
        <v>0.17339499999999999</v>
      </c>
      <c r="D5" s="47">
        <v>0.16861699999999999</v>
      </c>
      <c r="E5" s="47">
        <v>0.162046</v>
      </c>
      <c r="F5" s="47">
        <v>0.14365700000000001</v>
      </c>
      <c r="G5" s="47">
        <f>AVERAGE(B5:F5)</f>
        <v>0.16422200000000001</v>
      </c>
      <c r="M5" s="99"/>
    </row>
    <row r="6" spans="1:14" x14ac:dyDescent="0.3">
      <c r="A6" s="53" t="s">
        <v>57</v>
      </c>
      <c r="B6" s="47">
        <v>3.3000000000000002E-2</v>
      </c>
      <c r="C6" s="47">
        <v>3.5200000000000002E-2</v>
      </c>
      <c r="D6" s="47">
        <v>3.4599999999999999E-2</v>
      </c>
      <c r="E6" s="47">
        <v>3.2899999999999999E-2</v>
      </c>
      <c r="F6" s="47">
        <f>AVERAGE(B6:E6)</f>
        <v>3.3924999999999997E-2</v>
      </c>
      <c r="G6" s="47">
        <f>AVERAGE(C6:F6)</f>
        <v>3.4156249999999999E-2</v>
      </c>
      <c r="M6" s="99"/>
    </row>
    <row r="7" spans="1:14" x14ac:dyDescent="0.3">
      <c r="A7" s="53" t="s">
        <v>1</v>
      </c>
      <c r="B7" s="47">
        <v>-0.23937877995968043</v>
      </c>
      <c r="C7" s="47">
        <v>0.24452003023431595</v>
      </c>
      <c r="D7" s="47">
        <v>0.23739774055317492</v>
      </c>
      <c r="E7" s="47">
        <v>-1.3210146689358944E-2</v>
      </c>
      <c r="F7" s="47">
        <v>3.6619051377160448E-2</v>
      </c>
      <c r="G7" s="47">
        <f>AVERAGE(B7:F7)</f>
        <v>5.3189579103122386E-2</v>
      </c>
      <c r="M7" s="99"/>
    </row>
    <row r="8" spans="1:14" x14ac:dyDescent="0.3">
      <c r="A8" s="102" t="s">
        <v>79</v>
      </c>
      <c r="B8" s="103">
        <v>0.05</v>
      </c>
      <c r="C8" s="103">
        <v>0.15</v>
      </c>
      <c r="D8" s="103">
        <v>0.2</v>
      </c>
      <c r="E8" s="103">
        <v>0.25</v>
      </c>
      <c r="F8" s="123">
        <v>0.35</v>
      </c>
      <c r="G8" s="124" t="s">
        <v>80</v>
      </c>
      <c r="H8" s="157" t="s">
        <v>99</v>
      </c>
      <c r="I8" s="157"/>
      <c r="J8" s="157"/>
      <c r="K8" s="157"/>
      <c r="M8" s="99"/>
    </row>
    <row r="9" spans="1:14" ht="48" x14ac:dyDescent="0.3">
      <c r="A9" s="53" t="s">
        <v>54</v>
      </c>
      <c r="B9" s="46">
        <f>B5*B3+B6*B4*(1-B7)</f>
        <v>0.11827687189128649</v>
      </c>
      <c r="C9" s="46">
        <f t="shared" ref="C9:F9" si="0">C5*C3+C6*C4*(1-C7)</f>
        <v>0.10524946282917612</v>
      </c>
      <c r="D9" s="46">
        <f t="shared" si="0"/>
        <v>0.10619183085582393</v>
      </c>
      <c r="E9" s="46">
        <f t="shared" si="0"/>
        <v>0.10219520542912716</v>
      </c>
      <c r="F9" s="46">
        <f t="shared" si="0"/>
        <v>8.7903511017851793E-2</v>
      </c>
      <c r="G9" s="47">
        <f>AVERAGE(F9*F8 + E9*E8 + D9*D8 + C9*C8 + B9*B8)</f>
        <v>9.9254659403635453E-2</v>
      </c>
      <c r="I9" s="135" t="s">
        <v>103</v>
      </c>
      <c r="M9" s="99"/>
    </row>
    <row r="10" spans="1:14" ht="15.6" x14ac:dyDescent="0.3">
      <c r="M10" s="153" t="s">
        <v>77</v>
      </c>
      <c r="N10" s="154"/>
    </row>
    <row r="11" spans="1:14" ht="20.399999999999999" thickBot="1" x14ac:dyDescent="0.45">
      <c r="A11" s="148" t="s">
        <v>46</v>
      </c>
      <c r="B11" s="148"/>
      <c r="C11" s="148"/>
      <c r="D11" s="148"/>
      <c r="E11" s="148"/>
      <c r="F11" s="148"/>
      <c r="G11" s="148"/>
      <c r="H11" s="148"/>
      <c r="I11" s="148"/>
      <c r="J11" s="148"/>
      <c r="K11" s="35"/>
      <c r="M11" s="99"/>
    </row>
    <row r="12" spans="1:14" ht="18" thickTop="1" x14ac:dyDescent="0.35">
      <c r="A12" s="152" t="s">
        <v>42</v>
      </c>
      <c r="B12" s="152"/>
      <c r="C12" s="152"/>
      <c r="D12" s="152"/>
      <c r="E12" s="152"/>
      <c r="F12" s="152"/>
      <c r="H12" s="152" t="s">
        <v>49</v>
      </c>
      <c r="I12" s="152"/>
      <c r="J12" s="152"/>
      <c r="K12" s="21"/>
      <c r="M12" s="99"/>
    </row>
    <row r="13" spans="1:14" x14ac:dyDescent="0.3">
      <c r="A13" s="41"/>
      <c r="B13" s="42">
        <v>42064</v>
      </c>
      <c r="C13" s="42">
        <v>42430</v>
      </c>
      <c r="D13" s="42">
        <v>42795</v>
      </c>
      <c r="E13" s="42">
        <v>43160</v>
      </c>
      <c r="F13" s="43">
        <v>43525</v>
      </c>
      <c r="H13" s="41"/>
      <c r="I13" s="101" t="s">
        <v>50</v>
      </c>
      <c r="J13" s="101" t="s">
        <v>51</v>
      </c>
      <c r="K13" s="101" t="s">
        <v>76</v>
      </c>
      <c r="M13" s="99"/>
      <c r="N13" s="98"/>
    </row>
    <row r="14" spans="1:14" x14ac:dyDescent="0.3">
      <c r="A14" s="36" t="s">
        <v>42</v>
      </c>
      <c r="B14" s="128">
        <v>18305</v>
      </c>
      <c r="C14" s="128">
        <v>15756</v>
      </c>
      <c r="D14" s="128">
        <v>18756</v>
      </c>
      <c r="E14" s="128">
        <v>19438</v>
      </c>
      <c r="F14" s="129">
        <v>19925</v>
      </c>
      <c r="H14" s="36" t="s">
        <v>52</v>
      </c>
      <c r="I14" s="100">
        <v>0.04</v>
      </c>
      <c r="J14" s="100">
        <v>0.08</v>
      </c>
      <c r="K14" s="125">
        <v>0.09</v>
      </c>
      <c r="M14" s="99"/>
      <c r="N14" s="98"/>
    </row>
    <row r="15" spans="1:14" x14ac:dyDescent="0.3">
      <c r="A15" s="36" t="s">
        <v>78</v>
      </c>
      <c r="B15" s="127">
        <v>0.1</v>
      </c>
      <c r="C15" s="127">
        <v>0.15</v>
      </c>
      <c r="D15" s="127">
        <v>0.2</v>
      </c>
      <c r="E15" s="127">
        <v>0.25</v>
      </c>
      <c r="F15" s="126">
        <v>0.3</v>
      </c>
      <c r="H15" s="36" t="s">
        <v>78</v>
      </c>
      <c r="I15" s="100">
        <v>0.15</v>
      </c>
      <c r="J15" s="100">
        <v>0.35</v>
      </c>
      <c r="K15" s="126">
        <v>0.5</v>
      </c>
      <c r="M15" s="99"/>
    </row>
    <row r="16" spans="1:14" x14ac:dyDescent="0.3">
      <c r="A16" s="44" t="s">
        <v>43</v>
      </c>
      <c r="B16" s="149">
        <f>(C15*C14 + B15*B14 + D15*D14 + E15*E14 + F15*F14)</f>
        <v>18782.099999999999</v>
      </c>
      <c r="C16" s="150"/>
      <c r="D16" s="150"/>
      <c r="E16" s="150"/>
      <c r="F16" s="151"/>
      <c r="H16" s="44" t="s">
        <v>53</v>
      </c>
      <c r="I16" s="155">
        <f>(I15*I14 + J15*J14 + K15*K14)</f>
        <v>7.8999999999999987E-2</v>
      </c>
      <c r="J16" s="155"/>
      <c r="K16" s="156"/>
      <c r="M16" s="99"/>
    </row>
    <row r="17" spans="1:13" ht="28.8" x14ac:dyDescent="0.3">
      <c r="A17" s="45" t="s">
        <v>74</v>
      </c>
      <c r="B17" s="70" t="s">
        <v>80</v>
      </c>
      <c r="C17" s="39"/>
      <c r="D17" s="39"/>
      <c r="E17" s="39"/>
      <c r="F17" s="39"/>
      <c r="H17" s="45" t="s">
        <v>75</v>
      </c>
      <c r="I17" s="70">
        <v>1425120.3268770867</v>
      </c>
      <c r="J17" s="40"/>
      <c r="M17" s="99"/>
    </row>
    <row r="18" spans="1:13" x14ac:dyDescent="0.3">
      <c r="A18" s="38"/>
      <c r="B18" s="39"/>
      <c r="C18" s="39"/>
      <c r="D18" s="39"/>
      <c r="E18" s="39"/>
      <c r="F18" s="39"/>
      <c r="H18" s="37"/>
      <c r="I18" s="40"/>
      <c r="J18" s="40"/>
      <c r="M18" s="99"/>
    </row>
    <row r="19" spans="1:13" ht="31.2" x14ac:dyDescent="0.3">
      <c r="A19" s="97" t="s">
        <v>47</v>
      </c>
      <c r="B19" s="70">
        <v>1425120.3268770867</v>
      </c>
      <c r="C19" s="48"/>
      <c r="D19" s="48"/>
      <c r="E19" s="48"/>
      <c r="F19" s="48"/>
      <c r="G19" s="48"/>
      <c r="H19" s="48"/>
      <c r="I19" s="48"/>
      <c r="J19" s="48"/>
      <c r="M19" s="99"/>
    </row>
    <row r="20" spans="1:13" x14ac:dyDescent="0.3">
      <c r="B20" s="21"/>
      <c r="C20" s="21"/>
      <c r="M20" s="99"/>
    </row>
    <row r="21" spans="1:13" ht="18" thickBot="1" x14ac:dyDescent="0.4">
      <c r="A21" s="22" t="s">
        <v>70</v>
      </c>
      <c r="B21" s="34">
        <v>42064</v>
      </c>
      <c r="C21" s="34">
        <v>42430</v>
      </c>
      <c r="D21" s="34">
        <v>42795</v>
      </c>
      <c r="E21" s="34">
        <v>43160</v>
      </c>
      <c r="F21" s="34">
        <v>43525</v>
      </c>
      <c r="G21" s="34">
        <v>43891</v>
      </c>
      <c r="H21" s="34">
        <v>44256</v>
      </c>
      <c r="I21" s="34">
        <v>44621</v>
      </c>
      <c r="J21" s="49" t="s">
        <v>46</v>
      </c>
      <c r="M21" s="99"/>
    </row>
    <row r="22" spans="1:13" ht="15" thickTop="1" x14ac:dyDescent="0.3">
      <c r="A22" s="23" t="s">
        <v>2</v>
      </c>
      <c r="B22" s="72">
        <v>13393</v>
      </c>
      <c r="C22" s="73">
        <v>10584</v>
      </c>
      <c r="D22" s="73">
        <v>12835</v>
      </c>
      <c r="E22" s="73">
        <v>12339</v>
      </c>
      <c r="F22" s="74">
        <v>12671</v>
      </c>
      <c r="G22" s="75">
        <v>15978.457138922395</v>
      </c>
      <c r="H22" s="76">
        <v>18301.971652924825</v>
      </c>
      <c r="I22" s="76">
        <v>21127.132811935408</v>
      </c>
      <c r="J22" s="52"/>
      <c r="M22" s="99"/>
    </row>
    <row r="23" spans="1:13" x14ac:dyDescent="0.3">
      <c r="A23" s="23" t="s">
        <v>7</v>
      </c>
      <c r="B23" s="77">
        <v>-3206</v>
      </c>
      <c r="C23" s="78">
        <v>2588</v>
      </c>
      <c r="D23" s="78">
        <v>3047</v>
      </c>
      <c r="E23" s="78">
        <v>-163</v>
      </c>
      <c r="F23" s="79">
        <v>464.00000000000006</v>
      </c>
      <c r="G23" s="80">
        <v>1922.7</v>
      </c>
      <c r="H23" s="81">
        <v>2381.6</v>
      </c>
      <c r="I23" s="81">
        <v>2840.5</v>
      </c>
      <c r="J23" s="50"/>
      <c r="M23" s="99"/>
    </row>
    <row r="24" spans="1:13" x14ac:dyDescent="0.3">
      <c r="A24" s="23" t="s">
        <v>28</v>
      </c>
      <c r="B24" s="77">
        <v>4912</v>
      </c>
      <c r="C24" s="78">
        <v>5172</v>
      </c>
      <c r="D24" s="78">
        <v>5921</v>
      </c>
      <c r="E24" s="78">
        <v>7099</v>
      </c>
      <c r="F24" s="79">
        <v>7254</v>
      </c>
      <c r="G24" s="80">
        <v>8054.9</v>
      </c>
      <c r="H24" s="81">
        <v>8716</v>
      </c>
      <c r="I24" s="81">
        <v>9377.1</v>
      </c>
      <c r="J24" s="50"/>
      <c r="M24" s="99"/>
    </row>
    <row r="25" spans="1:13" x14ac:dyDescent="0.3">
      <c r="A25" s="23" t="s">
        <v>39</v>
      </c>
      <c r="B25" s="77">
        <v>0</v>
      </c>
      <c r="C25" s="78">
        <v>11180</v>
      </c>
      <c r="D25" s="78">
        <v>5984</v>
      </c>
      <c r="E25" s="78">
        <v>-1839</v>
      </c>
      <c r="F25" s="79">
        <v>6070</v>
      </c>
      <c r="G25" s="80">
        <v>-9631.2158301441741</v>
      </c>
      <c r="H25" s="81">
        <v>3319.6314630295601</v>
      </c>
      <c r="I25" s="81">
        <v>1248.1567808494583</v>
      </c>
      <c r="J25" s="50"/>
      <c r="M25" s="99"/>
    </row>
    <row r="26" spans="1:13" x14ac:dyDescent="0.3">
      <c r="A26" s="23" t="s">
        <v>40</v>
      </c>
      <c r="B26" s="82">
        <v>0</v>
      </c>
      <c r="C26" s="83">
        <v>13346</v>
      </c>
      <c r="D26" s="83">
        <v>5944</v>
      </c>
      <c r="E26" s="83">
        <v>21985</v>
      </c>
      <c r="F26" s="84">
        <v>5863</v>
      </c>
      <c r="G26" s="85">
        <v>13733.299999999988</v>
      </c>
      <c r="H26" s="86">
        <v>12220.5</v>
      </c>
      <c r="I26" s="86">
        <v>12220.5</v>
      </c>
      <c r="J26" s="51"/>
      <c r="M26" s="99"/>
    </row>
    <row r="27" spans="1:13" ht="15" thickBot="1" x14ac:dyDescent="0.35">
      <c r="A27" s="24" t="s">
        <v>41</v>
      </c>
      <c r="B27" s="87">
        <v>21511</v>
      </c>
      <c r="C27" s="87">
        <v>1988</v>
      </c>
      <c r="D27" s="87">
        <v>9725</v>
      </c>
      <c r="E27" s="87">
        <v>21440</v>
      </c>
      <c r="F27" s="87">
        <v>13391</v>
      </c>
      <c r="G27" s="87">
        <v>31741.872969066568</v>
      </c>
      <c r="H27" s="87">
        <v>21316.740189895267</v>
      </c>
      <c r="I27" s="88">
        <v>26415.576031085948</v>
      </c>
      <c r="J27" s="71">
        <f>I27*(1 + 0.079)/(0.099 - 0.079)</f>
        <v>1425120.3268770867</v>
      </c>
      <c r="M27" s="99"/>
    </row>
    <row r="28" spans="1:13" ht="15.6" thickTop="1" thickBot="1" x14ac:dyDescent="0.35">
      <c r="M28" s="99"/>
    </row>
    <row r="29" spans="1:13" ht="15" thickTop="1" x14ac:dyDescent="0.3">
      <c r="A29" s="158" t="s">
        <v>64</v>
      </c>
      <c r="B29" s="159"/>
      <c r="E29" t="s">
        <v>86</v>
      </c>
      <c r="M29" s="99"/>
    </row>
    <row r="30" spans="1:13" x14ac:dyDescent="0.3">
      <c r="A30" s="58" t="s">
        <v>65</v>
      </c>
      <c r="B30" s="59"/>
      <c r="M30" s="99"/>
    </row>
    <row r="31" spans="1:13" ht="15" thickBot="1" x14ac:dyDescent="0.35">
      <c r="A31" s="60" t="s">
        <v>59</v>
      </c>
      <c r="B31" s="61">
        <f>NPV(G9 + 0.015, G27, H27, I27 + J27)</f>
        <v>1094895.3160310455</v>
      </c>
      <c r="E31" t="s">
        <v>87</v>
      </c>
      <c r="F31" s="130">
        <f>B31/E1048576</f>
        <v>1106.5629154111405</v>
      </c>
      <c r="H31" s="136" t="s">
        <v>100</v>
      </c>
      <c r="M31" s="99"/>
    </row>
    <row r="32" spans="1:13" ht="25.2" thickTop="1" thickBot="1" x14ac:dyDescent="0.35">
      <c r="A32" s="2"/>
      <c r="B32" s="6"/>
      <c r="H32" s="135" t="s">
        <v>101</v>
      </c>
      <c r="M32" s="99"/>
    </row>
    <row r="33" spans="1:13" ht="48.6" thickTop="1" x14ac:dyDescent="0.3">
      <c r="A33" s="160" t="s">
        <v>68</v>
      </c>
      <c r="B33" s="161"/>
      <c r="H33" s="135" t="s">
        <v>102</v>
      </c>
      <c r="M33" s="99"/>
    </row>
    <row r="34" spans="1:13" x14ac:dyDescent="0.3">
      <c r="A34" s="62" t="s">
        <v>61</v>
      </c>
      <c r="B34" s="63"/>
      <c r="M34" s="99"/>
    </row>
    <row r="35" spans="1:13" ht="60.6" thickBot="1" x14ac:dyDescent="0.35">
      <c r="A35" s="64" t="s">
        <v>59</v>
      </c>
      <c r="B35" s="65">
        <f>NPV(G9 + 0.03, G27, H27, I27 + J27)</f>
        <v>1052805.3218978764</v>
      </c>
      <c r="E35" t="s">
        <v>87</v>
      </c>
      <c r="F35" s="132">
        <f>B35/E1048576</f>
        <v>1064.0243951200218</v>
      </c>
      <c r="H35" s="135" t="s">
        <v>106</v>
      </c>
      <c r="M35" s="99"/>
    </row>
    <row r="36" spans="1:13" ht="37.200000000000003" thickTop="1" thickBot="1" x14ac:dyDescent="0.35">
      <c r="A36" s="2"/>
      <c r="B36" s="57"/>
      <c r="H36" s="135" t="s">
        <v>104</v>
      </c>
      <c r="M36" s="99"/>
    </row>
    <row r="37" spans="1:13" ht="48.6" thickTop="1" x14ac:dyDescent="0.3">
      <c r="A37" s="146" t="s">
        <v>66</v>
      </c>
      <c r="B37" s="147"/>
      <c r="H37" s="135" t="s">
        <v>105</v>
      </c>
      <c r="M37" s="99"/>
    </row>
    <row r="38" spans="1:13" x14ac:dyDescent="0.3">
      <c r="A38" s="66" t="s">
        <v>67</v>
      </c>
      <c r="B38" s="67"/>
      <c r="M38" s="99"/>
    </row>
    <row r="39" spans="1:13" ht="15" thickBot="1" x14ac:dyDescent="0.35">
      <c r="A39" s="68" t="s">
        <v>59</v>
      </c>
      <c r="B39" s="69">
        <f>NPV(G9 + 0.05, G27, H27, I27 + J27)</f>
        <v>1000025.5076771223</v>
      </c>
      <c r="E39" t="s">
        <v>87</v>
      </c>
      <c r="F39" s="132">
        <f>B39/E1048576</f>
        <v>1010.6821401630009</v>
      </c>
      <c r="M39" s="99"/>
    </row>
    <row r="40" spans="1:13" ht="15" thickTop="1" x14ac:dyDescent="0.3">
      <c r="M40" s="99"/>
    </row>
    <row r="1048576" spans="5:5" x14ac:dyDescent="0.3">
      <c r="E1048576" s="131">
        <v>989.45600000000002</v>
      </c>
    </row>
  </sheetData>
  <mergeCells count="11">
    <mergeCell ref="M10:N10"/>
    <mergeCell ref="I16:K16"/>
    <mergeCell ref="H8:K8"/>
    <mergeCell ref="A29:B29"/>
    <mergeCell ref="A33:B33"/>
    <mergeCell ref="A37:B37"/>
    <mergeCell ref="A11:J11"/>
    <mergeCell ref="A1:J1"/>
    <mergeCell ref="B16:F16"/>
    <mergeCell ref="A12:F12"/>
    <mergeCell ref="H12:J12"/>
  </mergeCells>
  <phoneticPr fontId="1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Profit &amp; Loss</vt:lpstr>
      <vt:lpstr>Balance Sheet</vt:lpstr>
      <vt:lpstr>FCF, UCFF</vt:lpstr>
      <vt:lpstr>Discounted Cash Flow, 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SARIM</dc:creator>
  <cp:lastModifiedBy>91708</cp:lastModifiedBy>
  <dcterms:created xsi:type="dcterms:W3CDTF">2020-06-06T16:12:52Z</dcterms:created>
  <dcterms:modified xsi:type="dcterms:W3CDTF">2021-01-01T16:57:04Z</dcterms:modified>
</cp:coreProperties>
</file>