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ei/Dropbox (Princeton)/Biofilm Modeling/git repo/paper data/Fig 2/leading angle/"/>
    </mc:Choice>
  </mc:AlternateContent>
  <xr:revisionPtr revIDLastSave="0" documentId="13_ncr:1_{BF443501-F35C-6644-9C96-7EFF980EE6D8}" xr6:coauthVersionLast="45" xr6:coauthVersionMax="45" xr10:uidLastSave="{00000000-0000-0000-0000-000000000000}"/>
  <bookViews>
    <workbookView xWindow="0" yWindow="-20540" windowWidth="33600" windowHeight="20540" tabRatio="366" activeTab="1" xr2:uid="{00000000-000D-0000-FFFF-FFFF00000000}"/>
  </bookViews>
  <sheets>
    <sheet name="initial angle" sheetId="1" r:id="rId1"/>
    <sheet name="steady state angl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" i="1" l="1"/>
  <c r="I19" i="2"/>
  <c r="H19" i="2"/>
  <c r="G19" i="2"/>
  <c r="F19" i="2"/>
  <c r="E19" i="2"/>
  <c r="D19" i="2"/>
  <c r="J19" i="2" s="1"/>
  <c r="I18" i="2"/>
  <c r="H18" i="2"/>
  <c r="G18" i="2"/>
  <c r="F18" i="2"/>
  <c r="E18" i="2"/>
  <c r="D18" i="2"/>
  <c r="I17" i="2"/>
  <c r="H17" i="2"/>
  <c r="G17" i="2"/>
  <c r="J17" i="2" s="1"/>
  <c r="F17" i="2"/>
  <c r="E17" i="2"/>
  <c r="D17" i="2"/>
  <c r="I14" i="2"/>
  <c r="H14" i="2"/>
  <c r="G14" i="2"/>
  <c r="F14" i="2"/>
  <c r="E14" i="2"/>
  <c r="D14" i="2"/>
  <c r="I13" i="2"/>
  <c r="H13" i="2"/>
  <c r="G13" i="2"/>
  <c r="F13" i="2"/>
  <c r="E13" i="2"/>
  <c r="D13" i="2"/>
  <c r="J13" i="2" s="1"/>
  <c r="I12" i="2"/>
  <c r="H12" i="2"/>
  <c r="G12" i="2"/>
  <c r="F12" i="2"/>
  <c r="E12" i="2"/>
  <c r="D12" i="2"/>
  <c r="I9" i="2"/>
  <c r="H9" i="2"/>
  <c r="G9" i="2"/>
  <c r="F9" i="2"/>
  <c r="E9" i="2"/>
  <c r="D9" i="2"/>
  <c r="I8" i="2"/>
  <c r="H8" i="2"/>
  <c r="G8" i="2"/>
  <c r="F8" i="2"/>
  <c r="E8" i="2"/>
  <c r="D8" i="2"/>
  <c r="I7" i="2"/>
  <c r="H7" i="2"/>
  <c r="G7" i="2"/>
  <c r="F7" i="2"/>
  <c r="E7" i="2"/>
  <c r="D7" i="2"/>
  <c r="I4" i="2"/>
  <c r="H4" i="2"/>
  <c r="G4" i="2"/>
  <c r="F4" i="2"/>
  <c r="E4" i="2"/>
  <c r="D4" i="2"/>
  <c r="I3" i="2"/>
  <c r="H3" i="2"/>
  <c r="G3" i="2"/>
  <c r="F3" i="2"/>
  <c r="E3" i="2"/>
  <c r="D3" i="2"/>
  <c r="I2" i="2"/>
  <c r="H2" i="2"/>
  <c r="G2" i="2"/>
  <c r="F2" i="2"/>
  <c r="E2" i="2"/>
  <c r="D2" i="2"/>
  <c r="D2" i="1"/>
  <c r="J18" i="2" l="1"/>
  <c r="J9" i="2"/>
  <c r="J12" i="2"/>
  <c r="K15" i="2" s="1"/>
  <c r="J14" i="2"/>
  <c r="L20" i="2"/>
  <c r="K20" i="2"/>
  <c r="J7" i="2"/>
  <c r="J8" i="2"/>
  <c r="J4" i="2"/>
  <c r="J3" i="2"/>
  <c r="J2" i="2"/>
  <c r="H53" i="1"/>
  <c r="G53" i="1"/>
  <c r="F53" i="1"/>
  <c r="E53" i="1"/>
  <c r="D53" i="1"/>
  <c r="H49" i="1"/>
  <c r="G49" i="1"/>
  <c r="F49" i="1"/>
  <c r="E49" i="1"/>
  <c r="D49" i="1"/>
  <c r="H45" i="1"/>
  <c r="G45" i="1"/>
  <c r="F45" i="1"/>
  <c r="E45" i="1"/>
  <c r="D45" i="1"/>
  <c r="H39" i="1"/>
  <c r="G39" i="1"/>
  <c r="F39" i="1"/>
  <c r="E39" i="1"/>
  <c r="D39" i="1"/>
  <c r="H35" i="1"/>
  <c r="G35" i="1"/>
  <c r="F35" i="1"/>
  <c r="E35" i="1"/>
  <c r="D35" i="1"/>
  <c r="E31" i="1"/>
  <c r="F31" i="1"/>
  <c r="G31" i="1"/>
  <c r="H31" i="1"/>
  <c r="D31" i="1"/>
  <c r="L15" i="2" l="1"/>
  <c r="L10" i="2"/>
  <c r="K10" i="2"/>
  <c r="L5" i="2"/>
  <c r="K5" i="2"/>
  <c r="J54" i="1"/>
  <c r="J50" i="1"/>
  <c r="J53" i="1"/>
  <c r="J46" i="1"/>
  <c r="J31" i="1"/>
  <c r="J36" i="1"/>
  <c r="J32" i="1"/>
  <c r="J40" i="1"/>
  <c r="J49" i="1"/>
  <c r="J35" i="1"/>
  <c r="J45" i="1"/>
  <c r="J39" i="1"/>
  <c r="H25" i="1"/>
  <c r="G25" i="1"/>
  <c r="F25" i="1"/>
  <c r="E25" i="1"/>
  <c r="D25" i="1"/>
  <c r="H21" i="1"/>
  <c r="G21" i="1"/>
  <c r="F21" i="1"/>
  <c r="E21" i="1"/>
  <c r="D21" i="1"/>
  <c r="H17" i="1"/>
  <c r="G17" i="1"/>
  <c r="F17" i="1"/>
  <c r="E17" i="1"/>
  <c r="D17" i="1"/>
  <c r="H10" i="1"/>
  <c r="G10" i="1"/>
  <c r="F10" i="1"/>
  <c r="E10" i="1"/>
  <c r="D10" i="1"/>
  <c r="H6" i="1"/>
  <c r="G6" i="1"/>
  <c r="F6" i="1"/>
  <c r="E6" i="1"/>
  <c r="D6" i="1"/>
  <c r="E2" i="1"/>
  <c r="F2" i="1"/>
  <c r="G2" i="1"/>
  <c r="H2" i="1"/>
  <c r="J3" i="1" l="1"/>
  <c r="J42" i="1"/>
  <c r="J17" i="1"/>
  <c r="J26" i="1"/>
  <c r="J43" i="1"/>
  <c r="J25" i="1"/>
  <c r="J11" i="1"/>
  <c r="J22" i="1"/>
  <c r="J57" i="1"/>
  <c r="J56" i="1"/>
  <c r="J10" i="1"/>
  <c r="J6" i="1"/>
  <c r="J21" i="1"/>
  <c r="J28" i="1"/>
  <c r="J29" i="1"/>
  <c r="J2" i="1"/>
  <c r="J7" i="1"/>
  <c r="J18" i="1"/>
  <c r="J13" i="1" l="1"/>
</calcChain>
</file>

<file path=xl/sharedStrings.xml><?xml version="1.0" encoding="utf-8"?>
<sst xmlns="http://schemas.openxmlformats.org/spreadsheetml/2006/main" count="9" uniqueCount="6">
  <si>
    <t>agar conc</t>
  </si>
  <si>
    <t>sample no.</t>
  </si>
  <si>
    <t>mean</t>
  </si>
  <si>
    <t>slope</t>
  </si>
  <si>
    <t>mean &amp; std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</si>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</sst>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5FC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zoomScale="108" workbookViewId="0">
      <selection activeCell="J15" sqref="J15"/>
    </sheetView>
  </sheetViews>
  <sheetFormatPr baseColWidth="10" defaultColWidth="8.83203125" defaultRowHeight="15" x14ac:dyDescent="0.2"/>
  <cols>
    <col min="10" max="10" width="22.1640625" customWidth="1"/>
  </cols>
  <sheetData>
    <row r="1" spans="1:10" x14ac:dyDescent="0.2">
      <c r="A1" t="s">
        <v>0</v>
      </c>
      <c r="B1" t="s">
        <v>1</v>
      </c>
      <c r="D1" s="2" t="s">
        <v>3</v>
      </c>
      <c r="E1" s="2"/>
      <c r="F1" s="2"/>
      <c r="G1" s="2"/>
      <c r="H1" s="2"/>
      <c r="J1" s="4" t="s">
        <v>4</v>
      </c>
    </row>
    <row r="2" spans="1:10" x14ac:dyDescent="0.2">
      <c r="A2">
        <v>0.6</v>
      </c>
      <c r="B2">
        <v>1</v>
      </c>
      <c r="D2" s="3">
        <f>ATAN(ABS(D4)/D3/1000)</f>
        <v>0.21603466036283817</v>
      </c>
      <c r="E2" s="3">
        <f>ATAN(ABS(E4)/E3/1000)</f>
        <v>0.18315888263134886</v>
      </c>
      <c r="F2" s="3">
        <f>ATAN(ABS(F4)/F3/1000)</f>
        <v>0.16429507113454253</v>
      </c>
      <c r="G2" s="3">
        <f>ATAN(ABS(G4)/G3/1000)</f>
        <v>0.19363674429420955</v>
      </c>
      <c r="H2" s="3">
        <f>ATAN(ABS(H4)/H3/1000)</f>
        <v>0.21687361566640831</v>
      </c>
      <c r="J2">
        <f>AVERAGE(D2:H2)</f>
        <v>0.19479979481786946</v>
      </c>
    </row>
    <row r="3" spans="1:10" ht="16" customHeight="1" x14ac:dyDescent="0.2">
      <c r="D3">
        <v>0.185</v>
      </c>
      <c r="E3">
        <v>0.14899999999999999</v>
      </c>
      <c r="F3">
        <v>0.114</v>
      </c>
      <c r="G3">
        <v>0.128</v>
      </c>
      <c r="H3">
        <v>0.17699999999999999</v>
      </c>
      <c r="J3">
        <f>_xlfn.STDEV.S(D2:H2)</f>
        <v>2.2391822009481945E-2</v>
      </c>
    </row>
    <row r="4" spans="1:10" x14ac:dyDescent="0.2">
      <c r="D4">
        <v>40.6</v>
      </c>
      <c r="E4">
        <v>-27.6</v>
      </c>
      <c r="F4">
        <v>18.899999999999999</v>
      </c>
      <c r="G4">
        <v>-25.1</v>
      </c>
      <c r="H4">
        <v>39</v>
      </c>
    </row>
    <row r="6" spans="1:10" x14ac:dyDescent="0.2">
      <c r="B6">
        <v>2</v>
      </c>
      <c r="D6" s="3">
        <f>ATAN(ABS(D8)/D7/1000)</f>
        <v>0.26349506519487315</v>
      </c>
      <c r="E6" s="3">
        <f t="shared" ref="E6" si="0">ATAN(ABS(E8)/E7/1000)</f>
        <v>0.25641349594236112</v>
      </c>
      <c r="F6" s="3">
        <f t="shared" ref="F6" si="1">ATAN(ABS(F8)/F7/1000)</f>
        <v>0.15483184447104004</v>
      </c>
      <c r="G6" s="3">
        <f t="shared" ref="G6" si="2">ATAN(ABS(G8)/G7/1000)</f>
        <v>0.14227541251270792</v>
      </c>
      <c r="H6" s="3">
        <f t="shared" ref="H6" si="3">ATAN(ABS(H8)/H7/1000)</f>
        <v>0.19474772843859608</v>
      </c>
      <c r="J6">
        <f>AVERAGE(D6:H6)</f>
        <v>0.20235270931191565</v>
      </c>
    </row>
    <row r="7" spans="1:10" x14ac:dyDescent="0.2">
      <c r="D7">
        <v>0.129</v>
      </c>
      <c r="E7">
        <v>0.11899999999999999</v>
      </c>
      <c r="F7">
        <v>0.14799999999999999</v>
      </c>
      <c r="G7">
        <v>0.14799999999999999</v>
      </c>
      <c r="H7">
        <v>0.109</v>
      </c>
      <c r="J7">
        <f>_xlfn.STDEV.S(D6:H6)</f>
        <v>5.6094354114360756E-2</v>
      </c>
    </row>
    <row r="8" spans="1:10" x14ac:dyDescent="0.2">
      <c r="D8">
        <v>34.799999999999997</v>
      </c>
      <c r="E8">
        <v>-31.2</v>
      </c>
      <c r="F8">
        <v>23.1</v>
      </c>
      <c r="G8">
        <v>-21.2</v>
      </c>
      <c r="H8">
        <v>21.5</v>
      </c>
    </row>
    <row r="10" spans="1:10" x14ac:dyDescent="0.2">
      <c r="B10">
        <v>3</v>
      </c>
      <c r="D10" s="3">
        <f>ATAN(ABS(D12)/D11/1000)</f>
        <v>0.22096955531197443</v>
      </c>
      <c r="E10" s="3">
        <f t="shared" ref="E10" si="4">ATAN(ABS(E12)/E11/1000)</f>
        <v>0.20745558263746861</v>
      </c>
      <c r="F10" s="3">
        <f t="shared" ref="F10" si="5">ATAN(ABS(F12)/F11/1000)</f>
        <v>0.19894594620455869</v>
      </c>
      <c r="G10" s="3">
        <f t="shared" ref="G10" si="6">ATAN(ABS(G12)/G11/1000)</f>
        <v>0.13775826893976428</v>
      </c>
      <c r="H10" s="3">
        <f t="shared" ref="H10" si="7">ATAN(ABS(H12)/H11/1000)</f>
        <v>0.26794357452517081</v>
      </c>
      <c r="J10">
        <f>AVERAGE(D10:H10)</f>
        <v>0.20661458552378736</v>
      </c>
    </row>
    <row r="11" spans="1:10" x14ac:dyDescent="0.2">
      <c r="D11">
        <v>0.13800000000000001</v>
      </c>
      <c r="E11">
        <v>0.124</v>
      </c>
      <c r="F11">
        <v>0.124</v>
      </c>
      <c r="G11">
        <v>0.22</v>
      </c>
      <c r="H11">
        <v>0.11</v>
      </c>
      <c r="J11">
        <f>_xlfn.STDEV.S(D10:H10)</f>
        <v>4.6818846868073583E-2</v>
      </c>
    </row>
    <row r="12" spans="1:10" x14ac:dyDescent="0.2">
      <c r="D12">
        <v>31</v>
      </c>
      <c r="E12">
        <v>-26.1</v>
      </c>
      <c r="F12">
        <v>25</v>
      </c>
      <c r="G12">
        <v>-30.5</v>
      </c>
      <c r="H12">
        <v>30.2</v>
      </c>
    </row>
    <row r="13" spans="1:10" x14ac:dyDescent="0.2">
      <c r="J13" s="1">
        <f>AVERAGE(J10,J6,J2)</f>
        <v>0.20125569655119083</v>
      </c>
    </row>
    <row r="14" spans="1:10" x14ac:dyDescent="0.2">
      <c r="J14" s="1">
        <f>_xlfn.STDEV.S(J10,J6,J2)</f>
        <v>5.9833015638571839E-3</v>
      </c>
    </row>
    <row r="17" spans="1:10" x14ac:dyDescent="0.2">
      <c r="A17">
        <v>0.8</v>
      </c>
      <c r="B17">
        <v>1</v>
      </c>
      <c r="D17" s="3">
        <f>ATAN(ABS(D19)/D18/1000)</f>
        <v>0.20554607670039934</v>
      </c>
      <c r="E17" s="3">
        <f t="shared" ref="E17" si="8">ATAN(ABS(E19)/E18/1000)</f>
        <v>0.23066045395957857</v>
      </c>
      <c r="F17" s="3">
        <f t="shared" ref="F17" si="9">ATAN(ABS(F19)/F18/1000)</f>
        <v>0.25041339222770009</v>
      </c>
      <c r="G17" s="3">
        <f t="shared" ref="G17" si="10">ATAN(ABS(G19)/G18/1000)</f>
        <v>0.34062772714539935</v>
      </c>
      <c r="H17" s="3">
        <f t="shared" ref="H17" si="11">ATAN(ABS(H19)/H18/1000)</f>
        <v>0.23824475817874505</v>
      </c>
      <c r="J17">
        <f>AVERAGE(D17:H17)</f>
        <v>0.25309848164236448</v>
      </c>
    </row>
    <row r="18" spans="1:10" x14ac:dyDescent="0.2">
      <c r="D18">
        <v>0.106</v>
      </c>
      <c r="E18">
        <v>9.0700000000000003E-2</v>
      </c>
      <c r="F18">
        <v>0.14699999999999999</v>
      </c>
      <c r="G18">
        <v>9.7900000000000001E-2</v>
      </c>
      <c r="H18">
        <v>0.14699999999999999</v>
      </c>
      <c r="J18">
        <f>_xlfn.STDEV.S(D17:H17)</f>
        <v>5.1608884715441838E-2</v>
      </c>
    </row>
    <row r="19" spans="1:10" x14ac:dyDescent="0.2">
      <c r="D19">
        <v>22.1</v>
      </c>
      <c r="E19">
        <v>-21.3</v>
      </c>
      <c r="F19">
        <v>37.6</v>
      </c>
      <c r="G19">
        <v>34.700000000000003</v>
      </c>
      <c r="H19">
        <v>35.700000000000003</v>
      </c>
    </row>
    <row r="21" spans="1:10" x14ac:dyDescent="0.2">
      <c r="B21">
        <v>2</v>
      </c>
      <c r="D21" s="3">
        <f>ATAN(ABS(D23)/D22/1000)</f>
        <v>0.18287978145604419</v>
      </c>
      <c r="E21" s="3">
        <f t="shared" ref="E21" si="12">ATAN(ABS(E23)/E22/1000)</f>
        <v>0.21875039236341814</v>
      </c>
      <c r="F21" s="3">
        <f t="shared" ref="F21" si="13">ATAN(ABS(F23)/F22/1000)</f>
        <v>0.14566745986268598</v>
      </c>
      <c r="G21" s="3">
        <f t="shared" ref="G21" si="14">ATAN(ABS(G23)/G22/1000)</f>
        <v>0.27443474741123924</v>
      </c>
      <c r="H21" s="3">
        <f t="shared" ref="H21" si="15">ATAN(ABS(H23)/H22/1000)</f>
        <v>0.1846375336335461</v>
      </c>
      <c r="J21">
        <f>AVERAGE(D21:H21)</f>
        <v>0.20127398294538673</v>
      </c>
    </row>
    <row r="22" spans="1:10" x14ac:dyDescent="0.2">
      <c r="D22">
        <v>0.27900000000000003</v>
      </c>
      <c r="E22">
        <v>0.26</v>
      </c>
      <c r="F22">
        <v>0.16700000000000001</v>
      </c>
      <c r="G22">
        <v>0.13</v>
      </c>
      <c r="H22">
        <v>0.20399999999999999</v>
      </c>
      <c r="J22">
        <f>_xlfn.STDEV.S(D21:H21)</f>
        <v>4.8386790157173919E-2</v>
      </c>
    </row>
    <row r="23" spans="1:10" x14ac:dyDescent="0.2">
      <c r="D23">
        <v>51.6</v>
      </c>
      <c r="E23">
        <v>57.8</v>
      </c>
      <c r="F23">
        <v>-24.5</v>
      </c>
      <c r="G23">
        <v>-36.6</v>
      </c>
      <c r="H23">
        <v>38.1</v>
      </c>
    </row>
    <row r="25" spans="1:10" x14ac:dyDescent="0.2">
      <c r="B25">
        <v>3</v>
      </c>
      <c r="D25" s="3">
        <f>ATAN(ABS(D27)/D26/1000)</f>
        <v>0.28320323823469612</v>
      </c>
      <c r="E25" s="3">
        <f t="shared" ref="E25" si="16">ATAN(ABS(E27)/E26/1000)</f>
        <v>0.26512021557095217</v>
      </c>
      <c r="F25" s="3">
        <f t="shared" ref="F25" si="17">ATAN(ABS(F27)/F26/1000)</f>
        <v>0.20304521725346511</v>
      </c>
      <c r="G25" s="3">
        <f t="shared" ref="G25" si="18">ATAN(ABS(G27)/G26/1000)</f>
        <v>0.3012323367198686</v>
      </c>
      <c r="H25" s="3">
        <f t="shared" ref="H25" si="19">ATAN(ABS(H27)/H26/1000)</f>
        <v>0.17933107579242535</v>
      </c>
      <c r="J25">
        <f>AVERAGE(D25:H25)</f>
        <v>0.24638641671428146</v>
      </c>
    </row>
    <row r="26" spans="1:10" x14ac:dyDescent="0.2">
      <c r="D26">
        <v>0.156</v>
      </c>
      <c r="E26">
        <v>0.17199999999999999</v>
      </c>
      <c r="F26">
        <v>0.187</v>
      </c>
      <c r="G26">
        <v>0.13100000000000001</v>
      </c>
      <c r="H26">
        <v>0.219</v>
      </c>
      <c r="J26">
        <f>_xlfn.STDEV.S(D25:H25)</f>
        <v>5.2653078790741582E-2</v>
      </c>
    </row>
    <row r="27" spans="1:10" x14ac:dyDescent="0.2">
      <c r="D27">
        <v>45.4</v>
      </c>
      <c r="E27">
        <v>-46.7</v>
      </c>
      <c r="F27">
        <v>38.5</v>
      </c>
      <c r="G27">
        <v>-40.700000000000003</v>
      </c>
      <c r="H27">
        <v>39.700000000000003</v>
      </c>
    </row>
    <row r="28" spans="1:10" x14ac:dyDescent="0.2">
      <c r="J28" s="1">
        <f>AVERAGE(J25,J21,J17)</f>
        <v>0.23358629376734422</v>
      </c>
    </row>
    <row r="29" spans="1:10" x14ac:dyDescent="0.2">
      <c r="J29" s="1">
        <f>_xlfn.STDEV.S(J25,J21,J17)</f>
        <v>2.8183807884861727E-2</v>
      </c>
    </row>
    <row r="31" spans="1:10" x14ac:dyDescent="0.2">
      <c r="A31">
        <v>1</v>
      </c>
      <c r="B31">
        <v>1</v>
      </c>
      <c r="D31" s="3">
        <f>ABS(D32)/180*PI()</f>
        <v>0.51487212933832716</v>
      </c>
      <c r="E31" s="3">
        <f t="shared" ref="E31:H31" si="20">ABS(E32)/180*PI()</f>
        <v>0.53581608036225914</v>
      </c>
      <c r="F31" s="3">
        <f t="shared" si="20"/>
        <v>0.32288591161895097</v>
      </c>
      <c r="G31" s="3">
        <f t="shared" si="20"/>
        <v>0.36302848441482055</v>
      </c>
      <c r="H31" s="3">
        <f t="shared" si="20"/>
        <v>0.45902159327450864</v>
      </c>
      <c r="J31">
        <f>AVERAGE(D31:H31)</f>
        <v>0.43912483980177325</v>
      </c>
    </row>
    <row r="32" spans="1:10" x14ac:dyDescent="0.2">
      <c r="D32">
        <v>29.5</v>
      </c>
      <c r="E32">
        <v>30.7</v>
      </c>
      <c r="F32">
        <v>-18.5</v>
      </c>
      <c r="G32">
        <v>20.8</v>
      </c>
      <c r="H32">
        <v>-26.3</v>
      </c>
      <c r="J32">
        <f>_xlfn.STDEV.S(D31:H31)</f>
        <v>9.3253515215625971E-2</v>
      </c>
    </row>
    <row r="35" spans="1:10" x14ac:dyDescent="0.2">
      <c r="B35">
        <v>2</v>
      </c>
      <c r="D35" s="3">
        <f>ABS(D36)/180*PI()</f>
        <v>0.43633231299858238</v>
      </c>
      <c r="E35" s="3">
        <f>ABS(E36)/180*PI()</f>
        <v>0.59166661642607765</v>
      </c>
      <c r="F35" s="3">
        <f>ABS(F36)/180*PI()</f>
        <v>0.48520153205442357</v>
      </c>
      <c r="G35" s="3">
        <f>ABS(G36)/180*PI()</f>
        <v>0.42411500823462212</v>
      </c>
      <c r="H35" s="3">
        <f t="shared" ref="H35" si="21">ABS(H36)/180*PI()</f>
        <v>0.46949356878647464</v>
      </c>
      <c r="J35">
        <f>AVERAGE(D35:H35)</f>
        <v>0.48136180770003606</v>
      </c>
    </row>
    <row r="36" spans="1:10" x14ac:dyDescent="0.2">
      <c r="D36">
        <v>25</v>
      </c>
      <c r="E36">
        <v>-33.9</v>
      </c>
      <c r="F36">
        <v>27.8</v>
      </c>
      <c r="G36">
        <v>24.3</v>
      </c>
      <c r="H36">
        <v>-26.9</v>
      </c>
      <c r="J36">
        <f>_xlfn.STDEV.S(D35:H35)</f>
        <v>6.638448773662689E-2</v>
      </c>
    </row>
    <row r="39" spans="1:10" x14ac:dyDescent="0.2">
      <c r="B39">
        <v>3</v>
      </c>
      <c r="D39" s="3">
        <f>ABS(D40)/180*PI()</f>
        <v>0.4729842272904633</v>
      </c>
      <c r="E39" s="3">
        <f>ABS(E40)/180*PI()</f>
        <v>0.48869219055841229</v>
      </c>
      <c r="F39" s="3">
        <f>ABS(F40)/180*PI()</f>
        <v>0.62657320146596418</v>
      </c>
      <c r="G39" s="3">
        <f>ABS(G40)/180*PI()</f>
        <v>0.5497787143782138</v>
      </c>
      <c r="H39" s="3">
        <f t="shared" ref="H39" si="22">ABS(H40)/180*PI()</f>
        <v>0.40840704496667313</v>
      </c>
      <c r="J39">
        <f>AVERAGE(D39:H39)</f>
        <v>0.50928707573194532</v>
      </c>
    </row>
    <row r="40" spans="1:10" x14ac:dyDescent="0.2">
      <c r="D40">
        <v>27.1</v>
      </c>
      <c r="E40">
        <v>-28</v>
      </c>
      <c r="F40">
        <v>35.9</v>
      </c>
      <c r="G40">
        <v>-31.5</v>
      </c>
      <c r="H40">
        <v>-23.4</v>
      </c>
      <c r="J40">
        <f>_xlfn.STDEV.S(D39:H39)</f>
        <v>8.2635396165073816E-2</v>
      </c>
    </row>
    <row r="42" spans="1:10" x14ac:dyDescent="0.2">
      <c r="J42" s="1">
        <f>AVERAGE(J31,J35,J39)</f>
        <v>0.47659124107791823</v>
      </c>
    </row>
    <row r="43" spans="1:10" x14ac:dyDescent="0.2">
      <c r="J43" s="1">
        <f>_xlfn.STDEV.S(J31,J35,J39)</f>
        <v>3.5323555414232169E-2</v>
      </c>
    </row>
    <row r="45" spans="1:10" x14ac:dyDescent="0.2">
      <c r="A45">
        <v>1.5</v>
      </c>
      <c r="B45">
        <v>1</v>
      </c>
      <c r="D45" s="3">
        <f>ABS(D46)/180*PI()</f>
        <v>0.51836278784231593</v>
      </c>
      <c r="E45" s="3">
        <f t="shared" ref="E45" si="23">ABS(E46)/180*PI()</f>
        <v>0.61435589670200397</v>
      </c>
      <c r="F45" s="3">
        <f t="shared" ref="F45" si="24">ABS(F46)/180*PI()</f>
        <v>0.50265482457436694</v>
      </c>
      <c r="G45" s="3">
        <f t="shared" ref="G45" si="25">ABS(G46)/180*PI()</f>
        <v>0.45553093477052004</v>
      </c>
      <c r="H45" s="3">
        <f t="shared" ref="H45" si="26">ABS(H46)/180*PI()</f>
        <v>0.49043751981040662</v>
      </c>
      <c r="J45">
        <f>AVERAGE(D45:H45)</f>
        <v>0.51626839273992275</v>
      </c>
    </row>
    <row r="46" spans="1:10" x14ac:dyDescent="0.2">
      <c r="D46">
        <v>29.7</v>
      </c>
      <c r="E46">
        <v>-35.200000000000003</v>
      </c>
      <c r="F46">
        <v>28.8</v>
      </c>
      <c r="G46">
        <v>-26.1</v>
      </c>
      <c r="H46">
        <v>28.1</v>
      </c>
      <c r="J46">
        <f>_xlfn.STDEV.S(D45:H45)</f>
        <v>5.951291237924803E-2</v>
      </c>
    </row>
    <row r="49" spans="2:10" x14ac:dyDescent="0.2">
      <c r="B49">
        <v>2</v>
      </c>
      <c r="D49" s="3">
        <f>ABS(D50)/180*PI()</f>
        <v>0.46600291028248592</v>
      </c>
      <c r="E49" s="3">
        <f t="shared" ref="E49" si="27">ABS(E50)/180*PI()</f>
        <v>0.5881759579220891</v>
      </c>
      <c r="F49" s="3">
        <f t="shared" ref="F49" si="28">ABS(F50)/180*PI()</f>
        <v>0.59864793343405498</v>
      </c>
      <c r="G49" s="3">
        <f t="shared" ref="G49" si="29">ABS(G50)/180*PI()</f>
        <v>0.49392817831439528</v>
      </c>
      <c r="H49" s="3">
        <f t="shared" ref="H49" si="30">ABS(H50)/180*PI()</f>
        <v>0.57072266540214578</v>
      </c>
      <c r="J49">
        <f>AVERAGE(D49:H49)</f>
        <v>0.54349552907103416</v>
      </c>
    </row>
    <row r="50" spans="2:10" x14ac:dyDescent="0.2">
      <c r="D50">
        <v>26.7</v>
      </c>
      <c r="E50">
        <v>-33.700000000000003</v>
      </c>
      <c r="F50">
        <v>34.299999999999997</v>
      </c>
      <c r="G50">
        <v>-28.3</v>
      </c>
      <c r="H50">
        <v>32.700000000000003</v>
      </c>
      <c r="J50">
        <f>_xlfn.STDEV.S(D49:H49)</f>
        <v>5.9668822700528056E-2</v>
      </c>
    </row>
    <row r="53" spans="2:10" x14ac:dyDescent="0.2">
      <c r="B53">
        <v>3</v>
      </c>
      <c r="D53" s="3">
        <f>ABS(D54)/180*PI()</f>
        <v>0.57595865315812866</v>
      </c>
      <c r="E53" s="3">
        <f t="shared" ref="E53" si="31">ABS(E54)/180*PI()</f>
        <v>0.47647488579445196</v>
      </c>
      <c r="F53" s="3">
        <f t="shared" ref="F53" si="32">ABS(F54)/180*PI()</f>
        <v>0.63180918922194729</v>
      </c>
      <c r="G53" s="3">
        <f t="shared" ref="G53" si="33">ABS(G54)/180*PI()</f>
        <v>0.34557519189487723</v>
      </c>
      <c r="H53" s="3">
        <f t="shared" ref="H53" si="34">ABS(H54)/180*PI()</f>
        <v>0.6108652381980153</v>
      </c>
      <c r="J53">
        <f>AVERAGE(D53:H53)</f>
        <v>0.52813663165348412</v>
      </c>
    </row>
    <row r="54" spans="2:10" x14ac:dyDescent="0.2">
      <c r="D54">
        <v>33</v>
      </c>
      <c r="E54">
        <v>-27.3</v>
      </c>
      <c r="F54">
        <v>36.200000000000003</v>
      </c>
      <c r="G54">
        <v>-19.8</v>
      </c>
      <c r="H54">
        <v>35</v>
      </c>
      <c r="J54">
        <f>_xlfn.STDEV.S(D53:H53)</f>
        <v>0.11819114026262231</v>
      </c>
    </row>
    <row r="56" spans="2:10" x14ac:dyDescent="0.2">
      <c r="J56" s="1">
        <f>AVERAGE(J45,J49,J53)</f>
        <v>0.52930018448814697</v>
      </c>
    </row>
    <row r="57" spans="2:10" x14ac:dyDescent="0.2">
      <c r="J57" s="1">
        <f>_xlfn.STDEV.S(J45,J49,J53)</f>
        <v>1.365081058390016E-2</v>
      </c>
    </row>
  </sheetData>
  <mergeCells count="1">
    <mergeCell ref="D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>
      <selection activeCell="I32" sqref="I3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D1" s="2" t="s">
        <v>3</v>
      </c>
      <c r="E1" s="2"/>
      <c r="F1" s="2"/>
      <c r="G1" s="2"/>
      <c r="H1" s="2"/>
      <c r="I1" s="2"/>
      <c r="J1" s="3"/>
      <c r="K1" s="1" t="s">
        <v>2</v>
      </c>
      <c r="L1" s="1" t="s">
        <v>5</v>
      </c>
    </row>
    <row r="2" spans="1:12" x14ac:dyDescent="0.2">
      <c r="A2">
        <v>0.6</v>
      </c>
      <c r="B2">
        <v>1</v>
      </c>
      <c r="D2" s="3">
        <f>68/137</f>
        <v>0.49635036496350365</v>
      </c>
      <c r="E2" s="3">
        <f>61.2/134</f>
        <v>0.45671641791044776</v>
      </c>
      <c r="F2" s="3">
        <f>94.7/150</f>
        <v>0.6313333333333333</v>
      </c>
      <c r="G2" s="3">
        <f>80.2/139</f>
        <v>0.57697841726618704</v>
      </c>
      <c r="H2" s="3">
        <f>44.9/116</f>
        <v>0.38706896551724135</v>
      </c>
      <c r="I2" s="3">
        <f>68.2/199</f>
        <v>0.34271356783919599</v>
      </c>
      <c r="J2" s="3">
        <f>AVERAGE(D2:I2)</f>
        <v>0.48186017780498486</v>
      </c>
    </row>
    <row r="3" spans="1:12" x14ac:dyDescent="0.2">
      <c r="B3">
        <v>2</v>
      </c>
      <c r="D3" s="3">
        <f>48.4/94.1</f>
        <v>0.51434643995749207</v>
      </c>
      <c r="E3" s="3">
        <f>51.6/157</f>
        <v>0.32866242038216559</v>
      </c>
      <c r="F3" s="3">
        <f>53.8/152</f>
        <v>0.35394736842105262</v>
      </c>
      <c r="G3" s="3">
        <f>49.9/142</f>
        <v>0.35140845070422533</v>
      </c>
      <c r="H3" s="3">
        <f>49.6/102</f>
        <v>0.48627450980392156</v>
      </c>
      <c r="I3" s="3">
        <f>48/141</f>
        <v>0.34042553191489361</v>
      </c>
      <c r="J3" s="3">
        <f>AVERAGE(D3:I3)</f>
        <v>0.39584412019729182</v>
      </c>
    </row>
    <row r="4" spans="1:12" x14ac:dyDescent="0.2">
      <c r="B4">
        <v>3</v>
      </c>
      <c r="D4" s="3">
        <f>46.8/173</f>
        <v>0.27052023121387281</v>
      </c>
      <c r="E4" s="3">
        <f>37.2/118</f>
        <v>0.31525423728813562</v>
      </c>
      <c r="F4" s="3">
        <f>49.8/157</f>
        <v>0.31719745222929935</v>
      </c>
      <c r="G4" s="3">
        <f>45.4/129</f>
        <v>0.35193798449612401</v>
      </c>
      <c r="H4" s="3">
        <f>50/144</f>
        <v>0.34722222222222221</v>
      </c>
      <c r="I4" s="3">
        <f>49.1/136</f>
        <v>0.36102941176470588</v>
      </c>
      <c r="J4" s="3">
        <f>AVERAGE(D4:I4)</f>
        <v>0.32719358986906</v>
      </c>
    </row>
    <row r="5" spans="1:12" x14ac:dyDescent="0.2">
      <c r="K5" s="1">
        <f>AVERAGE(J2:J4)</f>
        <v>0.40163262929044558</v>
      </c>
      <c r="L5" s="1">
        <f>_xlfn.STDEV.S(J2:J4)</f>
        <v>7.7495602998340352E-2</v>
      </c>
    </row>
    <row r="7" spans="1:12" x14ac:dyDescent="0.2">
      <c r="A7">
        <v>0.8</v>
      </c>
      <c r="B7">
        <v>1</v>
      </c>
      <c r="D7" s="3">
        <f>47.9/111</f>
        <v>0.43153153153153151</v>
      </c>
      <c r="E7" s="3">
        <f>50.6/114</f>
        <v>0.44385964912280701</v>
      </c>
      <c r="F7" s="3">
        <f>56.4/122</f>
        <v>0.46229508196721308</v>
      </c>
      <c r="G7" s="3">
        <f>59.4/146</f>
        <v>0.40684931506849314</v>
      </c>
      <c r="H7" s="3">
        <f>32.7/60.7</f>
        <v>0.53871499176276771</v>
      </c>
      <c r="I7" s="3">
        <f>50.4/110</f>
        <v>0.45818181818181819</v>
      </c>
      <c r="J7" s="3">
        <f>AVERAGE(D7:I7)</f>
        <v>0.45690539793910506</v>
      </c>
    </row>
    <row r="8" spans="1:12" x14ac:dyDescent="0.2">
      <c r="B8">
        <v>2</v>
      </c>
      <c r="D8" s="3">
        <f>60.5/160</f>
        <v>0.37812499999999999</v>
      </c>
      <c r="E8" s="3">
        <f>45.1/107</f>
        <v>0.42149532710280374</v>
      </c>
      <c r="F8" s="3">
        <f>47.3/99</f>
        <v>0.47777777777777775</v>
      </c>
      <c r="G8" s="3">
        <f>57.3/97.3</f>
        <v>0.5889003083247687</v>
      </c>
      <c r="H8" s="3">
        <f>56.2/111</f>
        <v>0.50630630630630635</v>
      </c>
      <c r="I8" s="3">
        <f>55.2/94</f>
        <v>0.58723404255319156</v>
      </c>
      <c r="J8" s="3">
        <f>AVERAGE(D8:I8)</f>
        <v>0.49330646034414133</v>
      </c>
    </row>
    <row r="9" spans="1:12" x14ac:dyDescent="0.2">
      <c r="B9">
        <v>3</v>
      </c>
      <c r="D9" s="3">
        <f>62.2/135</f>
        <v>0.46074074074074078</v>
      </c>
      <c r="E9" s="3">
        <f>53.9/119</f>
        <v>0.45294117647058824</v>
      </c>
      <c r="F9" s="3">
        <f>53.6/134</f>
        <v>0.4</v>
      </c>
      <c r="G9" s="3">
        <f>42.6/70.6</f>
        <v>0.60339943342776214</v>
      </c>
      <c r="H9" s="3">
        <f>58.2/81.5</f>
        <v>0.71411042944785275</v>
      </c>
      <c r="I9" s="3">
        <f>0.491</f>
        <v>0.49099999999999999</v>
      </c>
      <c r="J9" s="3">
        <f>AVERAGE(D9:I9)</f>
        <v>0.52036529668115727</v>
      </c>
    </row>
    <row r="10" spans="1:12" x14ac:dyDescent="0.2">
      <c r="K10" s="1">
        <f>AVERAGE(J7:J9)</f>
        <v>0.4901923849881345</v>
      </c>
      <c r="L10" s="1">
        <f>_xlfn.STDEV.S(J7:J9)</f>
        <v>3.1844352498991819E-2</v>
      </c>
    </row>
    <row r="12" spans="1:12" x14ac:dyDescent="0.2">
      <c r="A12">
        <v>1</v>
      </c>
      <c r="B12">
        <v>1</v>
      </c>
      <c r="D12" s="3">
        <f>93.4/49.3</f>
        <v>1.8945233265720083</v>
      </c>
      <c r="E12" s="3">
        <f>101/51</f>
        <v>1.9803921568627452</v>
      </c>
      <c r="F12" s="3">
        <f>97.5/54.5</f>
        <v>1.7889908256880733</v>
      </c>
      <c r="G12" s="3">
        <f>116/73.7</f>
        <v>1.5739484396200814</v>
      </c>
      <c r="H12" s="3">
        <f>89.8/65.9</f>
        <v>1.3626707132018208</v>
      </c>
      <c r="I12" s="3">
        <f>89.3/73.8</f>
        <v>1.2100271002710028</v>
      </c>
      <c r="J12" s="3">
        <f>AVERAGE(D12:I12)</f>
        <v>1.6350920937026219</v>
      </c>
    </row>
    <row r="13" spans="1:12" x14ac:dyDescent="0.2">
      <c r="B13">
        <v>2</v>
      </c>
      <c r="D13" s="3">
        <f>66/84.1</f>
        <v>0.78478002378121292</v>
      </c>
      <c r="E13" s="3">
        <f>76.4/97.4</f>
        <v>0.78439425051334699</v>
      </c>
      <c r="F13" s="3">
        <f>93.6/63.2</f>
        <v>1.481012658227848</v>
      </c>
      <c r="G13" s="3">
        <f>84/42.2</f>
        <v>1.9905213270142179</v>
      </c>
      <c r="H13" s="3">
        <f>92/76.8</f>
        <v>1.1979166666666667</v>
      </c>
      <c r="I13" s="3">
        <f>76.9/57.6</f>
        <v>1.3350694444444444</v>
      </c>
      <c r="J13" s="3">
        <f>AVERAGE(D13:I13)</f>
        <v>1.2622823951079563</v>
      </c>
    </row>
    <row r="14" spans="1:12" x14ac:dyDescent="0.2">
      <c r="B14">
        <v>3</v>
      </c>
      <c r="D14" s="3">
        <f>97.2/71.6</f>
        <v>1.3575418994413408</v>
      </c>
      <c r="E14" s="3">
        <f>106/96.9</f>
        <v>1.0939112487100102</v>
      </c>
      <c r="F14" s="3">
        <f>81.8/102</f>
        <v>0.80196078431372542</v>
      </c>
      <c r="G14" s="3">
        <f>76.7/125</f>
        <v>0.61360000000000003</v>
      </c>
      <c r="H14" s="3">
        <f>71.9/42.3</f>
        <v>1.699763593380615</v>
      </c>
      <c r="I14" s="3">
        <f>84.4/82.6</f>
        <v>1.0217917675544796</v>
      </c>
      <c r="J14" s="3">
        <f>AVERAGE(D14:I14)</f>
        <v>1.0980948822333618</v>
      </c>
    </row>
    <row r="15" spans="1:12" x14ac:dyDescent="0.2">
      <c r="K15" s="1">
        <f>AVERAGE(J12:J14)</f>
        <v>1.3318231236813132</v>
      </c>
      <c r="L15" s="1">
        <f>_xlfn.STDEV.S(J12:J14)</f>
        <v>0.27516983115764371</v>
      </c>
    </row>
    <row r="17" spans="1:12" x14ac:dyDescent="0.2">
      <c r="A17">
        <v>1.5</v>
      </c>
      <c r="B17">
        <v>1</v>
      </c>
      <c r="D17" s="3">
        <f>91.5/36</f>
        <v>2.5416666666666665</v>
      </c>
      <c r="E17" s="3">
        <f>99.6/34</f>
        <v>2.9294117647058822</v>
      </c>
      <c r="F17" s="3">
        <f>132/33</f>
        <v>4</v>
      </c>
      <c r="G17" s="3">
        <f>133/58.2</f>
        <v>2.2852233676975944</v>
      </c>
      <c r="H17" s="3">
        <f>128/74.2</f>
        <v>1.7250673854447438</v>
      </c>
      <c r="I17" s="3">
        <f>110/90</f>
        <v>1.2222222222222223</v>
      </c>
      <c r="J17" s="3">
        <f>AVERAGE(D17:I17)</f>
        <v>2.4505985677895183</v>
      </c>
    </row>
    <row r="18" spans="1:12" x14ac:dyDescent="0.2">
      <c r="B18">
        <v>2</v>
      </c>
      <c r="D18" s="3">
        <f>95/44.1</f>
        <v>2.1541950113378685</v>
      </c>
      <c r="E18" s="3">
        <f>72/80</f>
        <v>0.9</v>
      </c>
      <c r="F18" s="3">
        <f>75.2/55.6</f>
        <v>1.3525179856115108</v>
      </c>
      <c r="G18" s="3">
        <f>80.3/42.9</f>
        <v>1.8717948717948718</v>
      </c>
      <c r="H18" s="3">
        <f>123/66.3</f>
        <v>1.8552036199095023</v>
      </c>
      <c r="I18" s="3">
        <f>110/63.7</f>
        <v>1.7268445839874411</v>
      </c>
      <c r="J18" s="3">
        <f>AVERAGE(D18:I18)</f>
        <v>1.6434260121068658</v>
      </c>
    </row>
    <row r="19" spans="1:12" x14ac:dyDescent="0.2">
      <c r="B19">
        <v>3</v>
      </c>
      <c r="D19" s="3">
        <f>100/88.8</f>
        <v>1.1261261261261262</v>
      </c>
      <c r="E19" s="3">
        <f>89.3/65.3</f>
        <v>1.3675344563552834</v>
      </c>
      <c r="F19" s="3">
        <f>112/79.7</f>
        <v>1.4052697616060226</v>
      </c>
      <c r="G19" s="3">
        <f>108/77.8</f>
        <v>1.3881748071979434</v>
      </c>
      <c r="H19" s="3">
        <f>74.7/49.3</f>
        <v>1.515212981744422</v>
      </c>
      <c r="I19" s="3">
        <f>94.2/50.2</f>
        <v>1.8764940239043824</v>
      </c>
      <c r="J19" s="3">
        <f>AVERAGE(D19:I19)</f>
        <v>1.4464686928223633</v>
      </c>
    </row>
    <row r="20" spans="1:12" x14ac:dyDescent="0.2">
      <c r="K20" s="1">
        <f>AVERAGE(J17:J19)</f>
        <v>1.8468310909062493</v>
      </c>
      <c r="L20" s="1">
        <f>_xlfn.STDEV.S(J17:J19)</f>
        <v>0.53207087968749589</v>
      </c>
    </row>
  </sheetData>
  <mergeCells count="1"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angle</vt:lpstr>
      <vt:lpstr>steady state angle</vt:lpstr>
      <vt:lpstr>Sheet3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Yan</dc:creator>
  <cp:lastModifiedBy>Chenyi Fei</cp:lastModifiedBy>
  <dcterms:created xsi:type="dcterms:W3CDTF">2018-11-19T16:24:53Z</dcterms:created>
  <dcterms:modified xsi:type="dcterms:W3CDTF">2020-03-04T21:01:56Z</dcterms:modified>
</cp:coreProperties>
</file>