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6.xml" ContentType="application/vnd.openxmlformats-officedocument.drawing+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7.xml" ContentType="application/vnd.openxmlformats-officedocument.drawing+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8.xml" ContentType="application/vnd.openxmlformats-officedocument.drawing+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drawings/drawing9.xml" ContentType="application/vnd.openxmlformats-officedocument.drawing+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drawings/drawing10.xml" ContentType="application/vnd.openxmlformats-officedocument.drawing+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drawings/drawing11.xml" ContentType="application/vnd.openxmlformats-officedocument.drawing+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D:\GLIM_C\Assignments\finance\"/>
    </mc:Choice>
  </mc:AlternateContent>
  <xr:revisionPtr revIDLastSave="0" documentId="13_ncr:1_{45870AF6-05CC-4E50-8501-ECA90FFA69A8}" xr6:coauthVersionLast="47" xr6:coauthVersionMax="47" xr10:uidLastSave="{00000000-0000-0000-0000-000000000000}"/>
  <bookViews>
    <workbookView xWindow="-108" yWindow="-108" windowWidth="23256" windowHeight="12456" firstSheet="12" activeTab="15" xr2:uid="{55C2D5F0-C9AA-4C9B-80DD-D233515E57C0}"/>
  </bookViews>
  <sheets>
    <sheet name="Group Details " sheetId="18" r:id="rId1"/>
    <sheet name="About Company" sheetId="10" r:id="rId2"/>
    <sheet name="Shareholding pattern" sheetId="1" r:id="rId3"/>
    <sheet name="Company returns to sectoral ind" sheetId="6" r:id="rId4"/>
    <sheet name="Income Statement Analysis" sheetId="2" r:id="rId5"/>
    <sheet name="Balance sheet analysis" sheetId="4" r:id="rId6"/>
    <sheet name="Cash Flow Statement" sheetId="11" r:id="rId7"/>
    <sheet name="Employee data" sheetId="7" r:id="rId8"/>
    <sheet name="Data On Subsidiaries" sheetId="9" r:id="rId9"/>
    <sheet name="Investments &amp; Announcements" sheetId="14" r:id="rId10"/>
    <sheet name="Changes in financing " sheetId="16" r:id="rId11"/>
    <sheet name="M&amp;A" sheetId="15" r:id="rId12"/>
    <sheet name="Ratio Analysis" sheetId="20" r:id="rId13"/>
    <sheet name="Growth Analysis" sheetId="21" r:id="rId14"/>
    <sheet name="Expense Analysis" sheetId="22" r:id="rId15"/>
    <sheet name="Cash Flow Ratios" sheetId="23" r:id="rId16"/>
    <sheet name="DuPont Analysis" sheetId="24" r:id="rId17"/>
    <sheet name="Sources " sheetId="17" r:id="rId18"/>
    <sheet name="Questions " sheetId="5" r:id="rId19"/>
  </sheets>
  <externalReferences>
    <externalReference r:id="rId20"/>
    <externalReference r:id="rId21"/>
  </externalReferences>
  <calcPr calcId="191029"/>
  <pivotCaches>
    <pivotCache cacheId="0" r:id="rId22"/>
    <pivotCache cacheId="1" r:id="rId23"/>
    <pivotCache cacheId="2" r:id="rId24"/>
    <pivotCache cacheId="3" r:id="rId25"/>
    <pivotCache cacheId="4" r:id="rId26"/>
    <pivotCache cacheId="5" r:id="rId27"/>
  </pivotCache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V122" i="23" l="1"/>
  <c r="U122" i="23"/>
  <c r="T122" i="23"/>
  <c r="S122" i="23"/>
  <c r="R122" i="23"/>
  <c r="N122" i="23"/>
  <c r="M122" i="23"/>
  <c r="L122" i="23"/>
  <c r="K122" i="23"/>
  <c r="J122" i="23"/>
  <c r="C122" i="23"/>
  <c r="D122" i="23"/>
  <c r="E122" i="23"/>
  <c r="F122" i="23"/>
  <c r="B122" i="23"/>
  <c r="V116" i="23"/>
  <c r="U116" i="23"/>
  <c r="T116" i="23"/>
  <c r="S116" i="23"/>
  <c r="R116" i="23"/>
  <c r="N116" i="23"/>
  <c r="M116" i="23"/>
  <c r="L116" i="23"/>
  <c r="K116" i="23"/>
  <c r="J116" i="23"/>
  <c r="C116" i="23"/>
  <c r="D116" i="23"/>
  <c r="E116" i="23"/>
  <c r="F116" i="23"/>
  <c r="B116" i="23"/>
  <c r="V110" i="23"/>
  <c r="U110" i="23"/>
  <c r="T110" i="23"/>
  <c r="S110" i="23"/>
  <c r="R110" i="23"/>
  <c r="N110" i="23"/>
  <c r="M110" i="23"/>
  <c r="L110" i="23"/>
  <c r="K110" i="23"/>
  <c r="J110" i="23"/>
  <c r="C110" i="23"/>
  <c r="D110" i="23"/>
  <c r="E110" i="23"/>
  <c r="F110" i="23"/>
  <c r="B110" i="23"/>
  <c r="J103" i="23"/>
  <c r="K103" i="23"/>
  <c r="L103" i="23"/>
  <c r="M103" i="23"/>
  <c r="N103" i="23"/>
  <c r="V103" i="23"/>
  <c r="U103" i="23"/>
  <c r="T103" i="23"/>
  <c r="S103" i="23"/>
  <c r="R103" i="23"/>
  <c r="C103" i="23"/>
  <c r="D103" i="23"/>
  <c r="E103" i="23"/>
  <c r="F103" i="23"/>
  <c r="B103" i="23"/>
  <c r="S97" i="23"/>
  <c r="T97" i="23"/>
  <c r="U97" i="23"/>
  <c r="V97" i="23"/>
  <c r="R97" i="23"/>
  <c r="K97" i="23"/>
  <c r="L97" i="23"/>
  <c r="M97" i="23"/>
  <c r="N97" i="23"/>
  <c r="J97" i="23"/>
  <c r="C97" i="23"/>
  <c r="D97" i="23"/>
  <c r="E97" i="23"/>
  <c r="F97" i="23"/>
  <c r="B97" i="23"/>
  <c r="B28" i="24"/>
  <c r="C28" i="24"/>
  <c r="D28" i="24"/>
  <c r="E28" i="24"/>
  <c r="F28" i="24"/>
  <c r="L28" i="24"/>
  <c r="M28" i="24"/>
  <c r="N28" i="24"/>
  <c r="O28" i="24"/>
  <c r="P28" i="24"/>
  <c r="U28" i="24"/>
  <c r="V28" i="24"/>
  <c r="W28" i="24"/>
  <c r="X28" i="24"/>
  <c r="Y28" i="24"/>
  <c r="B29" i="24"/>
  <c r="C29" i="24"/>
  <c r="D29" i="24"/>
  <c r="E29" i="24"/>
  <c r="F29" i="24"/>
  <c r="L29" i="24"/>
  <c r="M29" i="24"/>
  <c r="N29" i="24"/>
  <c r="O29" i="24"/>
  <c r="P29" i="24"/>
  <c r="U29" i="24"/>
  <c r="V29" i="24"/>
  <c r="W29" i="24"/>
  <c r="X29" i="24"/>
  <c r="Y29" i="24"/>
  <c r="B30" i="24"/>
  <c r="C30" i="24"/>
  <c r="C33" i="24" s="1"/>
  <c r="D30" i="24"/>
  <c r="E30" i="24"/>
  <c r="F30" i="24"/>
  <c r="L30" i="24"/>
  <c r="L33" i="24" s="1"/>
  <c r="M30" i="24"/>
  <c r="N30" i="24"/>
  <c r="O30" i="24"/>
  <c r="P30" i="24"/>
  <c r="P33" i="24" s="1"/>
  <c r="U30" i="24"/>
  <c r="V30" i="24"/>
  <c r="W30" i="24"/>
  <c r="X30" i="24"/>
  <c r="X33" i="24" s="1"/>
  <c r="Y30" i="24"/>
  <c r="B31" i="24"/>
  <c r="C31" i="24"/>
  <c r="D31" i="24"/>
  <c r="D33" i="24" s="1"/>
  <c r="E31" i="24"/>
  <c r="F31" i="24"/>
  <c r="L31" i="24"/>
  <c r="M31" i="24"/>
  <c r="M33" i="24" s="1"/>
  <c r="N31" i="24"/>
  <c r="O31" i="24"/>
  <c r="P31" i="24"/>
  <c r="U31" i="24"/>
  <c r="U33" i="24" s="1"/>
  <c r="V31" i="24"/>
  <c r="W31" i="24"/>
  <c r="X31" i="24"/>
  <c r="Y31" i="24"/>
  <c r="Y33" i="24" s="1"/>
  <c r="B32" i="24"/>
  <c r="C32" i="24"/>
  <c r="D32" i="24"/>
  <c r="E32" i="24"/>
  <c r="E33" i="24" s="1"/>
  <c r="F32" i="24"/>
  <c r="L32" i="24"/>
  <c r="M32" i="24"/>
  <c r="N32" i="24"/>
  <c r="N33" i="24" s="1"/>
  <c r="O32" i="24"/>
  <c r="P32" i="24"/>
  <c r="U32" i="24"/>
  <c r="V32" i="24"/>
  <c r="V33" i="24" s="1"/>
  <c r="W32" i="24"/>
  <c r="X32" i="24"/>
  <c r="Y32" i="24"/>
  <c r="B33" i="24"/>
  <c r="F33" i="24"/>
  <c r="O33" i="24"/>
  <c r="W33" i="24"/>
  <c r="B83" i="23" l="1"/>
  <c r="C83" i="23"/>
  <c r="D83" i="23"/>
  <c r="E83" i="23"/>
  <c r="F83" i="23"/>
  <c r="J83" i="23"/>
  <c r="K83" i="23"/>
  <c r="L83" i="23"/>
  <c r="M83" i="23"/>
  <c r="N83" i="23"/>
  <c r="R83" i="23"/>
  <c r="S83" i="23"/>
  <c r="T83" i="23"/>
  <c r="U83" i="23"/>
  <c r="V83" i="23"/>
  <c r="B89" i="23"/>
  <c r="C89" i="23"/>
  <c r="D89" i="23"/>
  <c r="E89" i="23"/>
  <c r="F89" i="23"/>
  <c r="F91" i="23" s="1"/>
  <c r="J89" i="23"/>
  <c r="K89" i="23"/>
  <c r="L89" i="23"/>
  <c r="L91" i="23" s="1"/>
  <c r="M89" i="23"/>
  <c r="M91" i="23" s="1"/>
  <c r="N89" i="23"/>
  <c r="R89" i="23"/>
  <c r="S89" i="23"/>
  <c r="S91" i="23" s="1"/>
  <c r="T89" i="23"/>
  <c r="T91" i="23" s="1"/>
  <c r="U89" i="23"/>
  <c r="V89" i="23"/>
  <c r="B90" i="23"/>
  <c r="C90" i="23"/>
  <c r="C91" i="23" s="1"/>
  <c r="D90" i="23"/>
  <c r="E90" i="23"/>
  <c r="F90" i="23"/>
  <c r="J90" i="23"/>
  <c r="J91" i="23" s="1"/>
  <c r="K90" i="23"/>
  <c r="L90" i="23"/>
  <c r="M90" i="23"/>
  <c r="N90" i="23"/>
  <c r="N91" i="23" s="1"/>
  <c r="R90" i="23"/>
  <c r="S90" i="23"/>
  <c r="T90" i="23"/>
  <c r="U90" i="23"/>
  <c r="U91" i="23" s="1"/>
  <c r="V90" i="23"/>
  <c r="D91" i="23"/>
  <c r="K91" i="23"/>
  <c r="R91" i="23"/>
  <c r="V91" i="23"/>
  <c r="B91" i="23" l="1"/>
  <c r="E91" i="23"/>
  <c r="B5" i="22"/>
  <c r="C5" i="22"/>
  <c r="D5" i="22"/>
  <c r="E5" i="22"/>
  <c r="F5" i="22"/>
  <c r="J5" i="22"/>
  <c r="K5" i="22"/>
  <c r="L5" i="22"/>
  <c r="M5" i="22"/>
  <c r="N5" i="22"/>
  <c r="R5" i="22"/>
  <c r="S5" i="22"/>
  <c r="T5" i="22"/>
  <c r="U5" i="22"/>
  <c r="V5" i="22"/>
  <c r="B6" i="22"/>
  <c r="C6" i="22"/>
  <c r="D6" i="22"/>
  <c r="E6" i="22"/>
  <c r="B7" i="22"/>
  <c r="C7" i="22"/>
  <c r="D7" i="22"/>
  <c r="E7" i="22"/>
  <c r="F7" i="22"/>
  <c r="J7" i="22"/>
  <c r="K7" i="22"/>
  <c r="L7" i="22"/>
  <c r="M7" i="22"/>
  <c r="N7" i="22"/>
  <c r="R7" i="22"/>
  <c r="S7" i="22"/>
  <c r="T7" i="22"/>
  <c r="U7" i="22"/>
  <c r="V7" i="22"/>
  <c r="C8" i="22"/>
  <c r="J8" i="22"/>
  <c r="K8" i="22"/>
  <c r="L8" i="22"/>
  <c r="L9" i="22" s="1"/>
  <c r="M8" i="22"/>
  <c r="B9" i="22"/>
  <c r="C9" i="22"/>
  <c r="D9" i="22"/>
  <c r="E9" i="22"/>
  <c r="F9" i="22"/>
  <c r="J9" i="22"/>
  <c r="K9" i="22"/>
  <c r="M9" i="22"/>
  <c r="N9" i="22"/>
  <c r="R9" i="22"/>
  <c r="S9" i="22"/>
  <c r="T9" i="22"/>
  <c r="U9" i="22"/>
  <c r="V9" i="22"/>
  <c r="B11" i="22"/>
  <c r="C11" i="22"/>
  <c r="D11" i="22"/>
  <c r="E11" i="22"/>
  <c r="F11" i="22"/>
  <c r="J11" i="22"/>
  <c r="K11" i="22"/>
  <c r="L11" i="22"/>
  <c r="M11" i="22"/>
  <c r="N11" i="22"/>
  <c r="R11" i="22"/>
  <c r="S11" i="22"/>
  <c r="T11" i="22"/>
  <c r="U11" i="22"/>
  <c r="V11" i="22"/>
  <c r="B13" i="22"/>
  <c r="C13" i="22"/>
  <c r="D13" i="22"/>
  <c r="E13" i="22"/>
  <c r="F13" i="22"/>
  <c r="J13" i="22"/>
  <c r="K13" i="22"/>
  <c r="L13" i="22"/>
  <c r="M13" i="22"/>
  <c r="N13" i="22"/>
  <c r="R13" i="22"/>
  <c r="S13" i="22"/>
  <c r="T13" i="22"/>
  <c r="U13" i="22"/>
  <c r="V13" i="22"/>
  <c r="B15" i="22"/>
  <c r="C15" i="22"/>
  <c r="D15" i="22"/>
  <c r="E15" i="22"/>
  <c r="F15" i="22"/>
  <c r="J15" i="22"/>
  <c r="K15" i="22"/>
  <c r="L15" i="22"/>
  <c r="M15" i="22"/>
  <c r="N15" i="22"/>
  <c r="R15" i="22"/>
  <c r="S15" i="22"/>
  <c r="T15" i="22"/>
  <c r="U15" i="22"/>
  <c r="V15" i="22"/>
  <c r="C16" i="22"/>
  <c r="D16" i="22"/>
  <c r="B17" i="22"/>
  <c r="C17" i="22"/>
  <c r="D17" i="22"/>
  <c r="E17" i="22"/>
  <c r="F17" i="22"/>
  <c r="J17" i="22"/>
  <c r="K17" i="22"/>
  <c r="L17" i="22"/>
  <c r="M17" i="22"/>
  <c r="N17" i="22"/>
  <c r="R17" i="22"/>
  <c r="S17" i="22"/>
  <c r="T17" i="22"/>
  <c r="U17" i="22"/>
  <c r="V17" i="22"/>
  <c r="B23" i="20"/>
  <c r="C23" i="20"/>
  <c r="D23" i="20"/>
  <c r="E23" i="20"/>
  <c r="F23" i="20"/>
  <c r="L23" i="20"/>
  <c r="M23" i="20"/>
  <c r="N23" i="20"/>
  <c r="O23" i="20"/>
  <c r="P23" i="20"/>
  <c r="U23" i="20"/>
  <c r="V23" i="20"/>
  <c r="W23" i="20"/>
  <c r="X23" i="20"/>
  <c r="Y23" i="20"/>
  <c r="B24" i="20"/>
  <c r="C24" i="20"/>
  <c r="D24" i="20"/>
  <c r="E24" i="20"/>
  <c r="F24" i="20"/>
  <c r="L24" i="20"/>
  <c r="M24" i="20"/>
  <c r="N24" i="20"/>
  <c r="O24" i="20"/>
  <c r="P24" i="20"/>
  <c r="U24" i="20"/>
  <c r="V24" i="20"/>
  <c r="W24" i="20"/>
  <c r="X24" i="20"/>
  <c r="Y24" i="20"/>
  <c r="B25" i="20"/>
  <c r="C25" i="20"/>
  <c r="D25" i="20"/>
  <c r="E25" i="20"/>
  <c r="F25" i="20"/>
  <c r="L25" i="20"/>
  <c r="M25" i="20"/>
  <c r="N25" i="20"/>
  <c r="O25" i="20"/>
  <c r="P25" i="20"/>
  <c r="U25" i="20"/>
  <c r="V25" i="20"/>
  <c r="W25" i="20"/>
  <c r="X25" i="20"/>
  <c r="Y25" i="20"/>
  <c r="B26" i="20"/>
  <c r="C26" i="20"/>
  <c r="D26" i="20"/>
  <c r="E26" i="20"/>
  <c r="F26" i="20"/>
  <c r="L26" i="20"/>
  <c r="M26" i="20"/>
  <c r="N26" i="20"/>
  <c r="O26" i="20"/>
  <c r="P26" i="20"/>
  <c r="U26" i="20"/>
  <c r="V26" i="20"/>
  <c r="W26" i="20"/>
  <c r="X26" i="20"/>
  <c r="Y26" i="20"/>
  <c r="B27" i="20"/>
  <c r="C27" i="20"/>
  <c r="D27" i="20"/>
  <c r="E27" i="20"/>
  <c r="F27" i="20"/>
  <c r="L27" i="20"/>
  <c r="M27" i="20"/>
  <c r="N27" i="20"/>
  <c r="O27" i="20"/>
  <c r="P27" i="20"/>
  <c r="U27" i="20"/>
  <c r="V27" i="20"/>
  <c r="W27" i="20"/>
  <c r="X27" i="20"/>
  <c r="Y27" i="20"/>
  <c r="B62" i="20"/>
  <c r="C62" i="20"/>
  <c r="D62" i="20"/>
  <c r="E62" i="20"/>
  <c r="L62" i="20"/>
  <c r="M62" i="20"/>
  <c r="N62" i="20"/>
  <c r="O62" i="20"/>
  <c r="U62" i="20"/>
  <c r="V62" i="20"/>
  <c r="W62" i="20"/>
  <c r="X62" i="20"/>
  <c r="B63" i="20"/>
  <c r="C63" i="20"/>
  <c r="D63" i="20"/>
  <c r="E63" i="20"/>
  <c r="L63" i="20"/>
  <c r="M63" i="20"/>
  <c r="N63" i="20"/>
  <c r="O63" i="20"/>
  <c r="U63" i="20"/>
  <c r="V63" i="20"/>
  <c r="W63" i="20"/>
  <c r="X63" i="20"/>
  <c r="B64" i="20"/>
  <c r="C64" i="20"/>
  <c r="D64" i="20"/>
  <c r="E64" i="20"/>
  <c r="L64" i="20"/>
  <c r="M64" i="20"/>
  <c r="N64" i="20"/>
  <c r="O64" i="20"/>
  <c r="U64" i="20"/>
  <c r="V64" i="20"/>
  <c r="W64" i="20"/>
  <c r="X64" i="20"/>
  <c r="B78" i="20"/>
  <c r="C78" i="20"/>
  <c r="D78" i="20"/>
  <c r="E78" i="20"/>
  <c r="L78" i="20"/>
  <c r="M78" i="20"/>
  <c r="N78" i="20"/>
  <c r="O78" i="20"/>
  <c r="U78" i="20"/>
  <c r="V78" i="20"/>
  <c r="W78" i="20"/>
  <c r="X78" i="20"/>
  <c r="B79" i="20"/>
  <c r="C79" i="20"/>
  <c r="D79" i="20"/>
  <c r="E79" i="20"/>
  <c r="L79" i="20"/>
  <c r="M79" i="20"/>
  <c r="N79" i="20"/>
  <c r="O79" i="20"/>
  <c r="U79" i="20"/>
  <c r="V79" i="20"/>
  <c r="W79" i="20"/>
  <c r="X79" i="20"/>
  <c r="B80" i="20"/>
  <c r="C80" i="20"/>
  <c r="D80" i="20"/>
  <c r="E80" i="20"/>
  <c r="L80" i="20"/>
  <c r="M80" i="20"/>
  <c r="N80" i="20"/>
  <c r="O80" i="20"/>
  <c r="U80" i="20"/>
  <c r="V80" i="20"/>
  <c r="W80" i="20"/>
  <c r="X80" i="20"/>
  <c r="B105" i="20"/>
  <c r="C105" i="20"/>
  <c r="D105" i="20"/>
  <c r="E105" i="20"/>
  <c r="L105" i="20"/>
  <c r="M105" i="20"/>
  <c r="N105" i="20"/>
  <c r="O105" i="20"/>
  <c r="U105" i="20"/>
  <c r="V105" i="20"/>
  <c r="W105" i="20"/>
  <c r="X105" i="20"/>
  <c r="B106" i="20"/>
  <c r="C106" i="20"/>
  <c r="D106" i="20"/>
  <c r="E106" i="20"/>
  <c r="L106" i="20"/>
  <c r="M106" i="20"/>
  <c r="N106" i="20"/>
  <c r="O106" i="20"/>
  <c r="U106" i="20"/>
  <c r="V106" i="20"/>
  <c r="W106" i="20"/>
  <c r="X106" i="20"/>
  <c r="B107" i="20"/>
  <c r="C107" i="20"/>
  <c r="D107" i="20"/>
  <c r="E107" i="20"/>
  <c r="L107" i="20"/>
  <c r="M107" i="20"/>
  <c r="N107" i="20"/>
  <c r="O107" i="20"/>
  <c r="U107" i="20"/>
  <c r="V107" i="20"/>
  <c r="W107" i="20"/>
  <c r="X107" i="20"/>
  <c r="M55" i="9"/>
  <c r="K55" i="9"/>
  <c r="J55" i="9"/>
  <c r="H55" i="9"/>
  <c r="G55" i="9"/>
  <c r="D124" i="6"/>
  <c r="D125" i="6"/>
  <c r="D126" i="6"/>
  <c r="D123" i="6"/>
  <c r="F29" i="14"/>
  <c r="G29" i="14" s="1"/>
  <c r="F28" i="14"/>
  <c r="G28" i="14" s="1"/>
  <c r="F27" i="14"/>
  <c r="G27" i="14" s="1"/>
  <c r="F26" i="14"/>
  <c r="G26" i="14" s="1"/>
  <c r="F25" i="14"/>
  <c r="G25" i="14" s="1"/>
  <c r="F24" i="14"/>
  <c r="G24" i="14" s="1"/>
  <c r="F23" i="14"/>
  <c r="G23" i="14" s="1"/>
  <c r="L16" i="14"/>
  <c r="J16" i="14"/>
  <c r="H16" i="14"/>
  <c r="F16" i="14"/>
  <c r="D16" i="14"/>
  <c r="F35" i="1"/>
  <c r="R35" i="1"/>
  <c r="AD35" i="1"/>
  <c r="J23" i="9"/>
  <c r="H23" i="9"/>
  <c r="K23" i="9"/>
  <c r="M23" i="9"/>
  <c r="C126" i="6"/>
  <c r="B126" i="6"/>
  <c r="C125" i="6"/>
  <c r="C124" i="6"/>
  <c r="B125" i="6"/>
  <c r="B124" i="6"/>
  <c r="C123" i="6"/>
  <c r="B123" i="6"/>
  <c r="E92" i="6"/>
  <c r="E93" i="6"/>
  <c r="E94" i="6"/>
  <c r="E95" i="6"/>
  <c r="E96" i="6"/>
  <c r="E97" i="6"/>
  <c r="E98" i="6"/>
  <c r="E99" i="6"/>
  <c r="E100" i="6"/>
  <c r="E101" i="6"/>
  <c r="E102" i="6"/>
  <c r="E103" i="6"/>
  <c r="E104" i="6"/>
  <c r="E105" i="6"/>
  <c r="E106" i="6"/>
  <c r="E107" i="6"/>
  <c r="E108" i="6"/>
  <c r="E109" i="6"/>
  <c r="E110" i="6"/>
  <c r="E111" i="6"/>
  <c r="E112" i="6"/>
  <c r="E113" i="6"/>
  <c r="E114" i="6"/>
  <c r="E115" i="6"/>
  <c r="E116" i="6"/>
  <c r="E117" i="6"/>
  <c r="I67" i="6"/>
  <c r="I68" i="6"/>
  <c r="I69" i="6"/>
  <c r="I70" i="6"/>
  <c r="I71" i="6"/>
  <c r="I72" i="6"/>
  <c r="I73" i="6"/>
  <c r="I74" i="6"/>
  <c r="I75" i="6"/>
  <c r="I76" i="6"/>
  <c r="I77" i="6"/>
  <c r="I78" i="6"/>
  <c r="I79" i="6"/>
  <c r="I80" i="6"/>
  <c r="I81" i="6"/>
  <c r="I82" i="6"/>
  <c r="I83" i="6"/>
  <c r="I84" i="6"/>
  <c r="I85" i="6"/>
  <c r="I86" i="6"/>
  <c r="I87" i="6"/>
  <c r="I88" i="6"/>
  <c r="I89" i="6"/>
  <c r="I90" i="6"/>
  <c r="I91" i="6"/>
  <c r="I92" i="6"/>
  <c r="I93" i="6"/>
  <c r="I94" i="6"/>
  <c r="I95" i="6"/>
  <c r="I96" i="6"/>
  <c r="I97" i="6"/>
  <c r="I98" i="6"/>
  <c r="I99" i="6"/>
  <c r="I100" i="6"/>
  <c r="I101" i="6"/>
  <c r="I102" i="6"/>
  <c r="I103" i="6"/>
  <c r="I104" i="6"/>
  <c r="I105" i="6"/>
  <c r="I106" i="6"/>
  <c r="I107" i="6"/>
  <c r="I108" i="6"/>
  <c r="I109" i="6"/>
  <c r="I110" i="6"/>
  <c r="I111" i="6"/>
  <c r="I112" i="6"/>
  <c r="I113" i="6"/>
  <c r="I114" i="6"/>
  <c r="I115" i="6"/>
  <c r="I116" i="6"/>
  <c r="I117" i="6"/>
  <c r="I66" i="6"/>
  <c r="G116" i="6"/>
  <c r="G117" i="6"/>
  <c r="C116" i="6"/>
  <c r="C117" i="6"/>
  <c r="G115" i="6"/>
  <c r="C115" i="6"/>
  <c r="G114" i="6"/>
  <c r="C114" i="6"/>
  <c r="G113" i="6"/>
  <c r="C113" i="6"/>
  <c r="G112" i="6"/>
  <c r="C112" i="6"/>
  <c r="G111" i="6"/>
  <c r="C111" i="6"/>
  <c r="G110" i="6"/>
  <c r="C110" i="6"/>
  <c r="G109" i="6"/>
  <c r="C109" i="6"/>
  <c r="G108" i="6"/>
  <c r="C108" i="6"/>
  <c r="G107" i="6"/>
  <c r="C107" i="6"/>
  <c r="G106" i="6"/>
  <c r="C106" i="6"/>
  <c r="G105" i="6"/>
  <c r="C105" i="6"/>
  <c r="G104" i="6"/>
  <c r="C104" i="6"/>
  <c r="G103" i="6"/>
  <c r="C103" i="6"/>
  <c r="G102" i="6"/>
  <c r="C102" i="6"/>
  <c r="G101" i="6"/>
  <c r="C101" i="6"/>
  <c r="G100" i="6"/>
  <c r="C100" i="6"/>
  <c r="G99" i="6"/>
  <c r="C99" i="6"/>
  <c r="G98" i="6"/>
  <c r="C98" i="6"/>
  <c r="G97" i="6"/>
  <c r="C97" i="6"/>
  <c r="G96" i="6"/>
  <c r="C96" i="6"/>
  <c r="G95" i="6"/>
  <c r="C95" i="6"/>
  <c r="G94" i="6"/>
  <c r="C94" i="6"/>
  <c r="G93" i="6"/>
  <c r="C93" i="6"/>
  <c r="G92" i="6"/>
  <c r="C92" i="6"/>
  <c r="G91" i="6"/>
  <c r="E91" i="6"/>
  <c r="C91" i="6"/>
  <c r="G90" i="6"/>
  <c r="E90" i="6"/>
  <c r="C90" i="6"/>
  <c r="G89" i="6"/>
  <c r="E89" i="6"/>
  <c r="C89" i="6"/>
  <c r="G88" i="6"/>
  <c r="E88" i="6"/>
  <c r="C88" i="6"/>
  <c r="G87" i="6"/>
  <c r="E87" i="6"/>
  <c r="C87" i="6"/>
  <c r="G86" i="6"/>
  <c r="E86" i="6"/>
  <c r="C86" i="6"/>
  <c r="G85" i="6"/>
  <c r="E85" i="6"/>
  <c r="C85" i="6"/>
  <c r="G84" i="6"/>
  <c r="E84" i="6"/>
  <c r="C84" i="6"/>
  <c r="G83" i="6"/>
  <c r="E83" i="6"/>
  <c r="C83" i="6"/>
  <c r="G82" i="6"/>
  <c r="E82" i="6"/>
  <c r="C82" i="6"/>
  <c r="G81" i="6"/>
  <c r="E81" i="6"/>
  <c r="C81" i="6"/>
  <c r="G80" i="6"/>
  <c r="E80" i="6"/>
  <c r="C80" i="6"/>
  <c r="G79" i="6"/>
  <c r="E79" i="6"/>
  <c r="C79" i="6"/>
  <c r="G78" i="6"/>
  <c r="E78" i="6"/>
  <c r="C78" i="6"/>
  <c r="G77" i="6"/>
  <c r="E77" i="6"/>
  <c r="C77" i="6"/>
  <c r="G76" i="6"/>
  <c r="E76" i="6"/>
  <c r="C76" i="6"/>
  <c r="G75" i="6"/>
  <c r="E75" i="6"/>
  <c r="C75" i="6"/>
  <c r="G74" i="6"/>
  <c r="E74" i="6"/>
  <c r="C74" i="6"/>
  <c r="G73" i="6"/>
  <c r="E73" i="6"/>
  <c r="C73" i="6"/>
  <c r="G72" i="6"/>
  <c r="E72" i="6"/>
  <c r="C72" i="6"/>
  <c r="G71" i="6"/>
  <c r="E71" i="6"/>
  <c r="C71" i="6"/>
  <c r="G70" i="6"/>
  <c r="E70" i="6"/>
  <c r="C70" i="6"/>
  <c r="G69" i="6"/>
  <c r="E69" i="6"/>
  <c r="C69" i="6"/>
  <c r="G68" i="6"/>
  <c r="E68" i="6"/>
  <c r="C68" i="6"/>
  <c r="G67" i="6"/>
  <c r="E67" i="6"/>
  <c r="C67" i="6"/>
  <c r="G66" i="6"/>
  <c r="E66" i="6"/>
  <c r="C66" i="6"/>
  <c r="S9" i="7" l="1"/>
  <c r="T9" i="7"/>
  <c r="U9" i="7"/>
  <c r="R9" i="7"/>
  <c r="K9" i="7"/>
  <c r="L9" i="7"/>
  <c r="M9" i="7"/>
  <c r="J9" i="7"/>
  <c r="D9" i="7"/>
  <c r="E9" i="7"/>
  <c r="F9" i="7"/>
  <c r="C9" i="7"/>
  <c r="S74" i="4"/>
  <c r="T74" i="4"/>
  <c r="U74" i="4"/>
  <c r="V74" i="4"/>
  <c r="R74" i="4"/>
  <c r="L74" i="4"/>
  <c r="M74" i="4"/>
  <c r="N74" i="4"/>
  <c r="K74" i="4"/>
  <c r="J74" i="4"/>
  <c r="C74" i="4"/>
  <c r="D74" i="4"/>
  <c r="E74" i="4"/>
  <c r="F74" i="4"/>
  <c r="B74" i="4"/>
  <c r="E86" i="2"/>
  <c r="D86" i="2"/>
  <c r="C86" i="2"/>
  <c r="B86" i="2"/>
  <c r="M86" i="2"/>
  <c r="L86" i="2"/>
  <c r="K86" i="2"/>
  <c r="J86" i="2"/>
  <c r="M55" i="2"/>
  <c r="L55" i="2"/>
  <c r="K55" i="2"/>
  <c r="J55" i="2"/>
  <c r="E116" i="2"/>
  <c r="D116" i="2"/>
  <c r="C116" i="2"/>
  <c r="B116" i="2"/>
  <c r="C55" i="2"/>
  <c r="E55" i="2"/>
  <c r="D55" i="2"/>
  <c r="B55" i="2"/>
  <c r="U86" i="2"/>
  <c r="T86" i="2"/>
  <c r="S86" i="2"/>
  <c r="R86" i="2"/>
  <c r="U55" i="2"/>
  <c r="T55" i="2"/>
  <c r="S55" i="2"/>
  <c r="R55" i="2"/>
  <c r="M116" i="2"/>
  <c r="L116" i="2"/>
  <c r="K116" i="2"/>
  <c r="J116" i="2"/>
  <c r="U116" i="2"/>
  <c r="T116" i="2"/>
  <c r="S116" i="2"/>
  <c r="R116" i="2"/>
</calcChain>
</file>

<file path=xl/sharedStrings.xml><?xml version="1.0" encoding="utf-8"?>
<sst xmlns="http://schemas.openxmlformats.org/spreadsheetml/2006/main" count="1569" uniqueCount="452">
  <si>
    <t>Promoters</t>
  </si>
  <si>
    <t>Domestic Institutions</t>
  </si>
  <si>
    <t>Foreign Institutions</t>
  </si>
  <si>
    <t>Central Gov / President of India</t>
  </si>
  <si>
    <t>Non- Institutional buyers</t>
  </si>
  <si>
    <t>Type of Shareholder</t>
  </si>
  <si>
    <t>ICICI PRUDENTIAL SMALLCAP FUND</t>
  </si>
  <si>
    <t>Foreign Portfolio Investors Category I</t>
  </si>
  <si>
    <t>Rekha Jhunjhunwala</t>
  </si>
  <si>
    <t>A V S R HOLDINGS PRIVATE LIMITED</t>
  </si>
  <si>
    <t>SIRISHA PROJECTS PRIVATE LIMITED</t>
  </si>
  <si>
    <t>Vaibhav Jain</t>
  </si>
  <si>
    <t>Madhavi Jain</t>
  </si>
  <si>
    <t xml:space="preserve">Yogesh Kumar Jain   </t>
  </si>
  <si>
    <t>Pradeep Kumar Jain</t>
  </si>
  <si>
    <t>Hdfc Small Cap Fund</t>
  </si>
  <si>
    <t>Significant  Shareholders ( &gt; 3%)</t>
  </si>
  <si>
    <t>Significant Shareholders ( &gt;5%)</t>
  </si>
  <si>
    <t>Significant Shareholders (&gt;5%)</t>
  </si>
  <si>
    <t>Kamidi Narasimha Reddy</t>
  </si>
  <si>
    <t>Jalandhar Reddy Kamidi</t>
  </si>
  <si>
    <t>Hdfc Mutual Fund</t>
  </si>
  <si>
    <t>Foreign portfolio investors category 1</t>
  </si>
  <si>
    <t>Total operating revenue</t>
  </si>
  <si>
    <t>Net sales revenue</t>
  </si>
  <si>
    <t>      Administrative expenses</t>
  </si>
  <si>
    <t>      Raw materials and consumables used</t>
  </si>
  <si>
    <t>      Employee benefit expense</t>
  </si>
  <si>
    <t>            Wages and salaries</t>
  </si>
  <si>
    <t>      Depreciation, amortization and impairment charges</t>
  </si>
  <si>
    <t>      Net other operating result</t>
  </si>
  <si>
    <t>            Other operating expenses</t>
  </si>
  <si>
    <t>Operating profit (EBIT)</t>
  </si>
  <si>
    <t>EBITDA</t>
  </si>
  <si>
    <t>Financial result</t>
  </si>
  <si>
    <t>      Finance Expenses</t>
  </si>
  <si>
    <t>            Interest expense</t>
  </si>
  <si>
    <t>Net - other non-operating result</t>
  </si>
  <si>
    <t>Profit before income tax</t>
  </si>
  <si>
    <t>Income tax</t>
  </si>
  <si>
    <t>Profit after income tax</t>
  </si>
  <si>
    <t>      Other Extraordinary Items</t>
  </si>
  <si>
    <t>Net Profit (Loss) for the Period</t>
  </si>
  <si>
    <t>      Changes in inventories of finished goods and work in progress</t>
  </si>
  <si>
    <t>      Other costs by nature</t>
  </si>
  <si>
    <t>Sum of 2024</t>
  </si>
  <si>
    <t>Sum of 2023</t>
  </si>
  <si>
    <t>Sum of 2022</t>
  </si>
  <si>
    <t>Sum of 2021</t>
  </si>
  <si>
    <t>Sum of 2020</t>
  </si>
  <si>
    <t>Row Labels</t>
  </si>
  <si>
    <t>Grand Total</t>
  </si>
  <si>
    <t>2024 revenue</t>
  </si>
  <si>
    <t xml:space="preserve"> 2023 revenue</t>
  </si>
  <si>
    <t>2022 revenue</t>
  </si>
  <si>
    <t xml:space="preserve"> 2021 revenue</t>
  </si>
  <si>
    <t>2020 revenue</t>
  </si>
  <si>
    <t xml:space="preserve">%increase in revenue yoy </t>
  </si>
  <si>
    <t>Year</t>
  </si>
  <si>
    <t>YEAR</t>
  </si>
  <si>
    <t>% increase in EBITDA</t>
  </si>
  <si>
    <t>Change in EBITDA YOY</t>
  </si>
  <si>
    <t>Total Operating Revenue</t>
  </si>
  <si>
    <t>NET PROFIT</t>
  </si>
  <si>
    <t>Change in Net Profit YOY</t>
  </si>
  <si>
    <t xml:space="preserve">% change </t>
  </si>
  <si>
    <t>NCC LTD</t>
  </si>
  <si>
    <t>PNC INFRATECH</t>
  </si>
  <si>
    <t>KNR CONSTRUCTION LTD</t>
  </si>
  <si>
    <t>Balance Sheet</t>
  </si>
  <si>
    <t>Total assets</t>
  </si>
  <si>
    <t>      Non-current assets</t>
  </si>
  <si>
    <t>            Property, plant and equipment</t>
  </si>
  <si>
    <t>                  Other property, plant and equipment</t>
  </si>
  <si>
    <t>            Construction in progress</t>
  </si>
  <si>
    <t>            Intangible assets and goodwill</t>
  </si>
  <si>
    <t>            Long-term financial assets</t>
  </si>
  <si>
    <t>                  Other non-current financial assets</t>
  </si>
  <si>
    <t>            Deferred assets</t>
  </si>
  <si>
    <t>      Current assets</t>
  </si>
  <si>
    <t>            Inventories</t>
  </si>
  <si>
    <t>                  Other inventories</t>
  </si>
  <si>
    <t>            Trade and other receivables</t>
  </si>
  <si>
    <t>                  Current trade receivables</t>
  </si>
  <si>
    <t>            Prepayments, accrued income and other deferred current assets</t>
  </si>
  <si>
    <t>            Cash and Cash Equivalents</t>
  </si>
  <si>
    <t>                  Cash at banks and on hand</t>
  </si>
  <si>
    <t>      Net current assets</t>
  </si>
  <si>
    <t>Total equity and liabilities</t>
  </si>
  <si>
    <t>      Total equity</t>
  </si>
  <si>
    <t>            Equity attributable to owners of the parent</t>
  </si>
  <si>
    <t>                  Issued capital</t>
  </si>
  <si>
    <t>                        Ordinary shares</t>
  </si>
  <si>
    <t>                  Other reserves</t>
  </si>
  <si>
    <t>            Minority interest</t>
  </si>
  <si>
    <t>      Total liabilities</t>
  </si>
  <si>
    <t>            Non-current liabilities</t>
  </si>
  <si>
    <t>                  Non-current loans and borrowings</t>
  </si>
  <si>
    <t>                  Deferred revenue, accrued expenses and other deferred non-current liabilities</t>
  </si>
  <si>
    <t>            Current liabilities</t>
  </si>
  <si>
    <t>                  Current loans and borrowings</t>
  </si>
  <si>
    <t>                  Trade and other payables</t>
  </si>
  <si>
    <t>                  Provisions for other liabilities and charges</t>
  </si>
  <si>
    <t>                  Other current liabilities</t>
  </si>
  <si>
    <t>KNR Construction Ltd</t>
  </si>
  <si>
    <t>PNC INFRATECH Ltd</t>
  </si>
  <si>
    <t>2024</t>
  </si>
  <si>
    <t>2023</t>
  </si>
  <si>
    <t>2022</t>
  </si>
  <si>
    <t>2021</t>
  </si>
  <si>
    <t>2020</t>
  </si>
  <si>
    <t xml:space="preserve">Total liabilities </t>
  </si>
  <si>
    <t>Income Statement (Consolidated)</t>
  </si>
  <si>
    <t>Sales per unit of asset deployed</t>
  </si>
  <si>
    <t xml:space="preserve">Net sales per unit of asset deployed </t>
  </si>
  <si>
    <t>Period</t>
  </si>
  <si>
    <t>Financial Year</t>
  </si>
  <si>
    <t>N.A</t>
  </si>
  <si>
    <t xml:space="preserve">Total number of permanent employees </t>
  </si>
  <si>
    <t xml:space="preserve">Sales per employee </t>
  </si>
  <si>
    <t>Sales per employee</t>
  </si>
  <si>
    <t>% growth in 1 year</t>
  </si>
  <si>
    <t>CNX500</t>
  </si>
  <si>
    <t>NCC Ltd</t>
  </si>
  <si>
    <t>PNC Infratech</t>
  </si>
  <si>
    <t>KNR Constructions</t>
  </si>
  <si>
    <t>Share returns v/s Market Index Returns</t>
  </si>
  <si>
    <r>
      <t xml:space="preserve">% Growth in NIFTY 50- </t>
    </r>
    <r>
      <rPr>
        <sz val="16"/>
        <color rgb="FFFF0000"/>
        <rFont val="Aptos Narrow"/>
        <family val="2"/>
        <scheme val="minor"/>
      </rPr>
      <t>24.59%</t>
    </r>
  </si>
  <si>
    <r>
      <t xml:space="preserve">% Growth in NCC Ltd- </t>
    </r>
    <r>
      <rPr>
        <sz val="16"/>
        <color rgb="FFFF0000"/>
        <rFont val="Aptos Narrow"/>
        <family val="2"/>
        <scheme val="minor"/>
      </rPr>
      <t>128.6%</t>
    </r>
  </si>
  <si>
    <r>
      <t xml:space="preserve">% Growth in PNC Infratech- </t>
    </r>
    <r>
      <rPr>
        <sz val="16"/>
        <color rgb="FFFF0000"/>
        <rFont val="Aptos Narrow"/>
        <family val="2"/>
        <scheme val="minor"/>
      </rPr>
      <t>45.84%</t>
    </r>
  </si>
  <si>
    <r>
      <t xml:space="preserve">% Growth in KNR Constructions- </t>
    </r>
    <r>
      <rPr>
        <sz val="16"/>
        <color rgb="FFFF0000"/>
        <rFont val="Aptos Narrow"/>
        <family val="2"/>
        <scheme val="minor"/>
      </rPr>
      <t>51.21%</t>
    </r>
  </si>
  <si>
    <t>Name of Companies</t>
  </si>
  <si>
    <t>Reporting Year</t>
  </si>
  <si>
    <t>Date since when subsidiary was acquired</t>
  </si>
  <si>
    <t>Reporting Currency</t>
  </si>
  <si>
    <t>Share Capital</t>
  </si>
  <si>
    <t>Reserves and Surplus</t>
  </si>
  <si>
    <t>Total Liabilities</t>
  </si>
  <si>
    <t>Total Assets</t>
  </si>
  <si>
    <t>Investments</t>
  </si>
  <si>
    <t>Turnover</t>
  </si>
  <si>
    <t>Profit/
(Loss)
before
Taxation</t>
  </si>
  <si>
    <t>Profit/
(Loss)
after
Taxation</t>
  </si>
  <si>
    <t>Extent of
shareholding
(In
percentage)</t>
  </si>
  <si>
    <t>State</t>
  </si>
  <si>
    <t>Business Type</t>
  </si>
  <si>
    <t>MP Highways Private Limited</t>
  </si>
  <si>
    <t>March 31, 2023</t>
  </si>
  <si>
    <t>December 08, 2010</t>
  </si>
  <si>
    <t>INR</t>
  </si>
  <si>
    <t>Madhya Pradesh</t>
  </si>
  <si>
    <t>Construction, Development, and Management of Highways</t>
  </si>
  <si>
    <t>PNC Infra Holdings Limited</t>
  </si>
  <si>
    <t>January 12, 2011</t>
  </si>
  <si>
    <t>Uttar Pradesh</t>
  </si>
  <si>
    <t>PNC Kanpur Highways Limited</t>
  </si>
  <si>
    <t>PNC Delhi Industrial Infra Limited</t>
  </si>
  <si>
    <t>July 07, 2011</t>
  </si>
  <si>
    <t>Delhi</t>
  </si>
  <si>
    <t>PNC Bareilly Naintal Highways Limited</t>
  </si>
  <si>
    <t>PNC Raebareili Highways Private Limited</t>
  </si>
  <si>
    <t>August 28, 2012</t>
  </si>
  <si>
    <t>PNC Kanpur Ayodhya Tollways Private Limited</t>
  </si>
  <si>
    <t>February 19, 2023</t>
  </si>
  <si>
    <t>PNC Rajasthan Highways Private Limited</t>
  </si>
  <si>
    <t>August 22, 2016</t>
  </si>
  <si>
    <t>Rajasthan</t>
  </si>
  <si>
    <t>PNC Chitradurga Highways private Limited</t>
  </si>
  <si>
    <t>April 20, 2017</t>
  </si>
  <si>
    <t>Karnataka</t>
  </si>
  <si>
    <t>PNC Bundelkhand Highways Private Limited</t>
  </si>
  <si>
    <t>April 21, 2017</t>
  </si>
  <si>
    <t>PNC Khajuraho Highways Private Limited</t>
  </si>
  <si>
    <t>PNC Triveni Sangam Highways Private Limited</t>
  </si>
  <si>
    <t>December 27, 2017</t>
  </si>
  <si>
    <t>PNC Aligarh Highways Private Limited</t>
  </si>
  <si>
    <t>April 12, 2018</t>
  </si>
  <si>
    <t>PNC Challakere (Karnataka) Highways Private Limited</t>
  </si>
  <si>
    <t>July 06, 2018</t>
  </si>
  <si>
    <t>PNC Unnao Highways Private Limited</t>
  </si>
  <si>
    <t>March 20, 2020</t>
  </si>
  <si>
    <t>PNC Gomti Highways Private Limited</t>
  </si>
  <si>
    <t>PNC Bithur Kanpur Highways Private Limited</t>
  </si>
  <si>
    <t>June 15, 2020</t>
  </si>
  <si>
    <t>PNC Meerut Haridwar Highways Private Limited</t>
  </si>
  <si>
    <t>March 31, 2031</t>
  </si>
  <si>
    <t>July 12, 2020</t>
  </si>
  <si>
    <t>Kanpur Lucknow Expressway Private Limited</t>
  </si>
  <si>
    <t>April 11, 2022</t>
  </si>
  <si>
    <t>Hardoi Highways Private Limited</t>
  </si>
  <si>
    <t>Awadh Expressway Private Limited</t>
  </si>
  <si>
    <t>April 13, 2022</t>
  </si>
  <si>
    <t>Sonauli Gorakhpur Highways Private Limited</t>
  </si>
  <si>
    <t>April 21, 2022</t>
  </si>
  <si>
    <t>Akkalkot Highways Private Limited</t>
  </si>
  <si>
    <t>April 22, 2022</t>
  </si>
  <si>
    <t>Maharashtra</t>
  </si>
  <si>
    <t>Yamuna Highways Private Limited</t>
  </si>
  <si>
    <t>April 25, 2022</t>
  </si>
  <si>
    <t>Hathras Highways Private Limited</t>
  </si>
  <si>
    <t>Shareholding Pattern</t>
  </si>
  <si>
    <t>% of holdings (as on 31/04/24)</t>
  </si>
  <si>
    <t>%of shares held  FY24(31/04)</t>
  </si>
  <si>
    <t>%of shares held FY23(31/04)</t>
  </si>
  <si>
    <t>Free Float Market Cap (23/07/24)</t>
  </si>
  <si>
    <t>Total Market Cap (₹ Cr.)</t>
  </si>
  <si>
    <t>SHARE PRICE</t>
  </si>
  <si>
    <t>Date</t>
  </si>
  <si>
    <t>NIFTY 50</t>
  </si>
  <si>
    <t>Open(in Rs.)</t>
  </si>
  <si>
    <t>SPR(in%)</t>
  </si>
  <si>
    <t>SPR(in %)</t>
  </si>
  <si>
    <t xml:space="preserve">PNC </t>
  </si>
  <si>
    <t>Mean Price</t>
  </si>
  <si>
    <t>Standard Deviation</t>
  </si>
  <si>
    <t>KNR Construction</t>
  </si>
  <si>
    <r>
      <rPr>
        <b/>
        <sz val="16"/>
        <color theme="1"/>
        <rFont val="Aptos Narrow"/>
        <family val="2"/>
        <scheme val="minor"/>
      </rPr>
      <t>ABOUT THE COMPANY-</t>
    </r>
    <r>
      <rPr>
        <sz val="11"/>
        <color theme="1"/>
        <rFont val="Aptos Narrow"/>
        <family val="2"/>
        <scheme val="minor"/>
      </rPr>
      <t xml:space="preserve">
</t>
    </r>
    <r>
      <rPr>
        <sz val="11"/>
        <color theme="1"/>
        <rFont val="Bahnschrift SemiBold"/>
        <family val="2"/>
      </rPr>
      <t xml:space="preserve"> NCC has expanded its presence in various sectors of construction and infrastructure 
development. Our construction endeavours span across the Nation and encompass Buildings, 
Transportation, Water and Environment, Electrical Transmission and Distribution, Irrigation, 
Mining, and railways projects. Each project we undertake is characterised by exceptional 
quality. Over the past four decades and more, we have experienced significant growth,  
in terms of the quantity and diversity of projects. We have continuously enhanced our 
expertise and capabilities within the Organisation to successfully manage intricate and 
demanding projects. The extensive projects entrusted to and successfully completed by 
us,serve as a testament to our competence and unwavering dedication.</t>
    </r>
  </si>
  <si>
    <t>Provision
 for
taxation</t>
  </si>
  <si>
    <t>Name of the Subsidiary</t>
  </si>
  <si>
    <t>ReportingYear</t>
  </si>
  <si>
    <t>Reporting
currency</t>
  </si>
  <si>
    <t>Share Capital (in rs crores</t>
  </si>
  <si>
    <t>Total
Liabilities (in rs crores)</t>
  </si>
  <si>
    <t>Total
Assets (in rs crores)</t>
  </si>
  <si>
    <t>Investments (in rs crores)</t>
  </si>
  <si>
    <t>Turnover (in rs crores)</t>
  </si>
  <si>
    <t>Profit/
(Loss)
before
Taxation (in rs crores)</t>
  </si>
  <si>
    <t>Provision
for
taxation (in rs crores)</t>
  </si>
  <si>
    <t>Profit/
(Loss)
after
Taxation (in rs crores)</t>
  </si>
  <si>
    <t xml:space="preserve"> State</t>
  </si>
  <si>
    <t xml:space="preserve"> Business Type</t>
  </si>
  <si>
    <t>NCC Urban Infrastructure
Limited</t>
  </si>
  <si>
    <t>8-Dec-2006</t>
  </si>
  <si>
    <t xml:space="preserve"> Telangana</t>
  </si>
  <si>
    <t xml:space="preserve"> Real Estate Development</t>
  </si>
  <si>
    <t>NCC Infrastructure Holdings
Limited</t>
  </si>
  <si>
    <t>27-May-2005</t>
  </si>
  <si>
    <t>-</t>
  </si>
  <si>
    <t xml:space="preserve"> Infrastructure Development</t>
  </si>
  <si>
    <t>Samashti Gas Energy Limited</t>
  </si>
  <si>
    <t>29-Sep-2010</t>
  </si>
  <si>
    <t xml:space="preserve"> Andhra Pradesh</t>
  </si>
  <si>
    <t xml:space="preserve"> Energy (Gas)</t>
  </si>
  <si>
    <t>NCC Infra Limited</t>
  </si>
  <si>
    <t>28-Nov-2011</t>
  </si>
  <si>
    <t>OB Infrastructure Limited</t>
  </si>
  <si>
    <t>31-Mar-2006</t>
  </si>
  <si>
    <t xml:space="preserve"> Karnataka</t>
  </si>
  <si>
    <t>Pachhwara Coal Mining
Private Limited</t>
  </si>
  <si>
    <t>1-Jun-2016</t>
  </si>
  <si>
    <t xml:space="preserve"> Jharkhand</t>
  </si>
  <si>
    <t xml:space="preserve"> Mining (Coal)</t>
  </si>
  <si>
    <t>Talaipalli Coal Mining Private
Limited</t>
  </si>
  <si>
    <t>25-Dec-2017</t>
  </si>
  <si>
    <t xml:space="preserve"> Chhattisgarh</t>
  </si>
  <si>
    <t>Savitra Agri Industrial Park
Private Limited</t>
  </si>
  <si>
    <t>17-Feb-2017</t>
  </si>
  <si>
    <t xml:space="preserve"> Maharashtra</t>
  </si>
  <si>
    <t xml:space="preserve"> Industrial Parks (Agriculture)</t>
  </si>
  <si>
    <t>CSVS Property Developers
Private Limited</t>
  </si>
  <si>
    <t>13-Feb-2007</t>
  </si>
  <si>
    <t xml:space="preserve"> Tamil Nadu</t>
  </si>
  <si>
    <t>Dhatri Developers &amp; Projects
Private Limited</t>
  </si>
  <si>
    <t>13-Feb-2006</t>
  </si>
  <si>
    <t xml:space="preserve"> Real Estate and Infrastructure Development</t>
  </si>
  <si>
    <t>JIC Homes Private Limited</t>
  </si>
  <si>
    <t>12-Feb-2007</t>
  </si>
  <si>
    <t xml:space="preserve"> Real Estate Development (Residential)</t>
  </si>
  <si>
    <t>M A Property Developers
Private Limited</t>
  </si>
  <si>
    <t>17-Feb-2007</t>
  </si>
  <si>
    <t>Mallelavanam Property
Developers Private Limited</t>
  </si>
  <si>
    <t>15-Mar-2007</t>
  </si>
  <si>
    <t>Sushanti Housing Private
Limited</t>
  </si>
  <si>
    <t xml:space="preserve"> Real Estate Development (Housing)</t>
  </si>
  <si>
    <t>Sushrutha Real Estate Private
Limited</t>
  </si>
  <si>
    <t>Sushanti Avenues Private
Limited</t>
  </si>
  <si>
    <t>Vera Avenues Private Limited</t>
  </si>
  <si>
    <t>NCC Urban Ventures Private
Limited</t>
  </si>
  <si>
    <t>11-Sep-2012</t>
  </si>
  <si>
    <t xml:space="preserve"> Urban Infrastructure and Real Estate Development</t>
  </si>
  <si>
    <t>NCC Urban Homes Private
Limited</t>
  </si>
  <si>
    <t>Date since when
subsidiary was
acquired</t>
  </si>
  <si>
    <t>Cash Flow Statement</t>
  </si>
  <si>
    <t>Net cash flow from (used in) operating activities</t>
  </si>
  <si>
    <t>      Cash generated from operations</t>
  </si>
  <si>
    <t>            Adjustments for: Other adjustments</t>
  </si>
  <si>
    <t>            Changes in: Other changes</t>
  </si>
  <si>
    <t>Net cash flow from (used in) investing activities</t>
  </si>
  <si>
    <t>      Other investing activity cash flows</t>
  </si>
  <si>
    <t>Net cash flow from (used in) financing activities</t>
  </si>
  <si>
    <t>      Other financing activity cash flow</t>
  </si>
  <si>
    <t>Net increase (decrease) in cash and cash equivalents</t>
  </si>
  <si>
    <t>Cash at the beginning of the period</t>
  </si>
  <si>
    <t>Cash at the end of the period</t>
  </si>
  <si>
    <t xml:space="preserve">KNR Constructions </t>
  </si>
  <si>
    <t>Announcement Type</t>
  </si>
  <si>
    <t>Details</t>
  </si>
  <si>
    <t xml:space="preserve">Price before announcements </t>
  </si>
  <si>
    <t>Price after announcements</t>
  </si>
  <si>
    <t>% Change</t>
  </si>
  <si>
    <t>Price reaction</t>
  </si>
  <si>
    <t>Analyst/Investor Meet</t>
  </si>
  <si>
    <t>Receipt of Orders</t>
  </si>
  <si>
    <t>Disclosure of new contracts received during March 2024</t>
  </si>
  <si>
    <t>Free Float Factor</t>
  </si>
  <si>
    <t>As at March 31, 2023</t>
  </si>
  <si>
    <t>As at March 31, 2022</t>
  </si>
  <si>
    <t>As at March 31, 2021</t>
  </si>
  <si>
    <t>As at March 31, 2020</t>
  </si>
  <si>
    <t>As at March 31, 2019</t>
  </si>
  <si>
    <t>Serial No.</t>
  </si>
  <si>
    <t>INVESTMENTS</t>
  </si>
  <si>
    <t>NO OF SHARES</t>
  </si>
  <si>
    <t>AMOUNT (IN RS. CRORES)</t>
  </si>
  <si>
    <t>In Shares of Rs 10 each, fully paid up Paschal Form Work (India) Private Limited</t>
  </si>
  <si>
    <t>Brindavan Infrastructure Company Limited</t>
  </si>
  <si>
    <t>Pondicherry Tindivanam Tollway Private Limited (valued at Rs. 1,000)</t>
  </si>
  <si>
    <t>In Shares of one USD each fully paid up Apollonius Coal and Energy Pte Limited</t>
  </si>
  <si>
    <t>In Shares of 'AED' 1000 each fully paid up Nagarjuna Facilities Management Services, LLC, Dubai</t>
  </si>
  <si>
    <t>NCC Infrastructure Holdings Mauritius Pte. Ltd. (US $ 1 each)</t>
  </si>
  <si>
    <t>NAC Quippo Equipment Services Limited</t>
  </si>
  <si>
    <t>Trust MF Banking &amp; PSU Debt Fund</t>
  </si>
  <si>
    <t>In Shares of Rs 10 each, fully paid up Tellapur Techno City Private Limited</t>
  </si>
  <si>
    <t>Tellapur Techno City Private Limited (of Rs 1 each, fully paid up)</t>
  </si>
  <si>
    <t>Total</t>
  </si>
  <si>
    <t xml:space="preserve">Credit Rating </t>
  </si>
  <si>
    <t>Upgraded the company's credit rating</t>
  </si>
  <si>
    <t>Declared dividend and had analyst meet</t>
  </si>
  <si>
    <t>Clarification</t>
  </si>
  <si>
    <t>Clarification to SEBI that NCC doesn't fall under the category of 'Large Coporate'</t>
  </si>
  <si>
    <t>Loss of share certificate</t>
  </si>
  <si>
    <t>Loss of share certificate of KFIN TECHNOLOGIES LIMITED</t>
  </si>
  <si>
    <t>Updation of KPM</t>
  </si>
  <si>
    <t>NCC Limited has informed the Exchange regarding 'Updation of KMP under Regualtion 30(5) of the SEBI (LODR) Regulations, 205'</t>
  </si>
  <si>
    <t>Board Meeting Imitation</t>
  </si>
  <si>
    <t>Board Meeting to be held on 10-Aug-2023 to inter-alia consider and approve the Unaudited Financial results of the Company for the Quarterly ended June 2023</t>
  </si>
  <si>
    <t>Announcements ( NCC)</t>
  </si>
  <si>
    <t>Major Investments (NCC)</t>
  </si>
  <si>
    <t>Country of Target</t>
  </si>
  <si>
    <t>Target Company</t>
  </si>
  <si>
    <t>Deal Type</t>
  </si>
  <si>
    <t>Buyer</t>
  </si>
  <si>
    <t>Seller</t>
  </si>
  <si>
    <t>Deal Industries</t>
  </si>
  <si>
    <t>Deal Value USD (mn)</t>
  </si>
  <si>
    <t>Stake %</t>
  </si>
  <si>
    <t>India</t>
  </si>
  <si>
    <t>PNC Infratech Ltd</t>
  </si>
  <si>
    <t>Open market purchase</t>
  </si>
  <si>
    <t>Buyer(s) unknown</t>
  </si>
  <si>
    <t>Nylim Jacob Ballas India Fund III LLC</t>
  </si>
  <si>
    <t>Highway, Street, and Bridge Construction, Power and Communication Line and Related Structures Construction, Commercial and Institutional Building Construction</t>
  </si>
  <si>
    <t>Jaora - Nayagaon Toll Road Co Pvt Ltd</t>
  </si>
  <si>
    <t>Minority stake</t>
  </si>
  <si>
    <t>Ashoka Buildcon Ltd.</t>
  </si>
  <si>
    <t>Other Support Activities for Road Transportation, Highway, Street, and Bridge Construction</t>
  </si>
  <si>
    <t>IPO</t>
  </si>
  <si>
    <t>Reliance Capital Ltd (RCL), Larsen &amp; Toubro Ltd (L&amp;T), Sundaram Mutual Fund, Kotak Mahindra Bank Ltd (KMB), The Goldman Sachs Group Inc, Birla Sun Life Asset Management Co Ltd, HDFC Mutual Fund, DSP BlackRock Investment Managers Pvt Ltd., Undisclosed buyer(s)</t>
  </si>
  <si>
    <t>NYLIM Jacob Ballas India</t>
  </si>
  <si>
    <t>Jacob Ballas Capital India Pvt Ltd</t>
  </si>
  <si>
    <t>N/A</t>
  </si>
  <si>
    <t>Construction</t>
  </si>
  <si>
    <t>Sembcorp Gayatri Power Ltd</t>
  </si>
  <si>
    <t>Sembcorp Industries Ltd</t>
  </si>
  <si>
    <t>Fossil Fuel Electric Power Generation, Hydroelectric Power Generation</t>
  </si>
  <si>
    <t>Hillcroft Investments Company Pvt Ltd, Rare Share &amp; Stocks Pvt Ltd, Rakesh Jhunjhunwala - private investor, Rekha Jhunjhunwala - private investor</t>
  </si>
  <si>
    <t>Heavy and Civil Engineering Construction</t>
  </si>
  <si>
    <t>Buyer(s) unknown, OHM Investment Corporation</t>
  </si>
  <si>
    <t>Warhol Ltd</t>
  </si>
  <si>
    <t>Block trade</t>
  </si>
  <si>
    <t>Undisclosed investor(s)</t>
  </si>
  <si>
    <t>Beacon India Private Equity Fund</t>
  </si>
  <si>
    <t>NCC Ltd, Gayatri Projects Ltd</t>
  </si>
  <si>
    <t>Wisdomtree Trust</t>
  </si>
  <si>
    <t>ChrysCapital</t>
  </si>
  <si>
    <t xml:space="preserve">MERGERS &amp; AQUISITIONS </t>
  </si>
  <si>
    <t>Coefficient of Variation</t>
  </si>
  <si>
    <t>Net sales revenue (in crores)</t>
  </si>
  <si>
    <t>Debt to Equity Ratio</t>
  </si>
  <si>
    <t>Company</t>
  </si>
  <si>
    <t>Sources of information used for this project</t>
  </si>
  <si>
    <t>Acid Test/ Cash Ratio</t>
  </si>
  <si>
    <t>Quick Ratio</t>
  </si>
  <si>
    <t>Current Ratio</t>
  </si>
  <si>
    <t>Ratios</t>
  </si>
  <si>
    <t>KNR CONSTRUCTIONS Ltd</t>
  </si>
  <si>
    <t>Liquidity Ratios</t>
  </si>
  <si>
    <t>Interest coverage ratio</t>
  </si>
  <si>
    <t>Asset to Equity ratio</t>
  </si>
  <si>
    <t>Debt to Equity ratio</t>
  </si>
  <si>
    <t>Solvency Ratios</t>
  </si>
  <si>
    <t>Trade Recievables Ratio</t>
  </si>
  <si>
    <t>Inventory Turnover Ratio</t>
  </si>
  <si>
    <t>Asset Turnover Ratio</t>
  </si>
  <si>
    <t>Efficiency Ratio</t>
  </si>
  <si>
    <t>ROCE</t>
  </si>
  <si>
    <t>Operating Margin</t>
  </si>
  <si>
    <t>Net margin Ratio</t>
  </si>
  <si>
    <t>ROE</t>
  </si>
  <si>
    <t>ROA</t>
  </si>
  <si>
    <t>   Trade and other receivables</t>
  </si>
  <si>
    <t> Trade and other receivables</t>
  </si>
  <si>
    <t>    Cash and Cash Equivalents</t>
  </si>
  <si>
    <t>Cash and cash Equivalents</t>
  </si>
  <si>
    <t>EBT</t>
  </si>
  <si>
    <t>Profitability Ratios</t>
  </si>
  <si>
    <t>KNR Constructions Ltd</t>
  </si>
  <si>
    <t>Other Expense as % of sales</t>
  </si>
  <si>
    <t xml:space="preserve">Other Expense </t>
  </si>
  <si>
    <t>Depriciation and Amortisation as % of sales</t>
  </si>
  <si>
    <t xml:space="preserve">Depriciation and Amortisation </t>
  </si>
  <si>
    <t>Finance cost as % of sales</t>
  </si>
  <si>
    <t xml:space="preserve">Finance cost </t>
  </si>
  <si>
    <t>Employee benefit expense as % of sales</t>
  </si>
  <si>
    <t xml:space="preserve">Employee benefit expense </t>
  </si>
  <si>
    <t>Change in inventory as % of sales</t>
  </si>
  <si>
    <t xml:space="preserve">Change in inventory </t>
  </si>
  <si>
    <t>Purchase of Stock-in-Trade as % of sales</t>
  </si>
  <si>
    <t xml:space="preserve">Purchase of Stock-in-Trade </t>
  </si>
  <si>
    <t>Cost of material consumed as % of sales</t>
  </si>
  <si>
    <t xml:space="preserve">Cost of material consumed </t>
  </si>
  <si>
    <t>Sales</t>
  </si>
  <si>
    <t>Line Graph</t>
  </si>
  <si>
    <t xml:space="preserve">Company </t>
  </si>
  <si>
    <t>PNC Infratech LTD</t>
  </si>
  <si>
    <t>Interest Coverage Ratio</t>
  </si>
  <si>
    <t>Interest Expense</t>
  </si>
  <si>
    <t>CFO+ Tax</t>
  </si>
  <si>
    <t>Tax</t>
  </si>
  <si>
    <t>Cash From Operations</t>
  </si>
  <si>
    <t>Cash Realisation Ratio</t>
  </si>
  <si>
    <t>Cash Realisation Ratio = CFO/ Net Income</t>
  </si>
  <si>
    <t>Net Income</t>
  </si>
  <si>
    <t>Equity multiplier</t>
  </si>
  <si>
    <t>Asset turnover ratio</t>
  </si>
  <si>
    <t>Operating margin</t>
  </si>
  <si>
    <t>Interest factor</t>
  </si>
  <si>
    <t>Tax factor</t>
  </si>
  <si>
    <t>Du pont analysis</t>
  </si>
  <si>
    <t>Du Pont Analysis</t>
  </si>
  <si>
    <t xml:space="preserve"> </t>
  </si>
  <si>
    <t>No. of Equity Shares</t>
  </si>
  <si>
    <t>Cash flow per share</t>
  </si>
  <si>
    <t>Cash from Financing</t>
  </si>
  <si>
    <t>External Financing Ratio</t>
  </si>
  <si>
    <t>Cash from Investing</t>
  </si>
  <si>
    <t>Cash generating Power</t>
  </si>
  <si>
    <t>Cash generating power</t>
  </si>
  <si>
    <t>Long term Debt</t>
  </si>
  <si>
    <t>Long term Debt converage ratio</t>
  </si>
  <si>
    <t>Current Liabilities</t>
  </si>
  <si>
    <t>Current Liabilities Coverage Ratio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</si>
</sst>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numFmts>
  <fonts count="54" x14ac:knownFonts="1">
    <font>
      <sz val="11"/>
      <color theme="1"/>
      <name val="Aptos Narrow"/>
      <family val="2"/>
      <scheme val="minor"/>
    </font>
    <font>
      <sz val="11"/>
      <color theme="1"/>
      <name val="Calibri"/>
      <family val="2"/>
    </font>
    <font>
      <sz val="11"/>
      <color theme="1"/>
      <name val="Calibri"/>
      <family val="2"/>
    </font>
    <font>
      <sz val="22"/>
      <color theme="1"/>
      <name val="Aptos Narrow"/>
      <family val="2"/>
      <scheme val="minor"/>
    </font>
    <font>
      <sz val="16"/>
      <color theme="1"/>
      <name val="Aptos Narrow"/>
      <family val="2"/>
      <scheme val="minor"/>
    </font>
    <font>
      <sz val="14"/>
      <color theme="1"/>
      <name val="Aptos Narrow"/>
      <family val="2"/>
      <scheme val="minor"/>
    </font>
    <font>
      <sz val="11"/>
      <color rgb="FF000000"/>
      <name val="Calibri"/>
      <family val="2"/>
    </font>
    <font>
      <sz val="10"/>
      <color rgb="FF000000"/>
      <name val="Calibri"/>
      <family val="2"/>
    </font>
    <font>
      <b/>
      <sz val="10"/>
      <color rgb="FF000080"/>
      <name val="Calibri"/>
      <family val="2"/>
    </font>
    <font>
      <b/>
      <i/>
      <sz val="14"/>
      <color theme="1"/>
      <name val="Aptos Narrow"/>
      <family val="2"/>
      <scheme val="minor"/>
    </font>
    <font>
      <b/>
      <i/>
      <sz val="16"/>
      <color theme="1"/>
      <name val="Aptos Narrow"/>
      <family val="2"/>
      <scheme val="minor"/>
    </font>
    <font>
      <b/>
      <i/>
      <sz val="18"/>
      <color theme="1"/>
      <name val="Aptos Narrow"/>
      <family val="2"/>
      <scheme val="minor"/>
    </font>
    <font>
      <sz val="20"/>
      <color rgb="FFFF0000"/>
      <name val="Aptos Narrow"/>
      <family val="2"/>
      <scheme val="minor"/>
    </font>
    <font>
      <sz val="16"/>
      <color rgb="FFFF0000"/>
      <name val="Aptos Narrow"/>
      <family val="2"/>
      <scheme val="minor"/>
    </font>
    <font>
      <b/>
      <sz val="11"/>
      <color theme="1"/>
      <name val="Aptos Narrow"/>
      <family val="2"/>
      <scheme val="minor"/>
    </font>
    <font>
      <sz val="11"/>
      <color rgb="FF212529"/>
      <name val="Aptos Display"/>
      <family val="2"/>
      <scheme val="major"/>
    </font>
    <font>
      <b/>
      <sz val="24"/>
      <color theme="0"/>
      <name val="Aptos Narrow"/>
      <family val="2"/>
      <scheme val="minor"/>
    </font>
    <font>
      <b/>
      <sz val="12"/>
      <color theme="1"/>
      <name val="Arial"/>
      <family val="2"/>
    </font>
    <font>
      <sz val="12"/>
      <color theme="9"/>
      <name val="Arial"/>
      <family val="2"/>
    </font>
    <font>
      <sz val="12"/>
      <color rgb="FFFF0000"/>
      <name val="Arial"/>
      <family val="2"/>
    </font>
    <font>
      <sz val="12"/>
      <color rgb="FF92D050"/>
      <name val="Arial"/>
      <family val="2"/>
    </font>
    <font>
      <b/>
      <sz val="16"/>
      <color theme="1"/>
      <name val="Aptos Narrow"/>
      <family val="2"/>
      <scheme val="minor"/>
    </font>
    <font>
      <sz val="11"/>
      <color theme="1"/>
      <name val="Bahnschrift SemiBold"/>
      <family val="2"/>
    </font>
    <font>
      <b/>
      <i/>
      <sz val="20"/>
      <color theme="1"/>
      <name val="Aptos Narrow"/>
      <family val="2"/>
      <scheme val="minor"/>
    </font>
    <font>
      <b/>
      <sz val="18"/>
      <color theme="1"/>
      <name val="Aptos Narrow"/>
      <family val="2"/>
      <scheme val="minor"/>
    </font>
    <font>
      <sz val="11"/>
      <color theme="1"/>
      <name val="Calibri"/>
      <family val="2"/>
    </font>
    <font>
      <b/>
      <sz val="11"/>
      <color theme="1"/>
      <name val="Calibri"/>
      <family val="2"/>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sz val="11"/>
      <color theme="0"/>
      <name val="Aptos Narrow"/>
      <family val="2"/>
      <scheme val="minor"/>
    </font>
    <font>
      <b/>
      <sz val="14"/>
      <color theme="1"/>
      <name val="Aptos Narrow"/>
      <family val="2"/>
      <scheme val="minor"/>
    </font>
    <font>
      <sz val="18"/>
      <color theme="1"/>
      <name val="Aptos Narrow"/>
      <family val="2"/>
      <scheme val="minor"/>
    </font>
    <font>
      <u/>
      <sz val="8"/>
      <color rgb="FF0000FF"/>
      <name val="Aptos Narrow"/>
      <family val="2"/>
      <scheme val="minor"/>
    </font>
    <font>
      <u/>
      <sz val="8"/>
      <color rgb="FF800080"/>
      <name val="Aptos Narrow"/>
      <family val="2"/>
      <scheme val="minor"/>
    </font>
    <font>
      <sz val="8"/>
      <color theme="1"/>
      <name val="Aptos Narrow"/>
      <family val="2"/>
      <scheme val="minor"/>
    </font>
    <font>
      <b/>
      <sz val="8"/>
      <color theme="1"/>
      <name val="Aptos Narrow"/>
      <family val="2"/>
      <scheme val="minor"/>
    </font>
    <font>
      <b/>
      <sz val="22"/>
      <color theme="1"/>
      <name val="Aptos Narrow"/>
      <family val="2"/>
      <scheme val="minor"/>
    </font>
    <font>
      <sz val="11"/>
      <name val="Aptos Narrow"/>
      <family val="2"/>
      <scheme val="minor"/>
    </font>
    <font>
      <sz val="14"/>
      <color rgb="FFFF0000"/>
      <name val="Aptos Narrow"/>
      <family val="2"/>
      <scheme val="minor"/>
    </font>
    <font>
      <sz val="20"/>
      <color theme="1"/>
      <name val="Aptos Narrow"/>
      <family val="2"/>
      <scheme val="minor"/>
    </font>
    <font>
      <b/>
      <sz val="11"/>
      <color rgb="FF000080"/>
      <name val="Calibri"/>
      <family val="2"/>
    </font>
  </fonts>
  <fills count="62">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rgb="FFF2F2F2"/>
        <bgColor rgb="FF000000"/>
      </patternFill>
    </fill>
    <fill>
      <patternFill patternType="solid">
        <fgColor rgb="FFFFFF00"/>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rgb="FFFFC000"/>
        <bgColor indexed="64"/>
      </patternFill>
    </fill>
    <fill>
      <patternFill patternType="solid">
        <fgColor theme="1"/>
        <bgColor indexed="64"/>
      </patternFill>
    </fill>
    <fill>
      <patternFill patternType="solid">
        <fgColor theme="4" tint="0.39997558519241921"/>
        <bgColor indexed="64"/>
      </patternFill>
    </fill>
    <fill>
      <patternFill patternType="solid">
        <fgColor rgb="FF002060"/>
        <bgColor indexed="64"/>
      </patternFill>
    </fill>
    <fill>
      <patternFill patternType="solid">
        <fgColor theme="2" tint="-9.9978637043366805E-2"/>
        <bgColor indexed="64"/>
      </patternFill>
    </fill>
    <fill>
      <patternFill patternType="solid">
        <fgColor theme="9" tint="0.79998168889431442"/>
        <bgColor indexed="64"/>
      </patternFill>
    </fill>
    <fill>
      <patternFill patternType="solid">
        <fgColor theme="4" tint="0.59999389629810485"/>
        <bgColor indexed="64"/>
      </patternFill>
    </fill>
    <fill>
      <patternFill patternType="solid">
        <fgColor theme="6" tint="0.59999389629810485"/>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FF"/>
        <bgColor indexed="64"/>
      </patternFill>
    </fill>
    <fill>
      <patternFill patternType="solid">
        <fgColor theme="6" tint="0.79998168889431442"/>
        <bgColor indexed="64"/>
      </patternFill>
    </fill>
    <fill>
      <patternFill patternType="solid">
        <fgColor theme="2"/>
        <bgColor indexed="64"/>
      </patternFill>
    </fill>
    <fill>
      <patternFill patternType="solid">
        <fgColor rgb="FFFF0000"/>
        <bgColor indexed="64"/>
      </patternFill>
    </fill>
    <fill>
      <patternFill patternType="solid">
        <fgColor theme="7"/>
        <bgColor indexed="64"/>
      </patternFill>
    </fill>
    <fill>
      <patternFill patternType="solid">
        <fgColor theme="0"/>
        <bgColor indexed="64"/>
      </patternFill>
    </fill>
    <fill>
      <patternFill patternType="solid">
        <fgColor theme="0"/>
        <bgColor theme="4" tint="0.79998168889431442"/>
      </patternFill>
    </fill>
    <fill>
      <patternFill patternType="solid">
        <fgColor theme="2"/>
        <bgColor theme="4" tint="0.79998168889431442"/>
      </patternFill>
    </fill>
    <fill>
      <patternFill patternType="solid">
        <fgColor theme="0" tint="-4.9989318521683403E-2"/>
        <bgColor indexed="64"/>
      </patternFill>
    </fill>
    <fill>
      <patternFill patternType="solid">
        <fgColor rgb="FF003399"/>
        <bgColor indexed="64"/>
      </patternFill>
    </fill>
    <fill>
      <patternFill patternType="solid">
        <fgColor theme="7" tint="0.79998168889431442"/>
        <bgColor indexed="64"/>
      </patternFill>
    </fill>
    <fill>
      <patternFill patternType="solid">
        <fgColor rgb="FFFFFF00"/>
        <bgColor rgb="FF000000"/>
      </patternFill>
    </fill>
    <fill>
      <patternFill patternType="solid">
        <fgColor theme="0"/>
        <bgColor rgb="FF000000"/>
      </patternFill>
    </fill>
    <fill>
      <patternFill patternType="solid">
        <fgColor theme="2" tint="-0.249977111117893"/>
        <bgColor indexed="64"/>
      </patternFill>
    </fill>
    <fill>
      <patternFill patternType="solid">
        <fgColor theme="3" tint="0.749992370372631"/>
        <bgColor indexed="64"/>
      </patternFill>
    </fill>
  </fills>
  <borders count="57">
    <border>
      <left/>
      <right/>
      <top/>
      <bottom/>
      <diagonal/>
    </border>
    <border>
      <left/>
      <right style="thin">
        <color indexed="64"/>
      </right>
      <top/>
      <bottom/>
      <diagonal/>
    </border>
    <border>
      <left style="thin">
        <color theme="4" tint="0.39997558519241921"/>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top/>
      <bottom style="thin">
        <color rgb="FF000000"/>
      </bottom>
      <diagonal/>
    </border>
    <border>
      <left/>
      <right style="thin">
        <color indexed="64"/>
      </right>
      <top/>
      <bottom style="thin">
        <color indexed="64"/>
      </bottom>
      <diagonal/>
    </border>
    <border>
      <left/>
      <right/>
      <top/>
      <bottom style="thin">
        <color indexed="64"/>
      </bottom>
      <diagonal/>
    </border>
    <border>
      <left style="thin">
        <color indexed="64"/>
      </left>
      <right/>
      <top/>
      <bottom/>
      <diagonal/>
    </border>
    <border>
      <left/>
      <right/>
      <top style="thin">
        <color theme="4" tint="0.39997558519241921"/>
      </top>
      <bottom style="thin">
        <color theme="4" tint="0.39997558519241921"/>
      </bottom>
      <diagonal/>
    </border>
    <border>
      <left/>
      <right/>
      <top style="thin">
        <color theme="4" tint="0.39997558519241921"/>
      </top>
      <bottom style="thin">
        <color rgb="FF000000"/>
      </bottom>
      <diagonal/>
    </border>
    <border>
      <left/>
      <right style="thin">
        <color theme="4" tint="0.39997558519241921"/>
      </right>
      <top style="thin">
        <color theme="4" tint="0.39997558519241921"/>
      </top>
      <bottom style="thin">
        <color rgb="FF000000"/>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style="medium">
        <color indexed="64"/>
      </right>
      <top/>
      <bottom style="medium">
        <color indexed="64"/>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style="thin">
        <color indexed="64"/>
      </right>
      <top/>
      <bottom style="thin">
        <color rgb="FF000000"/>
      </bottom>
      <diagonal/>
    </border>
    <border>
      <left style="thin">
        <color indexed="64"/>
      </left>
      <right/>
      <top/>
      <bottom style="thin">
        <color rgb="FF000000"/>
      </bottom>
      <diagonal/>
    </border>
  </borders>
  <cellStyleXfs count="48">
    <xf numFmtId="0" fontId="0" fillId="0" borderId="0"/>
    <xf numFmtId="0" fontId="6" fillId="0" borderId="0"/>
    <xf numFmtId="0" fontId="25" fillId="0" borderId="0"/>
    <xf numFmtId="0" fontId="28" fillId="0" borderId="0" applyNumberFormat="0" applyFill="0" applyBorder="0" applyAlignment="0" applyProtection="0"/>
    <xf numFmtId="0" fontId="29" fillId="0" borderId="37" applyNumberFormat="0" applyFill="0" applyAlignment="0" applyProtection="0"/>
    <xf numFmtId="0" fontId="30" fillId="0" borderId="38" applyNumberFormat="0" applyFill="0" applyAlignment="0" applyProtection="0"/>
    <xf numFmtId="0" fontId="31" fillId="0" borderId="39" applyNumberFormat="0" applyFill="0" applyAlignment="0" applyProtection="0"/>
    <xf numFmtId="0" fontId="31" fillId="0" borderId="0" applyNumberFormat="0" applyFill="0" applyBorder="0" applyAlignment="0" applyProtection="0"/>
    <xf numFmtId="0" fontId="32" fillId="16" borderId="0" applyNumberFormat="0" applyBorder="0" applyAlignment="0" applyProtection="0"/>
    <xf numFmtId="0" fontId="33" fillId="17" borderId="0" applyNumberFormat="0" applyBorder="0" applyAlignment="0" applyProtection="0"/>
    <xf numFmtId="0" fontId="34" fillId="18" borderId="0" applyNumberFormat="0" applyBorder="0" applyAlignment="0" applyProtection="0"/>
    <xf numFmtId="0" fontId="35" fillId="19" borderId="40" applyNumberFormat="0" applyAlignment="0" applyProtection="0"/>
    <xf numFmtId="0" fontId="36" fillId="20" borderId="41" applyNumberFormat="0" applyAlignment="0" applyProtection="0"/>
    <xf numFmtId="0" fontId="37" fillId="20" borderId="40" applyNumberFormat="0" applyAlignment="0" applyProtection="0"/>
    <xf numFmtId="0" fontId="38" fillId="0" borderId="42" applyNumberFormat="0" applyFill="0" applyAlignment="0" applyProtection="0"/>
    <xf numFmtId="0" fontId="39" fillId="21" borderId="43" applyNumberFormat="0" applyAlignment="0" applyProtection="0"/>
    <xf numFmtId="0" fontId="40" fillId="0" borderId="0" applyNumberFormat="0" applyFill="0" applyBorder="0" applyAlignment="0" applyProtection="0"/>
    <xf numFmtId="0" fontId="27" fillId="22" borderId="44" applyNumberFormat="0" applyFont="0" applyAlignment="0" applyProtection="0"/>
    <xf numFmtId="0" fontId="41" fillId="0" borderId="0" applyNumberFormat="0" applyFill="0" applyBorder="0" applyAlignment="0" applyProtection="0"/>
    <xf numFmtId="0" fontId="14" fillId="0" borderId="45" applyNumberFormat="0" applyFill="0" applyAlignment="0" applyProtection="0"/>
    <xf numFmtId="0" fontId="42" fillId="23" borderId="0" applyNumberFormat="0" applyBorder="0" applyAlignment="0" applyProtection="0"/>
    <xf numFmtId="0" fontId="27" fillId="24" borderId="0" applyNumberFormat="0" applyBorder="0" applyAlignment="0" applyProtection="0"/>
    <xf numFmtId="0" fontId="27" fillId="25" borderId="0" applyNumberFormat="0" applyBorder="0" applyAlignment="0" applyProtection="0"/>
    <xf numFmtId="0" fontId="27" fillId="26" borderId="0" applyNumberFormat="0" applyBorder="0" applyAlignment="0" applyProtection="0"/>
    <xf numFmtId="0" fontId="42" fillId="27" borderId="0" applyNumberFormat="0" applyBorder="0" applyAlignment="0" applyProtection="0"/>
    <xf numFmtId="0" fontId="27" fillId="28" borderId="0" applyNumberFormat="0" applyBorder="0" applyAlignment="0" applyProtection="0"/>
    <xf numFmtId="0" fontId="27" fillId="29" borderId="0" applyNumberFormat="0" applyBorder="0" applyAlignment="0" applyProtection="0"/>
    <xf numFmtId="0" fontId="27" fillId="30" borderId="0" applyNumberFormat="0" applyBorder="0" applyAlignment="0" applyProtection="0"/>
    <xf numFmtId="0" fontId="42" fillId="31" borderId="0" applyNumberFormat="0" applyBorder="0" applyAlignment="0" applyProtection="0"/>
    <xf numFmtId="0" fontId="27" fillId="32" borderId="0" applyNumberFormat="0" applyBorder="0" applyAlignment="0" applyProtection="0"/>
    <xf numFmtId="0" fontId="27" fillId="33" borderId="0" applyNumberFormat="0" applyBorder="0" applyAlignment="0" applyProtection="0"/>
    <xf numFmtId="0" fontId="27" fillId="34" borderId="0" applyNumberFormat="0" applyBorder="0" applyAlignment="0" applyProtection="0"/>
    <xf numFmtId="0" fontId="42" fillId="35" borderId="0" applyNumberFormat="0" applyBorder="0" applyAlignment="0" applyProtection="0"/>
    <xf numFmtId="0" fontId="27" fillId="36" borderId="0" applyNumberFormat="0" applyBorder="0" applyAlignment="0" applyProtection="0"/>
    <xf numFmtId="0" fontId="27" fillId="37" borderId="0" applyNumberFormat="0" applyBorder="0" applyAlignment="0" applyProtection="0"/>
    <xf numFmtId="0" fontId="27" fillId="38" borderId="0" applyNumberFormat="0" applyBorder="0" applyAlignment="0" applyProtection="0"/>
    <xf numFmtId="0" fontId="42" fillId="39" borderId="0" applyNumberFormat="0" applyBorder="0" applyAlignment="0" applyProtection="0"/>
    <xf numFmtId="0" fontId="27" fillId="40" borderId="0" applyNumberFormat="0" applyBorder="0" applyAlignment="0" applyProtection="0"/>
    <xf numFmtId="0" fontId="27" fillId="41" borderId="0" applyNumberFormat="0" applyBorder="0" applyAlignment="0" applyProtection="0"/>
    <xf numFmtId="0" fontId="27" fillId="42" borderId="0" applyNumberFormat="0" applyBorder="0" applyAlignment="0" applyProtection="0"/>
    <xf numFmtId="0" fontId="42" fillId="43" borderId="0" applyNumberFormat="0" applyBorder="0" applyAlignment="0" applyProtection="0"/>
    <xf numFmtId="0" fontId="27" fillId="44" borderId="0" applyNumberFormat="0" applyBorder="0" applyAlignment="0" applyProtection="0"/>
    <xf numFmtId="0" fontId="27" fillId="45" borderId="0" applyNumberFormat="0" applyBorder="0" applyAlignment="0" applyProtection="0"/>
    <xf numFmtId="0" fontId="27" fillId="46" borderId="0" applyNumberFormat="0" applyBorder="0" applyAlignment="0" applyProtection="0"/>
    <xf numFmtId="0" fontId="45" fillId="0" borderId="0" applyNumberFormat="0" applyFill="0" applyBorder="0" applyAlignment="0" applyProtection="0"/>
    <xf numFmtId="0" fontId="46" fillId="0" borderId="0" applyNumberFormat="0" applyFill="0" applyBorder="0" applyAlignment="0" applyProtection="0"/>
    <xf numFmtId="9" fontId="27" fillId="0" borderId="0" applyFont="0" applyFill="0" applyBorder="0" applyAlignment="0" applyProtection="0"/>
    <xf numFmtId="0" fontId="50" fillId="0" borderId="0"/>
  </cellStyleXfs>
  <cellXfs count="304">
    <xf numFmtId="0" fontId="0" fillId="0" borderId="0" xfId="0"/>
    <xf numFmtId="0" fontId="0" fillId="0" borderId="1" xfId="0" applyBorder="1"/>
    <xf numFmtId="0" fontId="3" fillId="0" borderId="0" xfId="0" applyFont="1"/>
    <xf numFmtId="0" fontId="5" fillId="0" borderId="0" xfId="0" applyFont="1"/>
    <xf numFmtId="0" fontId="5" fillId="3" borderId="3" xfId="0" applyFont="1" applyFill="1" applyBorder="1"/>
    <xf numFmtId="0" fontId="5" fillId="0" borderId="3" xfId="0" applyFont="1" applyBorder="1"/>
    <xf numFmtId="49" fontId="7" fillId="0" borderId="0" xfId="1" applyNumberFormat="1" applyFont="1" applyAlignment="1">
      <alignment horizontal="left" vertical="top"/>
    </xf>
    <xf numFmtId="49" fontId="7" fillId="4" borderId="0" xfId="1" applyNumberFormat="1" applyFont="1" applyFill="1" applyAlignment="1">
      <alignment horizontal="left" vertical="top"/>
    </xf>
    <xf numFmtId="0" fontId="8" fillId="0" borderId="4" xfId="1" applyFont="1" applyBorder="1" applyAlignment="1">
      <alignment horizontal="center"/>
    </xf>
    <xf numFmtId="164" fontId="7" fillId="0" borderId="0" xfId="1" applyNumberFormat="1" applyFont="1" applyAlignment="1">
      <alignment horizontal="right" vertical="top"/>
    </xf>
    <xf numFmtId="164" fontId="7" fillId="4" borderId="0" xfId="1" applyNumberFormat="1" applyFont="1" applyFill="1" applyAlignment="1">
      <alignment horizontal="right" vertical="top"/>
    </xf>
    <xf numFmtId="4" fontId="7" fillId="0" borderId="0" xfId="1" applyNumberFormat="1" applyFont="1" applyAlignment="1">
      <alignment horizontal="right" vertical="top"/>
    </xf>
    <xf numFmtId="4" fontId="7" fillId="4" borderId="0" xfId="1" applyNumberFormat="1" applyFont="1" applyFill="1" applyAlignment="1">
      <alignment horizontal="right" vertical="top"/>
    </xf>
    <xf numFmtId="0" fontId="0" fillId="0" borderId="0" xfId="0" pivotButton="1"/>
    <xf numFmtId="0" fontId="0" fillId="0" borderId="0" xfId="0" applyAlignment="1">
      <alignment horizontal="left"/>
    </xf>
    <xf numFmtId="0" fontId="5" fillId="5" borderId="0" xfId="0" applyFont="1" applyFill="1"/>
    <xf numFmtId="0" fontId="0" fillId="0" borderId="6" xfId="0" applyBorder="1"/>
    <xf numFmtId="0" fontId="0" fillId="0" borderId="5" xfId="0" applyBorder="1"/>
    <xf numFmtId="10" fontId="0" fillId="0" borderId="0" xfId="0" applyNumberFormat="1"/>
    <xf numFmtId="0" fontId="8" fillId="0" borderId="4" xfId="0" applyFont="1" applyBorder="1" applyAlignment="1">
      <alignment horizontal="center"/>
    </xf>
    <xf numFmtId="49" fontId="7" fillId="0" borderId="0" xfId="0" applyNumberFormat="1" applyFont="1" applyAlignment="1">
      <alignment horizontal="left" vertical="top"/>
    </xf>
    <xf numFmtId="164" fontId="7" fillId="0" borderId="0" xfId="0" applyNumberFormat="1" applyFont="1" applyAlignment="1">
      <alignment horizontal="right" vertical="top"/>
    </xf>
    <xf numFmtId="49" fontId="7" fillId="4" borderId="0" xfId="0" applyNumberFormat="1" applyFont="1" applyFill="1" applyAlignment="1">
      <alignment horizontal="left" vertical="top"/>
    </xf>
    <xf numFmtId="164" fontId="7" fillId="4" borderId="0" xfId="0" applyNumberFormat="1" applyFont="1" applyFill="1" applyAlignment="1">
      <alignment horizontal="right" vertical="top"/>
    </xf>
    <xf numFmtId="4" fontId="7" fillId="0" borderId="0" xfId="0" applyNumberFormat="1" applyFont="1" applyAlignment="1">
      <alignment horizontal="right" vertical="top"/>
    </xf>
    <xf numFmtId="4" fontId="7" fillId="4" borderId="0" xfId="0" applyNumberFormat="1" applyFont="1" applyFill="1" applyAlignment="1">
      <alignment horizontal="right" vertical="top"/>
    </xf>
    <xf numFmtId="0" fontId="0" fillId="0" borderId="12" xfId="0" applyBorder="1"/>
    <xf numFmtId="0" fontId="0" fillId="0" borderId="11" xfId="0" applyBorder="1"/>
    <xf numFmtId="49" fontId="7" fillId="3" borderId="2" xfId="0" applyNumberFormat="1" applyFont="1" applyFill="1" applyBorder="1" applyAlignment="1">
      <alignment horizontal="left" vertical="top"/>
    </xf>
    <xf numFmtId="164" fontId="7" fillId="3" borderId="8" xfId="0" applyNumberFormat="1" applyFont="1" applyFill="1" applyBorder="1" applyAlignment="1">
      <alignment horizontal="right" vertical="top"/>
    </xf>
    <xf numFmtId="164" fontId="7" fillId="3" borderId="3" xfId="0" applyNumberFormat="1" applyFont="1" applyFill="1" applyBorder="1" applyAlignment="1">
      <alignment horizontal="right" vertical="top"/>
    </xf>
    <xf numFmtId="49" fontId="7" fillId="4" borderId="2" xfId="0" applyNumberFormat="1" applyFont="1" applyFill="1" applyBorder="1" applyAlignment="1">
      <alignment horizontal="left" vertical="top"/>
    </xf>
    <xf numFmtId="164" fontId="7" fillId="4" borderId="8" xfId="0" applyNumberFormat="1" applyFont="1" applyFill="1" applyBorder="1" applyAlignment="1">
      <alignment horizontal="right" vertical="top"/>
    </xf>
    <xf numFmtId="164" fontId="7" fillId="4" borderId="3" xfId="0" applyNumberFormat="1" applyFont="1" applyFill="1" applyBorder="1" applyAlignment="1">
      <alignment horizontal="right" vertical="top"/>
    </xf>
    <xf numFmtId="0" fontId="0" fillId="5" borderId="0" xfId="0" applyFill="1"/>
    <xf numFmtId="0" fontId="8" fillId="2" borderId="9" xfId="0" applyFont="1" applyFill="1" applyBorder="1" applyAlignment="1">
      <alignment horizontal="center"/>
    </xf>
    <xf numFmtId="0" fontId="8" fillId="2" borderId="10" xfId="0" applyFont="1" applyFill="1" applyBorder="1" applyAlignment="1">
      <alignment horizontal="center"/>
    </xf>
    <xf numFmtId="0" fontId="8" fillId="2" borderId="0" xfId="0" applyFont="1" applyFill="1" applyAlignment="1">
      <alignment horizontal="center"/>
    </xf>
    <xf numFmtId="3" fontId="0" fillId="0" borderId="0" xfId="0" applyNumberFormat="1"/>
    <xf numFmtId="0" fontId="0" fillId="0" borderId="0" xfId="0" applyAlignment="1">
      <alignment horizontal="center"/>
    </xf>
    <xf numFmtId="0" fontId="14" fillId="0" borderId="0" xfId="0" applyFont="1" applyAlignment="1">
      <alignment horizontal="center"/>
    </xf>
    <xf numFmtId="0" fontId="14" fillId="0" borderId="0" xfId="0" applyFont="1" applyAlignment="1">
      <alignment horizontal="center" wrapText="1"/>
    </xf>
    <xf numFmtId="9" fontId="0" fillId="0" borderId="0" xfId="0" applyNumberFormat="1" applyAlignment="1">
      <alignment horizontal="center"/>
    </xf>
    <xf numFmtId="2" fontId="0" fillId="0" borderId="0" xfId="0" applyNumberFormat="1" applyAlignment="1">
      <alignment horizontal="center"/>
    </xf>
    <xf numFmtId="0" fontId="5" fillId="3" borderId="8" xfId="0" applyFont="1" applyFill="1" applyBorder="1"/>
    <xf numFmtId="0" fontId="5" fillId="0" borderId="8" xfId="0" applyFont="1" applyBorder="1"/>
    <xf numFmtId="0" fontId="0" fillId="10" borderId="0" xfId="0" applyFill="1"/>
    <xf numFmtId="2" fontId="0" fillId="0" borderId="0" xfId="0" applyNumberFormat="1"/>
    <xf numFmtId="0" fontId="17" fillId="10" borderId="18" xfId="0" applyFont="1" applyFill="1" applyBorder="1" applyAlignment="1">
      <alignment horizontal="center" vertical="center"/>
    </xf>
    <xf numFmtId="0" fontId="17" fillId="10" borderId="19" xfId="0" applyFont="1" applyFill="1" applyBorder="1" applyAlignment="1">
      <alignment horizontal="center" vertical="center"/>
    </xf>
    <xf numFmtId="0" fontId="17" fillId="10" borderId="20" xfId="0" applyFont="1" applyFill="1" applyBorder="1" applyAlignment="1">
      <alignment horizontal="center" vertical="center"/>
    </xf>
    <xf numFmtId="0" fontId="17" fillId="10" borderId="15" xfId="0" applyFont="1" applyFill="1" applyBorder="1" applyAlignment="1">
      <alignment horizontal="center" vertical="center"/>
    </xf>
    <xf numFmtId="0" fontId="17" fillId="10" borderId="21" xfId="0" applyFont="1" applyFill="1" applyBorder="1" applyAlignment="1">
      <alignment horizontal="center" vertical="center"/>
    </xf>
    <xf numFmtId="2" fontId="18" fillId="0" borderId="22" xfId="0" applyNumberFormat="1" applyFont="1" applyBorder="1"/>
    <xf numFmtId="2" fontId="18" fillId="0" borderId="23" xfId="0" applyNumberFormat="1" applyFont="1" applyBorder="1"/>
    <xf numFmtId="2" fontId="18" fillId="0" borderId="24" xfId="0" applyNumberFormat="1" applyFont="1" applyBorder="1"/>
    <xf numFmtId="2" fontId="18" fillId="0" borderId="25" xfId="0" applyNumberFormat="1" applyFont="1" applyBorder="1"/>
    <xf numFmtId="2" fontId="19" fillId="0" borderId="24" xfId="0" applyNumberFormat="1" applyFont="1" applyBorder="1"/>
    <xf numFmtId="2" fontId="19" fillId="0" borderId="25" xfId="0" applyNumberFormat="1" applyFont="1" applyBorder="1"/>
    <xf numFmtId="15" fontId="0" fillId="0" borderId="0" xfId="0" applyNumberFormat="1"/>
    <xf numFmtId="2" fontId="18" fillId="0" borderId="26" xfId="0" applyNumberFormat="1" applyFont="1" applyBorder="1"/>
    <xf numFmtId="2" fontId="19" fillId="0" borderId="27" xfId="0" applyNumberFormat="1" applyFont="1" applyBorder="1"/>
    <xf numFmtId="2" fontId="18" fillId="0" borderId="27" xfId="0" applyNumberFormat="1" applyFont="1" applyBorder="1"/>
    <xf numFmtId="2" fontId="20" fillId="0" borderId="27" xfId="0" applyNumberFormat="1" applyFont="1" applyBorder="1"/>
    <xf numFmtId="4" fontId="0" fillId="0" borderId="0" xfId="0" applyNumberFormat="1"/>
    <xf numFmtId="15" fontId="0" fillId="0" borderId="6" xfId="0" applyNumberFormat="1" applyBorder="1"/>
    <xf numFmtId="4" fontId="0" fillId="0" borderId="6" xfId="0" applyNumberFormat="1" applyBorder="1"/>
    <xf numFmtId="2" fontId="0" fillId="0" borderId="28" xfId="0" applyNumberFormat="1" applyBorder="1"/>
    <xf numFmtId="2" fontId="0" fillId="0" borderId="1" xfId="0" applyNumberFormat="1" applyBorder="1"/>
    <xf numFmtId="2" fontId="0" fillId="0" borderId="5" xfId="0" applyNumberFormat="1" applyBorder="1"/>
    <xf numFmtId="0" fontId="0" fillId="0" borderId="29" xfId="0" applyBorder="1"/>
    <xf numFmtId="4" fontId="0" fillId="0" borderId="29" xfId="0" applyNumberFormat="1" applyBorder="1"/>
    <xf numFmtId="0" fontId="14" fillId="12" borderId="29" xfId="0" applyFont="1" applyFill="1" applyBorder="1"/>
    <xf numFmtId="0" fontId="14" fillId="13" borderId="29" xfId="0" applyFont="1" applyFill="1" applyBorder="1"/>
    <xf numFmtId="2" fontId="0" fillId="13" borderId="0" xfId="0" applyNumberFormat="1" applyFill="1"/>
    <xf numFmtId="0" fontId="0" fillId="13" borderId="0" xfId="0" applyFill="1"/>
    <xf numFmtId="0" fontId="14" fillId="14" borderId="0" xfId="0" applyFont="1" applyFill="1" applyAlignment="1">
      <alignment wrapText="1"/>
    </xf>
    <xf numFmtId="10" fontId="14" fillId="14" borderId="0" xfId="0" applyNumberFormat="1" applyFont="1" applyFill="1" applyAlignment="1">
      <alignment wrapText="1"/>
    </xf>
    <xf numFmtId="15" fontId="0" fillId="0" borderId="0" xfId="0" applyNumberFormat="1" applyAlignment="1">
      <alignment horizontal="center"/>
    </xf>
    <xf numFmtId="0" fontId="0" fillId="0" borderId="7" xfId="0" applyBorder="1" applyAlignment="1">
      <alignment horizontal="center"/>
    </xf>
    <xf numFmtId="0" fontId="26" fillId="0" borderId="0" xfId="0" applyFont="1"/>
    <xf numFmtId="0" fontId="26" fillId="0" borderId="30" xfId="0" applyFont="1" applyBorder="1"/>
    <xf numFmtId="0" fontId="26" fillId="0" borderId="31" xfId="0" applyFont="1" applyBorder="1"/>
    <xf numFmtId="0" fontId="26" fillId="0" borderId="32" xfId="0" applyFont="1" applyBorder="1"/>
    <xf numFmtId="2" fontId="26" fillId="0" borderId="31" xfId="0" applyNumberFormat="1" applyFont="1" applyBorder="1"/>
    <xf numFmtId="0" fontId="0" fillId="0" borderId="33" xfId="0" applyBorder="1"/>
    <xf numFmtId="3" fontId="0" fillId="0" borderId="7" xfId="0" applyNumberFormat="1" applyBorder="1" applyAlignment="1">
      <alignment horizontal="center"/>
    </xf>
    <xf numFmtId="3" fontId="0" fillId="0" borderId="0" xfId="0" applyNumberFormat="1" applyAlignment="1">
      <alignment horizontal="center"/>
    </xf>
    <xf numFmtId="2" fontId="0" fillId="0" borderId="1" xfId="0" applyNumberFormat="1" applyBorder="1" applyAlignment="1">
      <alignment horizontal="center"/>
    </xf>
    <xf numFmtId="0" fontId="0" fillId="0" borderId="34" xfId="0" applyBorder="1"/>
    <xf numFmtId="0" fontId="0" fillId="0" borderId="35" xfId="0" applyBorder="1"/>
    <xf numFmtId="0" fontId="0" fillId="0" borderId="36" xfId="0" applyBorder="1" applyAlignment="1">
      <alignment horizontal="center"/>
    </xf>
    <xf numFmtId="0" fontId="0" fillId="0" borderId="6" xfId="0" applyBorder="1" applyAlignment="1">
      <alignment horizontal="center"/>
    </xf>
    <xf numFmtId="2" fontId="0" fillId="0" borderId="5" xfId="0" applyNumberFormat="1" applyBorder="1" applyAlignment="1">
      <alignment horizontal="center"/>
    </xf>
    <xf numFmtId="2" fontId="0" fillId="0" borderId="29" xfId="0" applyNumberFormat="1" applyBorder="1"/>
    <xf numFmtId="2" fontId="26" fillId="0" borderId="0" xfId="0" applyNumberFormat="1" applyFont="1"/>
    <xf numFmtId="2" fontId="0" fillId="15" borderId="29" xfId="0" applyNumberFormat="1" applyFill="1" applyBorder="1"/>
    <xf numFmtId="0" fontId="44" fillId="0" borderId="0" xfId="0" applyFont="1" applyAlignment="1">
      <alignment horizontal="center"/>
    </xf>
    <xf numFmtId="0" fontId="47" fillId="47" borderId="51" xfId="0" applyFont="1" applyFill="1" applyBorder="1" applyAlignment="1">
      <alignment wrapText="1"/>
    </xf>
    <xf numFmtId="0" fontId="21" fillId="0" borderId="0" xfId="0" applyFont="1"/>
    <xf numFmtId="0" fontId="43" fillId="0" borderId="0" xfId="0" applyFont="1"/>
    <xf numFmtId="0" fontId="5" fillId="48" borderId="0" xfId="0" applyFont="1" applyFill="1"/>
    <xf numFmtId="9" fontId="47" fillId="47" borderId="51" xfId="0" applyNumberFormat="1" applyFont="1" applyFill="1" applyBorder="1" applyAlignment="1">
      <alignment wrapText="1"/>
    </xf>
    <xf numFmtId="0" fontId="47" fillId="47" borderId="46" xfId="0" applyFont="1" applyFill="1" applyBorder="1" applyAlignment="1">
      <alignment wrapText="1"/>
    </xf>
    <xf numFmtId="0" fontId="48" fillId="47" borderId="47" xfId="0" applyFont="1" applyFill="1" applyBorder="1" applyAlignment="1">
      <alignment horizontal="center" vertical="center" wrapText="1"/>
    </xf>
    <xf numFmtId="0" fontId="48" fillId="47" borderId="48" xfId="0" applyFont="1" applyFill="1" applyBorder="1" applyAlignment="1">
      <alignment horizontal="center" vertical="center" wrapText="1"/>
    </xf>
    <xf numFmtId="0" fontId="48" fillId="47" borderId="49" xfId="0" applyFont="1" applyFill="1" applyBorder="1" applyAlignment="1">
      <alignment horizontal="center" vertical="center" wrapText="1"/>
    </xf>
    <xf numFmtId="15" fontId="47" fillId="47" borderId="50" xfId="0" applyNumberFormat="1" applyFont="1" applyFill="1" applyBorder="1" applyAlignment="1">
      <alignment wrapText="1"/>
    </xf>
    <xf numFmtId="10" fontId="47" fillId="47" borderId="51" xfId="0" applyNumberFormat="1" applyFont="1" applyFill="1" applyBorder="1" applyAlignment="1">
      <alignment wrapText="1"/>
    </xf>
    <xf numFmtId="15" fontId="47" fillId="47" borderId="52" xfId="0" applyNumberFormat="1" applyFont="1" applyFill="1" applyBorder="1" applyAlignment="1">
      <alignment wrapText="1"/>
    </xf>
    <xf numFmtId="0" fontId="47" fillId="47" borderId="53" xfId="0" applyFont="1" applyFill="1" applyBorder="1" applyAlignment="1">
      <alignment wrapText="1"/>
    </xf>
    <xf numFmtId="0" fontId="47" fillId="47" borderId="54" xfId="0" applyFont="1" applyFill="1" applyBorder="1" applyAlignment="1">
      <alignment wrapText="1"/>
    </xf>
    <xf numFmtId="0" fontId="14" fillId="10" borderId="0" xfId="0" applyFont="1" applyFill="1" applyAlignment="1">
      <alignment horizontal="center"/>
    </xf>
    <xf numFmtId="10" fontId="0" fillId="0" borderId="29" xfId="46" applyNumberFormat="1" applyFont="1" applyBorder="1"/>
    <xf numFmtId="2" fontId="0" fillId="0" borderId="31" xfId="0" applyNumberFormat="1" applyBorder="1"/>
    <xf numFmtId="0" fontId="14" fillId="10" borderId="0" xfId="0" applyFont="1" applyFill="1" applyAlignment="1">
      <alignment horizontal="center" wrapText="1"/>
    </xf>
    <xf numFmtId="0" fontId="0" fillId="48" borderId="0" xfId="0" applyFill="1"/>
    <xf numFmtId="10" fontId="0" fillId="0" borderId="29" xfId="0" applyNumberFormat="1" applyBorder="1"/>
    <xf numFmtId="0" fontId="14" fillId="0" borderId="29" xfId="0" applyFont="1" applyBorder="1"/>
    <xf numFmtId="0" fontId="14" fillId="6" borderId="29" xfId="0" applyFont="1" applyFill="1" applyBorder="1"/>
    <xf numFmtId="0" fontId="8" fillId="49" borderId="30" xfId="47" applyFont="1" applyFill="1" applyBorder="1" applyAlignment="1">
      <alignment horizontal="center"/>
    </xf>
    <xf numFmtId="0" fontId="8" fillId="49" borderId="29" xfId="47" applyFont="1" applyFill="1" applyBorder="1" applyAlignment="1">
      <alignment horizontal="center"/>
    </xf>
    <xf numFmtId="0" fontId="14" fillId="49" borderId="29" xfId="0" applyFont="1" applyFill="1" applyBorder="1"/>
    <xf numFmtId="0" fontId="14" fillId="52" borderId="0" xfId="0" applyFont="1" applyFill="1"/>
    <xf numFmtId="0" fontId="8" fillId="52" borderId="29" xfId="47" applyFont="1" applyFill="1" applyBorder="1" applyAlignment="1">
      <alignment horizontal="center"/>
    </xf>
    <xf numFmtId="0" fontId="14" fillId="52" borderId="29" xfId="0" applyFont="1" applyFill="1" applyBorder="1"/>
    <xf numFmtId="4" fontId="7" fillId="0" borderId="29" xfId="0" applyNumberFormat="1" applyFont="1" applyBorder="1" applyAlignment="1">
      <alignment horizontal="right" vertical="top"/>
    </xf>
    <xf numFmtId="164" fontId="7" fillId="0" borderId="29" xfId="0" applyNumberFormat="1" applyFont="1" applyBorder="1" applyAlignment="1">
      <alignment horizontal="right" vertical="top"/>
    </xf>
    <xf numFmtId="49" fontId="7" fillId="0" borderId="29" xfId="0" applyNumberFormat="1" applyFont="1" applyBorder="1" applyAlignment="1">
      <alignment horizontal="left" vertical="top"/>
    </xf>
    <xf numFmtId="164" fontId="7" fillId="4" borderId="29" xfId="0" applyNumberFormat="1" applyFont="1" applyFill="1" applyBorder="1" applyAlignment="1">
      <alignment horizontal="right" vertical="top"/>
    </xf>
    <xf numFmtId="49" fontId="7" fillId="4" borderId="29" xfId="0" applyNumberFormat="1" applyFont="1" applyFill="1" applyBorder="1" applyAlignment="1">
      <alignment horizontal="left" vertical="top"/>
    </xf>
    <xf numFmtId="4" fontId="7" fillId="4" borderId="29" xfId="0" applyNumberFormat="1" applyFont="1" applyFill="1" applyBorder="1" applyAlignment="1">
      <alignment horizontal="right" vertical="top"/>
    </xf>
    <xf numFmtId="4" fontId="7" fillId="53" borderId="29" xfId="0" applyNumberFormat="1" applyFont="1" applyFill="1" applyBorder="1" applyAlignment="1">
      <alignment horizontal="right" vertical="top"/>
    </xf>
    <xf numFmtId="164" fontId="7" fillId="53" borderId="29" xfId="0" applyNumberFormat="1" applyFont="1" applyFill="1" applyBorder="1" applyAlignment="1">
      <alignment horizontal="right" vertical="top"/>
    </xf>
    <xf numFmtId="49" fontId="7" fillId="53" borderId="29" xfId="0" applyNumberFormat="1" applyFont="1" applyFill="1" applyBorder="1" applyAlignment="1">
      <alignment horizontal="left" vertical="top"/>
    </xf>
    <xf numFmtId="49" fontId="7" fillId="4" borderId="29" xfId="47" applyNumberFormat="1" applyFont="1" applyFill="1" applyBorder="1" applyAlignment="1">
      <alignment horizontal="left" vertical="top"/>
    </xf>
    <xf numFmtId="4" fontId="7" fillId="4" borderId="29" xfId="47" applyNumberFormat="1" applyFont="1" applyFill="1" applyBorder="1" applyAlignment="1">
      <alignment horizontal="right" vertical="top"/>
    </xf>
    <xf numFmtId="0" fontId="0" fillId="52" borderId="0" xfId="0" applyFill="1"/>
    <xf numFmtId="0" fontId="0" fillId="52" borderId="1" xfId="0" applyFill="1" applyBorder="1"/>
    <xf numFmtId="4" fontId="7" fillId="0" borderId="29" xfId="47" applyNumberFormat="1" applyFont="1" applyBorder="1" applyAlignment="1">
      <alignment horizontal="right" vertical="top"/>
    </xf>
    <xf numFmtId="49" fontId="7" fillId="0" borderId="29" xfId="47" applyNumberFormat="1" applyFont="1" applyBorder="1" applyAlignment="1">
      <alignment horizontal="left" vertical="top"/>
    </xf>
    <xf numFmtId="4" fontId="7" fillId="54" borderId="29" xfId="0" applyNumberFormat="1" applyFont="1" applyFill="1" applyBorder="1" applyAlignment="1">
      <alignment horizontal="right" vertical="top"/>
    </xf>
    <xf numFmtId="49" fontId="7" fillId="54" borderId="29" xfId="0" applyNumberFormat="1" applyFont="1" applyFill="1" applyBorder="1" applyAlignment="1">
      <alignment horizontal="left" vertical="top"/>
    </xf>
    <xf numFmtId="164" fontId="7" fillId="54" borderId="29" xfId="0" applyNumberFormat="1" applyFont="1" applyFill="1" applyBorder="1" applyAlignment="1">
      <alignment horizontal="right" vertical="top"/>
    </xf>
    <xf numFmtId="164" fontId="7" fillId="0" borderId="29" xfId="47" applyNumberFormat="1" applyFont="1" applyBorder="1" applyAlignment="1">
      <alignment horizontal="right" vertical="top"/>
    </xf>
    <xf numFmtId="49" fontId="7" fillId="0" borderId="29" xfId="47" applyNumberFormat="1" applyFont="1" applyBorder="1" applyAlignment="1">
      <alignment horizontal="center" vertical="top"/>
    </xf>
    <xf numFmtId="49" fontId="7" fillId="4" borderId="29" xfId="0" applyNumberFormat="1" applyFont="1" applyFill="1" applyBorder="1" applyAlignment="1">
      <alignment horizontal="center" vertical="top"/>
    </xf>
    <xf numFmtId="49" fontId="7" fillId="53" borderId="29" xfId="0" applyNumberFormat="1" applyFont="1" applyFill="1" applyBorder="1" applyAlignment="1">
      <alignment horizontal="center" vertical="top"/>
    </xf>
    <xf numFmtId="164" fontId="7" fillId="4" borderId="29" xfId="47" applyNumberFormat="1" applyFont="1" applyFill="1" applyBorder="1" applyAlignment="1">
      <alignment horizontal="right" vertical="top"/>
    </xf>
    <xf numFmtId="49" fontId="7" fillId="4" borderId="29" xfId="47" applyNumberFormat="1" applyFont="1" applyFill="1" applyBorder="1" applyAlignment="1">
      <alignment horizontal="center" vertical="top"/>
    </xf>
    <xf numFmtId="0" fontId="8" fillId="0" borderId="0" xfId="47" applyFont="1" applyAlignment="1">
      <alignment horizontal="center"/>
    </xf>
    <xf numFmtId="4" fontId="7" fillId="4" borderId="0" xfId="47" applyNumberFormat="1" applyFont="1" applyFill="1" applyAlignment="1">
      <alignment horizontal="right" vertical="top"/>
    </xf>
    <xf numFmtId="49" fontId="7" fillId="4" borderId="0" xfId="47" applyNumberFormat="1" applyFont="1" applyFill="1" applyAlignment="1">
      <alignment horizontal="left" vertical="top"/>
    </xf>
    <xf numFmtId="164" fontId="7" fillId="4" borderId="0" xfId="47" applyNumberFormat="1" applyFont="1" applyFill="1" applyAlignment="1">
      <alignment horizontal="right" vertical="top"/>
    </xf>
    <xf numFmtId="0" fontId="8" fillId="0" borderId="4" xfId="47" applyFont="1" applyBorder="1" applyAlignment="1">
      <alignment horizontal="center"/>
    </xf>
    <xf numFmtId="164" fontId="7" fillId="53" borderId="3" xfId="0" applyNumberFormat="1" applyFont="1" applyFill="1" applyBorder="1" applyAlignment="1">
      <alignment horizontal="right" vertical="top"/>
    </xf>
    <xf numFmtId="164" fontId="7" fillId="53" borderId="8" xfId="0" applyNumberFormat="1" applyFont="1" applyFill="1" applyBorder="1" applyAlignment="1">
      <alignment horizontal="right" vertical="top"/>
    </xf>
    <xf numFmtId="49" fontId="7" fillId="53" borderId="2" xfId="0" applyNumberFormat="1" applyFont="1" applyFill="1" applyBorder="1" applyAlignment="1">
      <alignment horizontal="left" vertical="top"/>
    </xf>
    <xf numFmtId="4" fontId="7" fillId="0" borderId="0" xfId="47" applyNumberFormat="1" applyFont="1" applyAlignment="1">
      <alignment horizontal="right" vertical="top"/>
    </xf>
    <xf numFmtId="49" fontId="7" fillId="0" borderId="0" xfId="47" applyNumberFormat="1" applyFont="1" applyAlignment="1">
      <alignment horizontal="left" vertical="top"/>
    </xf>
    <xf numFmtId="0" fontId="0" fillId="55" borderId="0" xfId="0" applyFill="1"/>
    <xf numFmtId="0" fontId="14" fillId="0" borderId="0" xfId="0" applyFont="1"/>
    <xf numFmtId="9" fontId="0" fillId="0" borderId="0" xfId="0" applyNumberFormat="1"/>
    <xf numFmtId="9" fontId="0" fillId="0" borderId="0" xfId="46" applyFont="1"/>
    <xf numFmtId="9" fontId="0" fillId="0" borderId="0" xfId="46" applyFont="1" applyBorder="1"/>
    <xf numFmtId="9" fontId="14" fillId="0" borderId="0" xfId="46" applyFont="1"/>
    <xf numFmtId="9" fontId="0" fillId="55" borderId="0" xfId="46" applyFont="1" applyFill="1"/>
    <xf numFmtId="0" fontId="50" fillId="0" borderId="0" xfId="0" applyFont="1"/>
    <xf numFmtId="0" fontId="42" fillId="56" borderId="0" xfId="0" applyFont="1" applyFill="1"/>
    <xf numFmtId="0" fontId="39" fillId="56" borderId="0" xfId="0" applyFont="1" applyFill="1" applyAlignment="1">
      <alignment horizontal="center"/>
    </xf>
    <xf numFmtId="0" fontId="39" fillId="56" borderId="0" xfId="0" applyFont="1" applyFill="1"/>
    <xf numFmtId="0" fontId="39" fillId="11" borderId="0" xfId="0" applyFont="1" applyFill="1" applyAlignment="1">
      <alignment horizontal="center"/>
    </xf>
    <xf numFmtId="0" fontId="0" fillId="0" borderId="7" xfId="0" applyBorder="1"/>
    <xf numFmtId="10" fontId="14" fillId="5" borderId="5" xfId="0" applyNumberFormat="1" applyFont="1" applyFill="1" applyBorder="1"/>
    <xf numFmtId="10" fontId="14" fillId="5" borderId="6" xfId="0" applyNumberFormat="1" applyFont="1" applyFill="1" applyBorder="1"/>
    <xf numFmtId="0" fontId="14" fillId="5" borderId="35" xfId="0" applyFont="1" applyFill="1" applyBorder="1"/>
    <xf numFmtId="0" fontId="0" fillId="60" borderId="1" xfId="0" applyFill="1" applyBorder="1"/>
    <xf numFmtId="0" fontId="0" fillId="60" borderId="0" xfId="0" applyFill="1"/>
    <xf numFmtId="0" fontId="0" fillId="60" borderId="7" xfId="0" applyFill="1" applyBorder="1"/>
    <xf numFmtId="0" fontId="8" fillId="0" borderId="1" xfId="47" applyFont="1" applyBorder="1" applyAlignment="1">
      <alignment horizontal="center"/>
    </xf>
    <xf numFmtId="0" fontId="53" fillId="0" borderId="56" xfId="1" applyFont="1" applyBorder="1" applyAlignment="1">
      <alignment horizontal="center"/>
    </xf>
    <xf numFmtId="0" fontId="53" fillId="0" borderId="4" xfId="1" applyFont="1" applyBorder="1" applyAlignment="1">
      <alignment horizontal="center"/>
    </xf>
    <xf numFmtId="0" fontId="53" fillId="0" borderId="55" xfId="1" applyFont="1" applyBorder="1" applyAlignment="1">
      <alignment horizontal="center"/>
    </xf>
    <xf numFmtId="49" fontId="6" fillId="4" borderId="7" xfId="1" applyNumberFormat="1" applyFill="1" applyBorder="1" applyAlignment="1">
      <alignment horizontal="left" vertical="top"/>
    </xf>
    <xf numFmtId="4" fontId="6" fillId="4" borderId="0" xfId="1" applyNumberFormat="1" applyFill="1" applyAlignment="1">
      <alignment horizontal="right" vertical="top"/>
    </xf>
    <xf numFmtId="164" fontId="6" fillId="4" borderId="0" xfId="1" applyNumberFormat="1" applyFill="1" applyAlignment="1">
      <alignment horizontal="right" vertical="top"/>
    </xf>
    <xf numFmtId="49" fontId="6" fillId="4" borderId="0" xfId="1" applyNumberFormat="1" applyFill="1" applyAlignment="1">
      <alignment horizontal="left" vertical="top"/>
    </xf>
    <xf numFmtId="4" fontId="6" fillId="4" borderId="1" xfId="1" applyNumberFormat="1" applyFill="1" applyBorder="1" applyAlignment="1">
      <alignment horizontal="right" vertical="top"/>
    </xf>
    <xf numFmtId="49" fontId="6" fillId="0" borderId="7" xfId="1" applyNumberFormat="1" applyBorder="1" applyAlignment="1">
      <alignment horizontal="left" vertical="top"/>
    </xf>
    <xf numFmtId="4" fontId="6" fillId="0" borderId="0" xfId="1" applyNumberFormat="1" applyAlignment="1">
      <alignment horizontal="right" vertical="top"/>
    </xf>
    <xf numFmtId="164" fontId="6" fillId="0" borderId="0" xfId="1" applyNumberFormat="1" applyAlignment="1">
      <alignment horizontal="right" vertical="top"/>
    </xf>
    <xf numFmtId="49" fontId="6" fillId="0" borderId="0" xfId="1" applyNumberFormat="1" applyAlignment="1">
      <alignment horizontal="left" vertical="top"/>
    </xf>
    <xf numFmtId="4" fontId="6" fillId="0" borderId="1" xfId="1" applyNumberFormat="1" applyBorder="1" applyAlignment="1">
      <alignment horizontal="right" vertical="top"/>
    </xf>
    <xf numFmtId="49" fontId="6" fillId="59" borderId="7" xfId="1" applyNumberFormat="1" applyFill="1" applyBorder="1" applyAlignment="1">
      <alignment horizontal="left" vertical="top"/>
    </xf>
    <xf numFmtId="4" fontId="6" fillId="59" borderId="0" xfId="1" applyNumberFormat="1" applyFill="1" applyAlignment="1">
      <alignment horizontal="right" vertical="top"/>
    </xf>
    <xf numFmtId="49" fontId="6" fillId="59" borderId="0" xfId="1" applyNumberFormat="1" applyFill="1" applyAlignment="1">
      <alignment horizontal="left" vertical="top"/>
    </xf>
    <xf numFmtId="4" fontId="6" fillId="59" borderId="1" xfId="1" applyNumberFormat="1" applyFill="1" applyBorder="1" applyAlignment="1">
      <alignment horizontal="right" vertical="top"/>
    </xf>
    <xf numFmtId="164" fontId="6" fillId="0" borderId="1" xfId="1" applyNumberFormat="1" applyBorder="1" applyAlignment="1">
      <alignment horizontal="right" vertical="top"/>
    </xf>
    <xf numFmtId="164" fontId="6" fillId="4" borderId="1" xfId="1" applyNumberFormat="1" applyFill="1" applyBorder="1" applyAlignment="1">
      <alignment horizontal="right" vertical="top"/>
    </xf>
    <xf numFmtId="0" fontId="53" fillId="0" borderId="56" xfId="0" applyFont="1" applyBorder="1" applyAlignment="1">
      <alignment horizontal="center"/>
    </xf>
    <xf numFmtId="0" fontId="53" fillId="0" borderId="4" xfId="0" applyFont="1" applyBorder="1" applyAlignment="1">
      <alignment horizontal="center"/>
    </xf>
    <xf numFmtId="0" fontId="53" fillId="0" borderId="55" xfId="0" applyFont="1" applyBorder="1" applyAlignment="1">
      <alignment horizontal="center"/>
    </xf>
    <xf numFmtId="49" fontId="6" fillId="0" borderId="7" xfId="0" applyNumberFormat="1" applyFont="1" applyBorder="1" applyAlignment="1">
      <alignment horizontal="left" vertical="top"/>
    </xf>
    <xf numFmtId="164" fontId="6" fillId="0" borderId="0" xfId="0" applyNumberFormat="1" applyFont="1" applyAlignment="1">
      <alignment horizontal="right" vertical="top"/>
    </xf>
    <xf numFmtId="49" fontId="6" fillId="0" borderId="0" xfId="0" applyNumberFormat="1" applyFont="1" applyAlignment="1">
      <alignment horizontal="left" vertical="top"/>
    </xf>
    <xf numFmtId="49" fontId="6" fillId="4" borderId="0" xfId="0" applyNumberFormat="1" applyFont="1" applyFill="1" applyAlignment="1">
      <alignment horizontal="left" vertical="top"/>
    </xf>
    <xf numFmtId="164" fontId="6" fillId="4" borderId="0" xfId="0" applyNumberFormat="1" applyFont="1" applyFill="1" applyAlignment="1">
      <alignment horizontal="right" vertical="top"/>
    </xf>
    <xf numFmtId="164" fontId="6" fillId="4" borderId="1" xfId="0" applyNumberFormat="1" applyFont="1" applyFill="1" applyBorder="1" applyAlignment="1">
      <alignment horizontal="right" vertical="top"/>
    </xf>
    <xf numFmtId="49" fontId="6" fillId="4" borderId="7" xfId="0" applyNumberFormat="1" applyFont="1" applyFill="1" applyBorder="1" applyAlignment="1">
      <alignment horizontal="left" vertical="top"/>
    </xf>
    <xf numFmtId="4" fontId="6" fillId="0" borderId="0" xfId="0" applyNumberFormat="1" applyFont="1" applyAlignment="1">
      <alignment horizontal="right" vertical="top"/>
    </xf>
    <xf numFmtId="164" fontId="6" fillId="0" borderId="1" xfId="0" applyNumberFormat="1" applyFont="1" applyBorder="1" applyAlignment="1">
      <alignment horizontal="right" vertical="top"/>
    </xf>
    <xf numFmtId="49" fontId="6" fillId="5" borderId="7" xfId="0" applyNumberFormat="1" applyFont="1" applyFill="1" applyBorder="1" applyAlignment="1">
      <alignment horizontal="left" vertical="top"/>
    </xf>
    <xf numFmtId="164" fontId="6" fillId="5" borderId="0" xfId="0" applyNumberFormat="1" applyFont="1" applyFill="1" applyAlignment="1">
      <alignment horizontal="right" vertical="top"/>
    </xf>
    <xf numFmtId="4" fontId="6" fillId="4" borderId="0" xfId="0" applyNumberFormat="1" applyFont="1" applyFill="1" applyAlignment="1">
      <alignment horizontal="right" vertical="top"/>
    </xf>
    <xf numFmtId="4" fontId="6" fillId="4" borderId="1" xfId="0" applyNumberFormat="1" applyFont="1" applyFill="1" applyBorder="1" applyAlignment="1">
      <alignment horizontal="right" vertical="top"/>
    </xf>
    <xf numFmtId="4" fontId="6" fillId="0" borderId="1" xfId="0" applyNumberFormat="1" applyFont="1" applyBorder="1" applyAlignment="1">
      <alignment horizontal="right" vertical="top"/>
    </xf>
    <xf numFmtId="4" fontId="6" fillId="5" borderId="0" xfId="0" applyNumberFormat="1" applyFont="1" applyFill="1" applyAlignment="1">
      <alignment horizontal="right" vertical="top"/>
    </xf>
    <xf numFmtId="49" fontId="6" fillId="58" borderId="7" xfId="0" applyNumberFormat="1" applyFont="1" applyFill="1" applyBorder="1" applyAlignment="1">
      <alignment horizontal="left" vertical="top"/>
    </xf>
    <xf numFmtId="4" fontId="6" fillId="58" borderId="0" xfId="0" applyNumberFormat="1" applyFont="1" applyFill="1" applyAlignment="1">
      <alignment horizontal="right" vertical="top"/>
    </xf>
    <xf numFmtId="49" fontId="6" fillId="4" borderId="36" xfId="0" applyNumberFormat="1" applyFont="1" applyFill="1" applyBorder="1" applyAlignment="1">
      <alignment horizontal="left" vertical="top"/>
    </xf>
    <xf numFmtId="164" fontId="6" fillId="4" borderId="6" xfId="0" applyNumberFormat="1" applyFont="1" applyFill="1" applyBorder="1" applyAlignment="1">
      <alignment horizontal="right" vertical="top"/>
    </xf>
    <xf numFmtId="49" fontId="6" fillId="4" borderId="6" xfId="0" applyNumberFormat="1" applyFont="1" applyFill="1" applyBorder="1" applyAlignment="1">
      <alignment horizontal="left" vertical="top"/>
    </xf>
    <xf numFmtId="4" fontId="6" fillId="0" borderId="29" xfId="1" applyNumberFormat="1" applyBorder="1" applyAlignment="1">
      <alignment horizontal="right" vertical="top"/>
    </xf>
    <xf numFmtId="164" fontId="6" fillId="0" borderId="29" xfId="1" applyNumberFormat="1" applyBorder="1" applyAlignment="1">
      <alignment horizontal="right" vertical="top"/>
    </xf>
    <xf numFmtId="49" fontId="6" fillId="0" borderId="29" xfId="1" applyNumberFormat="1" applyBorder="1" applyAlignment="1">
      <alignment horizontal="left" vertical="top"/>
    </xf>
    <xf numFmtId="4" fontId="6" fillId="4" borderId="29" xfId="1" applyNumberFormat="1" applyFill="1" applyBorder="1" applyAlignment="1">
      <alignment horizontal="right" vertical="top"/>
    </xf>
    <xf numFmtId="0" fontId="2" fillId="0" borderId="12" xfId="0" applyFont="1" applyBorder="1"/>
    <xf numFmtId="0" fontId="2" fillId="0" borderId="11" xfId="0" applyFont="1" applyBorder="1"/>
    <xf numFmtId="0" fontId="2" fillId="0" borderId="0" xfId="0" applyFont="1"/>
    <xf numFmtId="0" fontId="2" fillId="0" borderId="1" xfId="0" applyFont="1" applyBorder="1"/>
    <xf numFmtId="0" fontId="2" fillId="0" borderId="7" xfId="0" applyFont="1" applyBorder="1"/>
    <xf numFmtId="0" fontId="2" fillId="52" borderId="1" xfId="0" applyFont="1" applyFill="1" applyBorder="1"/>
    <xf numFmtId="0" fontId="2" fillId="0" borderId="5" xfId="0" applyFont="1" applyBorder="1"/>
    <xf numFmtId="0" fontId="2" fillId="0" borderId="6" xfId="0" applyFont="1" applyBorder="1"/>
    <xf numFmtId="0" fontId="2" fillId="0" borderId="29" xfId="0" applyFont="1" applyBorder="1"/>
    <xf numFmtId="0" fontId="26" fillId="5" borderId="29" xfId="0" applyFont="1" applyFill="1" applyBorder="1"/>
    <xf numFmtId="4" fontId="2" fillId="0" borderId="29" xfId="0" applyNumberFormat="1" applyFont="1" applyBorder="1"/>
    <xf numFmtId="0" fontId="26" fillId="57" borderId="29" xfId="0" applyFont="1" applyFill="1" applyBorder="1"/>
    <xf numFmtId="0" fontId="0" fillId="0" borderId="0" xfId="0" applyAlignment="1">
      <alignment horizontal="center"/>
    </xf>
    <xf numFmtId="0" fontId="0" fillId="0" borderId="0" xfId="0" applyAlignment="1">
      <alignment horizontal="left" wrapText="1"/>
    </xf>
    <xf numFmtId="0" fontId="0" fillId="0" borderId="0" xfId="0" applyAlignment="1">
      <alignment horizontal="left"/>
    </xf>
    <xf numFmtId="0" fontId="14" fillId="10" borderId="0" xfId="0" applyFont="1" applyFill="1" applyAlignment="1">
      <alignment horizontal="center"/>
    </xf>
    <xf numFmtId="0" fontId="0" fillId="10" borderId="0" xfId="0" applyFill="1" applyAlignment="1">
      <alignment horizontal="center"/>
    </xf>
    <xf numFmtId="2" fontId="0" fillId="0" borderId="0" xfId="0" applyNumberFormat="1" applyAlignment="1">
      <alignment horizontal="center"/>
    </xf>
    <xf numFmtId="0" fontId="15" fillId="10" borderId="0" xfId="0" applyFont="1" applyFill="1" applyAlignment="1">
      <alignment horizontal="center"/>
    </xf>
    <xf numFmtId="0" fontId="14" fillId="0" borderId="0" xfId="0" applyFont="1" applyAlignment="1">
      <alignment horizontal="center"/>
    </xf>
    <xf numFmtId="4" fontId="14" fillId="0" borderId="0" xfId="0" applyNumberFormat="1" applyFont="1" applyAlignment="1">
      <alignment horizontal="center"/>
    </xf>
    <xf numFmtId="0" fontId="14" fillId="10" borderId="15" xfId="0" applyFont="1" applyFill="1" applyBorder="1" applyAlignment="1">
      <alignment horizontal="center" vertical="center"/>
    </xf>
    <xf numFmtId="0" fontId="14" fillId="10" borderId="16" xfId="0" applyFont="1" applyFill="1" applyBorder="1" applyAlignment="1">
      <alignment horizontal="center" vertical="center"/>
    </xf>
    <xf numFmtId="0" fontId="16" fillId="11" borderId="0" xfId="0" applyFont="1" applyFill="1" applyAlignment="1">
      <alignment horizontal="center" vertical="center"/>
    </xf>
    <xf numFmtId="0" fontId="17" fillId="10" borderId="14" xfId="0" applyFont="1" applyFill="1" applyBorder="1" applyAlignment="1">
      <alignment horizontal="center" vertical="center"/>
    </xf>
    <xf numFmtId="0" fontId="17" fillId="10" borderId="18" xfId="0" applyFont="1" applyFill="1" applyBorder="1" applyAlignment="1">
      <alignment horizontal="center" vertical="center"/>
    </xf>
    <xf numFmtId="0" fontId="14" fillId="10" borderId="17" xfId="0" applyFont="1" applyFill="1" applyBorder="1" applyAlignment="1">
      <alignment horizontal="center" vertical="center"/>
    </xf>
    <xf numFmtId="0" fontId="12" fillId="9" borderId="0" xfId="0" applyFont="1" applyFill="1" applyAlignment="1">
      <alignment horizontal="center"/>
    </xf>
    <xf numFmtId="0" fontId="4" fillId="0" borderId="0" xfId="0" applyFont="1" applyAlignment="1">
      <alignment horizontal="center"/>
    </xf>
    <xf numFmtId="0" fontId="11" fillId="0" borderId="0" xfId="0" applyFont="1" applyAlignment="1">
      <alignment horizontal="center"/>
    </xf>
    <xf numFmtId="0" fontId="0" fillId="0" borderId="1" xfId="0" applyBorder="1" applyAlignment="1">
      <alignment horizontal="center"/>
    </xf>
    <xf numFmtId="0" fontId="0" fillId="0" borderId="7" xfId="0" applyBorder="1" applyAlignment="1">
      <alignment horizontal="center"/>
    </xf>
    <xf numFmtId="0" fontId="9" fillId="6" borderId="0" xfId="0" applyFont="1" applyFill="1" applyAlignment="1">
      <alignment horizontal="center"/>
    </xf>
    <xf numFmtId="0" fontId="10" fillId="7" borderId="0" xfId="0" applyFont="1" applyFill="1" applyAlignment="1">
      <alignment horizontal="center"/>
    </xf>
    <xf numFmtId="0" fontId="10" fillId="8" borderId="0" xfId="0" applyFont="1" applyFill="1" applyAlignment="1">
      <alignment horizontal="center"/>
    </xf>
    <xf numFmtId="0" fontId="4" fillId="8" borderId="0" xfId="0" applyFont="1" applyFill="1" applyAlignment="1">
      <alignment horizontal="center"/>
    </xf>
    <xf numFmtId="0" fontId="10" fillId="0" borderId="0" xfId="0" applyFont="1" applyAlignment="1">
      <alignment horizontal="center"/>
    </xf>
    <xf numFmtId="0" fontId="10" fillId="0" borderId="11" xfId="0" applyFont="1" applyBorder="1" applyAlignment="1">
      <alignment horizontal="center"/>
    </xf>
    <xf numFmtId="0" fontId="0" fillId="0" borderId="11" xfId="0" applyBorder="1" applyAlignment="1">
      <alignment horizontal="center"/>
    </xf>
    <xf numFmtId="0" fontId="0" fillId="0" borderId="12" xfId="0" applyBorder="1" applyAlignment="1">
      <alignment horizontal="center"/>
    </xf>
    <xf numFmtId="0" fontId="10" fillId="0" borderId="13" xfId="0" applyFont="1" applyBorder="1" applyAlignment="1">
      <alignment horizontal="center"/>
    </xf>
    <xf numFmtId="0" fontId="10" fillId="0" borderId="7" xfId="0" applyFont="1" applyBorder="1" applyAlignment="1">
      <alignment horizontal="center"/>
    </xf>
    <xf numFmtId="0" fontId="10" fillId="0" borderId="1" xfId="0" applyFont="1" applyBorder="1" applyAlignment="1">
      <alignment horizontal="center"/>
    </xf>
    <xf numFmtId="0" fontId="9" fillId="5" borderId="0" xfId="0" applyFont="1" applyFill="1" applyAlignment="1">
      <alignment horizontal="center"/>
    </xf>
    <xf numFmtId="0" fontId="9" fillId="5" borderId="1" xfId="0" applyFont="1" applyFill="1" applyBorder="1" applyAlignment="1">
      <alignment horizontal="center"/>
    </xf>
    <xf numFmtId="0" fontId="21" fillId="0" borderId="0" xfId="0" applyFont="1" applyAlignment="1">
      <alignment horizontal="center"/>
    </xf>
    <xf numFmtId="0" fontId="24" fillId="0" borderId="0" xfId="0" applyFont="1" applyAlignment="1">
      <alignment horizontal="center"/>
    </xf>
    <xf numFmtId="0" fontId="23" fillId="0" borderId="0" xfId="0" applyFont="1" applyAlignment="1">
      <alignment horizontal="center"/>
    </xf>
    <xf numFmtId="0" fontId="24" fillId="12" borderId="0" xfId="0" applyFont="1" applyFill="1" applyAlignment="1">
      <alignment horizontal="center"/>
    </xf>
    <xf numFmtId="0" fontId="0" fillId="12" borderId="0" xfId="0" applyFill="1" applyAlignment="1">
      <alignment horizontal="center"/>
    </xf>
    <xf numFmtId="0" fontId="26" fillId="0" borderId="13" xfId="0" applyFont="1" applyBorder="1" applyAlignment="1">
      <alignment horizontal="center"/>
    </xf>
    <xf numFmtId="0" fontId="26" fillId="0" borderId="12" xfId="0" applyFont="1" applyBorder="1" applyAlignment="1">
      <alignment horizontal="center"/>
    </xf>
    <xf numFmtId="0" fontId="26" fillId="0" borderId="11" xfId="0" applyFont="1" applyBorder="1" applyAlignment="1">
      <alignment horizontal="center"/>
    </xf>
    <xf numFmtId="0" fontId="44" fillId="0" borderId="0" xfId="0" applyFont="1" applyAlignment="1">
      <alignment horizontal="center"/>
    </xf>
    <xf numFmtId="0" fontId="49" fillId="5" borderId="0" xfId="0" applyFont="1" applyFill="1" applyAlignment="1">
      <alignment horizontal="center"/>
    </xf>
    <xf numFmtId="0" fontId="0" fillId="5" borderId="0" xfId="0" applyFill="1" applyAlignment="1">
      <alignment horizontal="center"/>
    </xf>
    <xf numFmtId="0" fontId="5" fillId="50" borderId="0" xfId="0" applyFont="1" applyFill="1" applyAlignment="1">
      <alignment horizontal="center"/>
    </xf>
    <xf numFmtId="0" fontId="0" fillId="50" borderId="0" xfId="0" applyFill="1" applyAlignment="1">
      <alignment horizontal="center"/>
    </xf>
    <xf numFmtId="0" fontId="52" fillId="51" borderId="0" xfId="0" applyFont="1" applyFill="1" applyAlignment="1">
      <alignment horizontal="center"/>
    </xf>
    <xf numFmtId="0" fontId="51" fillId="50" borderId="0" xfId="0" applyFont="1" applyFill="1" applyAlignment="1">
      <alignment horizontal="center"/>
    </xf>
    <xf numFmtId="0" fontId="43" fillId="0" borderId="29" xfId="0" applyFont="1" applyBorder="1" applyAlignment="1">
      <alignment horizontal="center" vertical="center" wrapText="1"/>
    </xf>
    <xf numFmtId="0" fontId="39" fillId="11" borderId="0" xfId="0" applyFont="1" applyFill="1" applyAlignment="1">
      <alignment horizontal="center"/>
    </xf>
    <xf numFmtId="0" fontId="42" fillId="56" borderId="0" xfId="0" applyFont="1" applyFill="1" applyAlignment="1">
      <alignment horizontal="center" vertical="center"/>
    </xf>
    <xf numFmtId="0" fontId="2" fillId="0" borderId="11" xfId="0" applyFont="1" applyBorder="1" applyAlignment="1">
      <alignment horizontal="center"/>
    </xf>
    <xf numFmtId="0" fontId="2" fillId="0" borderId="7" xfId="0" applyFont="1" applyBorder="1" applyAlignment="1">
      <alignment horizontal="center"/>
    </xf>
    <xf numFmtId="0" fontId="2" fillId="0" borderId="0" xfId="0" applyFont="1" applyAlignment="1">
      <alignment horizontal="center"/>
    </xf>
    <xf numFmtId="0" fontId="2" fillId="0" borderId="12" xfId="0" applyFont="1" applyBorder="1" applyAlignment="1">
      <alignment horizontal="center"/>
    </xf>
    <xf numFmtId="0" fontId="2" fillId="0" borderId="1" xfId="0" applyFont="1" applyBorder="1" applyAlignment="1">
      <alignment horizontal="center"/>
    </xf>
    <xf numFmtId="0" fontId="5" fillId="50" borderId="7" xfId="0" applyFont="1" applyFill="1" applyBorder="1" applyAlignment="1">
      <alignment horizontal="center"/>
    </xf>
    <xf numFmtId="0" fontId="0" fillId="50" borderId="1" xfId="0" applyFill="1" applyBorder="1" applyAlignment="1">
      <alignment horizontal="center"/>
    </xf>
    <xf numFmtId="0" fontId="49" fillId="61" borderId="13" xfId="0" applyFont="1" applyFill="1" applyBorder="1" applyAlignment="1">
      <alignment horizontal="center"/>
    </xf>
    <xf numFmtId="0" fontId="0" fillId="61" borderId="11" xfId="0" applyFill="1" applyBorder="1" applyAlignment="1">
      <alignment horizontal="center"/>
    </xf>
    <xf numFmtId="0" fontId="0" fillId="61" borderId="12" xfId="0" applyFill="1" applyBorder="1" applyAlignment="1">
      <alignment horizontal="center"/>
    </xf>
    <xf numFmtId="0" fontId="0" fillId="61" borderId="7" xfId="0" applyFill="1" applyBorder="1" applyAlignment="1">
      <alignment horizontal="center"/>
    </xf>
    <xf numFmtId="0" fontId="0" fillId="61" borderId="0" xfId="0" applyFill="1" applyAlignment="1">
      <alignment horizontal="center"/>
    </xf>
    <xf numFmtId="0" fontId="0" fillId="61" borderId="1" xfId="0" applyFill="1" applyBorder="1" applyAlignment="1">
      <alignment horizontal="center"/>
    </xf>
    <xf numFmtId="0" fontId="24" fillId="8" borderId="0" xfId="0" applyFont="1" applyFill="1" applyAlignment="1">
      <alignment horizontal="center"/>
    </xf>
    <xf numFmtId="0" fontId="1" fillId="0" borderId="29" xfId="0" applyFont="1" applyBorder="1"/>
  </cellXfs>
  <cellStyles count="48">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Explanatory Text" xfId="18" builtinId="53" customBuiltin="1"/>
    <cellStyle name="Followed Hyperlink" xfId="45" builtinId="9"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4" builtinId="8" customBuiltin="1"/>
    <cellStyle name="Input" xfId="11" builtinId="20" customBuiltin="1"/>
    <cellStyle name="Linked Cell" xfId="14" builtinId="24" customBuiltin="1"/>
    <cellStyle name="Neutral" xfId="10" builtinId="28" customBuiltin="1"/>
    <cellStyle name="Normal" xfId="0" builtinId="0"/>
    <cellStyle name="Normal 2" xfId="1" xr:uid="{D321784C-5F80-4B90-A688-4A094A64C4FC}"/>
    <cellStyle name="Normal 2 2" xfId="47" xr:uid="{EECDB329-78AD-47BB-9B39-05F4BE544F31}"/>
    <cellStyle name="Normal 3" xfId="2" xr:uid="{E568223F-56E0-486B-A47A-E1525E10DD18}"/>
    <cellStyle name="Note" xfId="17" builtinId="10" customBuiltin="1"/>
    <cellStyle name="Output" xfId="12" builtinId="21" customBuiltin="1"/>
    <cellStyle name="Percent" xfId="46" builtinId="5"/>
    <cellStyle name="Title" xfId="3" builtinId="15" customBuiltin="1"/>
    <cellStyle name="Total" xfId="19" builtinId="25" customBuiltin="1"/>
    <cellStyle name="Warning Text" xfId="16" builtinId="11" customBuiltin="1"/>
  </cellStyles>
  <dxfs count="65">
    <dxf>
      <font>
        <color rgb="FF006100"/>
      </font>
      <fill>
        <patternFill>
          <bgColor rgb="FFC6EFCE"/>
        </patternFill>
      </fill>
    </dxf>
    <dxf>
      <font>
        <color rgb="FF9C0006"/>
      </font>
      <fill>
        <patternFill>
          <bgColor rgb="FFFFC7CE"/>
        </patternFill>
      </fill>
    </dxf>
    <dxf>
      <font>
        <color theme="9" tint="0.39994506668294322"/>
      </font>
    </dxf>
    <dxf>
      <font>
        <color rgb="FF9C0006"/>
      </font>
    </dxf>
    <dxf>
      <font>
        <strike val="0"/>
        <outline val="0"/>
        <shadow val="0"/>
        <u val="none"/>
        <vertAlign val="baseline"/>
        <sz val="11"/>
        <name val="Calibri"/>
        <family val="2"/>
        <scheme val="none"/>
      </font>
    </dxf>
    <dxf>
      <font>
        <strike val="0"/>
        <outline val="0"/>
        <shadow val="0"/>
        <u val="none"/>
        <vertAlign val="baseline"/>
        <sz val="11"/>
        <name val="Calibri"/>
        <family val="2"/>
        <scheme val="none"/>
      </font>
    </dxf>
    <dxf>
      <font>
        <strike val="0"/>
        <outline val="0"/>
        <shadow val="0"/>
        <u val="none"/>
        <vertAlign val="baseline"/>
        <sz val="11"/>
        <name val="Calibri"/>
        <family val="2"/>
        <scheme val="none"/>
      </font>
    </dxf>
    <dxf>
      <font>
        <strike val="0"/>
        <outline val="0"/>
        <shadow val="0"/>
        <u val="none"/>
        <vertAlign val="baseline"/>
        <sz val="11"/>
        <name val="Calibri"/>
        <family val="2"/>
        <scheme val="none"/>
      </font>
    </dxf>
    <dxf>
      <font>
        <strike val="0"/>
        <outline val="0"/>
        <shadow val="0"/>
        <u val="none"/>
        <vertAlign val="baseline"/>
        <sz val="11"/>
        <name val="Calibri"/>
        <family val="2"/>
        <scheme val="none"/>
      </font>
    </dxf>
    <dxf>
      <font>
        <b val="0"/>
        <i val="0"/>
        <strike val="0"/>
        <condense val="0"/>
        <extend val="0"/>
        <outline val="0"/>
        <shadow val="0"/>
        <u val="none"/>
        <vertAlign val="baseline"/>
        <sz val="11"/>
        <color rgb="FF000000"/>
        <name val="Calibri"/>
        <family val="2"/>
        <scheme val="none"/>
      </font>
      <numFmt numFmtId="30" formatCode="@"/>
      <fill>
        <patternFill patternType="solid">
          <fgColor rgb="FF000000"/>
          <bgColor rgb="FFF2F2F2"/>
        </patternFill>
      </fill>
      <alignment horizontal="left" vertical="top" textRotation="0" wrapText="0" indent="0" justifyLastLine="0" shrinkToFit="0" readingOrder="0"/>
    </dxf>
    <dxf>
      <font>
        <strike val="0"/>
        <outline val="0"/>
        <shadow val="0"/>
        <u val="none"/>
        <vertAlign val="baseline"/>
        <sz val="11"/>
        <name val="Calibri"/>
        <family val="2"/>
        <scheme val="none"/>
      </font>
    </dxf>
    <dxf>
      <border outline="0">
        <bottom style="thin">
          <color rgb="FF000000"/>
        </bottom>
      </border>
    </dxf>
    <dxf>
      <font>
        <b/>
        <i val="0"/>
        <strike val="0"/>
        <condense val="0"/>
        <extend val="0"/>
        <outline val="0"/>
        <shadow val="0"/>
        <u val="none"/>
        <vertAlign val="baseline"/>
        <sz val="11"/>
        <color rgb="FF000080"/>
        <name val="Calibri"/>
        <family val="2"/>
        <scheme val="none"/>
      </font>
      <alignment horizontal="center" vertical="bottom" textRotation="0" wrapText="0" indent="0" justifyLastLine="0" shrinkToFit="0" readingOrder="0"/>
    </dxf>
    <dxf>
      <font>
        <strike val="0"/>
        <outline val="0"/>
        <shadow val="0"/>
        <u val="none"/>
        <vertAlign val="baseline"/>
        <sz val="11"/>
        <name val="Calibri"/>
        <family val="2"/>
        <scheme val="none"/>
      </font>
    </dxf>
    <dxf>
      <font>
        <strike val="0"/>
        <outline val="0"/>
        <shadow val="0"/>
        <u val="none"/>
        <vertAlign val="baseline"/>
        <sz val="11"/>
        <name val="Calibri"/>
        <family val="2"/>
        <scheme val="none"/>
      </font>
    </dxf>
    <dxf>
      <font>
        <strike val="0"/>
        <outline val="0"/>
        <shadow val="0"/>
        <u val="none"/>
        <vertAlign val="baseline"/>
        <sz val="11"/>
        <name val="Calibri"/>
        <family val="2"/>
        <scheme val="none"/>
      </font>
    </dxf>
    <dxf>
      <font>
        <strike val="0"/>
        <outline val="0"/>
        <shadow val="0"/>
        <u val="none"/>
        <vertAlign val="baseline"/>
        <sz val="11"/>
        <name val="Calibri"/>
        <family val="2"/>
        <scheme val="none"/>
      </font>
    </dxf>
    <dxf>
      <font>
        <strike val="0"/>
        <outline val="0"/>
        <shadow val="0"/>
        <u val="none"/>
        <vertAlign val="baseline"/>
        <sz val="11"/>
        <name val="Calibri"/>
        <family val="2"/>
        <scheme val="none"/>
      </font>
    </dxf>
    <dxf>
      <font>
        <b val="0"/>
        <i val="0"/>
        <strike val="0"/>
        <condense val="0"/>
        <extend val="0"/>
        <outline val="0"/>
        <shadow val="0"/>
        <u val="none"/>
        <vertAlign val="baseline"/>
        <sz val="11"/>
        <color rgb="FF000000"/>
        <name val="Calibri"/>
        <family val="2"/>
        <scheme val="none"/>
      </font>
      <numFmt numFmtId="30" formatCode="@"/>
      <fill>
        <patternFill patternType="solid">
          <fgColor rgb="FF000000"/>
          <bgColor rgb="FFF2F2F2"/>
        </patternFill>
      </fill>
      <alignment horizontal="left" vertical="top" textRotation="0" wrapText="0" indent="0" justifyLastLine="0" shrinkToFit="0" readingOrder="0"/>
    </dxf>
    <dxf>
      <font>
        <strike val="0"/>
        <outline val="0"/>
        <shadow val="0"/>
        <u val="none"/>
        <vertAlign val="baseline"/>
        <sz val="11"/>
        <name val="Calibri"/>
        <family val="2"/>
        <scheme val="none"/>
      </font>
    </dxf>
    <dxf>
      <border outline="0">
        <bottom style="thin">
          <color rgb="FF000000"/>
        </bottom>
      </border>
    </dxf>
    <dxf>
      <font>
        <b/>
        <i val="0"/>
        <strike val="0"/>
        <condense val="0"/>
        <extend val="0"/>
        <outline val="0"/>
        <shadow val="0"/>
        <u val="none"/>
        <vertAlign val="baseline"/>
        <sz val="11"/>
        <color rgb="FF000080"/>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numFmt numFmtId="164" formatCode="#,###"/>
      <fill>
        <patternFill patternType="solid">
          <fgColor rgb="FF000000"/>
          <bgColor rgb="FFF2F2F2"/>
        </patternFill>
      </fill>
      <alignment horizontal="right" vertical="top" textRotation="0" wrapText="0" indent="0" justifyLastLine="0" shrinkToFit="0" readingOrder="0"/>
    </dxf>
    <dxf>
      <font>
        <b val="0"/>
        <i val="0"/>
        <strike val="0"/>
        <condense val="0"/>
        <extend val="0"/>
        <outline val="0"/>
        <shadow val="0"/>
        <u val="none"/>
        <vertAlign val="baseline"/>
        <sz val="11"/>
        <color rgb="FF000000"/>
        <name val="Calibri"/>
        <family val="2"/>
        <scheme val="none"/>
      </font>
      <numFmt numFmtId="164" formatCode="#,###"/>
      <fill>
        <patternFill patternType="solid">
          <fgColor rgb="FF000000"/>
          <bgColor rgb="FFF2F2F2"/>
        </patternFill>
      </fill>
      <alignment horizontal="right" vertical="top" textRotation="0" wrapText="0" indent="0" justifyLastLine="0" shrinkToFit="0" readingOrder="0"/>
    </dxf>
    <dxf>
      <font>
        <b val="0"/>
        <i val="0"/>
        <strike val="0"/>
        <condense val="0"/>
        <extend val="0"/>
        <outline val="0"/>
        <shadow val="0"/>
        <u val="none"/>
        <vertAlign val="baseline"/>
        <sz val="11"/>
        <color rgb="FF000000"/>
        <name val="Calibri"/>
        <family val="2"/>
        <scheme val="none"/>
      </font>
      <numFmt numFmtId="164" formatCode="#,###"/>
      <fill>
        <patternFill patternType="solid">
          <fgColor rgb="FF000000"/>
          <bgColor rgb="FFF2F2F2"/>
        </patternFill>
      </fill>
      <alignment horizontal="right" vertical="top" textRotation="0" wrapText="0" indent="0" justifyLastLine="0" shrinkToFit="0" readingOrder="0"/>
    </dxf>
    <dxf>
      <font>
        <b val="0"/>
        <i val="0"/>
        <strike val="0"/>
        <condense val="0"/>
        <extend val="0"/>
        <outline val="0"/>
        <shadow val="0"/>
        <u val="none"/>
        <vertAlign val="baseline"/>
        <sz val="11"/>
        <color rgb="FF000000"/>
        <name val="Calibri"/>
        <family val="2"/>
        <scheme val="none"/>
      </font>
      <numFmt numFmtId="164" formatCode="#,###"/>
      <fill>
        <patternFill patternType="solid">
          <fgColor rgb="FF000000"/>
          <bgColor rgb="FFF2F2F2"/>
        </patternFill>
      </fill>
      <alignment horizontal="right" vertical="top" textRotation="0" wrapText="0" indent="0" justifyLastLine="0" shrinkToFit="0" readingOrder="0"/>
    </dxf>
    <dxf>
      <font>
        <b val="0"/>
        <i val="0"/>
        <strike val="0"/>
        <condense val="0"/>
        <extend val="0"/>
        <outline val="0"/>
        <shadow val="0"/>
        <u val="none"/>
        <vertAlign val="baseline"/>
        <sz val="11"/>
        <color rgb="FF000000"/>
        <name val="Calibri"/>
        <family val="2"/>
        <scheme val="none"/>
      </font>
      <numFmt numFmtId="164" formatCode="#,###"/>
      <fill>
        <patternFill patternType="solid">
          <fgColor rgb="FF000000"/>
          <bgColor rgb="FFF2F2F2"/>
        </patternFill>
      </fill>
      <alignment horizontal="right" vertical="top" textRotation="0" wrapText="0" indent="0" justifyLastLine="0" shrinkToFit="0" readingOrder="0"/>
    </dxf>
    <dxf>
      <font>
        <b val="0"/>
        <i val="0"/>
        <strike val="0"/>
        <condense val="0"/>
        <extend val="0"/>
        <outline val="0"/>
        <shadow val="0"/>
        <u val="none"/>
        <vertAlign val="baseline"/>
        <sz val="11"/>
        <color rgb="FF000000"/>
        <name val="Calibri"/>
        <family val="2"/>
        <scheme val="none"/>
      </font>
      <numFmt numFmtId="30" formatCode="@"/>
      <fill>
        <patternFill patternType="solid">
          <fgColor rgb="FF000000"/>
          <bgColor rgb="FFF2F2F2"/>
        </patternFill>
      </fill>
      <alignment horizontal="left" vertical="top"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solid">
          <fgColor rgb="FF000000"/>
          <bgColor rgb="FFF2F2F2"/>
        </patternFill>
      </fill>
      <alignment horizontal="right" vertical="top"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rgb="FF000080"/>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0"/>
        <color rgb="FF000000"/>
        <name val="Calibri"/>
        <family val="2"/>
        <scheme val="none"/>
      </font>
      <numFmt numFmtId="30" formatCode="@"/>
      <fill>
        <patternFill patternType="solid">
          <fgColor rgb="FF000000"/>
          <bgColor rgb="FFF2F2F2"/>
        </patternFill>
      </fill>
      <alignment horizontal="left" vertical="top" textRotation="0" wrapText="0" indent="0" justifyLastLine="0" shrinkToFit="0" readingOrder="0"/>
    </dxf>
    <dxf>
      <border outline="0">
        <bottom style="thin">
          <color rgb="FF000000"/>
        </bottom>
      </border>
    </dxf>
    <dxf>
      <font>
        <b/>
        <i val="0"/>
        <strike val="0"/>
        <condense val="0"/>
        <extend val="0"/>
        <outline val="0"/>
        <shadow val="0"/>
        <u val="none"/>
        <vertAlign val="baseline"/>
        <sz val="10"/>
        <color rgb="FF000080"/>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0"/>
        <color rgb="FF000000"/>
        <name val="Calibri"/>
        <family val="2"/>
        <scheme val="none"/>
      </font>
      <numFmt numFmtId="30" formatCode="@"/>
      <fill>
        <patternFill patternType="solid">
          <fgColor rgb="FF000000"/>
          <bgColor rgb="FFF2F2F2"/>
        </patternFill>
      </fill>
      <alignment horizontal="left" vertical="top" textRotation="0" wrapText="0" indent="0" justifyLastLine="0" shrinkToFit="0" readingOrder="0"/>
    </dxf>
    <dxf>
      <border outline="0">
        <bottom style="thin">
          <color rgb="FF000000"/>
        </bottom>
      </border>
    </dxf>
    <dxf>
      <font>
        <b/>
        <i val="0"/>
        <strike val="0"/>
        <condense val="0"/>
        <extend val="0"/>
        <outline val="0"/>
        <shadow val="0"/>
        <u val="none"/>
        <vertAlign val="baseline"/>
        <sz val="10"/>
        <color rgb="FF000080"/>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0"/>
        <color rgb="FF000000"/>
        <name val="Calibri"/>
        <family val="2"/>
        <scheme val="none"/>
      </font>
      <numFmt numFmtId="164" formatCode="#,###"/>
      <fill>
        <patternFill patternType="solid">
          <fgColor rgb="FF000000"/>
          <bgColor rgb="FFF2F2F2"/>
        </patternFill>
      </fill>
      <alignment horizontal="right" vertical="top" textRotation="0" wrapText="0" indent="0" justifyLastLine="0" shrinkToFit="0" readingOrder="0"/>
    </dxf>
    <dxf>
      <font>
        <b val="0"/>
        <i val="0"/>
        <strike val="0"/>
        <condense val="0"/>
        <extend val="0"/>
        <outline val="0"/>
        <shadow val="0"/>
        <u val="none"/>
        <vertAlign val="baseline"/>
        <sz val="10"/>
        <color rgb="FF000000"/>
        <name val="Calibri"/>
        <family val="2"/>
        <scheme val="none"/>
      </font>
      <numFmt numFmtId="164" formatCode="#,###"/>
      <fill>
        <patternFill patternType="solid">
          <fgColor rgb="FF000000"/>
          <bgColor rgb="FFF2F2F2"/>
        </patternFill>
      </fill>
      <alignment horizontal="right" vertical="top" textRotation="0" wrapText="0" indent="0" justifyLastLine="0" shrinkToFit="0" readingOrder="0"/>
    </dxf>
    <dxf>
      <font>
        <b val="0"/>
        <i val="0"/>
        <strike val="0"/>
        <condense val="0"/>
        <extend val="0"/>
        <outline val="0"/>
        <shadow val="0"/>
        <u val="none"/>
        <vertAlign val="baseline"/>
        <sz val="10"/>
        <color rgb="FF000000"/>
        <name val="Calibri"/>
        <family val="2"/>
        <scheme val="none"/>
      </font>
      <numFmt numFmtId="164" formatCode="#,###"/>
      <fill>
        <patternFill patternType="solid">
          <fgColor rgb="FF000000"/>
          <bgColor rgb="FFF2F2F2"/>
        </patternFill>
      </fill>
      <alignment horizontal="right" vertical="top" textRotation="0" wrapText="0" indent="0" justifyLastLine="0" shrinkToFit="0" readingOrder="0"/>
    </dxf>
    <dxf>
      <font>
        <b val="0"/>
        <i val="0"/>
        <strike val="0"/>
        <condense val="0"/>
        <extend val="0"/>
        <outline val="0"/>
        <shadow val="0"/>
        <u val="none"/>
        <vertAlign val="baseline"/>
        <sz val="10"/>
        <color rgb="FF000000"/>
        <name val="Calibri"/>
        <family val="2"/>
        <scheme val="none"/>
      </font>
      <numFmt numFmtId="164" formatCode="#,###"/>
      <fill>
        <patternFill patternType="solid">
          <fgColor rgb="FF000000"/>
          <bgColor rgb="FFF2F2F2"/>
        </patternFill>
      </fill>
      <alignment horizontal="right" vertical="top" textRotation="0" wrapText="0" indent="0" justifyLastLine="0" shrinkToFit="0" readingOrder="0"/>
    </dxf>
    <dxf>
      <font>
        <b val="0"/>
        <i val="0"/>
        <strike val="0"/>
        <condense val="0"/>
        <extend val="0"/>
        <outline val="0"/>
        <shadow val="0"/>
        <u val="none"/>
        <vertAlign val="baseline"/>
        <sz val="10"/>
        <color rgb="FF000000"/>
        <name val="Calibri"/>
        <family val="2"/>
        <scheme val="none"/>
      </font>
      <numFmt numFmtId="164" formatCode="#,###"/>
      <fill>
        <patternFill patternType="solid">
          <fgColor rgb="FF000000"/>
          <bgColor rgb="FFF2F2F2"/>
        </patternFill>
      </fill>
      <alignment horizontal="right" vertical="top" textRotation="0" wrapText="0" indent="0" justifyLastLine="0" shrinkToFit="0" readingOrder="0"/>
    </dxf>
    <dxf>
      <font>
        <b val="0"/>
        <i val="0"/>
        <strike val="0"/>
        <condense val="0"/>
        <extend val="0"/>
        <outline val="0"/>
        <shadow val="0"/>
        <u val="none"/>
        <vertAlign val="baseline"/>
        <sz val="10"/>
        <color rgb="FF000000"/>
        <name val="Calibri"/>
        <family val="2"/>
        <scheme val="none"/>
      </font>
      <numFmt numFmtId="30" formatCode="@"/>
      <fill>
        <patternFill patternType="solid">
          <fgColor rgb="FF000000"/>
          <bgColor rgb="FFF2F2F2"/>
        </patternFill>
      </fill>
      <alignment horizontal="left" vertical="top" textRotation="0" wrapText="0" indent="0" justifyLastLine="0" shrinkToFit="0" readingOrder="0"/>
    </dxf>
    <dxf>
      <font>
        <b val="0"/>
        <i val="0"/>
        <strike val="0"/>
        <condense val="0"/>
        <extend val="0"/>
        <outline val="0"/>
        <shadow val="0"/>
        <u val="none"/>
        <vertAlign val="baseline"/>
        <sz val="10"/>
        <color rgb="FF000000"/>
        <name val="Calibri"/>
        <family val="2"/>
        <scheme val="none"/>
      </font>
      <fill>
        <patternFill patternType="solid">
          <fgColor rgb="FF000000"/>
          <bgColor rgb="FFF2F2F2"/>
        </patternFill>
      </fill>
      <alignment horizontal="right" vertical="top" textRotation="0" wrapText="0" indent="0" justifyLastLine="0" shrinkToFit="0" readingOrder="0"/>
    </dxf>
    <dxf>
      <border outline="0">
        <bottom style="thin">
          <color rgb="FF000000"/>
        </bottom>
      </border>
    </dxf>
    <dxf>
      <font>
        <b/>
        <i val="0"/>
        <strike val="0"/>
        <condense val="0"/>
        <extend val="0"/>
        <outline val="0"/>
        <shadow val="0"/>
        <u val="none"/>
        <vertAlign val="baseline"/>
        <sz val="10"/>
        <color rgb="FF000080"/>
        <name val="Calibri"/>
        <family val="2"/>
        <scheme val="none"/>
      </font>
      <alignment horizontal="center" vertical="bottom" textRotation="0" wrapText="0" indent="0" justifyLastLine="0" shrinkToFit="0" readingOrder="0"/>
    </dxf>
    <dxf>
      <font>
        <strike val="0"/>
        <outline val="0"/>
        <shadow val="0"/>
        <u val="none"/>
        <vertAlign val="baseline"/>
        <sz val="14"/>
        <color theme="1"/>
        <name val="Aptos Narrow"/>
        <family val="2"/>
        <scheme val="minor"/>
      </font>
    </dxf>
    <dxf>
      <font>
        <b val="0"/>
        <i val="0"/>
        <strike val="0"/>
        <condense val="0"/>
        <extend val="0"/>
        <outline val="0"/>
        <shadow val="0"/>
        <u val="none"/>
        <vertAlign val="baseline"/>
        <sz val="14"/>
        <color theme="1"/>
        <name val="Aptos Narrow"/>
        <family val="2"/>
        <scheme val="minor"/>
      </font>
      <fill>
        <patternFill patternType="solid">
          <fgColor theme="4" tint="0.79998168889431442"/>
          <bgColor theme="4" tint="0.79998168889431442"/>
        </patternFill>
      </fill>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4"/>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left style="thin">
          <color theme="4" tint="0.39997558519241921"/>
        </left>
        <top style="thin">
          <color theme="4" tint="0.39997558519241921"/>
        </top>
      </border>
    </dxf>
    <dxf>
      <border outline="0">
        <bottom style="thin">
          <color theme="4" tint="0.39997558519241921"/>
        </bottom>
      </border>
    </dxf>
    <dxf>
      <font>
        <b val="0"/>
        <i val="0"/>
        <strike val="0"/>
        <condense val="0"/>
        <extend val="0"/>
        <outline val="0"/>
        <shadow val="0"/>
        <u val="none"/>
        <vertAlign val="baseline"/>
        <sz val="14"/>
        <color theme="1"/>
        <name val="Aptos Narrow"/>
        <family val="2"/>
        <scheme val="minor"/>
      </font>
    </dxf>
    <dxf>
      <font>
        <strike val="0"/>
        <outline val="0"/>
        <shadow val="0"/>
        <u val="none"/>
        <vertAlign val="baseline"/>
        <sz val="14"/>
        <color theme="1"/>
        <name val="Aptos Narrow"/>
        <family val="2"/>
        <scheme val="minor"/>
      </font>
    </dxf>
    <dxf>
      <font>
        <strike val="0"/>
        <outline val="0"/>
        <shadow val="0"/>
        <u val="none"/>
        <vertAlign val="baseline"/>
        <sz val="14"/>
        <color theme="1"/>
        <name val="Aptos Narrow"/>
        <family val="2"/>
        <scheme val="minor"/>
      </font>
    </dxf>
    <dxf>
      <font>
        <strike val="0"/>
        <outline val="0"/>
        <shadow val="0"/>
        <u val="none"/>
        <vertAlign val="baseline"/>
        <sz val="14"/>
        <color theme="1"/>
        <name val="Aptos Narrow"/>
        <family val="2"/>
        <scheme val="minor"/>
      </font>
    </dxf>
    <dxf>
      <font>
        <strike val="0"/>
        <outline val="0"/>
        <shadow val="0"/>
        <u val="none"/>
        <vertAlign val="baseline"/>
        <sz val="14"/>
        <color theme="1"/>
        <name val="Aptos Narrow"/>
        <family val="2"/>
        <scheme val="minor"/>
      </font>
    </dxf>
    <dxf>
      <font>
        <b val="0"/>
        <i val="0"/>
        <strike val="0"/>
        <condense val="0"/>
        <extend val="0"/>
        <outline val="0"/>
        <shadow val="0"/>
        <u val="none"/>
        <vertAlign val="baseline"/>
        <sz val="14"/>
        <color theme="1"/>
        <name val="Aptos Narrow"/>
        <family val="2"/>
        <scheme val="minor"/>
      </font>
    </dxf>
    <dxf>
      <font>
        <b val="0"/>
        <i val="0"/>
        <strike val="0"/>
        <condense val="0"/>
        <extend val="0"/>
        <outline val="0"/>
        <shadow val="0"/>
        <u val="none"/>
        <vertAlign val="baseline"/>
        <sz val="14"/>
        <color theme="1"/>
        <name val="Aptos Narrow"/>
        <family val="2"/>
        <scheme val="minor"/>
      </font>
    </dxf>
    <dxf>
      <font>
        <strike val="0"/>
        <outline val="0"/>
        <shadow val="0"/>
        <u val="none"/>
        <vertAlign val="baseline"/>
        <sz val="14"/>
        <color theme="1"/>
        <name val="Aptos Narrow"/>
        <family val="2"/>
        <scheme val="minor"/>
      </font>
    </dxf>
    <dxf>
      <font>
        <b val="0"/>
        <i val="0"/>
        <strike val="0"/>
        <condense val="0"/>
        <extend val="0"/>
        <outline val="0"/>
        <shadow val="0"/>
        <u val="none"/>
        <vertAlign val="baseline"/>
        <sz val="14"/>
        <color theme="1"/>
        <name val="Aptos Narrow"/>
        <family val="2"/>
        <scheme val="minor"/>
      </font>
    </dxf>
    <dxf>
      <font>
        <strike val="0"/>
        <outline val="0"/>
        <shadow val="0"/>
        <u val="none"/>
        <vertAlign val="baseline"/>
        <sz val="14"/>
        <color theme="1"/>
        <name val="Aptos Narrow"/>
        <family val="2"/>
        <scheme val="minor"/>
      </font>
    </dxf>
    <dxf>
      <font>
        <b val="0"/>
        <i val="0"/>
        <strike val="0"/>
        <condense val="0"/>
        <extend val="0"/>
        <outline val="0"/>
        <shadow val="0"/>
        <u val="none"/>
        <vertAlign val="baseline"/>
        <sz val="14"/>
        <color theme="1"/>
        <name val="Aptos Narrow"/>
        <family val="2"/>
        <scheme val="minor"/>
      </font>
    </dxf>
    <dxf>
      <font>
        <strike val="0"/>
        <outline val="0"/>
        <shadow val="0"/>
        <u val="none"/>
        <vertAlign val="baseline"/>
        <sz val="14"/>
        <color theme="1"/>
        <name val="Aptos Narrow"/>
        <family val="2"/>
        <scheme val="minor"/>
      </font>
    </dxf>
    <dxf>
      <font>
        <strike val="0"/>
        <outline val="0"/>
        <shadow val="0"/>
        <u val="none"/>
        <vertAlign val="baseline"/>
        <sz val="14"/>
        <color theme="1"/>
        <name val="Aptos Narrow"/>
        <family val="2"/>
        <scheme val="minor"/>
      </font>
    </dxf>
    <dxf>
      <font>
        <strike val="0"/>
        <outline val="0"/>
        <shadow val="0"/>
        <u val="none"/>
        <vertAlign val="baseline"/>
        <sz val="14"/>
        <color theme="1"/>
        <name val="Aptos Narrow"/>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5.xml"/><Relationship Id="rId3" Type="http://schemas.openxmlformats.org/officeDocument/2006/relationships/worksheet" Target="worksheets/sheet3.xml"/><Relationship Id="rId21" Type="http://schemas.openxmlformats.org/officeDocument/2006/relationships/externalLink" Target="externalLinks/externalLink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4.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2.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1.xml"/><Relationship Id="rId27" Type="http://schemas.openxmlformats.org/officeDocument/2006/relationships/pivotCacheDefinition" Target="pivotCache/pivotCacheDefinition6.xml"/><Relationship Id="rId30"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'Shareholding pattern'!$B$28</c:f>
              <c:strCache>
                <c:ptCount val="1"/>
                <c:pt idx="0">
                  <c:v>%of shares held  FY24(31/04)</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0865-4515-9343-5FF02E9FEC1F}"/>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0865-4515-9343-5FF02E9FEC1F}"/>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0865-4515-9343-5FF02E9FEC1F}"/>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0865-4515-9343-5FF02E9FEC1F}"/>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0865-4515-9343-5FF02E9FEC1F}"/>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'Shareholding pattern'!$A$29:$A$33</c:f>
              <c:strCache>
                <c:ptCount val="5"/>
                <c:pt idx="0">
                  <c:v>Central Gov / President of India</c:v>
                </c:pt>
                <c:pt idx="1">
                  <c:v>Domestic Institutions</c:v>
                </c:pt>
                <c:pt idx="2">
                  <c:v>Promoters</c:v>
                </c:pt>
                <c:pt idx="3">
                  <c:v>Foreign Institutions</c:v>
                </c:pt>
                <c:pt idx="4">
                  <c:v>Non- Institutional buyers</c:v>
                </c:pt>
              </c:strCache>
            </c:strRef>
          </c:cat>
          <c:val>
            <c:numRef>
              <c:f>'Shareholding pattern'!$B$29:$B$33</c:f>
              <c:numCache>
                <c:formatCode>General</c:formatCode>
                <c:ptCount val="5"/>
                <c:pt idx="0">
                  <c:v>0</c:v>
                </c:pt>
                <c:pt idx="1">
                  <c:v>11.4</c:v>
                </c:pt>
                <c:pt idx="2">
                  <c:v>22</c:v>
                </c:pt>
                <c:pt idx="3">
                  <c:v>23.65</c:v>
                </c:pt>
                <c:pt idx="4">
                  <c:v>42.95</c:v>
                </c:pt>
              </c:numCache>
            </c:numRef>
          </c:val>
          <c:extLst>
            <c:ext xmlns:c16="http://schemas.microsoft.com/office/drawing/2014/chart" uri="{C3380CC4-5D6E-409C-BE32-E72D297353CC}">
              <c16:uniqueId val="{00000000-031D-47C0-8957-C2CC69D9182E}"/>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'Shareholding pattern'!$N$28</c:f>
              <c:strCache>
                <c:ptCount val="1"/>
                <c:pt idx="0">
                  <c:v>%of shares held  FY24(31/04)</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53D5-4F56-A816-C995EE1D3711}"/>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53D5-4F56-A816-C995EE1D3711}"/>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53D5-4F56-A816-C995EE1D3711}"/>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53D5-4F56-A816-C995EE1D3711}"/>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53D5-4F56-A816-C995EE1D3711}"/>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'Shareholding pattern'!$M$29:$M$33</c:f>
              <c:strCache>
                <c:ptCount val="5"/>
                <c:pt idx="0">
                  <c:v>Central Gov / President of India</c:v>
                </c:pt>
                <c:pt idx="1">
                  <c:v>Domestic Institutions</c:v>
                </c:pt>
                <c:pt idx="2">
                  <c:v>Promoters</c:v>
                </c:pt>
                <c:pt idx="3">
                  <c:v>Foreign Institutions</c:v>
                </c:pt>
                <c:pt idx="4">
                  <c:v>Non- Institutional buyers</c:v>
                </c:pt>
              </c:strCache>
            </c:strRef>
          </c:cat>
          <c:val>
            <c:numRef>
              <c:f>'Shareholding pattern'!$N$29:$N$33</c:f>
              <c:numCache>
                <c:formatCode>General</c:formatCode>
                <c:ptCount val="5"/>
                <c:pt idx="0">
                  <c:v>0</c:v>
                </c:pt>
                <c:pt idx="1">
                  <c:v>26.955400000000001</c:v>
                </c:pt>
                <c:pt idx="2">
                  <c:v>56.069800000000001</c:v>
                </c:pt>
                <c:pt idx="3">
                  <c:v>11.848000000000001</c:v>
                </c:pt>
                <c:pt idx="4">
                  <c:v>5.1268000000000002</c:v>
                </c:pt>
              </c:numCache>
            </c:numRef>
          </c:val>
          <c:extLst>
            <c:ext xmlns:c16="http://schemas.microsoft.com/office/drawing/2014/chart" uri="{C3380CC4-5D6E-409C-BE32-E72D297353CC}">
              <c16:uniqueId val="{00000000-A48A-4891-B85F-5B54AF02D4D6}"/>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'Shareholding pattern'!$Z$28</c:f>
              <c:strCache>
                <c:ptCount val="1"/>
                <c:pt idx="0">
                  <c:v>%of shares held  FY24(31/04)</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03CB-4649-B7A5-AA280803ABC7}"/>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03CB-4649-B7A5-AA280803ABC7}"/>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03CB-4649-B7A5-AA280803ABC7}"/>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03CB-4649-B7A5-AA280803ABC7}"/>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03CB-4649-B7A5-AA280803ABC7}"/>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'Shareholding pattern'!$Y$29:$Y$33</c:f>
              <c:strCache>
                <c:ptCount val="5"/>
                <c:pt idx="0">
                  <c:v>Central Gov / President of India</c:v>
                </c:pt>
                <c:pt idx="1">
                  <c:v>Domestic Institutions</c:v>
                </c:pt>
                <c:pt idx="2">
                  <c:v>Promoters</c:v>
                </c:pt>
                <c:pt idx="3">
                  <c:v>Foreign Institutions</c:v>
                </c:pt>
                <c:pt idx="4">
                  <c:v>Non- Institutional buyers</c:v>
                </c:pt>
              </c:strCache>
            </c:strRef>
          </c:cat>
          <c:val>
            <c:numRef>
              <c:f>'Shareholding pattern'!$Z$29:$Z$33</c:f>
              <c:numCache>
                <c:formatCode>General</c:formatCode>
                <c:ptCount val="5"/>
                <c:pt idx="0">
                  <c:v>0</c:v>
                </c:pt>
                <c:pt idx="1">
                  <c:v>30.4681</c:v>
                </c:pt>
                <c:pt idx="2">
                  <c:v>51.094099999999997</c:v>
                </c:pt>
                <c:pt idx="3">
                  <c:v>7.1307</c:v>
                </c:pt>
                <c:pt idx="4">
                  <c:v>11.3071</c:v>
                </c:pt>
              </c:numCache>
            </c:numRef>
          </c:val>
          <c:extLst>
            <c:ext xmlns:c16="http://schemas.microsoft.com/office/drawing/2014/chart" uri="{C3380CC4-5D6E-409C-BE32-E72D297353CC}">
              <c16:uniqueId val="{00000000-0614-4E5E-A452-EB107358B904}"/>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t>
            </a:r>
            <a:r>
              <a:rPr lang="en-IN" baseline="0"/>
              <a:t> change in share price </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lineChart>
        <c:grouping val="standard"/>
        <c:varyColors val="0"/>
        <c:ser>
          <c:idx val="1"/>
          <c:order val="1"/>
          <c:tx>
            <c:strRef>
              <c:f>'Company returns to sectoral ind'!$C$64:$C$65</c:f>
              <c:strCache>
                <c:ptCount val="2"/>
                <c:pt idx="0">
                  <c:v>NCC Ltd</c:v>
                </c:pt>
                <c:pt idx="1">
                  <c:v>SPR(in%)</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numRef>
              <c:f>'Company returns to sectoral ind'!$A$66:$A$118</c:f>
              <c:numCache>
                <c:formatCode>d\-mmm\-yy</c:formatCode>
                <c:ptCount val="53"/>
                <c:pt idx="0">
                  <c:v>45497</c:v>
                </c:pt>
                <c:pt idx="1">
                  <c:v>45491</c:v>
                </c:pt>
                <c:pt idx="2">
                  <c:v>45484</c:v>
                </c:pt>
                <c:pt idx="3">
                  <c:v>45477</c:v>
                </c:pt>
                <c:pt idx="4">
                  <c:v>45470</c:v>
                </c:pt>
                <c:pt idx="5">
                  <c:v>45463</c:v>
                </c:pt>
                <c:pt idx="6">
                  <c:v>45456</c:v>
                </c:pt>
                <c:pt idx="7">
                  <c:v>45449</c:v>
                </c:pt>
                <c:pt idx="8">
                  <c:v>45442</c:v>
                </c:pt>
                <c:pt idx="9">
                  <c:v>45435</c:v>
                </c:pt>
                <c:pt idx="10">
                  <c:v>45428</c:v>
                </c:pt>
                <c:pt idx="11">
                  <c:v>45421</c:v>
                </c:pt>
                <c:pt idx="12">
                  <c:v>45414</c:v>
                </c:pt>
                <c:pt idx="13">
                  <c:v>45407</c:v>
                </c:pt>
                <c:pt idx="14">
                  <c:v>45400</c:v>
                </c:pt>
                <c:pt idx="15">
                  <c:v>45392</c:v>
                </c:pt>
                <c:pt idx="16">
                  <c:v>45385</c:v>
                </c:pt>
                <c:pt idx="17">
                  <c:v>45378</c:v>
                </c:pt>
                <c:pt idx="18">
                  <c:v>45371</c:v>
                </c:pt>
                <c:pt idx="19">
                  <c:v>45364</c:v>
                </c:pt>
                <c:pt idx="20">
                  <c:v>45357</c:v>
                </c:pt>
                <c:pt idx="21">
                  <c:v>45350</c:v>
                </c:pt>
                <c:pt idx="22">
                  <c:v>45343</c:v>
                </c:pt>
                <c:pt idx="23">
                  <c:v>45336</c:v>
                </c:pt>
                <c:pt idx="24">
                  <c:v>45329</c:v>
                </c:pt>
                <c:pt idx="25">
                  <c:v>45322</c:v>
                </c:pt>
                <c:pt idx="26">
                  <c:v>45315</c:v>
                </c:pt>
                <c:pt idx="27">
                  <c:v>45308</c:v>
                </c:pt>
                <c:pt idx="28">
                  <c:v>45301</c:v>
                </c:pt>
                <c:pt idx="29">
                  <c:v>45294</c:v>
                </c:pt>
                <c:pt idx="30">
                  <c:v>45287</c:v>
                </c:pt>
                <c:pt idx="31">
                  <c:v>45280</c:v>
                </c:pt>
                <c:pt idx="32">
                  <c:v>45273</c:v>
                </c:pt>
                <c:pt idx="33">
                  <c:v>45266</c:v>
                </c:pt>
                <c:pt idx="34">
                  <c:v>45259</c:v>
                </c:pt>
                <c:pt idx="35">
                  <c:v>45252</c:v>
                </c:pt>
                <c:pt idx="36">
                  <c:v>45245</c:v>
                </c:pt>
                <c:pt idx="37">
                  <c:v>45238</c:v>
                </c:pt>
                <c:pt idx="38">
                  <c:v>45231</c:v>
                </c:pt>
                <c:pt idx="39">
                  <c:v>45224</c:v>
                </c:pt>
                <c:pt idx="40">
                  <c:v>45217</c:v>
                </c:pt>
                <c:pt idx="41">
                  <c:v>45210</c:v>
                </c:pt>
                <c:pt idx="42">
                  <c:v>45203</c:v>
                </c:pt>
                <c:pt idx="43">
                  <c:v>45196</c:v>
                </c:pt>
                <c:pt idx="44">
                  <c:v>45189</c:v>
                </c:pt>
                <c:pt idx="45">
                  <c:v>45181</c:v>
                </c:pt>
                <c:pt idx="46">
                  <c:v>45174</c:v>
                </c:pt>
                <c:pt idx="47">
                  <c:v>45166</c:v>
                </c:pt>
                <c:pt idx="48">
                  <c:v>45159</c:v>
                </c:pt>
                <c:pt idx="49">
                  <c:v>45152</c:v>
                </c:pt>
                <c:pt idx="50">
                  <c:v>45145</c:v>
                </c:pt>
                <c:pt idx="51">
                  <c:v>45138</c:v>
                </c:pt>
                <c:pt idx="52">
                  <c:v>45131</c:v>
                </c:pt>
              </c:numCache>
            </c:numRef>
          </c:cat>
          <c:val>
            <c:numRef>
              <c:f>'Company returns to sectoral ind'!$C$66:$C$118</c:f>
              <c:numCache>
                <c:formatCode>0.00</c:formatCode>
                <c:ptCount val="53"/>
                <c:pt idx="0">
                  <c:v>2.2451456310679543</c:v>
                </c:pt>
                <c:pt idx="1">
                  <c:v>-0.46806583119430911</c:v>
                </c:pt>
                <c:pt idx="2">
                  <c:v>-3.313868613138693</c:v>
                </c:pt>
                <c:pt idx="3">
                  <c:v>4.1666666666666625</c:v>
                </c:pt>
                <c:pt idx="4">
                  <c:v>3.8534428300694845</c:v>
                </c:pt>
                <c:pt idx="5">
                  <c:v>-5.6052474657125684</c:v>
                </c:pt>
                <c:pt idx="6">
                  <c:v>13.329954384186514</c:v>
                </c:pt>
                <c:pt idx="7">
                  <c:v>3.5876793839691987</c:v>
                </c:pt>
                <c:pt idx="8">
                  <c:v>-1.1418685121107306</c:v>
                </c:pt>
                <c:pt idx="9">
                  <c:v>12.890625</c:v>
                </c:pt>
                <c:pt idx="10">
                  <c:v>4.5111247193304802</c:v>
                </c:pt>
                <c:pt idx="11">
                  <c:v>0.67817509247841234</c:v>
                </c:pt>
                <c:pt idx="12">
                  <c:v>-2.7966440271673991</c:v>
                </c:pt>
                <c:pt idx="13">
                  <c:v>1.7479674796748015</c:v>
                </c:pt>
                <c:pt idx="14">
                  <c:v>-7.2398190045248834</c:v>
                </c:pt>
                <c:pt idx="15">
                  <c:v>2.1768445386245334</c:v>
                </c:pt>
                <c:pt idx="16">
                  <c:v>6.1988543371522118</c:v>
                </c:pt>
                <c:pt idx="17">
                  <c:v>13.384365576432378</c:v>
                </c:pt>
                <c:pt idx="18">
                  <c:v>-9.811715481171543</c:v>
                </c:pt>
                <c:pt idx="19">
                  <c:v>-8.7437953417334775</c:v>
                </c:pt>
                <c:pt idx="20">
                  <c:v>0.73076923076922196</c:v>
                </c:pt>
                <c:pt idx="21">
                  <c:v>14.436619718309865</c:v>
                </c:pt>
                <c:pt idx="22">
                  <c:v>5.2582812138058816</c:v>
                </c:pt>
                <c:pt idx="23">
                  <c:v>-2.0422055820285911</c:v>
                </c:pt>
                <c:pt idx="24">
                  <c:v>3.9631988676574692</c:v>
                </c:pt>
                <c:pt idx="25">
                  <c:v>9.7049689440993792</c:v>
                </c:pt>
                <c:pt idx="26">
                  <c:v>-2.2761760242792111</c:v>
                </c:pt>
                <c:pt idx="27">
                  <c:v>11.50592216582063</c:v>
                </c:pt>
                <c:pt idx="28">
                  <c:v>6.1676646706586897</c:v>
                </c:pt>
                <c:pt idx="29">
                  <c:v>-0.74294205052005935</c:v>
                </c:pt>
                <c:pt idx="30">
                  <c:v>0.14880952380952381</c:v>
                </c:pt>
                <c:pt idx="31">
                  <c:v>-3.9725635895970215</c:v>
                </c:pt>
                <c:pt idx="32">
                  <c:v>2.3099415204678295</c:v>
                </c:pt>
                <c:pt idx="33">
                  <c:v>2.8262176788935589</c:v>
                </c:pt>
                <c:pt idx="34">
                  <c:v>-1.2470308788598541</c:v>
                </c:pt>
                <c:pt idx="35">
                  <c:v>0.47732696897375382</c:v>
                </c:pt>
                <c:pt idx="36">
                  <c:v>11.957247828991321</c:v>
                </c:pt>
                <c:pt idx="37">
                  <c:v>2.9573590096285991</c:v>
                </c:pt>
                <c:pt idx="38">
                  <c:v>-1.756756756756753</c:v>
                </c:pt>
                <c:pt idx="39">
                  <c:v>-9.5354523227383829</c:v>
                </c:pt>
                <c:pt idx="40">
                  <c:v>3.1851151056448956</c:v>
                </c:pt>
                <c:pt idx="41">
                  <c:v>-1.6134036611852274</c:v>
                </c:pt>
                <c:pt idx="42">
                  <c:v>0.75023444826509356</c:v>
                </c:pt>
                <c:pt idx="43">
                  <c:v>6.3851014299966717</c:v>
                </c:pt>
                <c:pt idx="44">
                  <c:v>-9.5367027677496967</c:v>
                </c:pt>
                <c:pt idx="45">
                  <c:v>-6.0132291040302301E-2</c:v>
                </c:pt>
                <c:pt idx="46">
                  <c:v>8.870703764320794</c:v>
                </c:pt>
                <c:pt idx="47">
                  <c:v>0.36136662286465926</c:v>
                </c:pt>
                <c:pt idx="48">
                  <c:v>-1.6795865633075082</c:v>
                </c:pt>
                <c:pt idx="49">
                  <c:v>0.84690553745929087</c:v>
                </c:pt>
                <c:pt idx="50">
                  <c:v>1.6893010930771855</c:v>
                </c:pt>
                <c:pt idx="51">
                  <c:v>7.5525472034200183</c:v>
                </c:pt>
                <c:pt idx="52">
                  <c:v>0</c:v>
                </c:pt>
              </c:numCache>
            </c:numRef>
          </c:val>
          <c:smooth val="0"/>
          <c:extLst>
            <c:ext xmlns:c16="http://schemas.microsoft.com/office/drawing/2014/chart" uri="{C3380CC4-5D6E-409C-BE32-E72D297353CC}">
              <c16:uniqueId val="{00000001-B4F5-4143-B101-3DF5A37F932F}"/>
            </c:ext>
          </c:extLst>
        </c:ser>
        <c:ser>
          <c:idx val="3"/>
          <c:order val="3"/>
          <c:tx>
            <c:strRef>
              <c:f>'Company returns to sectoral ind'!$E$64:$E$65</c:f>
              <c:strCache>
                <c:ptCount val="2"/>
                <c:pt idx="0">
                  <c:v>PNC </c:v>
                </c:pt>
                <c:pt idx="1">
                  <c:v>SPR(in %)</c:v>
                </c:pt>
              </c:strCache>
            </c:strRef>
          </c:tx>
          <c:spPr>
            <a:ln w="34925" cap="rnd">
              <a:solidFill>
                <a:schemeClr val="accent4"/>
              </a:solidFill>
              <a:round/>
            </a:ln>
            <a:effectLst>
              <a:outerShdw blurRad="57150" dist="19050" dir="5400000" algn="ctr" rotWithShape="0">
                <a:srgbClr val="000000">
                  <a:alpha val="63000"/>
                </a:srgbClr>
              </a:outerShdw>
            </a:effectLst>
          </c:spPr>
          <c:marker>
            <c:symbol val="none"/>
          </c:marker>
          <c:cat>
            <c:numRef>
              <c:f>'Company returns to sectoral ind'!$A$66:$A$118</c:f>
              <c:numCache>
                <c:formatCode>d\-mmm\-yy</c:formatCode>
                <c:ptCount val="53"/>
                <c:pt idx="0">
                  <c:v>45497</c:v>
                </c:pt>
                <c:pt idx="1">
                  <c:v>45491</c:v>
                </c:pt>
                <c:pt idx="2">
                  <c:v>45484</c:v>
                </c:pt>
                <c:pt idx="3">
                  <c:v>45477</c:v>
                </c:pt>
                <c:pt idx="4">
                  <c:v>45470</c:v>
                </c:pt>
                <c:pt idx="5">
                  <c:v>45463</c:v>
                </c:pt>
                <c:pt idx="6">
                  <c:v>45456</c:v>
                </c:pt>
                <c:pt idx="7">
                  <c:v>45449</c:v>
                </c:pt>
                <c:pt idx="8">
                  <c:v>45442</c:v>
                </c:pt>
                <c:pt idx="9">
                  <c:v>45435</c:v>
                </c:pt>
                <c:pt idx="10">
                  <c:v>45428</c:v>
                </c:pt>
                <c:pt idx="11">
                  <c:v>45421</c:v>
                </c:pt>
                <c:pt idx="12">
                  <c:v>45414</c:v>
                </c:pt>
                <c:pt idx="13">
                  <c:v>45407</c:v>
                </c:pt>
                <c:pt idx="14">
                  <c:v>45400</c:v>
                </c:pt>
                <c:pt idx="15">
                  <c:v>45392</c:v>
                </c:pt>
                <c:pt idx="16">
                  <c:v>45385</c:v>
                </c:pt>
                <c:pt idx="17">
                  <c:v>45378</c:v>
                </c:pt>
                <c:pt idx="18">
                  <c:v>45371</c:v>
                </c:pt>
                <c:pt idx="19">
                  <c:v>45364</c:v>
                </c:pt>
                <c:pt idx="20">
                  <c:v>45357</c:v>
                </c:pt>
                <c:pt idx="21">
                  <c:v>45350</c:v>
                </c:pt>
                <c:pt idx="22">
                  <c:v>45343</c:v>
                </c:pt>
                <c:pt idx="23">
                  <c:v>45336</c:v>
                </c:pt>
                <c:pt idx="24">
                  <c:v>45329</c:v>
                </c:pt>
                <c:pt idx="25">
                  <c:v>45322</c:v>
                </c:pt>
                <c:pt idx="26">
                  <c:v>45315</c:v>
                </c:pt>
                <c:pt idx="27">
                  <c:v>45308</c:v>
                </c:pt>
                <c:pt idx="28">
                  <c:v>45301</c:v>
                </c:pt>
                <c:pt idx="29">
                  <c:v>45294</c:v>
                </c:pt>
                <c:pt idx="30">
                  <c:v>45287</c:v>
                </c:pt>
                <c:pt idx="31">
                  <c:v>45280</c:v>
                </c:pt>
                <c:pt idx="32">
                  <c:v>45273</c:v>
                </c:pt>
                <c:pt idx="33">
                  <c:v>45266</c:v>
                </c:pt>
                <c:pt idx="34">
                  <c:v>45259</c:v>
                </c:pt>
                <c:pt idx="35">
                  <c:v>45252</c:v>
                </c:pt>
                <c:pt idx="36">
                  <c:v>45245</c:v>
                </c:pt>
                <c:pt idx="37">
                  <c:v>45238</c:v>
                </c:pt>
                <c:pt idx="38">
                  <c:v>45231</c:v>
                </c:pt>
                <c:pt idx="39">
                  <c:v>45224</c:v>
                </c:pt>
                <c:pt idx="40">
                  <c:v>45217</c:v>
                </c:pt>
                <c:pt idx="41">
                  <c:v>45210</c:v>
                </c:pt>
                <c:pt idx="42">
                  <c:v>45203</c:v>
                </c:pt>
                <c:pt idx="43">
                  <c:v>45196</c:v>
                </c:pt>
                <c:pt idx="44">
                  <c:v>45189</c:v>
                </c:pt>
                <c:pt idx="45">
                  <c:v>45181</c:v>
                </c:pt>
                <c:pt idx="46">
                  <c:v>45174</c:v>
                </c:pt>
                <c:pt idx="47">
                  <c:v>45166</c:v>
                </c:pt>
                <c:pt idx="48">
                  <c:v>45159</c:v>
                </c:pt>
                <c:pt idx="49">
                  <c:v>45152</c:v>
                </c:pt>
                <c:pt idx="50">
                  <c:v>45145</c:v>
                </c:pt>
                <c:pt idx="51">
                  <c:v>45138</c:v>
                </c:pt>
                <c:pt idx="52">
                  <c:v>45131</c:v>
                </c:pt>
              </c:numCache>
            </c:numRef>
          </c:cat>
          <c:val>
            <c:numRef>
              <c:f>'Company returns to sectoral ind'!$E$66:$E$118</c:f>
              <c:numCache>
                <c:formatCode>0.00</c:formatCode>
                <c:ptCount val="53"/>
                <c:pt idx="0">
                  <c:v>-3.5408230530181877</c:v>
                </c:pt>
                <c:pt idx="1">
                  <c:v>0.53967051694755208</c:v>
                </c:pt>
                <c:pt idx="2">
                  <c:v>7.7755102040816375</c:v>
                </c:pt>
                <c:pt idx="3">
                  <c:v>0.4098360655737705</c:v>
                </c:pt>
                <c:pt idx="4">
                  <c:v>4.3627031650983694</c:v>
                </c:pt>
                <c:pt idx="5">
                  <c:v>-3.3884297520661111</c:v>
                </c:pt>
                <c:pt idx="6">
                  <c:v>0.83333333333333337</c:v>
                </c:pt>
                <c:pt idx="7">
                  <c:v>-8.2217973231357551</c:v>
                </c:pt>
                <c:pt idx="8">
                  <c:v>-0.2479496471485704</c:v>
                </c:pt>
                <c:pt idx="9">
                  <c:v>22.514312419675189</c:v>
                </c:pt>
                <c:pt idx="10">
                  <c:v>0.67043048694424034</c:v>
                </c:pt>
                <c:pt idx="11">
                  <c:v>-5.5543212619417908</c:v>
                </c:pt>
                <c:pt idx="12">
                  <c:v>1.4195583596214536</c:v>
                </c:pt>
                <c:pt idx="13">
                  <c:v>-0.88218872138469873</c:v>
                </c:pt>
                <c:pt idx="14">
                  <c:v>-0.89641434262948461</c:v>
                </c:pt>
                <c:pt idx="15">
                  <c:v>4.3900184842883547</c:v>
                </c:pt>
                <c:pt idx="16">
                  <c:v>-2.1478634411033237</c:v>
                </c:pt>
                <c:pt idx="17">
                  <c:v>9.236848604593737</c:v>
                </c:pt>
                <c:pt idx="18">
                  <c:v>-1.3040828762949477</c:v>
                </c:pt>
                <c:pt idx="19">
                  <c:v>-11.584051724137931</c:v>
                </c:pt>
                <c:pt idx="20">
                  <c:v>1.3100436681222707</c:v>
                </c:pt>
                <c:pt idx="21">
                  <c:v>11.666463488967457</c:v>
                </c:pt>
                <c:pt idx="22">
                  <c:v>3.3123425692695156</c:v>
                </c:pt>
                <c:pt idx="23">
                  <c:v>-10.786516853932584</c:v>
                </c:pt>
                <c:pt idx="24">
                  <c:v>-0.857747577141589</c:v>
                </c:pt>
                <c:pt idx="25">
                  <c:v>16.071890354279812</c:v>
                </c:pt>
                <c:pt idx="26">
                  <c:v>-6.5038684719535862</c:v>
                </c:pt>
                <c:pt idx="27">
                  <c:v>17.700626067159948</c:v>
                </c:pt>
                <c:pt idx="28">
                  <c:v>0.42869391254644185</c:v>
                </c:pt>
                <c:pt idx="29">
                  <c:v>-1.0043853444617377</c:v>
                </c:pt>
                <c:pt idx="30">
                  <c:v>0.48329779673062928</c:v>
                </c:pt>
                <c:pt idx="31">
                  <c:v>6.5909090909090899</c:v>
                </c:pt>
                <c:pt idx="32">
                  <c:v>-6.396255850234013</c:v>
                </c:pt>
                <c:pt idx="33">
                  <c:v>4.9412114898050374</c:v>
                </c:pt>
                <c:pt idx="34">
                  <c:v>2.8785790843668586</c:v>
                </c:pt>
                <c:pt idx="35">
                  <c:v>1.7289719626168258</c:v>
                </c:pt>
                <c:pt idx="36">
                  <c:v>-1.4732965009208139</c:v>
                </c:pt>
                <c:pt idx="37">
                  <c:v>-2.3673958645489894</c:v>
                </c:pt>
                <c:pt idx="38">
                  <c:v>-2.994186046511631</c:v>
                </c:pt>
                <c:pt idx="39">
                  <c:v>-6.6739012479652802</c:v>
                </c:pt>
                <c:pt idx="40">
                  <c:v>-1.8114011720830996</c:v>
                </c:pt>
                <c:pt idx="41">
                  <c:v>-0.15957446808511241</c:v>
                </c:pt>
                <c:pt idx="42">
                  <c:v>1.3477088948787064</c:v>
                </c:pt>
                <c:pt idx="43">
                  <c:v>0.76045627376426173</c:v>
                </c:pt>
                <c:pt idx="44">
                  <c:v>0.62858704564088863</c:v>
                </c:pt>
                <c:pt idx="45">
                  <c:v>6.9883040935672449</c:v>
                </c:pt>
                <c:pt idx="46">
                  <c:v>7.3951954780970359</c:v>
                </c:pt>
                <c:pt idx="47">
                  <c:v>-1.7735965453423812</c:v>
                </c:pt>
                <c:pt idx="48">
                  <c:v>-7.3714285714285745</c:v>
                </c:pt>
                <c:pt idx="49">
                  <c:v>-0.84985835694051004</c:v>
                </c:pt>
                <c:pt idx="50">
                  <c:v>2.6461180575748831</c:v>
                </c:pt>
                <c:pt idx="51">
                  <c:v>-2.5641025641025674</c:v>
                </c:pt>
                <c:pt idx="52">
                  <c:v>0</c:v>
                </c:pt>
              </c:numCache>
            </c:numRef>
          </c:val>
          <c:smooth val="0"/>
          <c:extLst>
            <c:ext xmlns:c16="http://schemas.microsoft.com/office/drawing/2014/chart" uri="{C3380CC4-5D6E-409C-BE32-E72D297353CC}">
              <c16:uniqueId val="{00000003-B4F5-4143-B101-3DF5A37F932F}"/>
            </c:ext>
          </c:extLst>
        </c:ser>
        <c:ser>
          <c:idx val="5"/>
          <c:order val="5"/>
          <c:tx>
            <c:strRef>
              <c:f>'Company returns to sectoral ind'!$G$64:$G$65</c:f>
              <c:strCache>
                <c:ptCount val="2"/>
                <c:pt idx="0">
                  <c:v>NIFTY 50</c:v>
                </c:pt>
                <c:pt idx="1">
                  <c:v>SPR(in %)</c:v>
                </c:pt>
              </c:strCache>
            </c:strRef>
          </c:tx>
          <c:spPr>
            <a:ln w="34925" cap="rnd">
              <a:solidFill>
                <a:schemeClr val="accent6"/>
              </a:solidFill>
              <a:round/>
            </a:ln>
            <a:effectLst>
              <a:outerShdw blurRad="57150" dist="19050" dir="5400000" algn="ctr" rotWithShape="0">
                <a:srgbClr val="000000">
                  <a:alpha val="63000"/>
                </a:srgbClr>
              </a:outerShdw>
            </a:effectLst>
          </c:spPr>
          <c:marker>
            <c:symbol val="none"/>
          </c:marker>
          <c:cat>
            <c:numRef>
              <c:f>'Company returns to sectoral ind'!$A$66:$A$118</c:f>
              <c:numCache>
                <c:formatCode>d\-mmm\-yy</c:formatCode>
                <c:ptCount val="53"/>
                <c:pt idx="0">
                  <c:v>45497</c:v>
                </c:pt>
                <c:pt idx="1">
                  <c:v>45491</c:v>
                </c:pt>
                <c:pt idx="2">
                  <c:v>45484</c:v>
                </c:pt>
                <c:pt idx="3">
                  <c:v>45477</c:v>
                </c:pt>
                <c:pt idx="4">
                  <c:v>45470</c:v>
                </c:pt>
                <c:pt idx="5">
                  <c:v>45463</c:v>
                </c:pt>
                <c:pt idx="6">
                  <c:v>45456</c:v>
                </c:pt>
                <c:pt idx="7">
                  <c:v>45449</c:v>
                </c:pt>
                <c:pt idx="8">
                  <c:v>45442</c:v>
                </c:pt>
                <c:pt idx="9">
                  <c:v>45435</c:v>
                </c:pt>
                <c:pt idx="10">
                  <c:v>45428</c:v>
                </c:pt>
                <c:pt idx="11">
                  <c:v>45421</c:v>
                </c:pt>
                <c:pt idx="12">
                  <c:v>45414</c:v>
                </c:pt>
                <c:pt idx="13">
                  <c:v>45407</c:v>
                </c:pt>
                <c:pt idx="14">
                  <c:v>45400</c:v>
                </c:pt>
                <c:pt idx="15">
                  <c:v>45392</c:v>
                </c:pt>
                <c:pt idx="16">
                  <c:v>45385</c:v>
                </c:pt>
                <c:pt idx="17">
                  <c:v>45378</c:v>
                </c:pt>
                <c:pt idx="18">
                  <c:v>45371</c:v>
                </c:pt>
                <c:pt idx="19">
                  <c:v>45364</c:v>
                </c:pt>
                <c:pt idx="20">
                  <c:v>45357</c:v>
                </c:pt>
                <c:pt idx="21">
                  <c:v>45350</c:v>
                </c:pt>
                <c:pt idx="22">
                  <c:v>45343</c:v>
                </c:pt>
                <c:pt idx="23">
                  <c:v>45336</c:v>
                </c:pt>
                <c:pt idx="24">
                  <c:v>45329</c:v>
                </c:pt>
                <c:pt idx="25">
                  <c:v>45322</c:v>
                </c:pt>
                <c:pt idx="26">
                  <c:v>45315</c:v>
                </c:pt>
                <c:pt idx="27">
                  <c:v>45308</c:v>
                </c:pt>
                <c:pt idx="28">
                  <c:v>45301</c:v>
                </c:pt>
                <c:pt idx="29">
                  <c:v>45294</c:v>
                </c:pt>
                <c:pt idx="30">
                  <c:v>45287</c:v>
                </c:pt>
                <c:pt idx="31">
                  <c:v>45280</c:v>
                </c:pt>
                <c:pt idx="32">
                  <c:v>45273</c:v>
                </c:pt>
                <c:pt idx="33">
                  <c:v>45266</c:v>
                </c:pt>
                <c:pt idx="34">
                  <c:v>45259</c:v>
                </c:pt>
                <c:pt idx="35">
                  <c:v>45252</c:v>
                </c:pt>
                <c:pt idx="36">
                  <c:v>45245</c:v>
                </c:pt>
                <c:pt idx="37">
                  <c:v>45238</c:v>
                </c:pt>
                <c:pt idx="38">
                  <c:v>45231</c:v>
                </c:pt>
                <c:pt idx="39">
                  <c:v>45224</c:v>
                </c:pt>
                <c:pt idx="40">
                  <c:v>45217</c:v>
                </c:pt>
                <c:pt idx="41">
                  <c:v>45210</c:v>
                </c:pt>
                <c:pt idx="42">
                  <c:v>45203</c:v>
                </c:pt>
                <c:pt idx="43">
                  <c:v>45196</c:v>
                </c:pt>
                <c:pt idx="44">
                  <c:v>45189</c:v>
                </c:pt>
                <c:pt idx="45">
                  <c:v>45181</c:v>
                </c:pt>
                <c:pt idx="46">
                  <c:v>45174</c:v>
                </c:pt>
                <c:pt idx="47">
                  <c:v>45166</c:v>
                </c:pt>
                <c:pt idx="48">
                  <c:v>45159</c:v>
                </c:pt>
                <c:pt idx="49">
                  <c:v>45152</c:v>
                </c:pt>
                <c:pt idx="50">
                  <c:v>45145</c:v>
                </c:pt>
                <c:pt idx="51">
                  <c:v>45138</c:v>
                </c:pt>
                <c:pt idx="52">
                  <c:v>45131</c:v>
                </c:pt>
              </c:numCache>
            </c:numRef>
          </c:cat>
          <c:val>
            <c:numRef>
              <c:f>'Company returns to sectoral ind'!$G$66:$G$118</c:f>
              <c:numCache>
                <c:formatCode>0.00</c:formatCode>
                <c:ptCount val="53"/>
                <c:pt idx="0">
                  <c:v>0.69932644574851133</c:v>
                </c:pt>
                <c:pt idx="1">
                  <c:v>0.38581577758613911</c:v>
                </c:pt>
                <c:pt idx="2">
                  <c:v>0.50456585667853271</c:v>
                </c:pt>
                <c:pt idx="3">
                  <c:v>2.1314667981840549</c:v>
                </c:pt>
                <c:pt idx="4">
                  <c:v>0.39462798113403175</c:v>
                </c:pt>
                <c:pt idx="5">
                  <c:v>1.2509694531213051</c:v>
                </c:pt>
                <c:pt idx="6">
                  <c:v>8.0406018229652446E-2</c:v>
                </c:pt>
                <c:pt idx="7">
                  <c:v>1.2162012591719706</c:v>
                </c:pt>
                <c:pt idx="8">
                  <c:v>2.3368875997485978</c:v>
                </c:pt>
                <c:pt idx="9">
                  <c:v>0.10271345835324334</c:v>
                </c:pt>
                <c:pt idx="10">
                  <c:v>1.4897893838046751E-2</c:v>
                </c:pt>
                <c:pt idx="11">
                  <c:v>4.8274680708601934E-2</c:v>
                </c:pt>
                <c:pt idx="12">
                  <c:v>0.12696545871283754</c:v>
                </c:pt>
                <c:pt idx="13">
                  <c:v>0.48345833864913684</c:v>
                </c:pt>
                <c:pt idx="14">
                  <c:v>5.1729929459183838E-2</c:v>
                </c:pt>
                <c:pt idx="15">
                  <c:v>0.73950080311863353</c:v>
                </c:pt>
                <c:pt idx="16">
                  <c:v>0.229277932790349</c:v>
                </c:pt>
                <c:pt idx="17">
                  <c:v>0.14197372919927354</c:v>
                </c:pt>
                <c:pt idx="18">
                  <c:v>0.27815243207404078</c:v>
                </c:pt>
                <c:pt idx="19">
                  <c:v>0.17172711992011847</c:v>
                </c:pt>
                <c:pt idx="20">
                  <c:v>0.21586308763995107</c:v>
                </c:pt>
                <c:pt idx="21">
                  <c:v>0.41796565631594751</c:v>
                </c:pt>
                <c:pt idx="22">
                  <c:v>0.14280638617323105</c:v>
                </c:pt>
                <c:pt idx="23">
                  <c:v>0.18003495066261924</c:v>
                </c:pt>
                <c:pt idx="24">
                  <c:v>0.16515124679989701</c:v>
                </c:pt>
                <c:pt idx="25">
                  <c:v>4.9017351682245386E-2</c:v>
                </c:pt>
                <c:pt idx="26">
                  <c:v>9.7900325950496983E-2</c:v>
                </c:pt>
                <c:pt idx="27">
                  <c:v>1.1706114306489122</c:v>
                </c:pt>
                <c:pt idx="28">
                  <c:v>0.18865986121357703</c:v>
                </c:pt>
                <c:pt idx="29">
                  <c:v>1.4391011065635859</c:v>
                </c:pt>
                <c:pt idx="30">
                  <c:v>0.3634600253399895</c:v>
                </c:pt>
                <c:pt idx="31">
                  <c:v>0.39712182141451136</c:v>
                </c:pt>
                <c:pt idx="32">
                  <c:v>4.0878479924681814</c:v>
                </c:pt>
                <c:pt idx="33">
                  <c:v>9.6725265435018665E-2</c:v>
                </c:pt>
                <c:pt idx="34">
                  <c:v>1.6402143145976549</c:v>
                </c:pt>
                <c:pt idx="35">
                  <c:v>0.18001412769103028</c:v>
                </c:pt>
                <c:pt idx="36">
                  <c:v>1.8232602425453642E-2</c:v>
                </c:pt>
                <c:pt idx="37">
                  <c:v>3.8505870878661135E-2</c:v>
                </c:pt>
                <c:pt idx="38">
                  <c:v>0.31792098481806214</c:v>
                </c:pt>
                <c:pt idx="39">
                  <c:v>7.6043693332828372E-2</c:v>
                </c:pt>
                <c:pt idx="40">
                  <c:v>0.27645233110012585</c:v>
                </c:pt>
                <c:pt idx="41">
                  <c:v>3.5206506570594487E-2</c:v>
                </c:pt>
                <c:pt idx="42">
                  <c:v>8.9116090944378931E-2</c:v>
                </c:pt>
                <c:pt idx="43">
                  <c:v>0.19982448195310787</c:v>
                </c:pt>
                <c:pt idx="44">
                  <c:v>1.3818198567517139E-2</c:v>
                </c:pt>
                <c:pt idx="45">
                  <c:v>0.38892813563676437</c:v>
                </c:pt>
                <c:pt idx="46">
                  <c:v>0.45521288427941781</c:v>
                </c:pt>
                <c:pt idx="47">
                  <c:v>0.1224689112410479</c:v>
                </c:pt>
                <c:pt idx="48">
                  <c:v>0.25956195681737948</c:v>
                </c:pt>
                <c:pt idx="49">
                  <c:v>2.2541896835835629E-2</c:v>
                </c:pt>
                <c:pt idx="50">
                  <c:v>0.29312405800115099</c:v>
                </c:pt>
                <c:pt idx="51">
                  <c:v>0.98460117354382171</c:v>
                </c:pt>
                <c:pt idx="52">
                  <c:v>0</c:v>
                </c:pt>
              </c:numCache>
            </c:numRef>
          </c:val>
          <c:smooth val="0"/>
          <c:extLst>
            <c:ext xmlns:c16="http://schemas.microsoft.com/office/drawing/2014/chart" uri="{C3380CC4-5D6E-409C-BE32-E72D297353CC}">
              <c16:uniqueId val="{00000005-B4F5-4143-B101-3DF5A37F932F}"/>
            </c:ext>
          </c:extLst>
        </c:ser>
        <c:ser>
          <c:idx val="7"/>
          <c:order val="7"/>
          <c:tx>
            <c:strRef>
              <c:f>'Company returns to sectoral ind'!$I$64:$I$65</c:f>
              <c:strCache>
                <c:ptCount val="2"/>
                <c:pt idx="0">
                  <c:v>KNR Constructions</c:v>
                </c:pt>
                <c:pt idx="1">
                  <c:v>SPR(in %)</c:v>
                </c:pt>
              </c:strCache>
            </c:strRef>
          </c:tx>
          <c:spPr>
            <a:ln w="34925" cap="rnd">
              <a:solidFill>
                <a:schemeClr val="accent2">
                  <a:lumMod val="60000"/>
                </a:schemeClr>
              </a:solidFill>
              <a:round/>
            </a:ln>
            <a:effectLst>
              <a:outerShdw blurRad="57150" dist="19050" dir="5400000" algn="ctr" rotWithShape="0">
                <a:srgbClr val="000000">
                  <a:alpha val="63000"/>
                </a:srgbClr>
              </a:outerShdw>
            </a:effectLst>
          </c:spPr>
          <c:marker>
            <c:symbol val="none"/>
          </c:marker>
          <c:cat>
            <c:numRef>
              <c:f>'Company returns to sectoral ind'!$A$66:$A$118</c:f>
              <c:numCache>
                <c:formatCode>d\-mmm\-yy</c:formatCode>
                <c:ptCount val="53"/>
                <c:pt idx="0">
                  <c:v>45497</c:v>
                </c:pt>
                <c:pt idx="1">
                  <c:v>45491</c:v>
                </c:pt>
                <c:pt idx="2">
                  <c:v>45484</c:v>
                </c:pt>
                <c:pt idx="3">
                  <c:v>45477</c:v>
                </c:pt>
                <c:pt idx="4">
                  <c:v>45470</c:v>
                </c:pt>
                <c:pt idx="5">
                  <c:v>45463</c:v>
                </c:pt>
                <c:pt idx="6">
                  <c:v>45456</c:v>
                </c:pt>
                <c:pt idx="7">
                  <c:v>45449</c:v>
                </c:pt>
                <c:pt idx="8">
                  <c:v>45442</c:v>
                </c:pt>
                <c:pt idx="9">
                  <c:v>45435</c:v>
                </c:pt>
                <c:pt idx="10">
                  <c:v>45428</c:v>
                </c:pt>
                <c:pt idx="11">
                  <c:v>45421</c:v>
                </c:pt>
                <c:pt idx="12">
                  <c:v>45414</c:v>
                </c:pt>
                <c:pt idx="13">
                  <c:v>45407</c:v>
                </c:pt>
                <c:pt idx="14">
                  <c:v>45400</c:v>
                </c:pt>
                <c:pt idx="15">
                  <c:v>45392</c:v>
                </c:pt>
                <c:pt idx="16">
                  <c:v>45385</c:v>
                </c:pt>
                <c:pt idx="17">
                  <c:v>45378</c:v>
                </c:pt>
                <c:pt idx="18">
                  <c:v>45371</c:v>
                </c:pt>
                <c:pt idx="19">
                  <c:v>45364</c:v>
                </c:pt>
                <c:pt idx="20">
                  <c:v>45357</c:v>
                </c:pt>
                <c:pt idx="21">
                  <c:v>45350</c:v>
                </c:pt>
                <c:pt idx="22">
                  <c:v>45343</c:v>
                </c:pt>
                <c:pt idx="23">
                  <c:v>45336</c:v>
                </c:pt>
                <c:pt idx="24">
                  <c:v>45329</c:v>
                </c:pt>
                <c:pt idx="25">
                  <c:v>45322</c:v>
                </c:pt>
                <c:pt idx="26">
                  <c:v>45315</c:v>
                </c:pt>
                <c:pt idx="27">
                  <c:v>45308</c:v>
                </c:pt>
                <c:pt idx="28">
                  <c:v>45301</c:v>
                </c:pt>
                <c:pt idx="29">
                  <c:v>45294</c:v>
                </c:pt>
                <c:pt idx="30">
                  <c:v>45287</c:v>
                </c:pt>
                <c:pt idx="31">
                  <c:v>45280</c:v>
                </c:pt>
                <c:pt idx="32">
                  <c:v>45273</c:v>
                </c:pt>
                <c:pt idx="33">
                  <c:v>45266</c:v>
                </c:pt>
                <c:pt idx="34">
                  <c:v>45259</c:v>
                </c:pt>
                <c:pt idx="35">
                  <c:v>45252</c:v>
                </c:pt>
                <c:pt idx="36">
                  <c:v>45245</c:v>
                </c:pt>
                <c:pt idx="37">
                  <c:v>45238</c:v>
                </c:pt>
                <c:pt idx="38">
                  <c:v>45231</c:v>
                </c:pt>
                <c:pt idx="39">
                  <c:v>45224</c:v>
                </c:pt>
                <c:pt idx="40">
                  <c:v>45217</c:v>
                </c:pt>
                <c:pt idx="41">
                  <c:v>45210</c:v>
                </c:pt>
                <c:pt idx="42">
                  <c:v>45203</c:v>
                </c:pt>
                <c:pt idx="43">
                  <c:v>45196</c:v>
                </c:pt>
                <c:pt idx="44">
                  <c:v>45189</c:v>
                </c:pt>
                <c:pt idx="45">
                  <c:v>45181</c:v>
                </c:pt>
                <c:pt idx="46">
                  <c:v>45174</c:v>
                </c:pt>
                <c:pt idx="47">
                  <c:v>45166</c:v>
                </c:pt>
                <c:pt idx="48">
                  <c:v>45159</c:v>
                </c:pt>
                <c:pt idx="49">
                  <c:v>45152</c:v>
                </c:pt>
                <c:pt idx="50">
                  <c:v>45145</c:v>
                </c:pt>
                <c:pt idx="51">
                  <c:v>45138</c:v>
                </c:pt>
                <c:pt idx="52">
                  <c:v>45131</c:v>
                </c:pt>
              </c:numCache>
            </c:numRef>
          </c:cat>
          <c:val>
            <c:numRef>
              <c:f>'Company returns to sectoral ind'!$I$66:$I$118</c:f>
              <c:numCache>
                <c:formatCode>0.00</c:formatCode>
                <c:ptCount val="53"/>
                <c:pt idx="0">
                  <c:v>2.3359288097886477</c:v>
                </c:pt>
                <c:pt idx="1">
                  <c:v>-3.5407725321888379</c:v>
                </c:pt>
                <c:pt idx="2">
                  <c:v>1.8718404153572954</c:v>
                </c:pt>
                <c:pt idx="3">
                  <c:v>3.6979314253329592</c:v>
                </c:pt>
                <c:pt idx="4">
                  <c:v>-2.3519645821804094</c:v>
                </c:pt>
                <c:pt idx="5">
                  <c:v>-4.2775791285922482</c:v>
                </c:pt>
                <c:pt idx="6">
                  <c:v>9.4982598607888633</c:v>
                </c:pt>
                <c:pt idx="7">
                  <c:v>19.307958477508656</c:v>
                </c:pt>
                <c:pt idx="8">
                  <c:v>4.3321299638989164</c:v>
                </c:pt>
                <c:pt idx="9">
                  <c:v>9.2702169625246551</c:v>
                </c:pt>
                <c:pt idx="10">
                  <c:v>2.9859841560024352</c:v>
                </c:pt>
                <c:pt idx="11">
                  <c:v>-7.6706676669167351</c:v>
                </c:pt>
                <c:pt idx="12">
                  <c:v>1.8140156578193618</c:v>
                </c:pt>
                <c:pt idx="13">
                  <c:v>-0.43726235741444003</c:v>
                </c:pt>
                <c:pt idx="14">
                  <c:v>-1.6086793864571685</c:v>
                </c:pt>
                <c:pt idx="15">
                  <c:v>2.2179732313575569</c:v>
                </c:pt>
                <c:pt idx="16">
                  <c:v>3.4210005932370993</c:v>
                </c:pt>
                <c:pt idx="17">
                  <c:v>4.4834710743801631</c:v>
                </c:pt>
                <c:pt idx="18">
                  <c:v>-10.37037037037037</c:v>
                </c:pt>
                <c:pt idx="19">
                  <c:v>-4.1873669268985134</c:v>
                </c:pt>
                <c:pt idx="20">
                  <c:v>-7.0921985815598804E-2</c:v>
                </c:pt>
                <c:pt idx="21">
                  <c:v>4.0398450470392877</c:v>
                </c:pt>
                <c:pt idx="22">
                  <c:v>4.875217643644814</c:v>
                </c:pt>
                <c:pt idx="23">
                  <c:v>-10.74080469694354</c:v>
                </c:pt>
                <c:pt idx="24">
                  <c:v>6.5305371596762321</c:v>
                </c:pt>
                <c:pt idx="25">
                  <c:v>3.7800687285223504</c:v>
                </c:pt>
                <c:pt idx="26">
                  <c:v>1.590380139643121</c:v>
                </c:pt>
                <c:pt idx="27">
                  <c:v>-0.54012345679011464</c:v>
                </c:pt>
                <c:pt idx="28">
                  <c:v>-1.3698630136986387</c:v>
                </c:pt>
                <c:pt idx="29">
                  <c:v>-1.5730337078651642</c:v>
                </c:pt>
                <c:pt idx="30">
                  <c:v>-0.37313432835820892</c:v>
                </c:pt>
                <c:pt idx="31">
                  <c:v>-1.3617960986381996</c:v>
                </c:pt>
                <c:pt idx="32">
                  <c:v>0.49935269095615525</c:v>
                </c:pt>
                <c:pt idx="33">
                  <c:v>-7.048306687295856</c:v>
                </c:pt>
                <c:pt idx="34">
                  <c:v>-3.0338389731621827</c:v>
                </c:pt>
                <c:pt idx="35">
                  <c:v>11.484854116335244</c:v>
                </c:pt>
                <c:pt idx="36">
                  <c:v>0.56064287049149686</c:v>
                </c:pt>
                <c:pt idx="37">
                  <c:v>1.3638946770221718</c:v>
                </c:pt>
                <c:pt idx="38">
                  <c:v>-0.39622641509434392</c:v>
                </c:pt>
                <c:pt idx="39">
                  <c:v>-4.8132183908045896</c:v>
                </c:pt>
                <c:pt idx="40">
                  <c:v>-1.8508725542041249</c:v>
                </c:pt>
                <c:pt idx="41">
                  <c:v>0.58510638297871531</c:v>
                </c:pt>
                <c:pt idx="42">
                  <c:v>-1.7727353306155422E-2</c:v>
                </c:pt>
                <c:pt idx="43">
                  <c:v>2.582287688670676</c:v>
                </c:pt>
                <c:pt idx="44">
                  <c:v>-3.3397785199507828</c:v>
                </c:pt>
                <c:pt idx="45">
                  <c:v>2.2649649469710629</c:v>
                </c:pt>
                <c:pt idx="46">
                  <c:v>3.5940409683426355</c:v>
                </c:pt>
                <c:pt idx="47">
                  <c:v>9.0133982947624798</c:v>
                </c:pt>
                <c:pt idx="48">
                  <c:v>-3.3738721067085109</c:v>
                </c:pt>
                <c:pt idx="49">
                  <c:v>4.3816543816543891</c:v>
                </c:pt>
                <c:pt idx="50">
                  <c:v>-0.3265306122449026</c:v>
                </c:pt>
                <c:pt idx="51">
                  <c:v>1.1143210895583939</c:v>
                </c:pt>
                <c:pt idx="52">
                  <c:v>0</c:v>
                </c:pt>
              </c:numCache>
            </c:numRef>
          </c:val>
          <c:smooth val="0"/>
          <c:extLst>
            <c:ext xmlns:c16="http://schemas.microsoft.com/office/drawing/2014/chart" uri="{C3380CC4-5D6E-409C-BE32-E72D297353CC}">
              <c16:uniqueId val="{00000007-B4F5-4143-B101-3DF5A37F932F}"/>
            </c:ext>
          </c:extLst>
        </c:ser>
        <c:dLbls>
          <c:showLegendKey val="0"/>
          <c:showVal val="0"/>
          <c:showCatName val="0"/>
          <c:showSerName val="0"/>
          <c:showPercent val="0"/>
          <c:showBubbleSize val="0"/>
        </c:dLbls>
        <c:smooth val="0"/>
        <c:axId val="1064717888"/>
        <c:axId val="1064716448"/>
        <c:extLst>
          <c:ext xmlns:c15="http://schemas.microsoft.com/office/drawing/2012/chart" uri="{02D57815-91ED-43cb-92C2-25804820EDAC}">
            <c15:filteredLineSeries>
              <c15:ser>
                <c:idx val="0"/>
                <c:order val="0"/>
                <c:tx>
                  <c:strRef>
                    <c:extLst>
                      <c:ext uri="{02D57815-91ED-43cb-92C2-25804820EDAC}">
                        <c15:formulaRef>
                          <c15:sqref>'Company returns to sectoral ind'!$B$64:$B$65</c15:sqref>
                        </c15:formulaRef>
                      </c:ext>
                    </c:extLst>
                    <c:strCache>
                      <c:ptCount val="2"/>
                      <c:pt idx="0">
                        <c:v>NCC Ltd</c:v>
                      </c:pt>
                      <c:pt idx="1">
                        <c:v>Open(in Rs.)</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numRef>
                    <c:extLst>
                      <c:ext uri="{02D57815-91ED-43cb-92C2-25804820EDAC}">
                        <c15:formulaRef>
                          <c15:sqref>'Company returns to sectoral ind'!$A$66:$A$118</c15:sqref>
                        </c15:formulaRef>
                      </c:ext>
                    </c:extLst>
                    <c:numCache>
                      <c:formatCode>d\-mmm\-yy</c:formatCode>
                      <c:ptCount val="53"/>
                      <c:pt idx="0">
                        <c:v>45497</c:v>
                      </c:pt>
                      <c:pt idx="1">
                        <c:v>45491</c:v>
                      </c:pt>
                      <c:pt idx="2">
                        <c:v>45484</c:v>
                      </c:pt>
                      <c:pt idx="3">
                        <c:v>45477</c:v>
                      </c:pt>
                      <c:pt idx="4">
                        <c:v>45470</c:v>
                      </c:pt>
                      <c:pt idx="5">
                        <c:v>45463</c:v>
                      </c:pt>
                      <c:pt idx="6">
                        <c:v>45456</c:v>
                      </c:pt>
                      <c:pt idx="7">
                        <c:v>45449</c:v>
                      </c:pt>
                      <c:pt idx="8">
                        <c:v>45442</c:v>
                      </c:pt>
                      <c:pt idx="9">
                        <c:v>45435</c:v>
                      </c:pt>
                      <c:pt idx="10">
                        <c:v>45428</c:v>
                      </c:pt>
                      <c:pt idx="11">
                        <c:v>45421</c:v>
                      </c:pt>
                      <c:pt idx="12">
                        <c:v>45414</c:v>
                      </c:pt>
                      <c:pt idx="13">
                        <c:v>45407</c:v>
                      </c:pt>
                      <c:pt idx="14">
                        <c:v>45400</c:v>
                      </c:pt>
                      <c:pt idx="15">
                        <c:v>45392</c:v>
                      </c:pt>
                      <c:pt idx="16">
                        <c:v>45385</c:v>
                      </c:pt>
                      <c:pt idx="17">
                        <c:v>45378</c:v>
                      </c:pt>
                      <c:pt idx="18">
                        <c:v>45371</c:v>
                      </c:pt>
                      <c:pt idx="19">
                        <c:v>45364</c:v>
                      </c:pt>
                      <c:pt idx="20">
                        <c:v>45357</c:v>
                      </c:pt>
                      <c:pt idx="21">
                        <c:v>45350</c:v>
                      </c:pt>
                      <c:pt idx="22">
                        <c:v>45343</c:v>
                      </c:pt>
                      <c:pt idx="23">
                        <c:v>45336</c:v>
                      </c:pt>
                      <c:pt idx="24">
                        <c:v>45329</c:v>
                      </c:pt>
                      <c:pt idx="25">
                        <c:v>45322</c:v>
                      </c:pt>
                      <c:pt idx="26">
                        <c:v>45315</c:v>
                      </c:pt>
                      <c:pt idx="27">
                        <c:v>45308</c:v>
                      </c:pt>
                      <c:pt idx="28">
                        <c:v>45301</c:v>
                      </c:pt>
                      <c:pt idx="29">
                        <c:v>45294</c:v>
                      </c:pt>
                      <c:pt idx="30">
                        <c:v>45287</c:v>
                      </c:pt>
                      <c:pt idx="31">
                        <c:v>45280</c:v>
                      </c:pt>
                      <c:pt idx="32">
                        <c:v>45273</c:v>
                      </c:pt>
                      <c:pt idx="33">
                        <c:v>45266</c:v>
                      </c:pt>
                      <c:pt idx="34">
                        <c:v>45259</c:v>
                      </c:pt>
                      <c:pt idx="35">
                        <c:v>45252</c:v>
                      </c:pt>
                      <c:pt idx="36">
                        <c:v>45245</c:v>
                      </c:pt>
                      <c:pt idx="37">
                        <c:v>45238</c:v>
                      </c:pt>
                      <c:pt idx="38">
                        <c:v>45231</c:v>
                      </c:pt>
                      <c:pt idx="39">
                        <c:v>45224</c:v>
                      </c:pt>
                      <c:pt idx="40">
                        <c:v>45217</c:v>
                      </c:pt>
                      <c:pt idx="41">
                        <c:v>45210</c:v>
                      </c:pt>
                      <c:pt idx="42">
                        <c:v>45203</c:v>
                      </c:pt>
                      <c:pt idx="43">
                        <c:v>45196</c:v>
                      </c:pt>
                      <c:pt idx="44">
                        <c:v>45189</c:v>
                      </c:pt>
                      <c:pt idx="45">
                        <c:v>45181</c:v>
                      </c:pt>
                      <c:pt idx="46">
                        <c:v>45174</c:v>
                      </c:pt>
                      <c:pt idx="47">
                        <c:v>45166</c:v>
                      </c:pt>
                      <c:pt idx="48">
                        <c:v>45159</c:v>
                      </c:pt>
                      <c:pt idx="49">
                        <c:v>45152</c:v>
                      </c:pt>
                      <c:pt idx="50">
                        <c:v>45145</c:v>
                      </c:pt>
                      <c:pt idx="51">
                        <c:v>45138</c:v>
                      </c:pt>
                      <c:pt idx="52">
                        <c:v>45131</c:v>
                      </c:pt>
                    </c:numCache>
                  </c:numRef>
                </c:cat>
                <c:val>
                  <c:numRef>
                    <c:extLst>
                      <c:ext uri="{02D57815-91ED-43cb-92C2-25804820EDAC}">
                        <c15:formulaRef>
                          <c15:sqref>'Company returns to sectoral ind'!$B$66:$B$118</c15:sqref>
                        </c15:formulaRef>
                      </c:ext>
                    </c:extLst>
                    <c:numCache>
                      <c:formatCode>General</c:formatCode>
                      <c:ptCount val="53"/>
                      <c:pt idx="0">
                        <c:v>337</c:v>
                      </c:pt>
                      <c:pt idx="1">
                        <c:v>329.6</c:v>
                      </c:pt>
                      <c:pt idx="2">
                        <c:v>331.15</c:v>
                      </c:pt>
                      <c:pt idx="3">
                        <c:v>342.5</c:v>
                      </c:pt>
                      <c:pt idx="4">
                        <c:v>328.8</c:v>
                      </c:pt>
                      <c:pt idx="5">
                        <c:v>316.60000000000002</c:v>
                      </c:pt>
                      <c:pt idx="6">
                        <c:v>335.4</c:v>
                      </c:pt>
                      <c:pt idx="7">
                        <c:v>295.95</c:v>
                      </c:pt>
                      <c:pt idx="8">
                        <c:v>285.7</c:v>
                      </c:pt>
                      <c:pt idx="9">
                        <c:v>289</c:v>
                      </c:pt>
                      <c:pt idx="10">
                        <c:v>256</c:v>
                      </c:pt>
                      <c:pt idx="11">
                        <c:v>244.95</c:v>
                      </c:pt>
                      <c:pt idx="12">
                        <c:v>243.3</c:v>
                      </c:pt>
                      <c:pt idx="13">
                        <c:v>250.3</c:v>
                      </c:pt>
                      <c:pt idx="14">
                        <c:v>246</c:v>
                      </c:pt>
                      <c:pt idx="15">
                        <c:v>265.2</c:v>
                      </c:pt>
                      <c:pt idx="16">
                        <c:v>259.55</c:v>
                      </c:pt>
                      <c:pt idx="17">
                        <c:v>244.4</c:v>
                      </c:pt>
                      <c:pt idx="18">
                        <c:v>215.55</c:v>
                      </c:pt>
                      <c:pt idx="19">
                        <c:v>239</c:v>
                      </c:pt>
                      <c:pt idx="20">
                        <c:v>261.89999999999998</c:v>
                      </c:pt>
                      <c:pt idx="21">
                        <c:v>260</c:v>
                      </c:pt>
                      <c:pt idx="22">
                        <c:v>227.2</c:v>
                      </c:pt>
                      <c:pt idx="23">
                        <c:v>215.85</c:v>
                      </c:pt>
                      <c:pt idx="24">
                        <c:v>220.35</c:v>
                      </c:pt>
                      <c:pt idx="25">
                        <c:v>211.95</c:v>
                      </c:pt>
                      <c:pt idx="26">
                        <c:v>193.2</c:v>
                      </c:pt>
                      <c:pt idx="27">
                        <c:v>197.7</c:v>
                      </c:pt>
                      <c:pt idx="28">
                        <c:v>177.3</c:v>
                      </c:pt>
                      <c:pt idx="29">
                        <c:v>167</c:v>
                      </c:pt>
                      <c:pt idx="30">
                        <c:v>168.25</c:v>
                      </c:pt>
                      <c:pt idx="31">
                        <c:v>168</c:v>
                      </c:pt>
                      <c:pt idx="32">
                        <c:v>174.95</c:v>
                      </c:pt>
                      <c:pt idx="33">
                        <c:v>171</c:v>
                      </c:pt>
                      <c:pt idx="34">
                        <c:v>166.3</c:v>
                      </c:pt>
                      <c:pt idx="35">
                        <c:v>168.4</c:v>
                      </c:pt>
                      <c:pt idx="36">
                        <c:v>167.6</c:v>
                      </c:pt>
                      <c:pt idx="37">
                        <c:v>149.69999999999999</c:v>
                      </c:pt>
                      <c:pt idx="38">
                        <c:v>145.4</c:v>
                      </c:pt>
                      <c:pt idx="39">
                        <c:v>148</c:v>
                      </c:pt>
                      <c:pt idx="40">
                        <c:v>163.6</c:v>
                      </c:pt>
                      <c:pt idx="41">
                        <c:v>158.55000000000001</c:v>
                      </c:pt>
                      <c:pt idx="42">
                        <c:v>161.15</c:v>
                      </c:pt>
                      <c:pt idx="43">
                        <c:v>159.94999999999999</c:v>
                      </c:pt>
                      <c:pt idx="44">
                        <c:v>150.35</c:v>
                      </c:pt>
                      <c:pt idx="45">
                        <c:v>166.2</c:v>
                      </c:pt>
                      <c:pt idx="46">
                        <c:v>166.3</c:v>
                      </c:pt>
                      <c:pt idx="47">
                        <c:v>152.75</c:v>
                      </c:pt>
                      <c:pt idx="48">
                        <c:v>152.19999999999999</c:v>
                      </c:pt>
                      <c:pt idx="49">
                        <c:v>154.80000000000001</c:v>
                      </c:pt>
                      <c:pt idx="50">
                        <c:v>153.5</c:v>
                      </c:pt>
                      <c:pt idx="51">
                        <c:v>150.94999999999999</c:v>
                      </c:pt>
                      <c:pt idx="52">
                        <c:v>140.35</c:v>
                      </c:pt>
                    </c:numCache>
                  </c:numRef>
                </c:val>
                <c:smooth val="0"/>
                <c:extLst>
                  <c:ext xmlns:c16="http://schemas.microsoft.com/office/drawing/2014/chart" uri="{C3380CC4-5D6E-409C-BE32-E72D297353CC}">
                    <c16:uniqueId val="{00000000-B4F5-4143-B101-3DF5A37F932F}"/>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'Company returns to sectoral ind'!$D$64:$D$65</c15:sqref>
                        </c15:formulaRef>
                      </c:ext>
                    </c:extLst>
                    <c:strCache>
                      <c:ptCount val="2"/>
                      <c:pt idx="0">
                        <c:v>PNC </c:v>
                      </c:pt>
                      <c:pt idx="1">
                        <c:v>Open(in Rs.)</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cat>
                  <c:numRef>
                    <c:extLst xmlns:c15="http://schemas.microsoft.com/office/drawing/2012/chart">
                      <c:ext xmlns:c15="http://schemas.microsoft.com/office/drawing/2012/chart" uri="{02D57815-91ED-43cb-92C2-25804820EDAC}">
                        <c15:formulaRef>
                          <c15:sqref>'Company returns to sectoral ind'!$A$66:$A$118</c15:sqref>
                        </c15:formulaRef>
                      </c:ext>
                    </c:extLst>
                    <c:numCache>
                      <c:formatCode>d\-mmm\-yy</c:formatCode>
                      <c:ptCount val="53"/>
                      <c:pt idx="0">
                        <c:v>45497</c:v>
                      </c:pt>
                      <c:pt idx="1">
                        <c:v>45491</c:v>
                      </c:pt>
                      <c:pt idx="2">
                        <c:v>45484</c:v>
                      </c:pt>
                      <c:pt idx="3">
                        <c:v>45477</c:v>
                      </c:pt>
                      <c:pt idx="4">
                        <c:v>45470</c:v>
                      </c:pt>
                      <c:pt idx="5">
                        <c:v>45463</c:v>
                      </c:pt>
                      <c:pt idx="6">
                        <c:v>45456</c:v>
                      </c:pt>
                      <c:pt idx="7">
                        <c:v>45449</c:v>
                      </c:pt>
                      <c:pt idx="8">
                        <c:v>45442</c:v>
                      </c:pt>
                      <c:pt idx="9">
                        <c:v>45435</c:v>
                      </c:pt>
                      <c:pt idx="10">
                        <c:v>45428</c:v>
                      </c:pt>
                      <c:pt idx="11">
                        <c:v>45421</c:v>
                      </c:pt>
                      <c:pt idx="12">
                        <c:v>45414</c:v>
                      </c:pt>
                      <c:pt idx="13">
                        <c:v>45407</c:v>
                      </c:pt>
                      <c:pt idx="14">
                        <c:v>45400</c:v>
                      </c:pt>
                      <c:pt idx="15">
                        <c:v>45392</c:v>
                      </c:pt>
                      <c:pt idx="16">
                        <c:v>45385</c:v>
                      </c:pt>
                      <c:pt idx="17">
                        <c:v>45378</c:v>
                      </c:pt>
                      <c:pt idx="18">
                        <c:v>45371</c:v>
                      </c:pt>
                      <c:pt idx="19">
                        <c:v>45364</c:v>
                      </c:pt>
                      <c:pt idx="20">
                        <c:v>45357</c:v>
                      </c:pt>
                      <c:pt idx="21">
                        <c:v>45350</c:v>
                      </c:pt>
                      <c:pt idx="22">
                        <c:v>45343</c:v>
                      </c:pt>
                      <c:pt idx="23">
                        <c:v>45336</c:v>
                      </c:pt>
                      <c:pt idx="24">
                        <c:v>45329</c:v>
                      </c:pt>
                      <c:pt idx="25">
                        <c:v>45322</c:v>
                      </c:pt>
                      <c:pt idx="26">
                        <c:v>45315</c:v>
                      </c:pt>
                      <c:pt idx="27">
                        <c:v>45308</c:v>
                      </c:pt>
                      <c:pt idx="28">
                        <c:v>45301</c:v>
                      </c:pt>
                      <c:pt idx="29">
                        <c:v>45294</c:v>
                      </c:pt>
                      <c:pt idx="30">
                        <c:v>45287</c:v>
                      </c:pt>
                      <c:pt idx="31">
                        <c:v>45280</c:v>
                      </c:pt>
                      <c:pt idx="32">
                        <c:v>45273</c:v>
                      </c:pt>
                      <c:pt idx="33">
                        <c:v>45266</c:v>
                      </c:pt>
                      <c:pt idx="34">
                        <c:v>45259</c:v>
                      </c:pt>
                      <c:pt idx="35">
                        <c:v>45252</c:v>
                      </c:pt>
                      <c:pt idx="36">
                        <c:v>45245</c:v>
                      </c:pt>
                      <c:pt idx="37">
                        <c:v>45238</c:v>
                      </c:pt>
                      <c:pt idx="38">
                        <c:v>45231</c:v>
                      </c:pt>
                      <c:pt idx="39">
                        <c:v>45224</c:v>
                      </c:pt>
                      <c:pt idx="40">
                        <c:v>45217</c:v>
                      </c:pt>
                      <c:pt idx="41">
                        <c:v>45210</c:v>
                      </c:pt>
                      <c:pt idx="42">
                        <c:v>45203</c:v>
                      </c:pt>
                      <c:pt idx="43">
                        <c:v>45196</c:v>
                      </c:pt>
                      <c:pt idx="44">
                        <c:v>45189</c:v>
                      </c:pt>
                      <c:pt idx="45">
                        <c:v>45181</c:v>
                      </c:pt>
                      <c:pt idx="46">
                        <c:v>45174</c:v>
                      </c:pt>
                      <c:pt idx="47">
                        <c:v>45166</c:v>
                      </c:pt>
                      <c:pt idx="48">
                        <c:v>45159</c:v>
                      </c:pt>
                      <c:pt idx="49">
                        <c:v>45152</c:v>
                      </c:pt>
                      <c:pt idx="50">
                        <c:v>45145</c:v>
                      </c:pt>
                      <c:pt idx="51">
                        <c:v>45138</c:v>
                      </c:pt>
                      <c:pt idx="52">
                        <c:v>45131</c:v>
                      </c:pt>
                    </c:numCache>
                  </c:numRef>
                </c:cat>
                <c:val>
                  <c:numRef>
                    <c:extLst xmlns:c15="http://schemas.microsoft.com/office/drawing/2012/chart">
                      <c:ext xmlns:c15="http://schemas.microsoft.com/office/drawing/2012/chart" uri="{02D57815-91ED-43cb-92C2-25804820EDAC}">
                        <c15:formulaRef>
                          <c15:sqref>'Company returns to sectoral ind'!$D$66:$D$118</c15:sqref>
                        </c15:formulaRef>
                      </c:ext>
                    </c:extLst>
                    <c:numCache>
                      <c:formatCode>General</c:formatCode>
                      <c:ptCount val="53"/>
                      <c:pt idx="0">
                        <c:v>512.15</c:v>
                      </c:pt>
                      <c:pt idx="1">
                        <c:v>530.95000000000005</c:v>
                      </c:pt>
                      <c:pt idx="2">
                        <c:v>528.1</c:v>
                      </c:pt>
                      <c:pt idx="3">
                        <c:v>490</c:v>
                      </c:pt>
                      <c:pt idx="4">
                        <c:v>488</c:v>
                      </c:pt>
                      <c:pt idx="5">
                        <c:v>467.6</c:v>
                      </c:pt>
                      <c:pt idx="6">
                        <c:v>484</c:v>
                      </c:pt>
                      <c:pt idx="7">
                        <c:v>480</c:v>
                      </c:pt>
                      <c:pt idx="8">
                        <c:v>523</c:v>
                      </c:pt>
                      <c:pt idx="9">
                        <c:v>524.29999999999995</c:v>
                      </c:pt>
                      <c:pt idx="10">
                        <c:v>427.95</c:v>
                      </c:pt>
                      <c:pt idx="11">
                        <c:v>425.1</c:v>
                      </c:pt>
                      <c:pt idx="12">
                        <c:v>450.1</c:v>
                      </c:pt>
                      <c:pt idx="13">
                        <c:v>443.8</c:v>
                      </c:pt>
                      <c:pt idx="14">
                        <c:v>447.75</c:v>
                      </c:pt>
                      <c:pt idx="15">
                        <c:v>451.8</c:v>
                      </c:pt>
                      <c:pt idx="16">
                        <c:v>432.8</c:v>
                      </c:pt>
                      <c:pt idx="17">
                        <c:v>442.3</c:v>
                      </c:pt>
                      <c:pt idx="18">
                        <c:v>404.9</c:v>
                      </c:pt>
                      <c:pt idx="19">
                        <c:v>410.25</c:v>
                      </c:pt>
                      <c:pt idx="20">
                        <c:v>464</c:v>
                      </c:pt>
                      <c:pt idx="21">
                        <c:v>458</c:v>
                      </c:pt>
                      <c:pt idx="22">
                        <c:v>410.15</c:v>
                      </c:pt>
                      <c:pt idx="23">
                        <c:v>397</c:v>
                      </c:pt>
                      <c:pt idx="24">
                        <c:v>445</c:v>
                      </c:pt>
                      <c:pt idx="25">
                        <c:v>448.85</c:v>
                      </c:pt>
                      <c:pt idx="26">
                        <c:v>386.7</c:v>
                      </c:pt>
                      <c:pt idx="27">
                        <c:v>413.6</c:v>
                      </c:pt>
                      <c:pt idx="28">
                        <c:v>351.4</c:v>
                      </c:pt>
                      <c:pt idx="29">
                        <c:v>349.9</c:v>
                      </c:pt>
                      <c:pt idx="30">
                        <c:v>353.45</c:v>
                      </c:pt>
                      <c:pt idx="31">
                        <c:v>351.75</c:v>
                      </c:pt>
                      <c:pt idx="32">
                        <c:v>330</c:v>
                      </c:pt>
                      <c:pt idx="33">
                        <c:v>352.55</c:v>
                      </c:pt>
                      <c:pt idx="34">
                        <c:v>335.95</c:v>
                      </c:pt>
                      <c:pt idx="35">
                        <c:v>326.55</c:v>
                      </c:pt>
                      <c:pt idx="36">
                        <c:v>321</c:v>
                      </c:pt>
                      <c:pt idx="37">
                        <c:v>325.8</c:v>
                      </c:pt>
                      <c:pt idx="38">
                        <c:v>333.7</c:v>
                      </c:pt>
                      <c:pt idx="39">
                        <c:v>344</c:v>
                      </c:pt>
                      <c:pt idx="40">
                        <c:v>368.6</c:v>
                      </c:pt>
                      <c:pt idx="41">
                        <c:v>375.4</c:v>
                      </c:pt>
                      <c:pt idx="42">
                        <c:v>376</c:v>
                      </c:pt>
                      <c:pt idx="43">
                        <c:v>371</c:v>
                      </c:pt>
                      <c:pt idx="44">
                        <c:v>368.2</c:v>
                      </c:pt>
                      <c:pt idx="45">
                        <c:v>365.9</c:v>
                      </c:pt>
                      <c:pt idx="46">
                        <c:v>342</c:v>
                      </c:pt>
                      <c:pt idx="47">
                        <c:v>318.45</c:v>
                      </c:pt>
                      <c:pt idx="48">
                        <c:v>324.2</c:v>
                      </c:pt>
                      <c:pt idx="49">
                        <c:v>350</c:v>
                      </c:pt>
                      <c:pt idx="50">
                        <c:v>353</c:v>
                      </c:pt>
                      <c:pt idx="51">
                        <c:v>343.9</c:v>
                      </c:pt>
                      <c:pt idx="52">
                        <c:v>352.95</c:v>
                      </c:pt>
                    </c:numCache>
                  </c:numRef>
                </c:val>
                <c:smooth val="0"/>
                <c:extLst xmlns:c15="http://schemas.microsoft.com/office/drawing/2012/chart">
                  <c:ext xmlns:c16="http://schemas.microsoft.com/office/drawing/2014/chart" uri="{C3380CC4-5D6E-409C-BE32-E72D297353CC}">
                    <c16:uniqueId val="{00000002-B4F5-4143-B101-3DF5A37F932F}"/>
                  </c:ext>
                </c:extLst>
              </c15:ser>
            </c15:filteredLineSeries>
            <c15:filteredLineSeries>
              <c15:ser>
                <c:idx val="4"/>
                <c:order val="4"/>
                <c:tx>
                  <c:strRef>
                    <c:extLst xmlns:c15="http://schemas.microsoft.com/office/drawing/2012/chart">
                      <c:ext xmlns:c15="http://schemas.microsoft.com/office/drawing/2012/chart" uri="{02D57815-91ED-43cb-92C2-25804820EDAC}">
                        <c15:formulaRef>
                          <c15:sqref>'Company returns to sectoral ind'!$F$64:$F$65</c15:sqref>
                        </c15:formulaRef>
                      </c:ext>
                    </c:extLst>
                    <c:strCache>
                      <c:ptCount val="2"/>
                      <c:pt idx="0">
                        <c:v>NIFTY 50</c:v>
                      </c:pt>
                      <c:pt idx="1">
                        <c:v>Open(in Rs.)</c:v>
                      </c:pt>
                    </c:strCache>
                  </c:strRef>
                </c:tx>
                <c:spPr>
                  <a:ln w="34925" cap="rnd">
                    <a:solidFill>
                      <a:schemeClr val="accent5"/>
                    </a:solidFill>
                    <a:round/>
                  </a:ln>
                  <a:effectLst>
                    <a:outerShdw blurRad="57150" dist="19050" dir="5400000" algn="ctr" rotWithShape="0">
                      <a:srgbClr val="000000">
                        <a:alpha val="63000"/>
                      </a:srgbClr>
                    </a:outerShdw>
                  </a:effectLst>
                </c:spPr>
                <c:marker>
                  <c:symbol val="none"/>
                </c:marker>
                <c:cat>
                  <c:numRef>
                    <c:extLst xmlns:c15="http://schemas.microsoft.com/office/drawing/2012/chart">
                      <c:ext xmlns:c15="http://schemas.microsoft.com/office/drawing/2012/chart" uri="{02D57815-91ED-43cb-92C2-25804820EDAC}">
                        <c15:formulaRef>
                          <c15:sqref>'Company returns to sectoral ind'!$A$66:$A$118</c15:sqref>
                        </c15:formulaRef>
                      </c:ext>
                    </c:extLst>
                    <c:numCache>
                      <c:formatCode>d\-mmm\-yy</c:formatCode>
                      <c:ptCount val="53"/>
                      <c:pt idx="0">
                        <c:v>45497</c:v>
                      </c:pt>
                      <c:pt idx="1">
                        <c:v>45491</c:v>
                      </c:pt>
                      <c:pt idx="2">
                        <c:v>45484</c:v>
                      </c:pt>
                      <c:pt idx="3">
                        <c:v>45477</c:v>
                      </c:pt>
                      <c:pt idx="4">
                        <c:v>45470</c:v>
                      </c:pt>
                      <c:pt idx="5">
                        <c:v>45463</c:v>
                      </c:pt>
                      <c:pt idx="6">
                        <c:v>45456</c:v>
                      </c:pt>
                      <c:pt idx="7">
                        <c:v>45449</c:v>
                      </c:pt>
                      <c:pt idx="8">
                        <c:v>45442</c:v>
                      </c:pt>
                      <c:pt idx="9">
                        <c:v>45435</c:v>
                      </c:pt>
                      <c:pt idx="10">
                        <c:v>45428</c:v>
                      </c:pt>
                      <c:pt idx="11">
                        <c:v>45421</c:v>
                      </c:pt>
                      <c:pt idx="12">
                        <c:v>45414</c:v>
                      </c:pt>
                      <c:pt idx="13">
                        <c:v>45407</c:v>
                      </c:pt>
                      <c:pt idx="14">
                        <c:v>45400</c:v>
                      </c:pt>
                      <c:pt idx="15">
                        <c:v>45392</c:v>
                      </c:pt>
                      <c:pt idx="16">
                        <c:v>45385</c:v>
                      </c:pt>
                      <c:pt idx="17">
                        <c:v>45378</c:v>
                      </c:pt>
                      <c:pt idx="18">
                        <c:v>45371</c:v>
                      </c:pt>
                      <c:pt idx="19">
                        <c:v>45364</c:v>
                      </c:pt>
                      <c:pt idx="20">
                        <c:v>45357</c:v>
                      </c:pt>
                      <c:pt idx="21">
                        <c:v>45350</c:v>
                      </c:pt>
                      <c:pt idx="22">
                        <c:v>45343</c:v>
                      </c:pt>
                      <c:pt idx="23">
                        <c:v>45336</c:v>
                      </c:pt>
                      <c:pt idx="24">
                        <c:v>45329</c:v>
                      </c:pt>
                      <c:pt idx="25">
                        <c:v>45322</c:v>
                      </c:pt>
                      <c:pt idx="26">
                        <c:v>45315</c:v>
                      </c:pt>
                      <c:pt idx="27">
                        <c:v>45308</c:v>
                      </c:pt>
                      <c:pt idx="28">
                        <c:v>45301</c:v>
                      </c:pt>
                      <c:pt idx="29">
                        <c:v>45294</c:v>
                      </c:pt>
                      <c:pt idx="30">
                        <c:v>45287</c:v>
                      </c:pt>
                      <c:pt idx="31">
                        <c:v>45280</c:v>
                      </c:pt>
                      <c:pt idx="32">
                        <c:v>45273</c:v>
                      </c:pt>
                      <c:pt idx="33">
                        <c:v>45266</c:v>
                      </c:pt>
                      <c:pt idx="34">
                        <c:v>45259</c:v>
                      </c:pt>
                      <c:pt idx="35">
                        <c:v>45252</c:v>
                      </c:pt>
                      <c:pt idx="36">
                        <c:v>45245</c:v>
                      </c:pt>
                      <c:pt idx="37">
                        <c:v>45238</c:v>
                      </c:pt>
                      <c:pt idx="38">
                        <c:v>45231</c:v>
                      </c:pt>
                      <c:pt idx="39">
                        <c:v>45224</c:v>
                      </c:pt>
                      <c:pt idx="40">
                        <c:v>45217</c:v>
                      </c:pt>
                      <c:pt idx="41">
                        <c:v>45210</c:v>
                      </c:pt>
                      <c:pt idx="42">
                        <c:v>45203</c:v>
                      </c:pt>
                      <c:pt idx="43">
                        <c:v>45196</c:v>
                      </c:pt>
                      <c:pt idx="44">
                        <c:v>45189</c:v>
                      </c:pt>
                      <c:pt idx="45">
                        <c:v>45181</c:v>
                      </c:pt>
                      <c:pt idx="46">
                        <c:v>45174</c:v>
                      </c:pt>
                      <c:pt idx="47">
                        <c:v>45166</c:v>
                      </c:pt>
                      <c:pt idx="48">
                        <c:v>45159</c:v>
                      </c:pt>
                      <c:pt idx="49">
                        <c:v>45152</c:v>
                      </c:pt>
                      <c:pt idx="50">
                        <c:v>45145</c:v>
                      </c:pt>
                      <c:pt idx="51">
                        <c:v>45138</c:v>
                      </c:pt>
                      <c:pt idx="52">
                        <c:v>45131</c:v>
                      </c:pt>
                    </c:numCache>
                  </c:numRef>
                </c:cat>
                <c:val>
                  <c:numRef>
                    <c:extLst xmlns:c15="http://schemas.microsoft.com/office/drawing/2012/chart">
                      <c:ext xmlns:c15="http://schemas.microsoft.com/office/drawing/2012/chart" uri="{02D57815-91ED-43cb-92C2-25804820EDAC}">
                        <c15:formulaRef>
                          <c15:sqref>'Company returns to sectoral ind'!$F$66:$F$118</c15:sqref>
                        </c15:formulaRef>
                      </c:ext>
                    </c:extLst>
                    <c:numCache>
                      <c:formatCode>General</c:formatCode>
                      <c:ptCount val="53"/>
                      <c:pt idx="0">
                        <c:v>24615.9</c:v>
                      </c:pt>
                      <c:pt idx="1">
                        <c:v>24444.95</c:v>
                      </c:pt>
                      <c:pt idx="2">
                        <c:v>24351</c:v>
                      </c:pt>
                      <c:pt idx="3">
                        <c:v>24228.75</c:v>
                      </c:pt>
                      <c:pt idx="4">
                        <c:v>23723.1</c:v>
                      </c:pt>
                      <c:pt idx="5">
                        <c:v>23629.85</c:v>
                      </c:pt>
                      <c:pt idx="6">
                        <c:v>23337.9</c:v>
                      </c:pt>
                      <c:pt idx="7">
                        <c:v>23319.15</c:v>
                      </c:pt>
                      <c:pt idx="8">
                        <c:v>23038.95</c:v>
                      </c:pt>
                      <c:pt idx="9">
                        <c:v>22512.85</c:v>
                      </c:pt>
                      <c:pt idx="10">
                        <c:v>22489.75</c:v>
                      </c:pt>
                      <c:pt idx="11">
                        <c:v>22486.400000000001</c:v>
                      </c:pt>
                      <c:pt idx="12">
                        <c:v>22475.55</c:v>
                      </c:pt>
                      <c:pt idx="13">
                        <c:v>22447.05</c:v>
                      </c:pt>
                      <c:pt idx="14">
                        <c:v>22339.05</c:v>
                      </c:pt>
                      <c:pt idx="15">
                        <c:v>22327.5</c:v>
                      </c:pt>
                      <c:pt idx="16">
                        <c:v>22163.599999999999</c:v>
                      </c:pt>
                      <c:pt idx="17">
                        <c:v>22112.9</c:v>
                      </c:pt>
                      <c:pt idx="18">
                        <c:v>22081.55</c:v>
                      </c:pt>
                      <c:pt idx="19">
                        <c:v>22020.3</c:v>
                      </c:pt>
                      <c:pt idx="20">
                        <c:v>21982.55</c:v>
                      </c:pt>
                      <c:pt idx="21">
                        <c:v>21935.200000000001</c:v>
                      </c:pt>
                      <c:pt idx="22">
                        <c:v>21843.9</c:v>
                      </c:pt>
                      <c:pt idx="23">
                        <c:v>21812.75</c:v>
                      </c:pt>
                      <c:pt idx="24">
                        <c:v>21773.55</c:v>
                      </c:pt>
                      <c:pt idx="25">
                        <c:v>21737.65</c:v>
                      </c:pt>
                      <c:pt idx="26">
                        <c:v>21727</c:v>
                      </c:pt>
                      <c:pt idx="27">
                        <c:v>21705.75</c:v>
                      </c:pt>
                      <c:pt idx="28">
                        <c:v>21454.6</c:v>
                      </c:pt>
                      <c:pt idx="29">
                        <c:v>21414.2</c:v>
                      </c:pt>
                      <c:pt idx="30">
                        <c:v>21110.400000000001</c:v>
                      </c:pt>
                      <c:pt idx="31">
                        <c:v>21033.95</c:v>
                      </c:pt>
                      <c:pt idx="32">
                        <c:v>20950.75</c:v>
                      </c:pt>
                      <c:pt idx="33">
                        <c:v>20127.95</c:v>
                      </c:pt>
                      <c:pt idx="34">
                        <c:v>20108.5</c:v>
                      </c:pt>
                      <c:pt idx="35">
                        <c:v>19784</c:v>
                      </c:pt>
                      <c:pt idx="36">
                        <c:v>19748.45</c:v>
                      </c:pt>
                      <c:pt idx="37">
                        <c:v>19744.849999999999</c:v>
                      </c:pt>
                      <c:pt idx="38">
                        <c:v>19737.25</c:v>
                      </c:pt>
                      <c:pt idx="39">
                        <c:v>19674.7</c:v>
                      </c:pt>
                      <c:pt idx="40">
                        <c:v>19659.75</c:v>
                      </c:pt>
                      <c:pt idx="41">
                        <c:v>19605.55</c:v>
                      </c:pt>
                      <c:pt idx="42">
                        <c:v>19598.650000000001</c:v>
                      </c:pt>
                      <c:pt idx="43">
                        <c:v>19581.2</c:v>
                      </c:pt>
                      <c:pt idx="44">
                        <c:v>19542.150000000001</c:v>
                      </c:pt>
                      <c:pt idx="45">
                        <c:v>19539.45</c:v>
                      </c:pt>
                      <c:pt idx="46">
                        <c:v>19463.75</c:v>
                      </c:pt>
                      <c:pt idx="47">
                        <c:v>19375.55</c:v>
                      </c:pt>
                      <c:pt idx="48">
                        <c:v>19351.849999999999</c:v>
                      </c:pt>
                      <c:pt idx="49">
                        <c:v>19301.75</c:v>
                      </c:pt>
                      <c:pt idx="50">
                        <c:v>19297.400000000001</c:v>
                      </c:pt>
                      <c:pt idx="51">
                        <c:v>19241</c:v>
                      </c:pt>
                      <c:pt idx="52">
                        <c:v>19053.400000000001</c:v>
                      </c:pt>
                    </c:numCache>
                  </c:numRef>
                </c:val>
                <c:smooth val="0"/>
                <c:extLst xmlns:c15="http://schemas.microsoft.com/office/drawing/2012/chart">
                  <c:ext xmlns:c16="http://schemas.microsoft.com/office/drawing/2014/chart" uri="{C3380CC4-5D6E-409C-BE32-E72D297353CC}">
                    <c16:uniqueId val="{00000004-B4F5-4143-B101-3DF5A37F932F}"/>
                  </c:ext>
                </c:extLst>
              </c15:ser>
            </c15:filteredLineSeries>
            <c15:filteredLineSeries>
              <c15:ser>
                <c:idx val="6"/>
                <c:order val="6"/>
                <c:tx>
                  <c:strRef>
                    <c:extLst xmlns:c15="http://schemas.microsoft.com/office/drawing/2012/chart">
                      <c:ext xmlns:c15="http://schemas.microsoft.com/office/drawing/2012/chart" uri="{02D57815-91ED-43cb-92C2-25804820EDAC}">
                        <c15:formulaRef>
                          <c15:sqref>'Company returns to sectoral ind'!$H$64:$H$65</c15:sqref>
                        </c15:formulaRef>
                      </c:ext>
                    </c:extLst>
                    <c:strCache>
                      <c:ptCount val="2"/>
                      <c:pt idx="0">
                        <c:v>KNR Constructions</c:v>
                      </c:pt>
                      <c:pt idx="1">
                        <c:v>Open(in Rs.)</c:v>
                      </c:pt>
                    </c:strCache>
                  </c:strRef>
                </c:tx>
                <c:spPr>
                  <a:ln w="34925" cap="rnd">
                    <a:solidFill>
                      <a:schemeClr val="accent1">
                        <a:lumMod val="60000"/>
                      </a:schemeClr>
                    </a:solidFill>
                    <a:round/>
                  </a:ln>
                  <a:effectLst>
                    <a:outerShdw blurRad="57150" dist="19050" dir="5400000" algn="ctr" rotWithShape="0">
                      <a:srgbClr val="000000">
                        <a:alpha val="63000"/>
                      </a:srgbClr>
                    </a:outerShdw>
                  </a:effectLst>
                </c:spPr>
                <c:marker>
                  <c:symbol val="none"/>
                </c:marker>
                <c:cat>
                  <c:numRef>
                    <c:extLst xmlns:c15="http://schemas.microsoft.com/office/drawing/2012/chart">
                      <c:ext xmlns:c15="http://schemas.microsoft.com/office/drawing/2012/chart" uri="{02D57815-91ED-43cb-92C2-25804820EDAC}">
                        <c15:formulaRef>
                          <c15:sqref>'Company returns to sectoral ind'!$A$66:$A$118</c15:sqref>
                        </c15:formulaRef>
                      </c:ext>
                    </c:extLst>
                    <c:numCache>
                      <c:formatCode>d\-mmm\-yy</c:formatCode>
                      <c:ptCount val="53"/>
                      <c:pt idx="0">
                        <c:v>45497</c:v>
                      </c:pt>
                      <c:pt idx="1">
                        <c:v>45491</c:v>
                      </c:pt>
                      <c:pt idx="2">
                        <c:v>45484</c:v>
                      </c:pt>
                      <c:pt idx="3">
                        <c:v>45477</c:v>
                      </c:pt>
                      <c:pt idx="4">
                        <c:v>45470</c:v>
                      </c:pt>
                      <c:pt idx="5">
                        <c:v>45463</c:v>
                      </c:pt>
                      <c:pt idx="6">
                        <c:v>45456</c:v>
                      </c:pt>
                      <c:pt idx="7">
                        <c:v>45449</c:v>
                      </c:pt>
                      <c:pt idx="8">
                        <c:v>45442</c:v>
                      </c:pt>
                      <c:pt idx="9">
                        <c:v>45435</c:v>
                      </c:pt>
                      <c:pt idx="10">
                        <c:v>45428</c:v>
                      </c:pt>
                      <c:pt idx="11">
                        <c:v>45421</c:v>
                      </c:pt>
                      <c:pt idx="12">
                        <c:v>45414</c:v>
                      </c:pt>
                      <c:pt idx="13">
                        <c:v>45407</c:v>
                      </c:pt>
                      <c:pt idx="14">
                        <c:v>45400</c:v>
                      </c:pt>
                      <c:pt idx="15">
                        <c:v>45392</c:v>
                      </c:pt>
                      <c:pt idx="16">
                        <c:v>45385</c:v>
                      </c:pt>
                      <c:pt idx="17">
                        <c:v>45378</c:v>
                      </c:pt>
                      <c:pt idx="18">
                        <c:v>45371</c:v>
                      </c:pt>
                      <c:pt idx="19">
                        <c:v>45364</c:v>
                      </c:pt>
                      <c:pt idx="20">
                        <c:v>45357</c:v>
                      </c:pt>
                      <c:pt idx="21">
                        <c:v>45350</c:v>
                      </c:pt>
                      <c:pt idx="22">
                        <c:v>45343</c:v>
                      </c:pt>
                      <c:pt idx="23">
                        <c:v>45336</c:v>
                      </c:pt>
                      <c:pt idx="24">
                        <c:v>45329</c:v>
                      </c:pt>
                      <c:pt idx="25">
                        <c:v>45322</c:v>
                      </c:pt>
                      <c:pt idx="26">
                        <c:v>45315</c:v>
                      </c:pt>
                      <c:pt idx="27">
                        <c:v>45308</c:v>
                      </c:pt>
                      <c:pt idx="28">
                        <c:v>45301</c:v>
                      </c:pt>
                      <c:pt idx="29">
                        <c:v>45294</c:v>
                      </c:pt>
                      <c:pt idx="30">
                        <c:v>45287</c:v>
                      </c:pt>
                      <c:pt idx="31">
                        <c:v>45280</c:v>
                      </c:pt>
                      <c:pt idx="32">
                        <c:v>45273</c:v>
                      </c:pt>
                      <c:pt idx="33">
                        <c:v>45266</c:v>
                      </c:pt>
                      <c:pt idx="34">
                        <c:v>45259</c:v>
                      </c:pt>
                      <c:pt idx="35">
                        <c:v>45252</c:v>
                      </c:pt>
                      <c:pt idx="36">
                        <c:v>45245</c:v>
                      </c:pt>
                      <c:pt idx="37">
                        <c:v>45238</c:v>
                      </c:pt>
                      <c:pt idx="38">
                        <c:v>45231</c:v>
                      </c:pt>
                      <c:pt idx="39">
                        <c:v>45224</c:v>
                      </c:pt>
                      <c:pt idx="40">
                        <c:v>45217</c:v>
                      </c:pt>
                      <c:pt idx="41">
                        <c:v>45210</c:v>
                      </c:pt>
                      <c:pt idx="42">
                        <c:v>45203</c:v>
                      </c:pt>
                      <c:pt idx="43">
                        <c:v>45196</c:v>
                      </c:pt>
                      <c:pt idx="44">
                        <c:v>45189</c:v>
                      </c:pt>
                      <c:pt idx="45">
                        <c:v>45181</c:v>
                      </c:pt>
                      <c:pt idx="46">
                        <c:v>45174</c:v>
                      </c:pt>
                      <c:pt idx="47">
                        <c:v>45166</c:v>
                      </c:pt>
                      <c:pt idx="48">
                        <c:v>45159</c:v>
                      </c:pt>
                      <c:pt idx="49">
                        <c:v>45152</c:v>
                      </c:pt>
                      <c:pt idx="50">
                        <c:v>45145</c:v>
                      </c:pt>
                      <c:pt idx="51">
                        <c:v>45138</c:v>
                      </c:pt>
                      <c:pt idx="52">
                        <c:v>45131</c:v>
                      </c:pt>
                    </c:numCache>
                  </c:numRef>
                </c:cat>
                <c:val>
                  <c:numRef>
                    <c:extLst xmlns:c15="http://schemas.microsoft.com/office/drawing/2012/chart">
                      <c:ext xmlns:c15="http://schemas.microsoft.com/office/drawing/2012/chart" uri="{02D57815-91ED-43cb-92C2-25804820EDAC}">
                        <c15:formulaRef>
                          <c15:sqref>'Company returns to sectoral ind'!$H$66:$H$118</c15:sqref>
                        </c15:formulaRef>
                      </c:ext>
                    </c:extLst>
                    <c:numCache>
                      <c:formatCode>#,##0.00</c:formatCode>
                      <c:ptCount val="53"/>
                      <c:pt idx="0">
                        <c:v>368</c:v>
                      </c:pt>
                      <c:pt idx="1">
                        <c:v>359.6</c:v>
                      </c:pt>
                      <c:pt idx="2">
                        <c:v>372.8</c:v>
                      </c:pt>
                      <c:pt idx="3">
                        <c:v>365.95</c:v>
                      </c:pt>
                      <c:pt idx="4">
                        <c:v>352.9</c:v>
                      </c:pt>
                      <c:pt idx="5">
                        <c:v>361.4</c:v>
                      </c:pt>
                      <c:pt idx="6">
                        <c:v>377.55</c:v>
                      </c:pt>
                      <c:pt idx="7">
                        <c:v>344.8</c:v>
                      </c:pt>
                      <c:pt idx="8">
                        <c:v>289</c:v>
                      </c:pt>
                      <c:pt idx="9">
                        <c:v>277</c:v>
                      </c:pt>
                      <c:pt idx="10">
                        <c:v>253.5</c:v>
                      </c:pt>
                      <c:pt idx="11">
                        <c:v>246.15</c:v>
                      </c:pt>
                      <c:pt idx="12">
                        <c:v>266.60000000000002</c:v>
                      </c:pt>
                      <c:pt idx="13">
                        <c:v>261.85000000000002</c:v>
                      </c:pt>
                      <c:pt idx="14">
                        <c:v>263</c:v>
                      </c:pt>
                      <c:pt idx="15">
                        <c:v>267.3</c:v>
                      </c:pt>
                      <c:pt idx="16">
                        <c:v>261.5</c:v>
                      </c:pt>
                      <c:pt idx="17">
                        <c:v>252.85</c:v>
                      </c:pt>
                      <c:pt idx="18">
                        <c:v>242</c:v>
                      </c:pt>
                      <c:pt idx="19">
                        <c:v>270</c:v>
                      </c:pt>
                      <c:pt idx="20">
                        <c:v>281.8</c:v>
                      </c:pt>
                      <c:pt idx="21">
                        <c:v>282</c:v>
                      </c:pt>
                      <c:pt idx="22">
                        <c:v>271.05</c:v>
                      </c:pt>
                      <c:pt idx="23">
                        <c:v>258.45</c:v>
                      </c:pt>
                      <c:pt idx="24">
                        <c:v>289.55</c:v>
                      </c:pt>
                      <c:pt idx="25">
                        <c:v>271.8</c:v>
                      </c:pt>
                      <c:pt idx="26">
                        <c:v>261.89999999999998</c:v>
                      </c:pt>
                      <c:pt idx="27">
                        <c:v>257.8</c:v>
                      </c:pt>
                      <c:pt idx="28">
                        <c:v>259.2</c:v>
                      </c:pt>
                      <c:pt idx="29">
                        <c:v>262.8</c:v>
                      </c:pt>
                      <c:pt idx="30">
                        <c:v>267</c:v>
                      </c:pt>
                      <c:pt idx="31">
                        <c:v>268</c:v>
                      </c:pt>
                      <c:pt idx="32">
                        <c:v>271.7</c:v>
                      </c:pt>
                      <c:pt idx="33">
                        <c:v>270.35000000000002</c:v>
                      </c:pt>
                      <c:pt idx="34">
                        <c:v>290.85000000000002</c:v>
                      </c:pt>
                      <c:pt idx="35">
                        <c:v>299.95</c:v>
                      </c:pt>
                      <c:pt idx="36">
                        <c:v>269.05</c:v>
                      </c:pt>
                      <c:pt idx="37">
                        <c:v>267.55</c:v>
                      </c:pt>
                      <c:pt idx="38">
                        <c:v>263.95</c:v>
                      </c:pt>
                      <c:pt idx="39">
                        <c:v>265</c:v>
                      </c:pt>
                      <c:pt idx="40">
                        <c:v>278.39999999999998</c:v>
                      </c:pt>
                      <c:pt idx="41">
                        <c:v>283.64999999999998</c:v>
                      </c:pt>
                      <c:pt idx="42">
                        <c:v>282</c:v>
                      </c:pt>
                      <c:pt idx="43">
                        <c:v>282.05</c:v>
                      </c:pt>
                      <c:pt idx="44">
                        <c:v>274.95</c:v>
                      </c:pt>
                      <c:pt idx="45">
                        <c:v>284.45</c:v>
                      </c:pt>
                      <c:pt idx="46">
                        <c:v>278.14999999999998</c:v>
                      </c:pt>
                      <c:pt idx="47">
                        <c:v>268.5</c:v>
                      </c:pt>
                      <c:pt idx="48">
                        <c:v>246.3</c:v>
                      </c:pt>
                      <c:pt idx="49">
                        <c:v>254.9</c:v>
                      </c:pt>
                      <c:pt idx="50">
                        <c:v>244.2</c:v>
                      </c:pt>
                      <c:pt idx="51">
                        <c:v>245</c:v>
                      </c:pt>
                      <c:pt idx="52">
                        <c:v>242.3</c:v>
                      </c:pt>
                    </c:numCache>
                  </c:numRef>
                </c:val>
                <c:smooth val="0"/>
                <c:extLst xmlns:c15="http://schemas.microsoft.com/office/drawing/2012/chart">
                  <c:ext xmlns:c16="http://schemas.microsoft.com/office/drawing/2014/chart" uri="{C3380CC4-5D6E-409C-BE32-E72D297353CC}">
                    <c16:uniqueId val="{00000006-B4F5-4143-B101-3DF5A37F932F}"/>
                  </c:ext>
                </c:extLst>
              </c15:ser>
            </c15:filteredLineSeries>
          </c:ext>
        </c:extLst>
      </c:lineChart>
      <c:dateAx>
        <c:axId val="1064717888"/>
        <c:scaling>
          <c:orientation val="minMax"/>
        </c:scaling>
        <c:delete val="0"/>
        <c:axPos val="b"/>
        <c:numFmt formatCode="d\-mmm\-yy" sourceLinked="1"/>
        <c:majorTickMark val="out"/>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64716448"/>
        <c:crosses val="autoZero"/>
        <c:auto val="1"/>
        <c:lblOffset val="100"/>
        <c:baseTimeUnit val="days"/>
      </c:dateAx>
      <c:valAx>
        <c:axId val="1064716448"/>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647178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[Section 1 Group 3 Part 3 Part 4.xlsx]Income Statement Analysis!PivotTable1</c:name>
    <c:fmtId val="0"/>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'Income Statement Analysis'!$B$33</c:f>
              <c:strCache>
                <c:ptCount val="1"/>
                <c:pt idx="0">
                  <c:v>2020 revenue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'Income Statement Analysis'!$A$34:$A$35</c:f>
              <c:strCache>
                <c:ptCount val="1"/>
                <c:pt idx="0">
                  <c:v>Total operating revenue</c:v>
                </c:pt>
              </c:strCache>
            </c:strRef>
          </c:cat>
          <c:val>
            <c:numRef>
              <c:f>'Income Statement Analysis'!$B$34:$B$35</c:f>
              <c:numCache>
                <c:formatCode>General</c:formatCode>
                <c:ptCount val="1"/>
                <c:pt idx="0">
                  <c:v>8901.07</c:v>
                </c:pt>
              </c:numCache>
            </c:numRef>
          </c:val>
          <c:extLst>
            <c:ext xmlns:c16="http://schemas.microsoft.com/office/drawing/2014/chart" uri="{C3380CC4-5D6E-409C-BE32-E72D297353CC}">
              <c16:uniqueId val="{0000000B-9C48-4D74-A71D-015DD2EE404E}"/>
            </c:ext>
          </c:extLst>
        </c:ser>
        <c:ser>
          <c:idx val="1"/>
          <c:order val="1"/>
          <c:tx>
            <c:strRef>
              <c:f>'Income Statement Analysis'!$C$33</c:f>
              <c:strCache>
                <c:ptCount val="1"/>
                <c:pt idx="0">
                  <c:v> 2021 revenue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'Income Statement Analysis'!$A$34:$A$35</c:f>
              <c:strCache>
                <c:ptCount val="1"/>
                <c:pt idx="0">
                  <c:v>Total operating revenue</c:v>
                </c:pt>
              </c:strCache>
            </c:strRef>
          </c:cat>
          <c:val>
            <c:numRef>
              <c:f>'Income Statement Analysis'!$C$34:$C$35</c:f>
              <c:numCache>
                <c:formatCode>General</c:formatCode>
                <c:ptCount val="1"/>
                <c:pt idx="0">
                  <c:v>7949.42</c:v>
                </c:pt>
              </c:numCache>
            </c:numRef>
          </c:val>
          <c:extLst>
            <c:ext xmlns:c16="http://schemas.microsoft.com/office/drawing/2014/chart" uri="{C3380CC4-5D6E-409C-BE32-E72D297353CC}">
              <c16:uniqueId val="{0000000C-9C48-4D74-A71D-015DD2EE404E}"/>
            </c:ext>
          </c:extLst>
        </c:ser>
        <c:ser>
          <c:idx val="2"/>
          <c:order val="2"/>
          <c:tx>
            <c:strRef>
              <c:f>'Income Statement Analysis'!$D$33</c:f>
              <c:strCache>
                <c:ptCount val="1"/>
                <c:pt idx="0">
                  <c:v>2022 revenue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'Income Statement Analysis'!$A$34:$A$35</c:f>
              <c:strCache>
                <c:ptCount val="1"/>
                <c:pt idx="0">
                  <c:v>Total operating revenue</c:v>
                </c:pt>
              </c:strCache>
            </c:strRef>
          </c:cat>
          <c:val>
            <c:numRef>
              <c:f>'Income Statement Analysis'!$D$34:$D$35</c:f>
              <c:numCache>
                <c:formatCode>General</c:formatCode>
                <c:ptCount val="1"/>
                <c:pt idx="0">
                  <c:v>11137.96</c:v>
                </c:pt>
              </c:numCache>
            </c:numRef>
          </c:val>
          <c:extLst>
            <c:ext xmlns:c16="http://schemas.microsoft.com/office/drawing/2014/chart" uri="{C3380CC4-5D6E-409C-BE32-E72D297353CC}">
              <c16:uniqueId val="{0000000D-9C48-4D74-A71D-015DD2EE404E}"/>
            </c:ext>
          </c:extLst>
        </c:ser>
        <c:ser>
          <c:idx val="3"/>
          <c:order val="3"/>
          <c:tx>
            <c:strRef>
              <c:f>'Income Statement Analysis'!$E$33</c:f>
              <c:strCache>
                <c:ptCount val="1"/>
                <c:pt idx="0">
                  <c:v> 2023 revenue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'Income Statement Analysis'!$A$34:$A$35</c:f>
              <c:strCache>
                <c:ptCount val="1"/>
                <c:pt idx="0">
                  <c:v>Total operating revenue</c:v>
                </c:pt>
              </c:strCache>
            </c:strRef>
          </c:cat>
          <c:val>
            <c:numRef>
              <c:f>'Income Statement Analysis'!$E$34:$E$35</c:f>
              <c:numCache>
                <c:formatCode>General</c:formatCode>
                <c:ptCount val="1"/>
                <c:pt idx="0">
                  <c:v>15553.41</c:v>
                </c:pt>
              </c:numCache>
            </c:numRef>
          </c:val>
          <c:extLst>
            <c:ext xmlns:c16="http://schemas.microsoft.com/office/drawing/2014/chart" uri="{C3380CC4-5D6E-409C-BE32-E72D297353CC}">
              <c16:uniqueId val="{0000000E-9C48-4D74-A71D-015DD2EE404E}"/>
            </c:ext>
          </c:extLst>
        </c:ser>
        <c:ser>
          <c:idx val="4"/>
          <c:order val="4"/>
          <c:tx>
            <c:strRef>
              <c:f>'Income Statement Analysis'!$F$33</c:f>
              <c:strCache>
                <c:ptCount val="1"/>
                <c:pt idx="0">
                  <c:v>2024 revenue</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'Income Statement Analysis'!$A$34:$A$35</c:f>
              <c:strCache>
                <c:ptCount val="1"/>
                <c:pt idx="0">
                  <c:v>Total operating revenue</c:v>
                </c:pt>
              </c:strCache>
            </c:strRef>
          </c:cat>
          <c:val>
            <c:numRef>
              <c:f>'Income Statement Analysis'!$F$34:$F$35</c:f>
              <c:numCache>
                <c:formatCode>General</c:formatCode>
                <c:ptCount val="1"/>
                <c:pt idx="0">
                  <c:v>20844.96</c:v>
                </c:pt>
              </c:numCache>
            </c:numRef>
          </c:val>
          <c:extLst>
            <c:ext xmlns:c16="http://schemas.microsoft.com/office/drawing/2014/chart" uri="{C3380CC4-5D6E-409C-BE32-E72D297353CC}">
              <c16:uniqueId val="{0000000F-9C48-4D74-A71D-015DD2EE404E}"/>
            </c:ext>
          </c:extLst>
        </c:ser>
        <c:dLbls>
          <c:dLblPos val="outEnd"/>
          <c:showLegendKey val="0"/>
          <c:showVal val="1"/>
          <c:showCatName val="0"/>
          <c:showSerName val="0"/>
          <c:showPercent val="0"/>
          <c:showBubbleSize val="0"/>
        </c:dLbls>
        <c:gapWidth val="219"/>
        <c:overlap val="-27"/>
        <c:axId val="1929011135"/>
        <c:axId val="1928951775"/>
      </c:barChart>
      <c:catAx>
        <c:axId val="1929011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8951775"/>
        <c:crosses val="autoZero"/>
        <c:auto val="1"/>
        <c:lblAlgn val="ctr"/>
        <c:lblOffset val="100"/>
        <c:noMultiLvlLbl val="0"/>
      </c:catAx>
      <c:valAx>
        <c:axId val="19289517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9011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[Section 1 Group 3 Part 3 Part 4.xlsx]Income Statement Analysis!PivotTable2</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'Income Statement Analysis'!$B$62</c:f>
              <c:strCache>
                <c:ptCount val="1"/>
                <c:pt idx="0">
                  <c:v>Sum of 2020</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'Income Statement Analysis'!$A$63:$A$64</c:f>
              <c:strCache>
                <c:ptCount val="1"/>
                <c:pt idx="0">
                  <c:v>EBITDA</c:v>
                </c:pt>
              </c:strCache>
            </c:strRef>
          </c:cat>
          <c:val>
            <c:numRef>
              <c:f>'Income Statement Analysis'!$B$63:$B$64</c:f>
              <c:numCache>
                <c:formatCode>General</c:formatCode>
                <c:ptCount val="1"/>
                <c:pt idx="0">
                  <c:v>1286.47</c:v>
                </c:pt>
              </c:numCache>
            </c:numRef>
          </c:val>
          <c:extLst>
            <c:ext xmlns:c16="http://schemas.microsoft.com/office/drawing/2014/chart" uri="{C3380CC4-5D6E-409C-BE32-E72D297353CC}">
              <c16:uniqueId val="{00000000-8D62-473C-91E5-B0E48EADC74F}"/>
            </c:ext>
          </c:extLst>
        </c:ser>
        <c:ser>
          <c:idx val="1"/>
          <c:order val="1"/>
          <c:tx>
            <c:strRef>
              <c:f>'Income Statement Analysis'!$C$62</c:f>
              <c:strCache>
                <c:ptCount val="1"/>
                <c:pt idx="0">
                  <c:v>Sum of 2021</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'Income Statement Analysis'!$A$63:$A$64</c:f>
              <c:strCache>
                <c:ptCount val="1"/>
                <c:pt idx="0">
                  <c:v>EBITDA</c:v>
                </c:pt>
              </c:strCache>
            </c:strRef>
          </c:cat>
          <c:val>
            <c:numRef>
              <c:f>'Income Statement Analysis'!$C$63:$C$64</c:f>
              <c:numCache>
                <c:formatCode>General</c:formatCode>
                <c:ptCount val="1"/>
                <c:pt idx="0">
                  <c:v>1100.33</c:v>
                </c:pt>
              </c:numCache>
            </c:numRef>
          </c:val>
          <c:extLst>
            <c:ext xmlns:c16="http://schemas.microsoft.com/office/drawing/2014/chart" uri="{C3380CC4-5D6E-409C-BE32-E72D297353CC}">
              <c16:uniqueId val="{00000001-8D62-473C-91E5-B0E48EADC74F}"/>
            </c:ext>
          </c:extLst>
        </c:ser>
        <c:ser>
          <c:idx val="2"/>
          <c:order val="2"/>
          <c:tx>
            <c:strRef>
              <c:f>'Income Statement Analysis'!$D$62</c:f>
              <c:strCache>
                <c:ptCount val="1"/>
                <c:pt idx="0">
                  <c:v>Sum of 2022</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'Income Statement Analysis'!$A$63:$A$64</c:f>
              <c:strCache>
                <c:ptCount val="1"/>
                <c:pt idx="0">
                  <c:v>EBITDA</c:v>
                </c:pt>
              </c:strCache>
            </c:strRef>
          </c:cat>
          <c:val>
            <c:numRef>
              <c:f>'Income Statement Analysis'!$D$63:$D$64</c:f>
              <c:numCache>
                <c:formatCode>General</c:formatCode>
                <c:ptCount val="1"/>
                <c:pt idx="0">
                  <c:v>1210.54</c:v>
                </c:pt>
              </c:numCache>
            </c:numRef>
          </c:val>
          <c:extLst>
            <c:ext xmlns:c16="http://schemas.microsoft.com/office/drawing/2014/chart" uri="{C3380CC4-5D6E-409C-BE32-E72D297353CC}">
              <c16:uniqueId val="{00000002-8D62-473C-91E5-B0E48EADC74F}"/>
            </c:ext>
          </c:extLst>
        </c:ser>
        <c:ser>
          <c:idx val="3"/>
          <c:order val="3"/>
          <c:tx>
            <c:strRef>
              <c:f>'Income Statement Analysis'!$E$62</c:f>
              <c:strCache>
                <c:ptCount val="1"/>
                <c:pt idx="0">
                  <c:v>Sum of 2023</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'Income Statement Analysis'!$A$63:$A$64</c:f>
              <c:strCache>
                <c:ptCount val="1"/>
                <c:pt idx="0">
                  <c:v>EBITDA</c:v>
                </c:pt>
              </c:strCache>
            </c:strRef>
          </c:cat>
          <c:val>
            <c:numRef>
              <c:f>'Income Statement Analysis'!$E$63:$E$64</c:f>
              <c:numCache>
                <c:formatCode>General</c:formatCode>
                <c:ptCount val="1"/>
                <c:pt idx="0">
                  <c:v>1661.6</c:v>
                </c:pt>
              </c:numCache>
            </c:numRef>
          </c:val>
          <c:extLst>
            <c:ext xmlns:c16="http://schemas.microsoft.com/office/drawing/2014/chart" uri="{C3380CC4-5D6E-409C-BE32-E72D297353CC}">
              <c16:uniqueId val="{00000003-8D62-473C-91E5-B0E48EADC74F}"/>
            </c:ext>
          </c:extLst>
        </c:ser>
        <c:ser>
          <c:idx val="4"/>
          <c:order val="4"/>
          <c:tx>
            <c:strRef>
              <c:f>'Income Statement Analysis'!$F$62</c:f>
              <c:strCache>
                <c:ptCount val="1"/>
                <c:pt idx="0">
                  <c:v>Sum of 2024</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'Income Statement Analysis'!$A$63:$A$64</c:f>
              <c:strCache>
                <c:ptCount val="1"/>
                <c:pt idx="0">
                  <c:v>EBITDA</c:v>
                </c:pt>
              </c:strCache>
            </c:strRef>
          </c:cat>
          <c:val>
            <c:numRef>
              <c:f>'Income Statement Analysis'!$F$63:$F$64</c:f>
              <c:numCache>
                <c:formatCode>General</c:formatCode>
                <c:ptCount val="1"/>
                <c:pt idx="0">
                  <c:v>1980.8</c:v>
                </c:pt>
              </c:numCache>
            </c:numRef>
          </c:val>
          <c:extLst>
            <c:ext xmlns:c16="http://schemas.microsoft.com/office/drawing/2014/chart" uri="{C3380CC4-5D6E-409C-BE32-E72D297353CC}">
              <c16:uniqueId val="{00000004-8D62-473C-91E5-B0E48EADC74F}"/>
            </c:ext>
          </c:extLst>
        </c:ser>
        <c:dLbls>
          <c:dLblPos val="outEnd"/>
          <c:showLegendKey val="0"/>
          <c:showVal val="1"/>
          <c:showCatName val="0"/>
          <c:showSerName val="0"/>
          <c:showPercent val="0"/>
          <c:showBubbleSize val="0"/>
        </c:dLbls>
        <c:gapWidth val="219"/>
        <c:overlap val="-27"/>
        <c:axId val="165818975"/>
        <c:axId val="165821855"/>
      </c:barChart>
      <c:catAx>
        <c:axId val="165818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821855"/>
        <c:crosses val="autoZero"/>
        <c:auto val="1"/>
        <c:lblAlgn val="ctr"/>
        <c:lblOffset val="100"/>
        <c:noMultiLvlLbl val="0"/>
      </c:catAx>
      <c:valAx>
        <c:axId val="1658218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8189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[Section 1 Group 3 Part 3 Part 4.xlsx]Income Statement Analysis!PivotTable3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'Income Statement Analysis'!$B$94</c:f>
              <c:strCache>
                <c:ptCount val="1"/>
                <c:pt idx="0">
                  <c:v>Sum of 2020</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'Income Statement Analysis'!$A$95:$A$96</c:f>
              <c:strCache>
                <c:ptCount val="1"/>
                <c:pt idx="0">
                  <c:v>Net Profit (Loss) for the Period</c:v>
                </c:pt>
              </c:strCache>
            </c:strRef>
          </c:cat>
          <c:val>
            <c:numRef>
              <c:f>'Income Statement Analysis'!$B$95:$B$96</c:f>
              <c:numCache>
                <c:formatCode>General</c:formatCode>
                <c:ptCount val="1"/>
                <c:pt idx="0">
                  <c:v>336.53</c:v>
                </c:pt>
              </c:numCache>
            </c:numRef>
          </c:val>
          <c:extLst>
            <c:ext xmlns:c16="http://schemas.microsoft.com/office/drawing/2014/chart" uri="{C3380CC4-5D6E-409C-BE32-E72D297353CC}">
              <c16:uniqueId val="{00000000-A860-4395-ADAE-85BC61E0BA4D}"/>
            </c:ext>
          </c:extLst>
        </c:ser>
        <c:ser>
          <c:idx val="1"/>
          <c:order val="1"/>
          <c:tx>
            <c:strRef>
              <c:f>'Income Statement Analysis'!$C$94</c:f>
              <c:strCache>
                <c:ptCount val="1"/>
                <c:pt idx="0">
                  <c:v>Sum of 2021</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'Income Statement Analysis'!$A$95:$A$96</c:f>
              <c:strCache>
                <c:ptCount val="1"/>
                <c:pt idx="0">
                  <c:v>Net Profit (Loss) for the Period</c:v>
                </c:pt>
              </c:strCache>
            </c:strRef>
          </c:cat>
          <c:val>
            <c:numRef>
              <c:f>'Income Statement Analysis'!$C$95:$C$96</c:f>
              <c:numCache>
                <c:formatCode>General</c:formatCode>
                <c:ptCount val="1"/>
                <c:pt idx="0">
                  <c:v>283.04000000000002</c:v>
                </c:pt>
              </c:numCache>
            </c:numRef>
          </c:val>
          <c:extLst>
            <c:ext xmlns:c16="http://schemas.microsoft.com/office/drawing/2014/chart" uri="{C3380CC4-5D6E-409C-BE32-E72D297353CC}">
              <c16:uniqueId val="{00000002-A860-4395-ADAE-85BC61E0BA4D}"/>
            </c:ext>
          </c:extLst>
        </c:ser>
        <c:ser>
          <c:idx val="2"/>
          <c:order val="2"/>
          <c:tx>
            <c:strRef>
              <c:f>'Income Statement Analysis'!$D$94</c:f>
              <c:strCache>
                <c:ptCount val="1"/>
                <c:pt idx="0">
                  <c:v>Sum of 2022</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'Income Statement Analysis'!$A$95:$A$96</c:f>
              <c:strCache>
                <c:ptCount val="1"/>
                <c:pt idx="0">
                  <c:v>Net Profit (Loss) for the Period</c:v>
                </c:pt>
              </c:strCache>
            </c:strRef>
          </c:cat>
          <c:val>
            <c:numRef>
              <c:f>'Income Statement Analysis'!$D$95:$D$96</c:f>
              <c:numCache>
                <c:formatCode>General</c:formatCode>
                <c:ptCount val="1"/>
                <c:pt idx="0">
                  <c:v>482.41</c:v>
                </c:pt>
              </c:numCache>
            </c:numRef>
          </c:val>
          <c:extLst>
            <c:ext xmlns:c16="http://schemas.microsoft.com/office/drawing/2014/chart" uri="{C3380CC4-5D6E-409C-BE32-E72D297353CC}">
              <c16:uniqueId val="{00000003-A860-4395-ADAE-85BC61E0BA4D}"/>
            </c:ext>
          </c:extLst>
        </c:ser>
        <c:ser>
          <c:idx val="3"/>
          <c:order val="3"/>
          <c:tx>
            <c:strRef>
              <c:f>'Income Statement Analysis'!$E$94</c:f>
              <c:strCache>
                <c:ptCount val="1"/>
                <c:pt idx="0">
                  <c:v>Sum of 2023</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'Income Statement Analysis'!$A$95:$A$96</c:f>
              <c:strCache>
                <c:ptCount val="1"/>
                <c:pt idx="0">
                  <c:v>Net Profit (Loss) for the Period</c:v>
                </c:pt>
              </c:strCache>
            </c:strRef>
          </c:cat>
          <c:val>
            <c:numRef>
              <c:f>'Income Statement Analysis'!$E$95:$E$96</c:f>
              <c:numCache>
                <c:formatCode>General</c:formatCode>
                <c:ptCount val="1"/>
                <c:pt idx="0">
                  <c:v>609.20000000000005</c:v>
                </c:pt>
              </c:numCache>
            </c:numRef>
          </c:val>
          <c:extLst>
            <c:ext xmlns:c16="http://schemas.microsoft.com/office/drawing/2014/chart" uri="{C3380CC4-5D6E-409C-BE32-E72D297353CC}">
              <c16:uniqueId val="{00000004-A860-4395-ADAE-85BC61E0BA4D}"/>
            </c:ext>
          </c:extLst>
        </c:ser>
        <c:ser>
          <c:idx val="4"/>
          <c:order val="4"/>
          <c:tx>
            <c:strRef>
              <c:f>'Income Statement Analysis'!$F$94</c:f>
              <c:strCache>
                <c:ptCount val="1"/>
                <c:pt idx="0">
                  <c:v>Sum of 2024</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'Income Statement Analysis'!$A$95:$A$96</c:f>
              <c:strCache>
                <c:ptCount val="1"/>
                <c:pt idx="0">
                  <c:v>Net Profit (Loss) for the Period</c:v>
                </c:pt>
              </c:strCache>
            </c:strRef>
          </c:cat>
          <c:val>
            <c:numRef>
              <c:f>'Income Statement Analysis'!$F$95:$F$96</c:f>
              <c:numCache>
                <c:formatCode>General</c:formatCode>
                <c:ptCount val="1"/>
                <c:pt idx="0">
                  <c:v>710.69</c:v>
                </c:pt>
              </c:numCache>
            </c:numRef>
          </c:val>
          <c:extLst>
            <c:ext xmlns:c16="http://schemas.microsoft.com/office/drawing/2014/chart" uri="{C3380CC4-5D6E-409C-BE32-E72D297353CC}">
              <c16:uniqueId val="{00000005-A860-4395-ADAE-85BC61E0BA4D}"/>
            </c:ext>
          </c:extLst>
        </c:ser>
        <c:dLbls>
          <c:dLblPos val="outEnd"/>
          <c:showLegendKey val="0"/>
          <c:showVal val="1"/>
          <c:showCatName val="0"/>
          <c:showSerName val="0"/>
          <c:showPercent val="0"/>
          <c:showBubbleSize val="0"/>
        </c:dLbls>
        <c:gapWidth val="219"/>
        <c:overlap val="-27"/>
        <c:axId val="147634847"/>
        <c:axId val="147622847"/>
      </c:barChart>
      <c:catAx>
        <c:axId val="147634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622847"/>
        <c:crosses val="autoZero"/>
        <c:auto val="1"/>
        <c:lblAlgn val="ctr"/>
        <c:lblOffset val="100"/>
        <c:noMultiLvlLbl val="0"/>
      </c:catAx>
      <c:valAx>
        <c:axId val="1476228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634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[Section 1 Group 3 Part 3 Part 4.xlsx]Income Statement Analysis!PivotTable8</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'Income Statement Analysis'!$J$33</c:f>
              <c:strCache>
                <c:ptCount val="1"/>
                <c:pt idx="0">
                  <c:v>Sum of 2020</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'Income Statement Analysis'!$I$34:$I$35</c:f>
              <c:strCache>
                <c:ptCount val="1"/>
                <c:pt idx="0">
                  <c:v>Total operating revenue</c:v>
                </c:pt>
              </c:strCache>
            </c:strRef>
          </c:cat>
          <c:val>
            <c:numRef>
              <c:f>'Income Statement Analysis'!$J$34:$J$35</c:f>
              <c:numCache>
                <c:formatCode>General</c:formatCode>
                <c:ptCount val="1"/>
                <c:pt idx="0">
                  <c:v>5602.57</c:v>
                </c:pt>
              </c:numCache>
            </c:numRef>
          </c:val>
          <c:extLst>
            <c:ext xmlns:c16="http://schemas.microsoft.com/office/drawing/2014/chart" uri="{C3380CC4-5D6E-409C-BE32-E72D297353CC}">
              <c16:uniqueId val="{00000000-E7FB-432C-B2F0-3EAB551ADA71}"/>
            </c:ext>
          </c:extLst>
        </c:ser>
        <c:ser>
          <c:idx val="1"/>
          <c:order val="1"/>
          <c:tx>
            <c:strRef>
              <c:f>'Income Statement Analysis'!$K$33</c:f>
              <c:strCache>
                <c:ptCount val="1"/>
                <c:pt idx="0">
                  <c:v>Sum of 2021</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'Income Statement Analysis'!$I$34:$I$35</c:f>
              <c:strCache>
                <c:ptCount val="1"/>
                <c:pt idx="0">
                  <c:v>Total operating revenue</c:v>
                </c:pt>
              </c:strCache>
            </c:strRef>
          </c:cat>
          <c:val>
            <c:numRef>
              <c:f>'Income Statement Analysis'!$K$34:$K$35</c:f>
              <c:numCache>
                <c:formatCode>General</c:formatCode>
                <c:ptCount val="1"/>
                <c:pt idx="0">
                  <c:v>5787.57</c:v>
                </c:pt>
              </c:numCache>
            </c:numRef>
          </c:val>
          <c:extLst>
            <c:ext xmlns:c16="http://schemas.microsoft.com/office/drawing/2014/chart" uri="{C3380CC4-5D6E-409C-BE32-E72D297353CC}">
              <c16:uniqueId val="{00000002-E7FB-432C-B2F0-3EAB551ADA71}"/>
            </c:ext>
          </c:extLst>
        </c:ser>
        <c:ser>
          <c:idx val="2"/>
          <c:order val="2"/>
          <c:tx>
            <c:strRef>
              <c:f>'Income Statement Analysis'!$L$33</c:f>
              <c:strCache>
                <c:ptCount val="1"/>
                <c:pt idx="0">
                  <c:v>Sum of 2022</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'Income Statement Analysis'!$I$34:$I$35</c:f>
              <c:strCache>
                <c:ptCount val="1"/>
                <c:pt idx="0">
                  <c:v>Total operating revenue</c:v>
                </c:pt>
              </c:strCache>
            </c:strRef>
          </c:cat>
          <c:val>
            <c:numRef>
              <c:f>'Income Statement Analysis'!$L$34:$L$35</c:f>
              <c:numCache>
                <c:formatCode>General</c:formatCode>
                <c:ptCount val="1"/>
                <c:pt idx="0">
                  <c:v>7208.04</c:v>
                </c:pt>
              </c:numCache>
            </c:numRef>
          </c:val>
          <c:extLst>
            <c:ext xmlns:c16="http://schemas.microsoft.com/office/drawing/2014/chart" uri="{C3380CC4-5D6E-409C-BE32-E72D297353CC}">
              <c16:uniqueId val="{00000003-E7FB-432C-B2F0-3EAB551ADA71}"/>
            </c:ext>
          </c:extLst>
        </c:ser>
        <c:ser>
          <c:idx val="3"/>
          <c:order val="3"/>
          <c:tx>
            <c:strRef>
              <c:f>'Income Statement Analysis'!$M$33</c:f>
              <c:strCache>
                <c:ptCount val="1"/>
                <c:pt idx="0">
                  <c:v>Sum of 2023</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'Income Statement Analysis'!$I$34:$I$35</c:f>
              <c:strCache>
                <c:ptCount val="1"/>
                <c:pt idx="0">
                  <c:v>Total operating revenue</c:v>
                </c:pt>
              </c:strCache>
            </c:strRef>
          </c:cat>
          <c:val>
            <c:numRef>
              <c:f>'Income Statement Analysis'!$M$34:$M$35</c:f>
              <c:numCache>
                <c:formatCode>General</c:formatCode>
                <c:ptCount val="1"/>
                <c:pt idx="0">
                  <c:v>7956.08</c:v>
                </c:pt>
              </c:numCache>
            </c:numRef>
          </c:val>
          <c:extLst>
            <c:ext xmlns:c16="http://schemas.microsoft.com/office/drawing/2014/chart" uri="{C3380CC4-5D6E-409C-BE32-E72D297353CC}">
              <c16:uniqueId val="{00000004-E7FB-432C-B2F0-3EAB551ADA71}"/>
            </c:ext>
          </c:extLst>
        </c:ser>
        <c:ser>
          <c:idx val="4"/>
          <c:order val="4"/>
          <c:tx>
            <c:strRef>
              <c:f>'Income Statement Analysis'!$N$33</c:f>
              <c:strCache>
                <c:ptCount val="1"/>
                <c:pt idx="0">
                  <c:v>Sum of 2024</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'Income Statement Analysis'!$I$34:$I$35</c:f>
              <c:strCache>
                <c:ptCount val="1"/>
                <c:pt idx="0">
                  <c:v>Total operating revenue</c:v>
                </c:pt>
              </c:strCache>
            </c:strRef>
          </c:cat>
          <c:val>
            <c:numRef>
              <c:f>'Income Statement Analysis'!$N$34:$N$35</c:f>
              <c:numCache>
                <c:formatCode>General</c:formatCode>
                <c:ptCount val="1"/>
                <c:pt idx="0">
                  <c:v>8649.8700000000008</c:v>
                </c:pt>
              </c:numCache>
            </c:numRef>
          </c:val>
          <c:extLst>
            <c:ext xmlns:c16="http://schemas.microsoft.com/office/drawing/2014/chart" uri="{C3380CC4-5D6E-409C-BE32-E72D297353CC}">
              <c16:uniqueId val="{00000005-E7FB-432C-B2F0-3EAB551ADA71}"/>
            </c:ext>
          </c:extLst>
        </c:ser>
        <c:dLbls>
          <c:dLblPos val="outEnd"/>
          <c:showLegendKey val="0"/>
          <c:showVal val="1"/>
          <c:showCatName val="0"/>
          <c:showSerName val="0"/>
          <c:showPercent val="0"/>
          <c:showBubbleSize val="0"/>
        </c:dLbls>
        <c:gapWidth val="219"/>
        <c:overlap val="-27"/>
        <c:axId val="288850943"/>
        <c:axId val="288847583"/>
      </c:barChart>
      <c:catAx>
        <c:axId val="288850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8847583"/>
        <c:crosses val="autoZero"/>
        <c:auto val="1"/>
        <c:lblAlgn val="ctr"/>
        <c:lblOffset val="100"/>
        <c:noMultiLvlLbl val="0"/>
      </c:catAx>
      <c:valAx>
        <c:axId val="2888475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8850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[Section 1 Group 3 Part 3 Part 4.xlsx]Income Statement Analysis!PivotTable9</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'Income Statement Analysis'!$J$62</c:f>
              <c:strCache>
                <c:ptCount val="1"/>
                <c:pt idx="0">
                  <c:v>Sum of 2020</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'Income Statement Analysis'!$I$63:$I$64</c:f>
              <c:strCache>
                <c:ptCount val="1"/>
                <c:pt idx="0">
                  <c:v>EBITDA</c:v>
                </c:pt>
              </c:strCache>
            </c:strRef>
          </c:cat>
          <c:val>
            <c:numRef>
              <c:f>'Income Statement Analysis'!$J$63:$J$64</c:f>
              <c:numCache>
                <c:formatCode>General</c:formatCode>
                <c:ptCount val="1"/>
                <c:pt idx="0">
                  <c:v>1677.9</c:v>
                </c:pt>
              </c:numCache>
            </c:numRef>
          </c:val>
          <c:extLst>
            <c:ext xmlns:c16="http://schemas.microsoft.com/office/drawing/2014/chart" uri="{C3380CC4-5D6E-409C-BE32-E72D297353CC}">
              <c16:uniqueId val="{00000000-A1FA-42B6-9B18-09CEC38DD7F0}"/>
            </c:ext>
          </c:extLst>
        </c:ser>
        <c:ser>
          <c:idx val="1"/>
          <c:order val="1"/>
          <c:tx>
            <c:strRef>
              <c:f>'Income Statement Analysis'!$K$62</c:f>
              <c:strCache>
                <c:ptCount val="1"/>
                <c:pt idx="0">
                  <c:v>Sum of 2021</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'Income Statement Analysis'!$I$63:$I$64</c:f>
              <c:strCache>
                <c:ptCount val="1"/>
                <c:pt idx="0">
                  <c:v>EBITDA</c:v>
                </c:pt>
              </c:strCache>
            </c:strRef>
          </c:cat>
          <c:val>
            <c:numRef>
              <c:f>'Income Statement Analysis'!$K$63:$K$64</c:f>
              <c:numCache>
                <c:formatCode>General</c:formatCode>
                <c:ptCount val="1"/>
                <c:pt idx="0">
                  <c:v>1781.12</c:v>
                </c:pt>
              </c:numCache>
            </c:numRef>
          </c:val>
          <c:extLst>
            <c:ext xmlns:c16="http://schemas.microsoft.com/office/drawing/2014/chart" uri="{C3380CC4-5D6E-409C-BE32-E72D297353CC}">
              <c16:uniqueId val="{00000001-A1FA-42B6-9B18-09CEC38DD7F0}"/>
            </c:ext>
          </c:extLst>
        </c:ser>
        <c:ser>
          <c:idx val="2"/>
          <c:order val="2"/>
          <c:tx>
            <c:strRef>
              <c:f>'Income Statement Analysis'!$L$62</c:f>
              <c:strCache>
                <c:ptCount val="1"/>
                <c:pt idx="0">
                  <c:v>Sum of 2022</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'Income Statement Analysis'!$I$63:$I$64</c:f>
              <c:strCache>
                <c:ptCount val="1"/>
                <c:pt idx="0">
                  <c:v>EBITDA</c:v>
                </c:pt>
              </c:strCache>
            </c:strRef>
          </c:cat>
          <c:val>
            <c:numRef>
              <c:f>'Income Statement Analysis'!$L$63:$L$64</c:f>
              <c:numCache>
                <c:formatCode>General</c:formatCode>
                <c:ptCount val="1"/>
                <c:pt idx="0">
                  <c:v>1924.66</c:v>
                </c:pt>
              </c:numCache>
            </c:numRef>
          </c:val>
          <c:extLst>
            <c:ext xmlns:c16="http://schemas.microsoft.com/office/drawing/2014/chart" uri="{C3380CC4-5D6E-409C-BE32-E72D297353CC}">
              <c16:uniqueId val="{00000002-A1FA-42B6-9B18-09CEC38DD7F0}"/>
            </c:ext>
          </c:extLst>
        </c:ser>
        <c:ser>
          <c:idx val="3"/>
          <c:order val="3"/>
          <c:tx>
            <c:strRef>
              <c:f>'Income Statement Analysis'!$M$62</c:f>
              <c:strCache>
                <c:ptCount val="1"/>
                <c:pt idx="0">
                  <c:v>Sum of 2023</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'Income Statement Analysis'!$I$63:$I$64</c:f>
              <c:strCache>
                <c:ptCount val="1"/>
                <c:pt idx="0">
                  <c:v>EBITDA</c:v>
                </c:pt>
              </c:strCache>
            </c:strRef>
          </c:cat>
          <c:val>
            <c:numRef>
              <c:f>'Income Statement Analysis'!$M$63:$M$64</c:f>
              <c:numCache>
                <c:formatCode>General</c:formatCode>
                <c:ptCount val="1"/>
                <c:pt idx="0">
                  <c:v>1853.35</c:v>
                </c:pt>
              </c:numCache>
            </c:numRef>
          </c:val>
          <c:extLst>
            <c:ext xmlns:c16="http://schemas.microsoft.com/office/drawing/2014/chart" uri="{C3380CC4-5D6E-409C-BE32-E72D297353CC}">
              <c16:uniqueId val="{00000003-A1FA-42B6-9B18-09CEC38DD7F0}"/>
            </c:ext>
          </c:extLst>
        </c:ser>
        <c:ser>
          <c:idx val="4"/>
          <c:order val="4"/>
          <c:tx>
            <c:strRef>
              <c:f>'Income Statement Analysis'!$N$62</c:f>
              <c:strCache>
                <c:ptCount val="1"/>
                <c:pt idx="0">
                  <c:v>Sum of 2024</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'Income Statement Analysis'!$I$63:$I$64</c:f>
              <c:strCache>
                <c:ptCount val="1"/>
                <c:pt idx="0">
                  <c:v>EBITDA</c:v>
                </c:pt>
              </c:strCache>
            </c:strRef>
          </c:cat>
          <c:val>
            <c:numRef>
              <c:f>'Income Statement Analysis'!$N$63:$N$64</c:f>
              <c:numCache>
                <c:formatCode>General</c:formatCode>
                <c:ptCount val="1"/>
                <c:pt idx="0">
                  <c:v>2181.34</c:v>
                </c:pt>
              </c:numCache>
            </c:numRef>
          </c:val>
          <c:extLst>
            <c:ext xmlns:c16="http://schemas.microsoft.com/office/drawing/2014/chart" uri="{C3380CC4-5D6E-409C-BE32-E72D297353CC}">
              <c16:uniqueId val="{00000004-A1FA-42B6-9B18-09CEC38DD7F0}"/>
            </c:ext>
          </c:extLst>
        </c:ser>
        <c:dLbls>
          <c:dLblPos val="outEnd"/>
          <c:showLegendKey val="0"/>
          <c:showVal val="1"/>
          <c:showCatName val="0"/>
          <c:showSerName val="0"/>
          <c:showPercent val="0"/>
          <c:showBubbleSize val="0"/>
        </c:dLbls>
        <c:gapWidth val="219"/>
        <c:overlap val="-27"/>
        <c:axId val="465507071"/>
        <c:axId val="465489311"/>
      </c:barChart>
      <c:catAx>
        <c:axId val="465507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5489311"/>
        <c:crosses val="autoZero"/>
        <c:auto val="1"/>
        <c:lblAlgn val="ctr"/>
        <c:lblOffset val="100"/>
        <c:noMultiLvlLbl val="0"/>
      </c:catAx>
      <c:valAx>
        <c:axId val="4654893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5507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[Section 1 Group 3 Part 3 Part 4.xlsx]Income Statement Analysis!PivotTable10</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'Income Statement Analysis'!$J$94</c:f>
              <c:strCache>
                <c:ptCount val="1"/>
                <c:pt idx="0">
                  <c:v>Sum of 2020</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'Income Statement Analysis'!$I$95:$I$96</c:f>
              <c:strCache>
                <c:ptCount val="1"/>
                <c:pt idx="0">
                  <c:v>Net Profit (Loss) for the Period</c:v>
                </c:pt>
              </c:strCache>
            </c:strRef>
          </c:cat>
          <c:val>
            <c:numRef>
              <c:f>'Income Statement Analysis'!$J$95:$J$96</c:f>
              <c:numCache>
                <c:formatCode>General</c:formatCode>
                <c:ptCount val="1"/>
                <c:pt idx="0">
                  <c:v>549.88</c:v>
                </c:pt>
              </c:numCache>
            </c:numRef>
          </c:val>
          <c:extLst>
            <c:ext xmlns:c16="http://schemas.microsoft.com/office/drawing/2014/chart" uri="{C3380CC4-5D6E-409C-BE32-E72D297353CC}">
              <c16:uniqueId val="{00000000-AF78-447A-9D03-01EA66986C91}"/>
            </c:ext>
          </c:extLst>
        </c:ser>
        <c:ser>
          <c:idx val="1"/>
          <c:order val="1"/>
          <c:tx>
            <c:strRef>
              <c:f>'Income Statement Analysis'!$K$94</c:f>
              <c:strCache>
                <c:ptCount val="1"/>
                <c:pt idx="0">
                  <c:v>Sum of 2021</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'Income Statement Analysis'!$I$95:$I$96</c:f>
              <c:strCache>
                <c:ptCount val="1"/>
                <c:pt idx="0">
                  <c:v>Net Profit (Loss) for the Period</c:v>
                </c:pt>
              </c:strCache>
            </c:strRef>
          </c:cat>
          <c:val>
            <c:numRef>
              <c:f>'Income Statement Analysis'!$K$95:$K$96</c:f>
              <c:numCache>
                <c:formatCode>General</c:formatCode>
                <c:ptCount val="1"/>
                <c:pt idx="0">
                  <c:v>497.38</c:v>
                </c:pt>
              </c:numCache>
            </c:numRef>
          </c:val>
          <c:extLst>
            <c:ext xmlns:c16="http://schemas.microsoft.com/office/drawing/2014/chart" uri="{C3380CC4-5D6E-409C-BE32-E72D297353CC}">
              <c16:uniqueId val="{00000001-AF78-447A-9D03-01EA66986C91}"/>
            </c:ext>
          </c:extLst>
        </c:ser>
        <c:ser>
          <c:idx val="2"/>
          <c:order val="2"/>
          <c:tx>
            <c:strRef>
              <c:f>'Income Statement Analysis'!$L$94</c:f>
              <c:strCache>
                <c:ptCount val="1"/>
                <c:pt idx="0">
                  <c:v>Sum of 2022</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'Income Statement Analysis'!$I$95:$I$96</c:f>
              <c:strCache>
                <c:ptCount val="1"/>
                <c:pt idx="0">
                  <c:v>Net Profit (Loss) for the Period</c:v>
                </c:pt>
              </c:strCache>
            </c:strRef>
          </c:cat>
          <c:val>
            <c:numRef>
              <c:f>'Income Statement Analysis'!$L$95:$L$96</c:f>
              <c:numCache>
                <c:formatCode>General</c:formatCode>
                <c:ptCount val="1"/>
                <c:pt idx="0">
                  <c:v>580.17999999999995</c:v>
                </c:pt>
              </c:numCache>
            </c:numRef>
          </c:val>
          <c:extLst>
            <c:ext xmlns:c16="http://schemas.microsoft.com/office/drawing/2014/chart" uri="{C3380CC4-5D6E-409C-BE32-E72D297353CC}">
              <c16:uniqueId val="{00000002-AF78-447A-9D03-01EA66986C91}"/>
            </c:ext>
          </c:extLst>
        </c:ser>
        <c:ser>
          <c:idx val="3"/>
          <c:order val="3"/>
          <c:tx>
            <c:strRef>
              <c:f>'Income Statement Analysis'!$M$94</c:f>
              <c:strCache>
                <c:ptCount val="1"/>
                <c:pt idx="0">
                  <c:v>Sum of 2023</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'Income Statement Analysis'!$I$95:$I$96</c:f>
              <c:strCache>
                <c:ptCount val="1"/>
                <c:pt idx="0">
                  <c:v>Net Profit (Loss) for the Period</c:v>
                </c:pt>
              </c:strCache>
            </c:strRef>
          </c:cat>
          <c:val>
            <c:numRef>
              <c:f>'Income Statement Analysis'!$M$95:$M$96</c:f>
              <c:numCache>
                <c:formatCode>General</c:formatCode>
                <c:ptCount val="1"/>
                <c:pt idx="0">
                  <c:v>658.45</c:v>
                </c:pt>
              </c:numCache>
            </c:numRef>
          </c:val>
          <c:extLst>
            <c:ext xmlns:c16="http://schemas.microsoft.com/office/drawing/2014/chart" uri="{C3380CC4-5D6E-409C-BE32-E72D297353CC}">
              <c16:uniqueId val="{00000003-AF78-447A-9D03-01EA66986C91}"/>
            </c:ext>
          </c:extLst>
        </c:ser>
        <c:ser>
          <c:idx val="4"/>
          <c:order val="4"/>
          <c:tx>
            <c:strRef>
              <c:f>'Income Statement Analysis'!$N$94</c:f>
              <c:strCache>
                <c:ptCount val="1"/>
                <c:pt idx="0">
                  <c:v>Sum of 2024</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'Income Statement Analysis'!$I$95:$I$96</c:f>
              <c:strCache>
                <c:ptCount val="1"/>
                <c:pt idx="0">
                  <c:v>Net Profit (Loss) for the Period</c:v>
                </c:pt>
              </c:strCache>
            </c:strRef>
          </c:cat>
          <c:val>
            <c:numRef>
              <c:f>'Income Statement Analysis'!$N$95:$N$96</c:f>
              <c:numCache>
                <c:formatCode>General</c:formatCode>
                <c:ptCount val="1"/>
                <c:pt idx="0">
                  <c:v>909.42</c:v>
                </c:pt>
              </c:numCache>
            </c:numRef>
          </c:val>
          <c:extLst>
            <c:ext xmlns:c16="http://schemas.microsoft.com/office/drawing/2014/chart" uri="{C3380CC4-5D6E-409C-BE32-E72D297353CC}">
              <c16:uniqueId val="{00000004-AF78-447A-9D03-01EA66986C91}"/>
            </c:ext>
          </c:extLst>
        </c:ser>
        <c:dLbls>
          <c:dLblPos val="outEnd"/>
          <c:showLegendKey val="0"/>
          <c:showVal val="1"/>
          <c:showCatName val="0"/>
          <c:showSerName val="0"/>
          <c:showPercent val="0"/>
          <c:showBubbleSize val="0"/>
        </c:dLbls>
        <c:gapWidth val="219"/>
        <c:overlap val="-27"/>
        <c:axId val="476950799"/>
        <c:axId val="476948399"/>
      </c:barChart>
      <c:catAx>
        <c:axId val="476950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6948399"/>
        <c:crosses val="autoZero"/>
        <c:auto val="1"/>
        <c:lblAlgn val="ctr"/>
        <c:lblOffset val="100"/>
        <c:noMultiLvlLbl val="0"/>
      </c:catAx>
      <c:valAx>
        <c:axId val="4769483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6950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[Section 1 Group 3 Part 3 Part 4.xlsx]Income Statement Analysis!PivotTable4</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803149606299206E-2"/>
          <c:y val="0.13323855351414407"/>
          <c:w val="0.68773381452318461"/>
          <c:h val="0.65890128317293672"/>
        </c:manualLayout>
      </c:layout>
      <c:barChart>
        <c:barDir val="col"/>
        <c:grouping val="clustered"/>
        <c:varyColors val="0"/>
        <c:ser>
          <c:idx val="0"/>
          <c:order val="0"/>
          <c:tx>
            <c:strRef>
              <c:f>'Income Statement Analysis'!$R$33</c:f>
              <c:strCache>
                <c:ptCount val="1"/>
                <c:pt idx="0">
                  <c:v>Sum of 2020</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'Income Statement Analysis'!$Q$34:$Q$35</c:f>
              <c:strCache>
                <c:ptCount val="1"/>
                <c:pt idx="0">
                  <c:v>Total operating revenue</c:v>
                </c:pt>
              </c:strCache>
            </c:strRef>
          </c:cat>
          <c:val>
            <c:numRef>
              <c:f>'Income Statement Analysis'!$R$34:$R$35</c:f>
              <c:numCache>
                <c:formatCode>General</c:formatCode>
                <c:ptCount val="1"/>
                <c:pt idx="0">
                  <c:v>2451.6799999999998</c:v>
                </c:pt>
              </c:numCache>
            </c:numRef>
          </c:val>
          <c:extLst>
            <c:ext xmlns:c16="http://schemas.microsoft.com/office/drawing/2014/chart" uri="{C3380CC4-5D6E-409C-BE32-E72D297353CC}">
              <c16:uniqueId val="{00000000-42F3-4380-BE8D-A60657979C2E}"/>
            </c:ext>
          </c:extLst>
        </c:ser>
        <c:ser>
          <c:idx val="1"/>
          <c:order val="1"/>
          <c:tx>
            <c:strRef>
              <c:f>'Income Statement Analysis'!$S$33</c:f>
              <c:strCache>
                <c:ptCount val="1"/>
                <c:pt idx="0">
                  <c:v>Sum of 2021</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'Income Statement Analysis'!$Q$34:$Q$35</c:f>
              <c:strCache>
                <c:ptCount val="1"/>
                <c:pt idx="0">
                  <c:v>Total operating revenue</c:v>
                </c:pt>
              </c:strCache>
            </c:strRef>
          </c:cat>
          <c:val>
            <c:numRef>
              <c:f>'Income Statement Analysis'!$S$34:$S$35</c:f>
              <c:numCache>
                <c:formatCode>General</c:formatCode>
                <c:ptCount val="1"/>
                <c:pt idx="0">
                  <c:v>2903.63</c:v>
                </c:pt>
              </c:numCache>
            </c:numRef>
          </c:val>
          <c:extLst>
            <c:ext xmlns:c16="http://schemas.microsoft.com/office/drawing/2014/chart" uri="{C3380CC4-5D6E-409C-BE32-E72D297353CC}">
              <c16:uniqueId val="{00000001-42F3-4380-BE8D-A60657979C2E}"/>
            </c:ext>
          </c:extLst>
        </c:ser>
        <c:ser>
          <c:idx val="2"/>
          <c:order val="2"/>
          <c:tx>
            <c:strRef>
              <c:f>'Income Statement Analysis'!$T$33</c:f>
              <c:strCache>
                <c:ptCount val="1"/>
                <c:pt idx="0">
                  <c:v>Sum of 2022</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'Income Statement Analysis'!$Q$34:$Q$35</c:f>
              <c:strCache>
                <c:ptCount val="1"/>
                <c:pt idx="0">
                  <c:v>Total operating revenue</c:v>
                </c:pt>
              </c:strCache>
            </c:strRef>
          </c:cat>
          <c:val>
            <c:numRef>
              <c:f>'Income Statement Analysis'!$T$34:$T$35</c:f>
              <c:numCache>
                <c:formatCode>General</c:formatCode>
                <c:ptCount val="1"/>
                <c:pt idx="0">
                  <c:v>3605.82</c:v>
                </c:pt>
              </c:numCache>
            </c:numRef>
          </c:val>
          <c:extLst>
            <c:ext xmlns:c16="http://schemas.microsoft.com/office/drawing/2014/chart" uri="{C3380CC4-5D6E-409C-BE32-E72D297353CC}">
              <c16:uniqueId val="{00000002-42F3-4380-BE8D-A60657979C2E}"/>
            </c:ext>
          </c:extLst>
        </c:ser>
        <c:ser>
          <c:idx val="3"/>
          <c:order val="3"/>
          <c:tx>
            <c:strRef>
              <c:f>'Income Statement Analysis'!$U$33</c:f>
              <c:strCache>
                <c:ptCount val="1"/>
                <c:pt idx="0">
                  <c:v>Sum of 2023</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'Income Statement Analysis'!$Q$34:$Q$35</c:f>
              <c:strCache>
                <c:ptCount val="1"/>
                <c:pt idx="0">
                  <c:v>Total operating revenue</c:v>
                </c:pt>
              </c:strCache>
            </c:strRef>
          </c:cat>
          <c:val>
            <c:numRef>
              <c:f>'Income Statement Analysis'!$U$34:$U$35</c:f>
              <c:numCache>
                <c:formatCode>General</c:formatCode>
                <c:ptCount val="1"/>
                <c:pt idx="0">
                  <c:v>4062.36</c:v>
                </c:pt>
              </c:numCache>
            </c:numRef>
          </c:val>
          <c:extLst>
            <c:ext xmlns:c16="http://schemas.microsoft.com/office/drawing/2014/chart" uri="{C3380CC4-5D6E-409C-BE32-E72D297353CC}">
              <c16:uniqueId val="{00000003-42F3-4380-BE8D-A60657979C2E}"/>
            </c:ext>
          </c:extLst>
        </c:ser>
        <c:ser>
          <c:idx val="4"/>
          <c:order val="4"/>
          <c:tx>
            <c:strRef>
              <c:f>'Income Statement Analysis'!$V$33</c:f>
              <c:strCache>
                <c:ptCount val="1"/>
                <c:pt idx="0">
                  <c:v>Sum of 2024</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'Income Statement Analysis'!$Q$34:$Q$35</c:f>
              <c:strCache>
                <c:ptCount val="1"/>
                <c:pt idx="0">
                  <c:v>Total operating revenue</c:v>
                </c:pt>
              </c:strCache>
            </c:strRef>
          </c:cat>
          <c:val>
            <c:numRef>
              <c:f>'Income Statement Analysis'!$V$34:$V$35</c:f>
              <c:numCache>
                <c:formatCode>General</c:formatCode>
                <c:ptCount val="1"/>
                <c:pt idx="0">
                  <c:v>4429.49</c:v>
                </c:pt>
              </c:numCache>
            </c:numRef>
          </c:val>
          <c:extLst>
            <c:ext xmlns:c16="http://schemas.microsoft.com/office/drawing/2014/chart" uri="{C3380CC4-5D6E-409C-BE32-E72D297353CC}">
              <c16:uniqueId val="{00000004-42F3-4380-BE8D-A60657979C2E}"/>
            </c:ext>
          </c:extLst>
        </c:ser>
        <c:dLbls>
          <c:dLblPos val="outEnd"/>
          <c:showLegendKey val="0"/>
          <c:showVal val="1"/>
          <c:showCatName val="0"/>
          <c:showSerName val="0"/>
          <c:showPercent val="0"/>
          <c:showBubbleSize val="0"/>
        </c:dLbls>
        <c:gapWidth val="219"/>
        <c:overlap val="-27"/>
        <c:axId val="803979648"/>
        <c:axId val="803990208"/>
      </c:barChart>
      <c:catAx>
        <c:axId val="803979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3990208"/>
        <c:crosses val="autoZero"/>
        <c:auto val="1"/>
        <c:lblAlgn val="ctr"/>
        <c:lblOffset val="100"/>
        <c:noMultiLvlLbl val="0"/>
      </c:catAx>
      <c:valAx>
        <c:axId val="8039902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3979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[Section 1 Group 3 Part 3 Part 4.xlsx]Income Statement Analysis!PivotTable5</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'Income Statement Analysis'!$R$62</c:f>
              <c:strCache>
                <c:ptCount val="1"/>
                <c:pt idx="0">
                  <c:v>Sum of 2020</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'Income Statement Analysis'!$Q$63:$Q$64</c:f>
              <c:strCache>
                <c:ptCount val="1"/>
                <c:pt idx="0">
                  <c:v>EBITDA</c:v>
                </c:pt>
              </c:strCache>
            </c:strRef>
          </c:cat>
          <c:val>
            <c:numRef>
              <c:f>'Income Statement Analysis'!$R$63:$R$64</c:f>
              <c:numCache>
                <c:formatCode>General</c:formatCode>
                <c:ptCount val="1"/>
                <c:pt idx="0">
                  <c:v>876.56</c:v>
                </c:pt>
              </c:numCache>
            </c:numRef>
          </c:val>
          <c:extLst>
            <c:ext xmlns:c16="http://schemas.microsoft.com/office/drawing/2014/chart" uri="{C3380CC4-5D6E-409C-BE32-E72D297353CC}">
              <c16:uniqueId val="{00000000-C7C3-4C42-925C-C50B8189D9AE}"/>
            </c:ext>
          </c:extLst>
        </c:ser>
        <c:ser>
          <c:idx val="1"/>
          <c:order val="1"/>
          <c:tx>
            <c:strRef>
              <c:f>'Income Statement Analysis'!$S$62</c:f>
              <c:strCache>
                <c:ptCount val="1"/>
                <c:pt idx="0">
                  <c:v>Sum of 2021</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'Income Statement Analysis'!$Q$63:$Q$64</c:f>
              <c:strCache>
                <c:ptCount val="1"/>
                <c:pt idx="0">
                  <c:v>EBITDA</c:v>
                </c:pt>
              </c:strCache>
            </c:strRef>
          </c:cat>
          <c:val>
            <c:numRef>
              <c:f>'Income Statement Analysis'!$S$63:$S$64</c:f>
              <c:numCache>
                <c:formatCode>General</c:formatCode>
                <c:ptCount val="1"/>
                <c:pt idx="0">
                  <c:v>889.34</c:v>
                </c:pt>
              </c:numCache>
            </c:numRef>
          </c:val>
          <c:extLst>
            <c:ext xmlns:c16="http://schemas.microsoft.com/office/drawing/2014/chart" uri="{C3380CC4-5D6E-409C-BE32-E72D297353CC}">
              <c16:uniqueId val="{00000001-C7C3-4C42-925C-C50B8189D9AE}"/>
            </c:ext>
          </c:extLst>
        </c:ser>
        <c:ser>
          <c:idx val="2"/>
          <c:order val="2"/>
          <c:tx>
            <c:strRef>
              <c:f>'Income Statement Analysis'!$T$62</c:f>
              <c:strCache>
                <c:ptCount val="1"/>
                <c:pt idx="0">
                  <c:v>Sum of 2022</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'Income Statement Analysis'!$Q$63:$Q$64</c:f>
              <c:strCache>
                <c:ptCount val="1"/>
                <c:pt idx="0">
                  <c:v>EBITDA</c:v>
                </c:pt>
              </c:strCache>
            </c:strRef>
          </c:cat>
          <c:val>
            <c:numRef>
              <c:f>'Income Statement Analysis'!$T$63:$T$64</c:f>
              <c:numCache>
                <c:formatCode>General</c:formatCode>
                <c:ptCount val="1"/>
                <c:pt idx="0">
                  <c:v>963.57</c:v>
                </c:pt>
              </c:numCache>
            </c:numRef>
          </c:val>
          <c:extLst>
            <c:ext xmlns:c16="http://schemas.microsoft.com/office/drawing/2014/chart" uri="{C3380CC4-5D6E-409C-BE32-E72D297353CC}">
              <c16:uniqueId val="{00000002-C7C3-4C42-925C-C50B8189D9AE}"/>
            </c:ext>
          </c:extLst>
        </c:ser>
        <c:ser>
          <c:idx val="3"/>
          <c:order val="3"/>
          <c:tx>
            <c:strRef>
              <c:f>'Income Statement Analysis'!$U$62</c:f>
              <c:strCache>
                <c:ptCount val="1"/>
                <c:pt idx="0">
                  <c:v>Sum of 2023</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'Income Statement Analysis'!$Q$63:$Q$64</c:f>
              <c:strCache>
                <c:ptCount val="1"/>
                <c:pt idx="0">
                  <c:v>EBITDA</c:v>
                </c:pt>
              </c:strCache>
            </c:strRef>
          </c:cat>
          <c:val>
            <c:numRef>
              <c:f>'Income Statement Analysis'!$U$63:$U$64</c:f>
              <c:numCache>
                <c:formatCode>General</c:formatCode>
                <c:ptCount val="1"/>
                <c:pt idx="0">
                  <c:v>1098.01</c:v>
                </c:pt>
              </c:numCache>
            </c:numRef>
          </c:val>
          <c:extLst>
            <c:ext xmlns:c16="http://schemas.microsoft.com/office/drawing/2014/chart" uri="{C3380CC4-5D6E-409C-BE32-E72D297353CC}">
              <c16:uniqueId val="{00000003-C7C3-4C42-925C-C50B8189D9AE}"/>
            </c:ext>
          </c:extLst>
        </c:ser>
        <c:ser>
          <c:idx val="4"/>
          <c:order val="4"/>
          <c:tx>
            <c:strRef>
              <c:f>'Income Statement Analysis'!$V$62</c:f>
              <c:strCache>
                <c:ptCount val="1"/>
                <c:pt idx="0">
                  <c:v>Sum of 2024</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'Income Statement Analysis'!$Q$63:$Q$64</c:f>
              <c:strCache>
                <c:ptCount val="1"/>
                <c:pt idx="0">
                  <c:v>EBITDA</c:v>
                </c:pt>
              </c:strCache>
            </c:strRef>
          </c:cat>
          <c:val>
            <c:numRef>
              <c:f>'Income Statement Analysis'!$V$63:$V$64</c:f>
              <c:numCache>
                <c:formatCode>General</c:formatCode>
                <c:ptCount val="1"/>
                <c:pt idx="0">
                  <c:v>1204.5899999999999</c:v>
                </c:pt>
              </c:numCache>
            </c:numRef>
          </c:val>
          <c:extLst>
            <c:ext xmlns:c16="http://schemas.microsoft.com/office/drawing/2014/chart" uri="{C3380CC4-5D6E-409C-BE32-E72D297353CC}">
              <c16:uniqueId val="{00000004-C7C3-4C42-925C-C50B8189D9AE}"/>
            </c:ext>
          </c:extLst>
        </c:ser>
        <c:dLbls>
          <c:dLblPos val="outEnd"/>
          <c:showLegendKey val="0"/>
          <c:showVal val="1"/>
          <c:showCatName val="0"/>
          <c:showSerName val="0"/>
          <c:showPercent val="0"/>
          <c:showBubbleSize val="0"/>
        </c:dLbls>
        <c:gapWidth val="219"/>
        <c:overlap val="-27"/>
        <c:axId val="821085232"/>
        <c:axId val="821085712"/>
      </c:barChart>
      <c:catAx>
        <c:axId val="821085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1085712"/>
        <c:crosses val="autoZero"/>
        <c:auto val="1"/>
        <c:lblAlgn val="ctr"/>
        <c:lblOffset val="100"/>
        <c:noMultiLvlLbl val="0"/>
      </c:catAx>
      <c:valAx>
        <c:axId val="821085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1085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[Section 1 Group 3 Part 3 Part 4.xlsx]Income Statement Analysis!PivotTable7</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'Income Statement Analysis'!$R$94</c:f>
              <c:strCache>
                <c:ptCount val="1"/>
                <c:pt idx="0">
                  <c:v>Sum of 2020</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'Income Statement Analysis'!$Q$95:$Q$96</c:f>
              <c:strCache>
                <c:ptCount val="1"/>
                <c:pt idx="0">
                  <c:v>Net Profit (Loss) for the Period</c:v>
                </c:pt>
              </c:strCache>
            </c:strRef>
          </c:cat>
          <c:val>
            <c:numRef>
              <c:f>'Income Statement Analysis'!$R$95:$R$96</c:f>
              <c:numCache>
                <c:formatCode>General</c:formatCode>
                <c:ptCount val="1"/>
                <c:pt idx="0">
                  <c:v>265.51</c:v>
                </c:pt>
              </c:numCache>
            </c:numRef>
          </c:val>
          <c:extLst>
            <c:ext xmlns:c16="http://schemas.microsoft.com/office/drawing/2014/chart" uri="{C3380CC4-5D6E-409C-BE32-E72D297353CC}">
              <c16:uniqueId val="{00000000-8BD5-4891-806C-7B1D53511F2A}"/>
            </c:ext>
          </c:extLst>
        </c:ser>
        <c:ser>
          <c:idx val="1"/>
          <c:order val="1"/>
          <c:tx>
            <c:strRef>
              <c:f>'Income Statement Analysis'!$S$94</c:f>
              <c:strCache>
                <c:ptCount val="1"/>
                <c:pt idx="0">
                  <c:v>Sum of 2021</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'Income Statement Analysis'!$Q$95:$Q$96</c:f>
              <c:strCache>
                <c:ptCount val="1"/>
                <c:pt idx="0">
                  <c:v>Net Profit (Loss) for the Period</c:v>
                </c:pt>
              </c:strCache>
            </c:strRef>
          </c:cat>
          <c:val>
            <c:numRef>
              <c:f>'Income Statement Analysis'!$S$95:$S$96</c:f>
              <c:numCache>
                <c:formatCode>General</c:formatCode>
                <c:ptCount val="1"/>
                <c:pt idx="0">
                  <c:v>407.38</c:v>
                </c:pt>
              </c:numCache>
            </c:numRef>
          </c:val>
          <c:extLst>
            <c:ext xmlns:c16="http://schemas.microsoft.com/office/drawing/2014/chart" uri="{C3380CC4-5D6E-409C-BE32-E72D297353CC}">
              <c16:uniqueId val="{00000001-8BD5-4891-806C-7B1D53511F2A}"/>
            </c:ext>
          </c:extLst>
        </c:ser>
        <c:ser>
          <c:idx val="2"/>
          <c:order val="2"/>
          <c:tx>
            <c:strRef>
              <c:f>'Income Statement Analysis'!$T$94</c:f>
              <c:strCache>
                <c:ptCount val="1"/>
                <c:pt idx="0">
                  <c:v>Sum of 2022</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'Income Statement Analysis'!$Q$95:$Q$96</c:f>
              <c:strCache>
                <c:ptCount val="1"/>
                <c:pt idx="0">
                  <c:v>Net Profit (Loss) for the Period</c:v>
                </c:pt>
              </c:strCache>
            </c:strRef>
          </c:cat>
          <c:val>
            <c:numRef>
              <c:f>'Income Statement Analysis'!$T$95:$T$96</c:f>
              <c:numCache>
                <c:formatCode>General</c:formatCode>
                <c:ptCount val="1"/>
                <c:pt idx="0">
                  <c:v>381.84</c:v>
                </c:pt>
              </c:numCache>
            </c:numRef>
          </c:val>
          <c:extLst>
            <c:ext xmlns:c16="http://schemas.microsoft.com/office/drawing/2014/chart" uri="{C3380CC4-5D6E-409C-BE32-E72D297353CC}">
              <c16:uniqueId val="{00000002-8BD5-4891-806C-7B1D53511F2A}"/>
            </c:ext>
          </c:extLst>
        </c:ser>
        <c:ser>
          <c:idx val="3"/>
          <c:order val="3"/>
          <c:tx>
            <c:strRef>
              <c:f>'Income Statement Analysis'!$U$94</c:f>
              <c:strCache>
                <c:ptCount val="1"/>
                <c:pt idx="0">
                  <c:v>Sum of 2023</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'Income Statement Analysis'!$Q$95:$Q$96</c:f>
              <c:strCache>
                <c:ptCount val="1"/>
                <c:pt idx="0">
                  <c:v>Net Profit (Loss) for the Period</c:v>
                </c:pt>
              </c:strCache>
            </c:strRef>
          </c:cat>
          <c:val>
            <c:numRef>
              <c:f>'Income Statement Analysis'!$U$95:$U$96</c:f>
              <c:numCache>
                <c:formatCode>General</c:formatCode>
                <c:ptCount val="1"/>
                <c:pt idx="0">
                  <c:v>458.01</c:v>
                </c:pt>
              </c:numCache>
            </c:numRef>
          </c:val>
          <c:extLst>
            <c:ext xmlns:c16="http://schemas.microsoft.com/office/drawing/2014/chart" uri="{C3380CC4-5D6E-409C-BE32-E72D297353CC}">
              <c16:uniqueId val="{00000003-8BD5-4891-806C-7B1D53511F2A}"/>
            </c:ext>
          </c:extLst>
        </c:ser>
        <c:ser>
          <c:idx val="4"/>
          <c:order val="4"/>
          <c:tx>
            <c:strRef>
              <c:f>'Income Statement Analysis'!$V$94</c:f>
              <c:strCache>
                <c:ptCount val="1"/>
                <c:pt idx="0">
                  <c:v>Sum of 2024</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'Income Statement Analysis'!$Q$95:$Q$96</c:f>
              <c:strCache>
                <c:ptCount val="1"/>
                <c:pt idx="0">
                  <c:v>Net Profit (Loss) for the Period</c:v>
                </c:pt>
              </c:strCache>
            </c:strRef>
          </c:cat>
          <c:val>
            <c:numRef>
              <c:f>'Income Statement Analysis'!$V$95:$V$96</c:f>
              <c:numCache>
                <c:formatCode>General</c:formatCode>
                <c:ptCount val="1"/>
                <c:pt idx="0">
                  <c:v>777.4</c:v>
                </c:pt>
              </c:numCache>
            </c:numRef>
          </c:val>
          <c:extLst>
            <c:ext xmlns:c16="http://schemas.microsoft.com/office/drawing/2014/chart" uri="{C3380CC4-5D6E-409C-BE32-E72D297353CC}">
              <c16:uniqueId val="{00000004-8BD5-4891-806C-7B1D53511F2A}"/>
            </c:ext>
          </c:extLst>
        </c:ser>
        <c:dLbls>
          <c:dLblPos val="outEnd"/>
          <c:showLegendKey val="0"/>
          <c:showVal val="1"/>
          <c:showCatName val="0"/>
          <c:showSerName val="0"/>
          <c:showPercent val="0"/>
          <c:showBubbleSize val="0"/>
        </c:dLbls>
        <c:gapWidth val="219"/>
        <c:overlap val="-27"/>
        <c:axId val="76719087"/>
        <c:axId val="76722927"/>
      </c:barChart>
      <c:catAx>
        <c:axId val="76719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722927"/>
        <c:crosses val="autoZero"/>
        <c:auto val="1"/>
        <c:lblAlgn val="ctr"/>
        <c:lblOffset val="100"/>
        <c:noMultiLvlLbl val="0"/>
      </c:catAx>
      <c:valAx>
        <c:axId val="767229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719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pPr>
            <a:solidFill>
              <a:schemeClr val="accent1"/>
            </a:solidFill>
            <a:ln w="9525">
              <a:solidFill>
                <a:schemeClr val="accent1"/>
              </a:solidFill>
            </a:ln>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pPr>
            <a:solidFill>
              <a:schemeClr val="accent1"/>
            </a:solidFill>
            <a:ln w="9525">
              <a:solidFill>
                <a:schemeClr val="accent1"/>
              </a:solidFill>
            </a:ln>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pPr>
            <a:solidFill>
              <a:schemeClr val="accent1"/>
            </a:solidFill>
            <a:ln w="9525">
              <a:solidFill>
                <a:schemeClr val="accent1"/>
              </a:solidFill>
            </a:ln>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pPr>
            <a:solidFill>
              <a:schemeClr val="accent1"/>
            </a:solidFill>
            <a:ln w="9525">
              <a:solidFill>
                <a:schemeClr val="accent1"/>
              </a:solidFill>
            </a:ln>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pPr>
            <a:solidFill>
              <a:schemeClr val="accent1"/>
            </a:solidFill>
            <a:ln w="9525">
              <a:solidFill>
                <a:schemeClr val="accent1"/>
              </a:solidFill>
            </a:ln>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Sum of Sum of 2020</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      Total liabilities</c:v>
              </c:pt>
            </c:strLit>
          </c:cat>
          <c:val>
            <c:numLit>
              <c:formatCode>General</c:formatCode>
              <c:ptCount val="1"/>
              <c:pt idx="0">
                <c:v>8652.6</c:v>
              </c:pt>
            </c:numLit>
          </c:val>
          <c:extLst>
            <c:ext xmlns:c16="http://schemas.microsoft.com/office/drawing/2014/chart" uri="{C3380CC4-5D6E-409C-BE32-E72D297353CC}">
              <c16:uniqueId val="{00000000-79A1-49B1-BDB5-FD35B2636206}"/>
            </c:ext>
          </c:extLst>
        </c:ser>
        <c:ser>
          <c:idx val="1"/>
          <c:order val="1"/>
          <c:tx>
            <c:v>Sum of Sum of 2021</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      Total liabilities</c:v>
              </c:pt>
            </c:strLit>
          </c:cat>
          <c:val>
            <c:numLit>
              <c:formatCode>General</c:formatCode>
              <c:ptCount val="1"/>
              <c:pt idx="0">
                <c:v>8070.47</c:v>
              </c:pt>
            </c:numLit>
          </c:val>
          <c:extLst>
            <c:ext xmlns:c16="http://schemas.microsoft.com/office/drawing/2014/chart" uri="{C3380CC4-5D6E-409C-BE32-E72D297353CC}">
              <c16:uniqueId val="{00000002-79A1-49B1-BDB5-FD35B2636206}"/>
            </c:ext>
          </c:extLst>
        </c:ser>
        <c:ser>
          <c:idx val="2"/>
          <c:order val="2"/>
          <c:tx>
            <c:v>Sum of Sum of 2022</c:v>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      Total liabilities</c:v>
              </c:pt>
            </c:strLit>
          </c:cat>
          <c:val>
            <c:numLit>
              <c:formatCode>General</c:formatCode>
              <c:ptCount val="1"/>
              <c:pt idx="0">
                <c:v>8561.84</c:v>
              </c:pt>
            </c:numLit>
          </c:val>
          <c:extLst>
            <c:ext xmlns:c16="http://schemas.microsoft.com/office/drawing/2014/chart" uri="{C3380CC4-5D6E-409C-BE32-E72D297353CC}">
              <c16:uniqueId val="{00000003-79A1-49B1-BDB5-FD35B2636206}"/>
            </c:ext>
          </c:extLst>
        </c:ser>
        <c:ser>
          <c:idx val="3"/>
          <c:order val="3"/>
          <c:tx>
            <c:v>Sum of Sum of 2023</c:v>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      Total liabilities</c:v>
              </c:pt>
            </c:strLit>
          </c:cat>
          <c:val>
            <c:numLit>
              <c:formatCode>General</c:formatCode>
              <c:ptCount val="1"/>
              <c:pt idx="0">
                <c:v>10064.66</c:v>
              </c:pt>
            </c:numLit>
          </c:val>
          <c:extLst>
            <c:ext xmlns:c16="http://schemas.microsoft.com/office/drawing/2014/chart" uri="{C3380CC4-5D6E-409C-BE32-E72D297353CC}">
              <c16:uniqueId val="{00000004-79A1-49B1-BDB5-FD35B2636206}"/>
            </c:ext>
          </c:extLst>
        </c:ser>
        <c:ser>
          <c:idx val="4"/>
          <c:order val="4"/>
          <c:tx>
            <c:v>Sum of Sum of 2024</c:v>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      Total liabilities</c:v>
              </c:pt>
            </c:strLit>
          </c:cat>
          <c:val>
            <c:numLit>
              <c:formatCode>General</c:formatCode>
              <c:ptCount val="1"/>
              <c:pt idx="0">
                <c:v>11285.5</c:v>
              </c:pt>
            </c:numLit>
          </c:val>
          <c:extLst>
            <c:ext xmlns:c16="http://schemas.microsoft.com/office/drawing/2014/chart" uri="{C3380CC4-5D6E-409C-BE32-E72D297353CC}">
              <c16:uniqueId val="{00000005-79A1-49B1-BDB5-FD35B2636206}"/>
            </c:ext>
          </c:extLst>
        </c:ser>
        <c:dLbls>
          <c:dLblPos val="outEnd"/>
          <c:showLegendKey val="0"/>
          <c:showVal val="1"/>
          <c:showCatName val="0"/>
          <c:showSerName val="0"/>
          <c:showPercent val="0"/>
          <c:showBubbleSize val="0"/>
        </c:dLbls>
        <c:gapWidth val="219"/>
        <c:overlap val="-27"/>
        <c:axId val="985389807"/>
        <c:axId val="985366767"/>
      </c:barChart>
      <c:catAx>
        <c:axId val="985389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5366767"/>
        <c:crosses val="autoZero"/>
        <c:auto val="1"/>
        <c:lblAlgn val="ctr"/>
        <c:lblOffset val="100"/>
        <c:noMultiLvlLbl val="0"/>
      </c:catAx>
      <c:valAx>
        <c:axId val="9853667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5389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[Section 1 Group 3 Part 3 Part 4.xlsx]Balance sheet analysis!PivotTable2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'Balance sheet analysis'!$J$44</c:f>
              <c:strCache>
                <c:ptCount val="1"/>
                <c:pt idx="0">
                  <c:v>Sum of 2020</c:v>
                </c:pt>
              </c:strCache>
            </c:strRef>
          </c:tx>
          <c:spPr>
            <a:solidFill>
              <a:schemeClr val="accent1"/>
            </a:solidFill>
            <a:ln>
              <a:noFill/>
            </a:ln>
            <a:effectLst/>
          </c:spPr>
          <c:invertIfNegative val="0"/>
          <c:cat>
            <c:strRef>
              <c:f>'Balance sheet analysis'!$I$45:$I$46</c:f>
              <c:strCache>
                <c:ptCount val="1"/>
                <c:pt idx="0">
                  <c:v>      Total liabilities</c:v>
                </c:pt>
              </c:strCache>
            </c:strRef>
          </c:cat>
          <c:val>
            <c:numRef>
              <c:f>'Balance sheet analysis'!$J$45:$J$46</c:f>
              <c:numCache>
                <c:formatCode>General</c:formatCode>
                <c:ptCount val="1"/>
                <c:pt idx="0">
                  <c:v>5936.04</c:v>
                </c:pt>
              </c:numCache>
            </c:numRef>
          </c:val>
          <c:extLst>
            <c:ext xmlns:c16="http://schemas.microsoft.com/office/drawing/2014/chart" uri="{C3380CC4-5D6E-409C-BE32-E72D297353CC}">
              <c16:uniqueId val="{00000000-A33C-4310-9A2C-5C786ADDB67E}"/>
            </c:ext>
          </c:extLst>
        </c:ser>
        <c:ser>
          <c:idx val="1"/>
          <c:order val="1"/>
          <c:tx>
            <c:strRef>
              <c:f>'Balance sheet analysis'!$K$44</c:f>
              <c:strCache>
                <c:ptCount val="1"/>
                <c:pt idx="0">
                  <c:v>Sum of 2021</c:v>
                </c:pt>
              </c:strCache>
            </c:strRef>
          </c:tx>
          <c:spPr>
            <a:solidFill>
              <a:schemeClr val="accent2"/>
            </a:solidFill>
            <a:ln>
              <a:noFill/>
            </a:ln>
            <a:effectLst/>
          </c:spPr>
          <c:invertIfNegative val="0"/>
          <c:cat>
            <c:strRef>
              <c:f>'Balance sheet analysis'!$I$45:$I$46</c:f>
              <c:strCache>
                <c:ptCount val="1"/>
                <c:pt idx="0">
                  <c:v>      Total liabilities</c:v>
                </c:pt>
              </c:strCache>
            </c:strRef>
          </c:cat>
          <c:val>
            <c:numRef>
              <c:f>'Balance sheet analysis'!$K$45:$K$46</c:f>
              <c:numCache>
                <c:formatCode>General</c:formatCode>
                <c:ptCount val="1"/>
                <c:pt idx="0">
                  <c:v>6522.56</c:v>
                </c:pt>
              </c:numCache>
            </c:numRef>
          </c:val>
          <c:extLst>
            <c:ext xmlns:c16="http://schemas.microsoft.com/office/drawing/2014/chart" uri="{C3380CC4-5D6E-409C-BE32-E72D297353CC}">
              <c16:uniqueId val="{00000001-A33C-4310-9A2C-5C786ADDB67E}"/>
            </c:ext>
          </c:extLst>
        </c:ser>
        <c:ser>
          <c:idx val="2"/>
          <c:order val="2"/>
          <c:tx>
            <c:strRef>
              <c:f>'Balance sheet analysis'!$L$44</c:f>
              <c:strCache>
                <c:ptCount val="1"/>
                <c:pt idx="0">
                  <c:v>Sum of 2022</c:v>
                </c:pt>
              </c:strCache>
            </c:strRef>
          </c:tx>
          <c:spPr>
            <a:solidFill>
              <a:schemeClr val="accent3"/>
            </a:solidFill>
            <a:ln>
              <a:noFill/>
            </a:ln>
            <a:effectLst/>
          </c:spPr>
          <c:invertIfNegative val="0"/>
          <c:cat>
            <c:strRef>
              <c:f>'Balance sheet analysis'!$I$45:$I$46</c:f>
              <c:strCache>
                <c:ptCount val="1"/>
                <c:pt idx="0">
                  <c:v>      Total liabilities</c:v>
                </c:pt>
              </c:strCache>
            </c:strRef>
          </c:cat>
          <c:val>
            <c:numRef>
              <c:f>'Balance sheet analysis'!$L$45:$L$46</c:f>
              <c:numCache>
                <c:formatCode>General</c:formatCode>
                <c:ptCount val="1"/>
                <c:pt idx="0">
                  <c:v>7017.01</c:v>
                </c:pt>
              </c:numCache>
            </c:numRef>
          </c:val>
          <c:extLst>
            <c:ext xmlns:c16="http://schemas.microsoft.com/office/drawing/2014/chart" uri="{C3380CC4-5D6E-409C-BE32-E72D297353CC}">
              <c16:uniqueId val="{00000002-A33C-4310-9A2C-5C786ADDB67E}"/>
            </c:ext>
          </c:extLst>
        </c:ser>
        <c:ser>
          <c:idx val="3"/>
          <c:order val="3"/>
          <c:tx>
            <c:strRef>
              <c:f>'Balance sheet analysis'!$M$44</c:f>
              <c:strCache>
                <c:ptCount val="1"/>
                <c:pt idx="0">
                  <c:v>Sum of 2023</c:v>
                </c:pt>
              </c:strCache>
            </c:strRef>
          </c:tx>
          <c:spPr>
            <a:solidFill>
              <a:schemeClr val="accent4"/>
            </a:solidFill>
            <a:ln>
              <a:noFill/>
            </a:ln>
            <a:effectLst/>
          </c:spPr>
          <c:invertIfNegative val="0"/>
          <c:cat>
            <c:strRef>
              <c:f>'Balance sheet analysis'!$I$45:$I$46</c:f>
              <c:strCache>
                <c:ptCount val="1"/>
                <c:pt idx="0">
                  <c:v>      Total liabilities</c:v>
                </c:pt>
              </c:strCache>
            </c:strRef>
          </c:cat>
          <c:val>
            <c:numRef>
              <c:f>'Balance sheet analysis'!$M$45:$M$46</c:f>
              <c:numCache>
                <c:formatCode>General</c:formatCode>
                <c:ptCount val="1"/>
                <c:pt idx="0">
                  <c:v>8347.08</c:v>
                </c:pt>
              </c:numCache>
            </c:numRef>
          </c:val>
          <c:extLst>
            <c:ext xmlns:c16="http://schemas.microsoft.com/office/drawing/2014/chart" uri="{C3380CC4-5D6E-409C-BE32-E72D297353CC}">
              <c16:uniqueId val="{00000003-A33C-4310-9A2C-5C786ADDB67E}"/>
            </c:ext>
          </c:extLst>
        </c:ser>
        <c:ser>
          <c:idx val="4"/>
          <c:order val="4"/>
          <c:tx>
            <c:strRef>
              <c:f>'Balance sheet analysis'!$N$44</c:f>
              <c:strCache>
                <c:ptCount val="1"/>
                <c:pt idx="0">
                  <c:v>Sum of 2024</c:v>
                </c:pt>
              </c:strCache>
            </c:strRef>
          </c:tx>
          <c:spPr>
            <a:solidFill>
              <a:schemeClr val="accent5"/>
            </a:solidFill>
            <a:ln>
              <a:noFill/>
            </a:ln>
            <a:effectLst/>
          </c:spPr>
          <c:invertIfNegative val="0"/>
          <c:cat>
            <c:strRef>
              <c:f>'Balance sheet analysis'!$I$45:$I$46</c:f>
              <c:strCache>
                <c:ptCount val="1"/>
                <c:pt idx="0">
                  <c:v>      Total liabilities</c:v>
                </c:pt>
              </c:strCache>
            </c:strRef>
          </c:cat>
          <c:val>
            <c:numRef>
              <c:f>'Balance sheet analysis'!$N$45:$N$46</c:f>
              <c:numCache>
                <c:formatCode>General</c:formatCode>
                <c:ptCount val="1"/>
                <c:pt idx="0">
                  <c:v>10425.39</c:v>
                </c:pt>
              </c:numCache>
            </c:numRef>
          </c:val>
          <c:extLst>
            <c:ext xmlns:c16="http://schemas.microsoft.com/office/drawing/2014/chart" uri="{C3380CC4-5D6E-409C-BE32-E72D297353CC}">
              <c16:uniqueId val="{00000004-A33C-4310-9A2C-5C786ADDB67E}"/>
            </c:ext>
          </c:extLst>
        </c:ser>
        <c:dLbls>
          <c:showLegendKey val="0"/>
          <c:showVal val="0"/>
          <c:showCatName val="0"/>
          <c:showSerName val="0"/>
          <c:showPercent val="0"/>
          <c:showBubbleSize val="0"/>
        </c:dLbls>
        <c:gapWidth val="219"/>
        <c:overlap val="-27"/>
        <c:axId val="1234312895"/>
        <c:axId val="1234306175"/>
      </c:barChart>
      <c:catAx>
        <c:axId val="1234312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4306175"/>
        <c:crosses val="autoZero"/>
        <c:auto val="1"/>
        <c:lblAlgn val="ctr"/>
        <c:lblOffset val="100"/>
        <c:noMultiLvlLbl val="0"/>
      </c:catAx>
      <c:valAx>
        <c:axId val="12343061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4312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[Section 1 Group 3 Part 3 Part 4.xlsx]Balance sheet analysis!PivotTable3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'Balance sheet analysis'!$R$44</c:f>
              <c:strCache>
                <c:ptCount val="1"/>
                <c:pt idx="0">
                  <c:v>Sum of 2020</c:v>
                </c:pt>
              </c:strCache>
            </c:strRef>
          </c:tx>
          <c:spPr>
            <a:solidFill>
              <a:schemeClr val="accent1"/>
            </a:solidFill>
            <a:ln>
              <a:noFill/>
            </a:ln>
            <a:effectLst/>
          </c:spPr>
          <c:invertIfNegative val="0"/>
          <c:cat>
            <c:strRef>
              <c:f>'Balance sheet analysis'!$Q$45:$Q$46</c:f>
              <c:strCache>
                <c:ptCount val="1"/>
                <c:pt idx="0">
                  <c:v>      Total liabilities</c:v>
                </c:pt>
              </c:strCache>
            </c:strRef>
          </c:cat>
          <c:val>
            <c:numRef>
              <c:f>'Balance sheet analysis'!$R$45:$R$46</c:f>
              <c:numCache>
                <c:formatCode>General</c:formatCode>
                <c:ptCount val="1"/>
                <c:pt idx="0">
                  <c:v>1917.96</c:v>
                </c:pt>
              </c:numCache>
            </c:numRef>
          </c:val>
          <c:extLst>
            <c:ext xmlns:c16="http://schemas.microsoft.com/office/drawing/2014/chart" uri="{C3380CC4-5D6E-409C-BE32-E72D297353CC}">
              <c16:uniqueId val="{00000000-2C61-4E4F-88AB-2400AEFFEDDC}"/>
            </c:ext>
          </c:extLst>
        </c:ser>
        <c:ser>
          <c:idx val="1"/>
          <c:order val="1"/>
          <c:tx>
            <c:strRef>
              <c:f>'Balance sheet analysis'!$S$44</c:f>
              <c:strCache>
                <c:ptCount val="1"/>
                <c:pt idx="0">
                  <c:v>Sum of 2021</c:v>
                </c:pt>
              </c:strCache>
            </c:strRef>
          </c:tx>
          <c:spPr>
            <a:solidFill>
              <a:schemeClr val="accent2"/>
            </a:solidFill>
            <a:ln>
              <a:noFill/>
            </a:ln>
            <a:effectLst/>
          </c:spPr>
          <c:invertIfNegative val="0"/>
          <c:cat>
            <c:strRef>
              <c:f>'Balance sheet analysis'!$Q$45:$Q$46</c:f>
              <c:strCache>
                <c:ptCount val="1"/>
                <c:pt idx="0">
                  <c:v>      Total liabilities</c:v>
                </c:pt>
              </c:strCache>
            </c:strRef>
          </c:cat>
          <c:val>
            <c:numRef>
              <c:f>'Balance sheet analysis'!$S$45:$S$46</c:f>
              <c:numCache>
                <c:formatCode>General</c:formatCode>
                <c:ptCount val="1"/>
                <c:pt idx="0">
                  <c:v>2039.21</c:v>
                </c:pt>
              </c:numCache>
            </c:numRef>
          </c:val>
          <c:extLst>
            <c:ext xmlns:c16="http://schemas.microsoft.com/office/drawing/2014/chart" uri="{C3380CC4-5D6E-409C-BE32-E72D297353CC}">
              <c16:uniqueId val="{00000001-2C61-4E4F-88AB-2400AEFFEDDC}"/>
            </c:ext>
          </c:extLst>
        </c:ser>
        <c:ser>
          <c:idx val="2"/>
          <c:order val="2"/>
          <c:tx>
            <c:strRef>
              <c:f>'Balance sheet analysis'!$T$44</c:f>
              <c:strCache>
                <c:ptCount val="1"/>
                <c:pt idx="0">
                  <c:v>Sum of 2022</c:v>
                </c:pt>
              </c:strCache>
            </c:strRef>
          </c:tx>
          <c:spPr>
            <a:solidFill>
              <a:schemeClr val="accent3"/>
            </a:solidFill>
            <a:ln>
              <a:noFill/>
            </a:ln>
            <a:effectLst/>
          </c:spPr>
          <c:invertIfNegative val="0"/>
          <c:cat>
            <c:strRef>
              <c:f>'Balance sheet analysis'!$Q$45:$Q$46</c:f>
              <c:strCache>
                <c:ptCount val="1"/>
                <c:pt idx="0">
                  <c:v>      Total liabilities</c:v>
                </c:pt>
              </c:strCache>
            </c:strRef>
          </c:cat>
          <c:val>
            <c:numRef>
              <c:f>'Balance sheet analysis'!$T$45:$T$46</c:f>
              <c:numCache>
                <c:formatCode>General</c:formatCode>
                <c:ptCount val="1"/>
                <c:pt idx="0">
                  <c:v>2719.67</c:v>
                </c:pt>
              </c:numCache>
            </c:numRef>
          </c:val>
          <c:extLst>
            <c:ext xmlns:c16="http://schemas.microsoft.com/office/drawing/2014/chart" uri="{C3380CC4-5D6E-409C-BE32-E72D297353CC}">
              <c16:uniqueId val="{00000002-2C61-4E4F-88AB-2400AEFFEDDC}"/>
            </c:ext>
          </c:extLst>
        </c:ser>
        <c:ser>
          <c:idx val="3"/>
          <c:order val="3"/>
          <c:tx>
            <c:strRef>
              <c:f>'Balance sheet analysis'!$U$44</c:f>
              <c:strCache>
                <c:ptCount val="1"/>
                <c:pt idx="0">
                  <c:v>Sum of 2023</c:v>
                </c:pt>
              </c:strCache>
            </c:strRef>
          </c:tx>
          <c:spPr>
            <a:solidFill>
              <a:schemeClr val="accent4"/>
            </a:solidFill>
            <a:ln>
              <a:noFill/>
            </a:ln>
            <a:effectLst/>
          </c:spPr>
          <c:invertIfNegative val="0"/>
          <c:cat>
            <c:strRef>
              <c:f>'Balance sheet analysis'!$Q$45:$Q$46</c:f>
              <c:strCache>
                <c:ptCount val="1"/>
                <c:pt idx="0">
                  <c:v>      Total liabilities</c:v>
                </c:pt>
              </c:strCache>
            </c:strRef>
          </c:cat>
          <c:val>
            <c:numRef>
              <c:f>'Balance sheet analysis'!$U$45:$U$46</c:f>
              <c:numCache>
                <c:formatCode>General</c:formatCode>
                <c:ptCount val="1"/>
                <c:pt idx="0">
                  <c:v>1602.68</c:v>
                </c:pt>
              </c:numCache>
            </c:numRef>
          </c:val>
          <c:extLst>
            <c:ext xmlns:c16="http://schemas.microsoft.com/office/drawing/2014/chart" uri="{C3380CC4-5D6E-409C-BE32-E72D297353CC}">
              <c16:uniqueId val="{00000003-2C61-4E4F-88AB-2400AEFFEDDC}"/>
            </c:ext>
          </c:extLst>
        </c:ser>
        <c:ser>
          <c:idx val="4"/>
          <c:order val="4"/>
          <c:tx>
            <c:strRef>
              <c:f>'Balance sheet analysis'!$V$44</c:f>
              <c:strCache>
                <c:ptCount val="1"/>
                <c:pt idx="0">
                  <c:v>Sum of 2024</c:v>
                </c:pt>
              </c:strCache>
            </c:strRef>
          </c:tx>
          <c:spPr>
            <a:solidFill>
              <a:schemeClr val="accent5"/>
            </a:solidFill>
            <a:ln>
              <a:noFill/>
            </a:ln>
            <a:effectLst/>
          </c:spPr>
          <c:invertIfNegative val="0"/>
          <c:cat>
            <c:strRef>
              <c:f>'Balance sheet analysis'!$Q$45:$Q$46</c:f>
              <c:strCache>
                <c:ptCount val="1"/>
                <c:pt idx="0">
                  <c:v>      Total liabilities</c:v>
                </c:pt>
              </c:strCache>
            </c:strRef>
          </c:cat>
          <c:val>
            <c:numRef>
              <c:f>'Balance sheet analysis'!$V$45:$V$46</c:f>
              <c:numCache>
                <c:formatCode>General</c:formatCode>
                <c:ptCount val="1"/>
                <c:pt idx="0">
                  <c:v>2306.11</c:v>
                </c:pt>
              </c:numCache>
            </c:numRef>
          </c:val>
          <c:extLst>
            <c:ext xmlns:c16="http://schemas.microsoft.com/office/drawing/2014/chart" uri="{C3380CC4-5D6E-409C-BE32-E72D297353CC}">
              <c16:uniqueId val="{00000004-2C61-4E4F-88AB-2400AEFFEDDC}"/>
            </c:ext>
          </c:extLst>
        </c:ser>
        <c:dLbls>
          <c:showLegendKey val="0"/>
          <c:showVal val="0"/>
          <c:showCatName val="0"/>
          <c:showSerName val="0"/>
          <c:showPercent val="0"/>
          <c:showBubbleSize val="0"/>
        </c:dLbls>
        <c:gapWidth val="219"/>
        <c:overlap val="-27"/>
        <c:axId val="1349560095"/>
        <c:axId val="1349537535"/>
      </c:barChart>
      <c:catAx>
        <c:axId val="1349560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9537535"/>
        <c:crosses val="autoZero"/>
        <c:auto val="1"/>
        <c:lblAlgn val="ctr"/>
        <c:lblOffset val="100"/>
        <c:noMultiLvlLbl val="0"/>
      </c:catAx>
      <c:valAx>
        <c:axId val="13495375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9560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1803149606299206E-2"/>
          <c:y val="0.15782407407407409"/>
          <c:w val="0.86172462817147855"/>
          <c:h val="0.72125801983085447"/>
        </c:manualLayout>
      </c:layout>
      <c:barChart>
        <c:barDir val="bar"/>
        <c:grouping val="clustered"/>
        <c:varyColors val="0"/>
        <c:ser>
          <c:idx val="0"/>
          <c:order val="0"/>
          <c:tx>
            <c:strRef>
              <c:f>'Balance sheet analysis'!$A$74</c:f>
              <c:strCache>
                <c:ptCount val="1"/>
                <c:pt idx="0">
                  <c:v>Sales per unit of asset deployed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'Balance sheet analysis'!$B$71:$F$71</c:f>
              <c:strCache>
                <c:ptCount val="5"/>
                <c:pt idx="0">
                  <c:v>2024</c:v>
                </c:pt>
                <c:pt idx="1">
                  <c:v>2023</c:v>
                </c:pt>
                <c:pt idx="2">
                  <c:v>2022</c:v>
                </c:pt>
                <c:pt idx="3">
                  <c:v>2021</c:v>
                </c:pt>
                <c:pt idx="4">
                  <c:v>2020</c:v>
                </c:pt>
              </c:strCache>
            </c:strRef>
          </c:cat>
          <c:val>
            <c:numRef>
              <c:f>'Balance sheet analysis'!$B$74:$F$74</c:f>
              <c:numCache>
                <c:formatCode>General</c:formatCode>
                <c:ptCount val="5"/>
                <c:pt idx="0">
                  <c:v>1.1518219764407887</c:v>
                </c:pt>
                <c:pt idx="1">
                  <c:v>0.93977626748325693</c:v>
                </c:pt>
                <c:pt idx="2">
                  <c:v>0.77036711188761364</c:v>
                </c:pt>
                <c:pt idx="3">
                  <c:v>0.58711155490299771</c:v>
                </c:pt>
                <c:pt idx="4">
                  <c:v>0.64444981823631664</c:v>
                </c:pt>
              </c:numCache>
            </c:numRef>
          </c:val>
          <c:extLst>
            <c:ext xmlns:c16="http://schemas.microsoft.com/office/drawing/2014/chart" uri="{C3380CC4-5D6E-409C-BE32-E72D297353CC}">
              <c16:uniqueId val="{00000000-43B0-4CBA-9547-19C329EDE964}"/>
            </c:ext>
          </c:extLst>
        </c:ser>
        <c:dLbls>
          <c:dLblPos val="outEnd"/>
          <c:showLegendKey val="0"/>
          <c:showVal val="1"/>
          <c:showCatName val="0"/>
          <c:showSerName val="0"/>
          <c:showPercent val="0"/>
          <c:showBubbleSize val="0"/>
        </c:dLbls>
        <c:gapWidth val="182"/>
        <c:axId val="1141184543"/>
        <c:axId val="1141186943"/>
      </c:barChart>
      <c:catAx>
        <c:axId val="1141184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1186943"/>
        <c:crosses val="autoZero"/>
        <c:auto val="1"/>
        <c:lblAlgn val="ctr"/>
        <c:lblOffset val="100"/>
        <c:noMultiLvlLbl val="0"/>
      </c:catAx>
      <c:valAx>
        <c:axId val="11411869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118454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'Balance sheet analysis'!$I$74</c:f>
              <c:strCache>
                <c:ptCount val="1"/>
                <c:pt idx="0">
                  <c:v>Sales per unit of asset deployed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'Balance sheet analysis'!$J$71:$N$71</c:f>
              <c:strCache>
                <c:ptCount val="5"/>
                <c:pt idx="0">
                  <c:v>2024</c:v>
                </c:pt>
                <c:pt idx="1">
                  <c:v>2023</c:v>
                </c:pt>
                <c:pt idx="2">
                  <c:v>2022</c:v>
                </c:pt>
                <c:pt idx="3">
                  <c:v>2021</c:v>
                </c:pt>
                <c:pt idx="4">
                  <c:v>2020</c:v>
                </c:pt>
              </c:strCache>
            </c:strRef>
          </c:cat>
          <c:val>
            <c:numRef>
              <c:f>'Balance sheet analysis'!$J$74:$N$74</c:f>
              <c:numCache>
                <c:formatCode>General</c:formatCode>
                <c:ptCount val="5"/>
                <c:pt idx="0">
                  <c:v>0.55411618421533093</c:v>
                </c:pt>
                <c:pt idx="1">
                  <c:v>0.6298293556425999</c:v>
                </c:pt>
                <c:pt idx="2">
                  <c:v>0.67713680191791736</c:v>
                </c:pt>
                <c:pt idx="3">
                  <c:v>0.60443017153599121</c:v>
                </c:pt>
                <c:pt idx="4">
                  <c:v>0.65987892065062481</c:v>
                </c:pt>
              </c:numCache>
            </c:numRef>
          </c:val>
          <c:extLst>
            <c:ext xmlns:c16="http://schemas.microsoft.com/office/drawing/2014/chart" uri="{C3380CC4-5D6E-409C-BE32-E72D297353CC}">
              <c16:uniqueId val="{00000000-E00C-40C8-83C3-D87CE46069CC}"/>
            </c:ext>
          </c:extLst>
        </c:ser>
        <c:dLbls>
          <c:dLblPos val="outEnd"/>
          <c:showLegendKey val="0"/>
          <c:showVal val="1"/>
          <c:showCatName val="0"/>
          <c:showSerName val="0"/>
          <c:showPercent val="0"/>
          <c:showBubbleSize val="0"/>
        </c:dLbls>
        <c:gapWidth val="182"/>
        <c:axId val="106874047"/>
        <c:axId val="106866367"/>
      </c:barChart>
      <c:catAx>
        <c:axId val="1068740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866367"/>
        <c:crosses val="autoZero"/>
        <c:auto val="1"/>
        <c:lblAlgn val="ctr"/>
        <c:lblOffset val="100"/>
        <c:noMultiLvlLbl val="0"/>
      </c:catAx>
      <c:valAx>
        <c:axId val="1068663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87404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'Balance sheet analysis'!$Q$74</c:f>
              <c:strCache>
                <c:ptCount val="1"/>
                <c:pt idx="0">
                  <c:v>Sales per unit of asset deployed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'Balance sheet analysis'!$R$71:$V$71</c:f>
              <c:strCache>
                <c:ptCount val="5"/>
                <c:pt idx="0">
                  <c:v>2024</c:v>
                </c:pt>
                <c:pt idx="1">
                  <c:v>2023</c:v>
                </c:pt>
                <c:pt idx="2">
                  <c:v>2022</c:v>
                </c:pt>
                <c:pt idx="3">
                  <c:v>2021</c:v>
                </c:pt>
                <c:pt idx="4">
                  <c:v>2020</c:v>
                </c:pt>
              </c:strCache>
            </c:strRef>
          </c:cat>
          <c:val>
            <c:numRef>
              <c:f>'Balance sheet analysis'!$R$74:$V$74</c:f>
              <c:numCache>
                <c:formatCode>General</c:formatCode>
                <c:ptCount val="5"/>
                <c:pt idx="0">
                  <c:v>0.76320645647068552</c:v>
                </c:pt>
                <c:pt idx="1">
                  <c:v>0.9355943445547108</c:v>
                </c:pt>
                <c:pt idx="2">
                  <c:v>0.68417477496622603</c:v>
                </c:pt>
                <c:pt idx="3">
                  <c:v>0.72460683073882381</c:v>
                </c:pt>
                <c:pt idx="4">
                  <c:v>0.69981417679750402</c:v>
                </c:pt>
              </c:numCache>
            </c:numRef>
          </c:val>
          <c:extLst>
            <c:ext xmlns:c16="http://schemas.microsoft.com/office/drawing/2014/chart" uri="{C3380CC4-5D6E-409C-BE32-E72D297353CC}">
              <c16:uniqueId val="{00000000-6A12-4400-9A30-0EA23A2D7D41}"/>
            </c:ext>
          </c:extLst>
        </c:ser>
        <c:dLbls>
          <c:dLblPos val="outEnd"/>
          <c:showLegendKey val="0"/>
          <c:showVal val="1"/>
          <c:showCatName val="0"/>
          <c:showSerName val="0"/>
          <c:showPercent val="0"/>
          <c:showBubbleSize val="0"/>
        </c:dLbls>
        <c:gapWidth val="182"/>
        <c:axId val="106882687"/>
        <c:axId val="106861567"/>
      </c:barChart>
      <c:catAx>
        <c:axId val="1068826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861567"/>
        <c:crosses val="autoZero"/>
        <c:auto val="1"/>
        <c:lblAlgn val="ctr"/>
        <c:lblOffset val="100"/>
        <c:noMultiLvlLbl val="0"/>
      </c:catAx>
      <c:valAx>
        <c:axId val="1068615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88268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3056774927636958E-2"/>
          <c:y val="0.17930195315293451"/>
          <c:w val="0.89635125624157186"/>
          <c:h val="0.71465684564248033"/>
        </c:manualLayout>
      </c:layout>
      <c:barChart>
        <c:barDir val="col"/>
        <c:grouping val="clustered"/>
        <c:varyColors val="0"/>
        <c:ser>
          <c:idx val="0"/>
          <c:order val="0"/>
          <c:tx>
            <c:strRef>
              <c:f>'Employee data'!$A$9</c:f>
              <c:strCache>
                <c:ptCount val="1"/>
                <c:pt idx="0">
                  <c:v>Sales per employee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'Employee data'!$B$6:$F$6</c:f>
              <c:numCache>
                <c:formatCode>General</c:formatCode>
                <c:ptCount val="5"/>
                <c:pt idx="0">
                  <c:v>2024</c:v>
                </c:pt>
                <c:pt idx="1">
                  <c:v>2023</c:v>
                </c:pt>
                <c:pt idx="2">
                  <c:v>2022</c:v>
                </c:pt>
                <c:pt idx="3">
                  <c:v>2021</c:v>
                </c:pt>
                <c:pt idx="4">
                  <c:v>2020</c:v>
                </c:pt>
              </c:numCache>
            </c:numRef>
          </c:cat>
          <c:val>
            <c:numRef>
              <c:f>'Employee data'!$B$9:$F$9</c:f>
              <c:numCache>
                <c:formatCode>General</c:formatCode>
                <c:ptCount val="5"/>
                <c:pt idx="0">
                  <c:v>0</c:v>
                </c:pt>
                <c:pt idx="1">
                  <c:v>2.8202012692656391</c:v>
                </c:pt>
                <c:pt idx="2">
                  <c:v>2.1800665492268543</c:v>
                </c:pt>
                <c:pt idx="3">
                  <c:v>1.6286457693095677</c:v>
                </c:pt>
                <c:pt idx="4">
                  <c:v>1.7405299178725069</c:v>
                </c:pt>
              </c:numCache>
            </c:numRef>
          </c:val>
          <c:extLst>
            <c:ext xmlns:c16="http://schemas.microsoft.com/office/drawing/2014/chart" uri="{C3380CC4-5D6E-409C-BE32-E72D297353CC}">
              <c16:uniqueId val="{00000000-A099-4272-A5AF-8A7A592F9712}"/>
            </c:ext>
          </c:extLst>
        </c:ser>
        <c:dLbls>
          <c:dLblPos val="outEnd"/>
          <c:showLegendKey val="0"/>
          <c:showVal val="1"/>
          <c:showCatName val="0"/>
          <c:showSerName val="0"/>
          <c:showPercent val="0"/>
          <c:showBubbleSize val="0"/>
        </c:dLbls>
        <c:gapWidth val="219"/>
        <c:overlap val="-27"/>
        <c:axId val="97407183"/>
        <c:axId val="97410543"/>
      </c:barChart>
      <c:catAx>
        <c:axId val="97407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410543"/>
        <c:crosses val="autoZero"/>
        <c:auto val="1"/>
        <c:lblAlgn val="ctr"/>
        <c:lblOffset val="100"/>
        <c:noMultiLvlLbl val="0"/>
      </c:catAx>
      <c:valAx>
        <c:axId val="974105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40718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'Employee data'!$H$9</c:f>
              <c:strCache>
                <c:ptCount val="1"/>
                <c:pt idx="0">
                  <c:v>Sales per employee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'Employee data'!$I$6:$M$6</c:f>
              <c:numCache>
                <c:formatCode>General</c:formatCode>
                <c:ptCount val="5"/>
                <c:pt idx="0">
                  <c:v>2024</c:v>
                </c:pt>
                <c:pt idx="1">
                  <c:v>2023</c:v>
                </c:pt>
                <c:pt idx="2">
                  <c:v>2022</c:v>
                </c:pt>
                <c:pt idx="3">
                  <c:v>2021</c:v>
                </c:pt>
                <c:pt idx="4">
                  <c:v>2020</c:v>
                </c:pt>
              </c:numCache>
            </c:numRef>
          </c:cat>
          <c:val>
            <c:numRef>
              <c:f>'Employee data'!$I$9:$M$9</c:f>
              <c:numCache>
                <c:formatCode>General</c:formatCode>
                <c:ptCount val="5"/>
                <c:pt idx="0">
                  <c:v>0</c:v>
                </c:pt>
                <c:pt idx="1">
                  <c:v>0.95625961538461535</c:v>
                </c:pt>
                <c:pt idx="2">
                  <c:v>0.81946793997271483</c:v>
                </c:pt>
                <c:pt idx="3">
                  <c:v>0.67580219523587104</c:v>
                </c:pt>
                <c:pt idx="4">
                  <c:v>0.76642544459644324</c:v>
                </c:pt>
              </c:numCache>
            </c:numRef>
          </c:val>
          <c:extLst>
            <c:ext xmlns:c16="http://schemas.microsoft.com/office/drawing/2014/chart" uri="{C3380CC4-5D6E-409C-BE32-E72D297353CC}">
              <c16:uniqueId val="{00000000-B718-4B01-A16A-B1EDEF5F8C2E}"/>
            </c:ext>
          </c:extLst>
        </c:ser>
        <c:dLbls>
          <c:dLblPos val="outEnd"/>
          <c:showLegendKey val="0"/>
          <c:showVal val="1"/>
          <c:showCatName val="0"/>
          <c:showSerName val="0"/>
          <c:showPercent val="0"/>
          <c:showBubbleSize val="0"/>
        </c:dLbls>
        <c:gapWidth val="219"/>
        <c:overlap val="-27"/>
        <c:axId val="1151815663"/>
        <c:axId val="1151817103"/>
      </c:barChart>
      <c:catAx>
        <c:axId val="1151815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1817103"/>
        <c:crosses val="autoZero"/>
        <c:auto val="1"/>
        <c:lblAlgn val="ctr"/>
        <c:lblOffset val="100"/>
        <c:noMultiLvlLbl val="0"/>
      </c:catAx>
      <c:valAx>
        <c:axId val="11518171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181566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'Employee data'!$P$9</c:f>
              <c:strCache>
                <c:ptCount val="1"/>
                <c:pt idx="0">
                  <c:v>Sales per employee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'Employee data'!$Q$6:$U$6</c:f>
              <c:numCache>
                <c:formatCode>General</c:formatCode>
                <c:ptCount val="5"/>
                <c:pt idx="0">
                  <c:v>2024</c:v>
                </c:pt>
                <c:pt idx="1">
                  <c:v>2023</c:v>
                </c:pt>
                <c:pt idx="2">
                  <c:v>2022</c:v>
                </c:pt>
                <c:pt idx="3">
                  <c:v>2021</c:v>
                </c:pt>
                <c:pt idx="4">
                  <c:v>2020</c:v>
                </c:pt>
              </c:numCache>
            </c:numRef>
          </c:cat>
          <c:val>
            <c:numRef>
              <c:f>'Employee data'!$Q$9:$U$9</c:f>
              <c:numCache>
                <c:formatCode>General</c:formatCode>
                <c:ptCount val="5"/>
                <c:pt idx="0">
                  <c:v>0</c:v>
                </c:pt>
                <c:pt idx="1">
                  <c:v>1.770863121185702</c:v>
                </c:pt>
                <c:pt idx="2">
                  <c:v>1.6593741371375978</c:v>
                </c:pt>
                <c:pt idx="3">
                  <c:v>1.3430296022201667</c:v>
                </c:pt>
                <c:pt idx="4">
                  <c:v>1.2483095723014255</c:v>
                </c:pt>
              </c:numCache>
            </c:numRef>
          </c:val>
          <c:extLst>
            <c:ext xmlns:c16="http://schemas.microsoft.com/office/drawing/2014/chart" uri="{C3380CC4-5D6E-409C-BE32-E72D297353CC}">
              <c16:uniqueId val="{00000000-D52B-407B-81BC-AB15BE90743D}"/>
            </c:ext>
          </c:extLst>
        </c:ser>
        <c:dLbls>
          <c:dLblPos val="outEnd"/>
          <c:showLegendKey val="0"/>
          <c:showVal val="1"/>
          <c:showCatName val="0"/>
          <c:showSerName val="0"/>
          <c:showPercent val="0"/>
          <c:showBubbleSize val="0"/>
        </c:dLbls>
        <c:gapWidth val="219"/>
        <c:overlap val="-27"/>
        <c:axId val="1315735087"/>
        <c:axId val="1315736047"/>
      </c:barChart>
      <c:catAx>
        <c:axId val="1315735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5736047"/>
        <c:crosses val="autoZero"/>
        <c:auto val="1"/>
        <c:lblAlgn val="ctr"/>
        <c:lblOffset val="100"/>
        <c:noMultiLvlLbl val="0"/>
      </c:catAx>
      <c:valAx>
        <c:axId val="13157360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573508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D/E</a:t>
            </a:r>
            <a:r>
              <a:rPr lang="en-IN" baseline="0"/>
              <a:t> Ratio Analysis</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'Changes in financing '!$A$5</c:f>
              <c:strCache>
                <c:ptCount val="1"/>
                <c:pt idx="0">
                  <c:v>NCC Ltd</c:v>
                </c:pt>
              </c:strCache>
            </c:strRef>
          </c:tx>
          <c:spPr>
            <a:ln w="28575" cap="rnd">
              <a:solidFill>
                <a:schemeClr val="accent1"/>
              </a:solidFill>
              <a:round/>
            </a:ln>
            <a:effectLst/>
          </c:spPr>
          <c:marker>
            <c:symbol val="none"/>
          </c:marker>
          <c:cat>
            <c:numRef>
              <c:f>'Changes in financing '!$B$4:$F$4</c:f>
              <c:numCache>
                <c:formatCode>General</c:formatCode>
                <c:ptCount val="5"/>
                <c:pt idx="0">
                  <c:v>2020</c:v>
                </c:pt>
                <c:pt idx="1">
                  <c:v>2021</c:v>
                </c:pt>
                <c:pt idx="2">
                  <c:v>2022</c:v>
                </c:pt>
                <c:pt idx="3">
                  <c:v>2023</c:v>
                </c:pt>
                <c:pt idx="4">
                  <c:v>2024</c:v>
                </c:pt>
              </c:numCache>
            </c:numRef>
          </c:cat>
          <c:val>
            <c:numRef>
              <c:f>'Changes in financing '!$B$5:$F$5</c:f>
              <c:numCache>
                <c:formatCode>0.00%</c:formatCode>
                <c:ptCount val="5"/>
                <c:pt idx="0">
                  <c:v>0.36299999999999999</c:v>
                </c:pt>
                <c:pt idx="1">
                  <c:v>0.31979999999999997</c:v>
                </c:pt>
                <c:pt idx="2">
                  <c:v>0.22090000000000001</c:v>
                </c:pt>
                <c:pt idx="3">
                  <c:v>0.1502</c:v>
                </c:pt>
                <c:pt idx="4">
                  <c:v>0.1439</c:v>
                </c:pt>
              </c:numCache>
            </c:numRef>
          </c:val>
          <c:smooth val="0"/>
          <c:extLst>
            <c:ext xmlns:c16="http://schemas.microsoft.com/office/drawing/2014/chart" uri="{C3380CC4-5D6E-409C-BE32-E72D297353CC}">
              <c16:uniqueId val="{00000000-008C-4A20-8044-E1677F1B022F}"/>
            </c:ext>
          </c:extLst>
        </c:ser>
        <c:ser>
          <c:idx val="1"/>
          <c:order val="1"/>
          <c:tx>
            <c:strRef>
              <c:f>'Changes in financing '!$A$6</c:f>
              <c:strCache>
                <c:ptCount val="1"/>
                <c:pt idx="0">
                  <c:v>PNC Infratech Ltd</c:v>
                </c:pt>
              </c:strCache>
            </c:strRef>
          </c:tx>
          <c:spPr>
            <a:ln w="28575" cap="rnd">
              <a:solidFill>
                <a:schemeClr val="accent2"/>
              </a:solidFill>
              <a:round/>
            </a:ln>
            <a:effectLst/>
          </c:spPr>
          <c:marker>
            <c:symbol val="none"/>
          </c:marker>
          <c:cat>
            <c:numRef>
              <c:f>'Changes in financing '!$B$4:$F$4</c:f>
              <c:numCache>
                <c:formatCode>General</c:formatCode>
                <c:ptCount val="5"/>
                <c:pt idx="0">
                  <c:v>2020</c:v>
                </c:pt>
                <c:pt idx="1">
                  <c:v>2021</c:v>
                </c:pt>
                <c:pt idx="2">
                  <c:v>2022</c:v>
                </c:pt>
                <c:pt idx="3">
                  <c:v>2023</c:v>
                </c:pt>
                <c:pt idx="4">
                  <c:v>2024</c:v>
                </c:pt>
              </c:numCache>
            </c:numRef>
          </c:cat>
          <c:val>
            <c:numRef>
              <c:f>'Changes in financing '!$B$6:$F$6</c:f>
              <c:numCache>
                <c:formatCode>0.00%</c:formatCode>
                <c:ptCount val="5"/>
                <c:pt idx="0">
                  <c:v>1.2771999999999999</c:v>
                </c:pt>
                <c:pt idx="1">
                  <c:v>1.2301</c:v>
                </c:pt>
                <c:pt idx="2">
                  <c:v>1.3172999999999999</c:v>
                </c:pt>
                <c:pt idx="3">
                  <c:v>1.4635</c:v>
                </c:pt>
                <c:pt idx="4">
                  <c:v>1.5461</c:v>
                </c:pt>
              </c:numCache>
            </c:numRef>
          </c:val>
          <c:smooth val="0"/>
          <c:extLst>
            <c:ext xmlns:c16="http://schemas.microsoft.com/office/drawing/2014/chart" uri="{C3380CC4-5D6E-409C-BE32-E72D297353CC}">
              <c16:uniqueId val="{00000001-008C-4A20-8044-E1677F1B022F}"/>
            </c:ext>
          </c:extLst>
        </c:ser>
        <c:ser>
          <c:idx val="2"/>
          <c:order val="2"/>
          <c:tx>
            <c:strRef>
              <c:f>'Changes in financing '!$A$7</c:f>
              <c:strCache>
                <c:ptCount val="1"/>
                <c:pt idx="0">
                  <c:v>KNR Constructions </c:v>
                </c:pt>
              </c:strCache>
            </c:strRef>
          </c:tx>
          <c:spPr>
            <a:ln w="28575" cap="rnd">
              <a:solidFill>
                <a:schemeClr val="accent3"/>
              </a:solidFill>
              <a:round/>
            </a:ln>
            <a:effectLst/>
          </c:spPr>
          <c:marker>
            <c:symbol val="none"/>
          </c:marker>
          <c:cat>
            <c:numRef>
              <c:f>'Changes in financing '!$B$4:$F$4</c:f>
              <c:numCache>
                <c:formatCode>General</c:formatCode>
                <c:ptCount val="5"/>
                <c:pt idx="0">
                  <c:v>2020</c:v>
                </c:pt>
                <c:pt idx="1">
                  <c:v>2021</c:v>
                </c:pt>
                <c:pt idx="2">
                  <c:v>2022</c:v>
                </c:pt>
                <c:pt idx="3">
                  <c:v>2023</c:v>
                </c:pt>
                <c:pt idx="4">
                  <c:v>2024</c:v>
                </c:pt>
              </c:numCache>
            </c:numRef>
          </c:cat>
          <c:val>
            <c:numRef>
              <c:f>'Changes in financing '!$B$7:$F$7</c:f>
              <c:numCache>
                <c:formatCode>0.00%</c:formatCode>
                <c:ptCount val="5"/>
                <c:pt idx="0">
                  <c:v>0.52600000000000002</c:v>
                </c:pt>
                <c:pt idx="1">
                  <c:v>0.37469999999999998</c:v>
                </c:pt>
                <c:pt idx="2">
                  <c:v>0.5746</c:v>
                </c:pt>
                <c:pt idx="3">
                  <c:v>0.23910000000000001</c:v>
                </c:pt>
                <c:pt idx="4">
                  <c:v>0.35970000000000002</c:v>
                </c:pt>
              </c:numCache>
            </c:numRef>
          </c:val>
          <c:smooth val="0"/>
          <c:extLst>
            <c:ext xmlns:c16="http://schemas.microsoft.com/office/drawing/2014/chart" uri="{C3380CC4-5D6E-409C-BE32-E72D297353CC}">
              <c16:uniqueId val="{00000002-008C-4A20-8044-E1677F1B022F}"/>
            </c:ext>
          </c:extLst>
        </c:ser>
        <c:dLbls>
          <c:showLegendKey val="0"/>
          <c:showVal val="0"/>
          <c:showCatName val="0"/>
          <c:showSerName val="0"/>
          <c:showPercent val="0"/>
          <c:showBubbleSize val="0"/>
        </c:dLbls>
        <c:smooth val="0"/>
        <c:axId val="738322144"/>
        <c:axId val="738326464"/>
      </c:lineChart>
      <c:catAx>
        <c:axId val="738322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8326464"/>
        <c:crosses val="autoZero"/>
        <c:auto val="1"/>
        <c:lblAlgn val="ctr"/>
        <c:lblOffset val="100"/>
        <c:noMultiLvlLbl val="0"/>
      </c:catAx>
      <c:valAx>
        <c:axId val="73832646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83221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Profitability</a:t>
            </a:r>
            <a:r>
              <a:rPr lang="en-IN" baseline="0"/>
              <a:t> Ratios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'Ratio Analysis'!$A$23</c:f>
              <c:strCache>
                <c:ptCount val="1"/>
                <c:pt idx="0">
                  <c:v>ROA</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'Ratio Analysis'!$B$22:$F$22</c:f>
              <c:numCache>
                <c:formatCode>General</c:formatCode>
                <c:ptCount val="5"/>
                <c:pt idx="0">
                  <c:v>2024</c:v>
                </c:pt>
                <c:pt idx="1">
                  <c:v>2023</c:v>
                </c:pt>
                <c:pt idx="2">
                  <c:v>2022</c:v>
                </c:pt>
                <c:pt idx="3">
                  <c:v>2021</c:v>
                </c:pt>
                <c:pt idx="4">
                  <c:v>2020</c:v>
                </c:pt>
              </c:numCache>
            </c:numRef>
          </c:cat>
          <c:val>
            <c:numRef>
              <c:f>'Ratio Analysis'!$B$23:$F$23</c:f>
              <c:numCache>
                <c:formatCode>0.00%</c:formatCode>
                <c:ptCount val="5"/>
                <c:pt idx="0">
                  <c:v>3.9270325317808434E-2</c:v>
                </c:pt>
                <c:pt idx="1">
                  <c:v>3.6809400777758718E-2</c:v>
                </c:pt>
                <c:pt idx="2">
                  <c:v>3.3366325471244622E-2</c:v>
                </c:pt>
                <c:pt idx="3">
                  <c:v>2.0904173449099995E-2</c:v>
                </c:pt>
                <c:pt idx="4">
                  <c:v>2.4365238935438956E-2</c:v>
                </c:pt>
              </c:numCache>
            </c:numRef>
          </c:val>
          <c:extLst>
            <c:ext xmlns:c16="http://schemas.microsoft.com/office/drawing/2014/chart" uri="{C3380CC4-5D6E-409C-BE32-E72D297353CC}">
              <c16:uniqueId val="{00000000-1F24-4970-AEE5-679121FFC1C9}"/>
            </c:ext>
          </c:extLst>
        </c:ser>
        <c:ser>
          <c:idx val="1"/>
          <c:order val="1"/>
          <c:tx>
            <c:strRef>
              <c:f>'Ratio Analysis'!$A$24</c:f>
              <c:strCache>
                <c:ptCount val="1"/>
                <c:pt idx="0">
                  <c:v>ROE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'Ratio Analysis'!$B$22:$F$22</c:f>
              <c:numCache>
                <c:formatCode>General</c:formatCode>
                <c:ptCount val="5"/>
                <c:pt idx="0">
                  <c:v>2024</c:v>
                </c:pt>
                <c:pt idx="1">
                  <c:v>2023</c:v>
                </c:pt>
                <c:pt idx="2">
                  <c:v>2022</c:v>
                </c:pt>
                <c:pt idx="3">
                  <c:v>2021</c:v>
                </c:pt>
                <c:pt idx="4">
                  <c:v>2020</c:v>
                </c:pt>
              </c:numCache>
            </c:numRef>
          </c:cat>
          <c:val>
            <c:numRef>
              <c:f>'Ratio Analysis'!$B$24:$F$24</c:f>
              <c:numCache>
                <c:formatCode>0.00%</c:formatCode>
                <c:ptCount val="5"/>
                <c:pt idx="0">
                  <c:v>0.10433096296470284</c:v>
                </c:pt>
                <c:pt idx="1">
                  <c:v>9.3933198261958298E-2</c:v>
                </c:pt>
                <c:pt idx="2">
                  <c:v>8.1817796358640824E-2</c:v>
                </c:pt>
                <c:pt idx="3">
                  <c:v>5.1749640271985468E-2</c:v>
                </c:pt>
                <c:pt idx="4">
                  <c:v>6.522796741412093E-2</c:v>
                </c:pt>
              </c:numCache>
            </c:numRef>
          </c:val>
          <c:extLst>
            <c:ext xmlns:c16="http://schemas.microsoft.com/office/drawing/2014/chart" uri="{C3380CC4-5D6E-409C-BE32-E72D297353CC}">
              <c16:uniqueId val="{00000001-1F24-4970-AEE5-679121FFC1C9}"/>
            </c:ext>
          </c:extLst>
        </c:ser>
        <c:ser>
          <c:idx val="2"/>
          <c:order val="2"/>
          <c:tx>
            <c:strRef>
              <c:f>'Ratio Analysis'!$A$25</c:f>
              <c:strCache>
                <c:ptCount val="1"/>
                <c:pt idx="0">
                  <c:v>Net margin Ratio</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'Ratio Analysis'!$B$22:$F$22</c:f>
              <c:numCache>
                <c:formatCode>General</c:formatCode>
                <c:ptCount val="5"/>
                <c:pt idx="0">
                  <c:v>2024</c:v>
                </c:pt>
                <c:pt idx="1">
                  <c:v>2023</c:v>
                </c:pt>
                <c:pt idx="2">
                  <c:v>2022</c:v>
                </c:pt>
                <c:pt idx="3">
                  <c:v>2021</c:v>
                </c:pt>
                <c:pt idx="4">
                  <c:v>2020</c:v>
                </c:pt>
              </c:numCache>
            </c:numRef>
          </c:cat>
          <c:val>
            <c:numRef>
              <c:f>'Ratio Analysis'!$B$25:$F$25</c:f>
              <c:numCache>
                <c:formatCode>0.00%</c:formatCode>
                <c:ptCount val="5"/>
                <c:pt idx="0">
                  <c:v>3.4094092768707646E-2</c:v>
                </c:pt>
                <c:pt idx="1">
                  <c:v>3.9168259564944283E-2</c:v>
                </c:pt>
                <c:pt idx="2">
                  <c:v>4.3312240302532966E-2</c:v>
                </c:pt>
                <c:pt idx="3">
                  <c:v>3.5605113329022747E-2</c:v>
                </c:pt>
                <c:pt idx="4">
                  <c:v>3.7807814116729788E-2</c:v>
                </c:pt>
              </c:numCache>
            </c:numRef>
          </c:val>
          <c:extLst>
            <c:ext xmlns:c16="http://schemas.microsoft.com/office/drawing/2014/chart" uri="{C3380CC4-5D6E-409C-BE32-E72D297353CC}">
              <c16:uniqueId val="{00000002-1F24-4970-AEE5-679121FFC1C9}"/>
            </c:ext>
          </c:extLst>
        </c:ser>
        <c:ser>
          <c:idx val="3"/>
          <c:order val="3"/>
          <c:tx>
            <c:strRef>
              <c:f>'Ratio Analysis'!$A$26</c:f>
              <c:strCache>
                <c:ptCount val="1"/>
                <c:pt idx="0">
                  <c:v>Operating Margin</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'Ratio Analysis'!$B$22:$F$22</c:f>
              <c:numCache>
                <c:formatCode>General</c:formatCode>
                <c:ptCount val="5"/>
                <c:pt idx="0">
                  <c:v>2024</c:v>
                </c:pt>
                <c:pt idx="1">
                  <c:v>2023</c:v>
                </c:pt>
                <c:pt idx="2">
                  <c:v>2022</c:v>
                </c:pt>
                <c:pt idx="3">
                  <c:v>2021</c:v>
                </c:pt>
                <c:pt idx="4">
                  <c:v>2020</c:v>
                </c:pt>
              </c:numCache>
            </c:numRef>
          </c:cat>
          <c:val>
            <c:numRef>
              <c:f>'Ratio Analysis'!$B$26:$F$26</c:f>
              <c:numCache>
                <c:formatCode>0.00%</c:formatCode>
                <c:ptCount val="5"/>
                <c:pt idx="0">
                  <c:v>8.4858881955158477E-2</c:v>
                </c:pt>
                <c:pt idx="1">
                  <c:v>9.3805152696418342E-2</c:v>
                </c:pt>
                <c:pt idx="2">
                  <c:v>9.1919884790392495E-2</c:v>
                </c:pt>
                <c:pt idx="3">
                  <c:v>0.11561598204648893</c:v>
                </c:pt>
                <c:pt idx="4">
                  <c:v>0.12214823611093947</c:v>
                </c:pt>
              </c:numCache>
            </c:numRef>
          </c:val>
          <c:extLst>
            <c:ext xmlns:c16="http://schemas.microsoft.com/office/drawing/2014/chart" uri="{C3380CC4-5D6E-409C-BE32-E72D297353CC}">
              <c16:uniqueId val="{00000003-1F24-4970-AEE5-679121FFC1C9}"/>
            </c:ext>
          </c:extLst>
        </c:ser>
        <c:ser>
          <c:idx val="4"/>
          <c:order val="4"/>
          <c:tx>
            <c:strRef>
              <c:f>'Ratio Analysis'!$A$27</c:f>
              <c:strCache>
                <c:ptCount val="1"/>
                <c:pt idx="0">
                  <c:v>ROCE</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'Ratio Analysis'!$B$22:$F$22</c:f>
              <c:numCache>
                <c:formatCode>General</c:formatCode>
                <c:ptCount val="5"/>
                <c:pt idx="0">
                  <c:v>2024</c:v>
                </c:pt>
                <c:pt idx="1">
                  <c:v>2023</c:v>
                </c:pt>
                <c:pt idx="2">
                  <c:v>2022</c:v>
                </c:pt>
                <c:pt idx="3">
                  <c:v>2021</c:v>
                </c:pt>
                <c:pt idx="4">
                  <c:v>2020</c:v>
                </c:pt>
              </c:numCache>
            </c:numRef>
          </c:cat>
          <c:val>
            <c:numRef>
              <c:f>'Ratio Analysis'!$B$27:$F$27</c:f>
              <c:numCache>
                <c:formatCode>0.00%</c:formatCode>
                <c:ptCount val="5"/>
                <c:pt idx="0">
                  <c:v>0.25695600510169986</c:v>
                </c:pt>
                <c:pt idx="1">
                  <c:v>0.22191480785757203</c:v>
                </c:pt>
                <c:pt idx="2">
                  <c:v>0.17017018680823692</c:v>
                </c:pt>
                <c:pt idx="3">
                  <c:v>0.16298576703044149</c:v>
                </c:pt>
                <c:pt idx="4">
                  <c:v>0.20137578230486139</c:v>
                </c:pt>
              </c:numCache>
            </c:numRef>
          </c:val>
          <c:extLst>
            <c:ext xmlns:c16="http://schemas.microsoft.com/office/drawing/2014/chart" uri="{C3380CC4-5D6E-409C-BE32-E72D297353CC}">
              <c16:uniqueId val="{00000004-1F24-4970-AEE5-679121FFC1C9}"/>
            </c:ext>
          </c:extLst>
        </c:ser>
        <c:dLbls>
          <c:dLblPos val="outEnd"/>
          <c:showLegendKey val="0"/>
          <c:showVal val="1"/>
          <c:showCatName val="0"/>
          <c:showSerName val="0"/>
          <c:showPercent val="0"/>
          <c:showBubbleSize val="0"/>
        </c:dLbls>
        <c:gapWidth val="219"/>
        <c:overlap val="-27"/>
        <c:axId val="838609536"/>
        <c:axId val="838586976"/>
      </c:barChart>
      <c:catAx>
        <c:axId val="838609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8586976"/>
        <c:crosses val="autoZero"/>
        <c:auto val="1"/>
        <c:lblAlgn val="ctr"/>
        <c:lblOffset val="100"/>
        <c:noMultiLvlLbl val="0"/>
      </c:catAx>
      <c:valAx>
        <c:axId val="83858697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86095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Profitability</a:t>
            </a:r>
            <a:r>
              <a:rPr lang="en-IN" baseline="0"/>
              <a:t> Ratios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'Ratio Analysis'!$K$23</c:f>
              <c:strCache>
                <c:ptCount val="1"/>
                <c:pt idx="0">
                  <c:v>ROA</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'Ratio Analysis'!$L$22:$P$22</c:f>
              <c:numCache>
                <c:formatCode>General</c:formatCode>
                <c:ptCount val="5"/>
                <c:pt idx="0">
                  <c:v>2024</c:v>
                </c:pt>
                <c:pt idx="1">
                  <c:v>2023</c:v>
                </c:pt>
                <c:pt idx="2">
                  <c:v>2022</c:v>
                </c:pt>
                <c:pt idx="3">
                  <c:v>2021</c:v>
                </c:pt>
                <c:pt idx="4">
                  <c:v>2020</c:v>
                </c:pt>
              </c:numCache>
            </c:numRef>
          </c:cat>
          <c:val>
            <c:numRef>
              <c:f>'Ratio Analysis'!$L$23:$P$23</c:f>
              <c:numCache>
                <c:formatCode>0.00%</c:formatCode>
                <c:ptCount val="5"/>
                <c:pt idx="0">
                  <c:v>5.8258024715875059E-2</c:v>
                </c:pt>
                <c:pt idx="1">
                  <c:v>5.21250589766405E-2</c:v>
                </c:pt>
                <c:pt idx="2">
                  <c:v>5.450319778146865E-2</c:v>
                </c:pt>
                <c:pt idx="3">
                  <c:v>5.194433565703245E-2</c:v>
                </c:pt>
                <c:pt idx="4">
                  <c:v>6.4765673768889212E-2</c:v>
                </c:pt>
              </c:numCache>
            </c:numRef>
          </c:val>
          <c:extLst>
            <c:ext xmlns:c16="http://schemas.microsoft.com/office/drawing/2014/chart" uri="{C3380CC4-5D6E-409C-BE32-E72D297353CC}">
              <c16:uniqueId val="{00000000-C530-423D-AA16-48317358CBFE}"/>
            </c:ext>
          </c:extLst>
        </c:ser>
        <c:ser>
          <c:idx val="1"/>
          <c:order val="1"/>
          <c:tx>
            <c:strRef>
              <c:f>'Ratio Analysis'!$K$24</c:f>
              <c:strCache>
                <c:ptCount val="1"/>
                <c:pt idx="0">
                  <c:v>ROE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'Ratio Analysis'!$L$22:$P$22</c:f>
              <c:numCache>
                <c:formatCode>General</c:formatCode>
                <c:ptCount val="5"/>
                <c:pt idx="0">
                  <c:v>2024</c:v>
                </c:pt>
                <c:pt idx="1">
                  <c:v>2023</c:v>
                </c:pt>
                <c:pt idx="2">
                  <c:v>2022</c:v>
                </c:pt>
                <c:pt idx="3">
                  <c:v>2021</c:v>
                </c:pt>
                <c:pt idx="4">
                  <c:v>2020</c:v>
                </c:pt>
              </c:numCache>
            </c:numRef>
          </c:cat>
          <c:val>
            <c:numRef>
              <c:f>'Ratio Analysis'!$L$24:$P$24</c:f>
              <c:numCache>
                <c:formatCode>0.00%</c:formatCode>
                <c:ptCount val="5"/>
                <c:pt idx="0">
                  <c:v>0.17540049606350847</c:v>
                </c:pt>
                <c:pt idx="1">
                  <c:v>0.15366215096673319</c:v>
                </c:pt>
                <c:pt idx="2">
                  <c:v>0.15992304024124349</c:v>
                </c:pt>
                <c:pt idx="3">
                  <c:v>0.16293170941038887</c:v>
                </c:pt>
                <c:pt idx="4">
                  <c:v>0.2152795721657153</c:v>
                </c:pt>
              </c:numCache>
            </c:numRef>
          </c:val>
          <c:extLst>
            <c:ext xmlns:c16="http://schemas.microsoft.com/office/drawing/2014/chart" uri="{C3380CC4-5D6E-409C-BE32-E72D297353CC}">
              <c16:uniqueId val="{00000001-C530-423D-AA16-48317358CBFE}"/>
            </c:ext>
          </c:extLst>
        </c:ser>
        <c:ser>
          <c:idx val="2"/>
          <c:order val="2"/>
          <c:tx>
            <c:strRef>
              <c:f>'Ratio Analysis'!$K$25</c:f>
              <c:strCache>
                <c:ptCount val="1"/>
                <c:pt idx="0">
                  <c:v>Net margin Ratio</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'Ratio Analysis'!$L$22:$P$22</c:f>
              <c:numCache>
                <c:formatCode>General</c:formatCode>
                <c:ptCount val="5"/>
                <c:pt idx="0">
                  <c:v>2024</c:v>
                </c:pt>
                <c:pt idx="1">
                  <c:v>2023</c:v>
                </c:pt>
                <c:pt idx="2">
                  <c:v>2022</c:v>
                </c:pt>
                <c:pt idx="3">
                  <c:v>2021</c:v>
                </c:pt>
                <c:pt idx="4">
                  <c:v>2020</c:v>
                </c:pt>
              </c:numCache>
            </c:numRef>
          </c:cat>
          <c:val>
            <c:numRef>
              <c:f>'Ratio Analysis'!$L$25:$P$25</c:f>
              <c:numCache>
                <c:formatCode>0.00%</c:formatCode>
                <c:ptCount val="5"/>
                <c:pt idx="0">
                  <c:v>0.10513684020684702</c:v>
                </c:pt>
                <c:pt idx="1">
                  <c:v>8.2760605725432632E-2</c:v>
                </c:pt>
                <c:pt idx="2">
                  <c:v>8.0490674302584331E-2</c:v>
                </c:pt>
                <c:pt idx="3">
                  <c:v>8.5939349329684139E-2</c:v>
                </c:pt>
                <c:pt idx="4">
                  <c:v>9.8147814306648554E-2</c:v>
                </c:pt>
              </c:numCache>
            </c:numRef>
          </c:val>
          <c:extLst>
            <c:ext xmlns:c16="http://schemas.microsoft.com/office/drawing/2014/chart" uri="{C3380CC4-5D6E-409C-BE32-E72D297353CC}">
              <c16:uniqueId val="{00000002-C530-423D-AA16-48317358CBFE}"/>
            </c:ext>
          </c:extLst>
        </c:ser>
        <c:ser>
          <c:idx val="3"/>
          <c:order val="3"/>
          <c:tx>
            <c:strRef>
              <c:f>'Ratio Analysis'!$K$26</c:f>
              <c:strCache>
                <c:ptCount val="1"/>
                <c:pt idx="0">
                  <c:v>Operating Margin</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'Ratio Analysis'!$L$22:$P$22</c:f>
              <c:numCache>
                <c:formatCode>General</c:formatCode>
                <c:ptCount val="5"/>
                <c:pt idx="0">
                  <c:v>2024</c:v>
                </c:pt>
                <c:pt idx="1">
                  <c:v>2023</c:v>
                </c:pt>
                <c:pt idx="2">
                  <c:v>2022</c:v>
                </c:pt>
                <c:pt idx="3">
                  <c:v>2021</c:v>
                </c:pt>
                <c:pt idx="4">
                  <c:v>2020</c:v>
                </c:pt>
              </c:numCache>
            </c:numRef>
          </c:cat>
          <c:val>
            <c:numRef>
              <c:f>'Ratio Analysis'!$L$26:$P$26</c:f>
              <c:numCache>
                <c:formatCode>0.00%</c:formatCode>
                <c:ptCount val="5"/>
                <c:pt idx="0">
                  <c:v>0.23174105506787962</c:v>
                </c:pt>
                <c:pt idx="1">
                  <c:v>0.20110908889805029</c:v>
                </c:pt>
                <c:pt idx="2">
                  <c:v>0.21288311385619393</c:v>
                </c:pt>
                <c:pt idx="3">
                  <c:v>0.24498537382701202</c:v>
                </c:pt>
                <c:pt idx="4">
                  <c:v>0.23688592913609294</c:v>
                </c:pt>
              </c:numCache>
            </c:numRef>
          </c:val>
          <c:extLst>
            <c:ext xmlns:c16="http://schemas.microsoft.com/office/drawing/2014/chart" uri="{C3380CC4-5D6E-409C-BE32-E72D297353CC}">
              <c16:uniqueId val="{00000003-C530-423D-AA16-48317358CBFE}"/>
            </c:ext>
          </c:extLst>
        </c:ser>
        <c:ser>
          <c:idx val="4"/>
          <c:order val="4"/>
          <c:tx>
            <c:strRef>
              <c:f>'Ratio Analysis'!$K$27</c:f>
              <c:strCache>
                <c:ptCount val="1"/>
                <c:pt idx="0">
                  <c:v>ROCE</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'Ratio Analysis'!$L$22:$P$22</c:f>
              <c:numCache>
                <c:formatCode>General</c:formatCode>
                <c:ptCount val="5"/>
                <c:pt idx="0">
                  <c:v>2024</c:v>
                </c:pt>
                <c:pt idx="1">
                  <c:v>2023</c:v>
                </c:pt>
                <c:pt idx="2">
                  <c:v>2022</c:v>
                </c:pt>
                <c:pt idx="3">
                  <c:v>2021</c:v>
                </c:pt>
                <c:pt idx="4">
                  <c:v>2020</c:v>
                </c:pt>
              </c:numCache>
            </c:numRef>
          </c:cat>
          <c:val>
            <c:numRef>
              <c:f>'Ratio Analysis'!$L$27:$P$27</c:f>
              <c:numCache>
                <c:formatCode>0.00%</c:formatCode>
                <c:ptCount val="5"/>
                <c:pt idx="0">
                  <c:v>0.1610109521151197</c:v>
                </c:pt>
                <c:pt idx="1">
                  <c:v>0.16218572233687562</c:v>
                </c:pt>
                <c:pt idx="2">
                  <c:v>0.19266442085914068</c:v>
                </c:pt>
                <c:pt idx="3">
                  <c:v>0.2088918288992542</c:v>
                </c:pt>
                <c:pt idx="4">
                  <c:v>0.2288113677270753</c:v>
                </c:pt>
              </c:numCache>
            </c:numRef>
          </c:val>
          <c:extLst>
            <c:ext xmlns:c16="http://schemas.microsoft.com/office/drawing/2014/chart" uri="{C3380CC4-5D6E-409C-BE32-E72D297353CC}">
              <c16:uniqueId val="{00000004-C530-423D-AA16-48317358CBFE}"/>
            </c:ext>
          </c:extLst>
        </c:ser>
        <c:dLbls>
          <c:dLblPos val="outEnd"/>
          <c:showLegendKey val="0"/>
          <c:showVal val="1"/>
          <c:showCatName val="0"/>
          <c:showSerName val="0"/>
          <c:showPercent val="0"/>
          <c:showBubbleSize val="0"/>
        </c:dLbls>
        <c:gapWidth val="219"/>
        <c:overlap val="-27"/>
        <c:axId val="864777856"/>
        <c:axId val="864747616"/>
      </c:barChart>
      <c:catAx>
        <c:axId val="864777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4747616"/>
        <c:crosses val="autoZero"/>
        <c:auto val="1"/>
        <c:lblAlgn val="ctr"/>
        <c:lblOffset val="100"/>
        <c:noMultiLvlLbl val="0"/>
      </c:catAx>
      <c:valAx>
        <c:axId val="86474761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47778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Profitability</a:t>
            </a:r>
            <a:r>
              <a:rPr lang="en-IN" baseline="0"/>
              <a:t> Ratios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'Ratio Analysis'!$T$23</c:f>
              <c:strCache>
                <c:ptCount val="1"/>
                <c:pt idx="0">
                  <c:v>ROA</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'Ratio Analysis'!$U$22:$Y$22</c:f>
              <c:numCache>
                <c:formatCode>General</c:formatCode>
                <c:ptCount val="5"/>
                <c:pt idx="0">
                  <c:v>2024</c:v>
                </c:pt>
                <c:pt idx="1">
                  <c:v>2023</c:v>
                </c:pt>
                <c:pt idx="2">
                  <c:v>2022</c:v>
                </c:pt>
                <c:pt idx="3">
                  <c:v>2021</c:v>
                </c:pt>
                <c:pt idx="4">
                  <c:v>2020</c:v>
                </c:pt>
              </c:numCache>
            </c:numRef>
          </c:cat>
          <c:val>
            <c:numRef>
              <c:f>'Ratio Analysis'!$U$23:$Y$23</c:f>
              <c:numCache>
                <c:formatCode>0.00%</c:formatCode>
                <c:ptCount val="5"/>
                <c:pt idx="0">
                  <c:v>0.13394695535158921</c:v>
                </c:pt>
                <c:pt idx="1">
                  <c:v>0.10548340515107058</c:v>
                </c:pt>
                <c:pt idx="2">
                  <c:v>7.2451008667405392E-2</c:v>
                </c:pt>
                <c:pt idx="3">
                  <c:v>0.10166251578416742</c:v>
                </c:pt>
                <c:pt idx="4">
                  <c:v>7.5787893233009732E-2</c:v>
                </c:pt>
              </c:numCache>
            </c:numRef>
          </c:val>
          <c:extLst>
            <c:ext xmlns:c16="http://schemas.microsoft.com/office/drawing/2014/chart" uri="{C3380CC4-5D6E-409C-BE32-E72D297353CC}">
              <c16:uniqueId val="{00000000-A06F-4E63-B6E5-099E6C8E65A5}"/>
            </c:ext>
          </c:extLst>
        </c:ser>
        <c:ser>
          <c:idx val="1"/>
          <c:order val="1"/>
          <c:tx>
            <c:strRef>
              <c:f>'Ratio Analysis'!$T$24</c:f>
              <c:strCache>
                <c:ptCount val="1"/>
                <c:pt idx="0">
                  <c:v>ROE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'Ratio Analysis'!$U$22:$Y$22</c:f>
              <c:numCache>
                <c:formatCode>General</c:formatCode>
                <c:ptCount val="5"/>
                <c:pt idx="0">
                  <c:v>2024</c:v>
                </c:pt>
                <c:pt idx="1">
                  <c:v>2023</c:v>
                </c:pt>
                <c:pt idx="2">
                  <c:v>2022</c:v>
                </c:pt>
                <c:pt idx="3">
                  <c:v>2021</c:v>
                </c:pt>
                <c:pt idx="4">
                  <c:v>2020</c:v>
                </c:pt>
              </c:numCache>
            </c:numRef>
          </c:cat>
          <c:val>
            <c:numRef>
              <c:f>'Ratio Analysis'!$U$24:$Y$24</c:f>
              <c:numCache>
                <c:formatCode>0.00%</c:formatCode>
                <c:ptCount val="5"/>
                <c:pt idx="0">
                  <c:v>0.22226161341231904</c:v>
                </c:pt>
                <c:pt idx="1">
                  <c:v>0.16719781844465617</c:v>
                </c:pt>
                <c:pt idx="2">
                  <c:v>0.14970301687805068</c:v>
                </c:pt>
                <c:pt idx="3">
                  <c:v>0.20700518808721677</c:v>
                </c:pt>
                <c:pt idx="4">
                  <c:v>0.16747615683504063</c:v>
                </c:pt>
              </c:numCache>
            </c:numRef>
          </c:val>
          <c:extLst>
            <c:ext xmlns:c16="http://schemas.microsoft.com/office/drawing/2014/chart" uri="{C3380CC4-5D6E-409C-BE32-E72D297353CC}">
              <c16:uniqueId val="{00000001-A06F-4E63-B6E5-099E6C8E65A5}"/>
            </c:ext>
          </c:extLst>
        </c:ser>
        <c:ser>
          <c:idx val="2"/>
          <c:order val="2"/>
          <c:tx>
            <c:strRef>
              <c:f>'Ratio Analysis'!$T$25</c:f>
              <c:strCache>
                <c:ptCount val="1"/>
                <c:pt idx="0">
                  <c:v>Net margin Ratio</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'Ratio Analysis'!$U$22:$Y$22</c:f>
              <c:numCache>
                <c:formatCode>General</c:formatCode>
                <c:ptCount val="5"/>
                <c:pt idx="0">
                  <c:v>2024</c:v>
                </c:pt>
                <c:pt idx="1">
                  <c:v>2023</c:v>
                </c:pt>
                <c:pt idx="2">
                  <c:v>2022</c:v>
                </c:pt>
                <c:pt idx="3">
                  <c:v>2021</c:v>
                </c:pt>
                <c:pt idx="4">
                  <c:v>2020</c:v>
                </c:pt>
              </c:numCache>
            </c:numRef>
          </c:cat>
          <c:val>
            <c:numRef>
              <c:f>'Ratio Analysis'!$U$25:$Y$25</c:f>
              <c:numCache>
                <c:formatCode>0.00%</c:formatCode>
                <c:ptCount val="5"/>
                <c:pt idx="0">
                  <c:v>0.17550553223960322</c:v>
                </c:pt>
                <c:pt idx="1">
                  <c:v>0.11274480843647534</c:v>
                </c:pt>
                <c:pt idx="2">
                  <c:v>0.10589546899179658</c:v>
                </c:pt>
                <c:pt idx="3">
                  <c:v>0.14030024486590922</c:v>
                </c:pt>
                <c:pt idx="4">
                  <c:v>0.10829716765646415</c:v>
                </c:pt>
              </c:numCache>
            </c:numRef>
          </c:val>
          <c:extLst>
            <c:ext xmlns:c16="http://schemas.microsoft.com/office/drawing/2014/chart" uri="{C3380CC4-5D6E-409C-BE32-E72D297353CC}">
              <c16:uniqueId val="{00000002-A06F-4E63-B6E5-099E6C8E65A5}"/>
            </c:ext>
          </c:extLst>
        </c:ser>
        <c:ser>
          <c:idx val="3"/>
          <c:order val="3"/>
          <c:tx>
            <c:strRef>
              <c:f>'Ratio Analysis'!$T$26</c:f>
              <c:strCache>
                <c:ptCount val="1"/>
                <c:pt idx="0">
                  <c:v>Operating Margin</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'Ratio Analysis'!$U$22:$Y$22</c:f>
              <c:numCache>
                <c:formatCode>General</c:formatCode>
                <c:ptCount val="5"/>
                <c:pt idx="0">
                  <c:v>2024</c:v>
                </c:pt>
                <c:pt idx="1">
                  <c:v>2023</c:v>
                </c:pt>
                <c:pt idx="2">
                  <c:v>2022</c:v>
                </c:pt>
                <c:pt idx="3">
                  <c:v>2021</c:v>
                </c:pt>
                <c:pt idx="4">
                  <c:v>2020</c:v>
                </c:pt>
              </c:numCache>
            </c:numRef>
          </c:cat>
          <c:val>
            <c:numRef>
              <c:f>'Ratio Analysis'!$U$26:$Y$26</c:f>
              <c:numCache>
                <c:formatCode>0.00%</c:formatCode>
                <c:ptCount val="5"/>
                <c:pt idx="0">
                  <c:v>0.23654190437273817</c:v>
                </c:pt>
                <c:pt idx="1">
                  <c:v>0.22580716627773018</c:v>
                </c:pt>
                <c:pt idx="2">
                  <c:v>0.22148914809946141</c:v>
                </c:pt>
                <c:pt idx="3">
                  <c:v>0.24088468572097685</c:v>
                </c:pt>
                <c:pt idx="4">
                  <c:v>0.25387897278600796</c:v>
                </c:pt>
              </c:numCache>
            </c:numRef>
          </c:val>
          <c:extLst>
            <c:ext xmlns:c16="http://schemas.microsoft.com/office/drawing/2014/chart" uri="{C3380CC4-5D6E-409C-BE32-E72D297353CC}">
              <c16:uniqueId val="{00000003-A06F-4E63-B6E5-099E6C8E65A5}"/>
            </c:ext>
          </c:extLst>
        </c:ser>
        <c:ser>
          <c:idx val="4"/>
          <c:order val="4"/>
          <c:tx>
            <c:strRef>
              <c:f>'Ratio Analysis'!$T$27</c:f>
              <c:strCache>
                <c:ptCount val="1"/>
                <c:pt idx="0">
                  <c:v>ROCE</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'Ratio Analysis'!$U$22:$Y$22</c:f>
              <c:numCache>
                <c:formatCode>General</c:formatCode>
                <c:ptCount val="5"/>
                <c:pt idx="0">
                  <c:v>2024</c:v>
                </c:pt>
                <c:pt idx="1">
                  <c:v>2023</c:v>
                </c:pt>
                <c:pt idx="2">
                  <c:v>2022</c:v>
                </c:pt>
                <c:pt idx="3">
                  <c:v>2021</c:v>
                </c:pt>
                <c:pt idx="4">
                  <c:v>2020</c:v>
                </c:pt>
              </c:numCache>
            </c:numRef>
          </c:cat>
          <c:val>
            <c:numRef>
              <c:f>'Ratio Analysis'!$U$27:$Y$27</c:f>
              <c:numCache>
                <c:formatCode>0.00%</c:formatCode>
                <c:ptCount val="5"/>
                <c:pt idx="0">
                  <c:v>0.22486677669348659</c:v>
                </c:pt>
                <c:pt idx="1">
                  <c:v>0.283168439086882</c:v>
                </c:pt>
                <c:pt idx="2">
                  <c:v>0.20313457777054303</c:v>
                </c:pt>
                <c:pt idx="3">
                  <c:v>0.25860264947184342</c:v>
                </c:pt>
                <c:pt idx="4">
                  <c:v>0.2609123948373358</c:v>
                </c:pt>
              </c:numCache>
            </c:numRef>
          </c:val>
          <c:extLst>
            <c:ext xmlns:c16="http://schemas.microsoft.com/office/drawing/2014/chart" uri="{C3380CC4-5D6E-409C-BE32-E72D297353CC}">
              <c16:uniqueId val="{00000004-A06F-4E63-B6E5-099E6C8E65A5}"/>
            </c:ext>
          </c:extLst>
        </c:ser>
        <c:dLbls>
          <c:dLblPos val="outEnd"/>
          <c:showLegendKey val="0"/>
          <c:showVal val="1"/>
          <c:showCatName val="0"/>
          <c:showSerName val="0"/>
          <c:showPercent val="0"/>
          <c:showBubbleSize val="0"/>
        </c:dLbls>
        <c:gapWidth val="219"/>
        <c:overlap val="-27"/>
        <c:axId val="831014816"/>
        <c:axId val="831000416"/>
      </c:barChart>
      <c:catAx>
        <c:axId val="831014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1000416"/>
        <c:crosses val="autoZero"/>
        <c:auto val="1"/>
        <c:lblAlgn val="ctr"/>
        <c:lblOffset val="100"/>
        <c:noMultiLvlLbl val="0"/>
      </c:catAx>
      <c:valAx>
        <c:axId val="83100041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10148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Solvency</a:t>
            </a:r>
            <a:r>
              <a:rPr lang="en-IN" baseline="0"/>
              <a:t> Ratios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'Ratio Analysis'!$A$78</c:f>
              <c:strCache>
                <c:ptCount val="1"/>
                <c:pt idx="0">
                  <c:v>Debt to Equity ratio</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'Ratio Analysis'!$B$77:$E$77</c:f>
              <c:numCache>
                <c:formatCode>General</c:formatCode>
                <c:ptCount val="4"/>
                <c:pt idx="0">
                  <c:v>2024</c:v>
                </c:pt>
                <c:pt idx="1">
                  <c:v>2023</c:v>
                </c:pt>
                <c:pt idx="2">
                  <c:v>2022</c:v>
                </c:pt>
                <c:pt idx="3">
                  <c:v>2021</c:v>
                </c:pt>
              </c:numCache>
            </c:numRef>
          </c:cat>
          <c:val>
            <c:numRef>
              <c:f>'Ratio Analysis'!$B$78:$E$78</c:f>
              <c:numCache>
                <c:formatCode>0.00</c:formatCode>
                <c:ptCount val="4"/>
                <c:pt idx="0">
                  <c:v>1.6567379343147559</c:v>
                </c:pt>
                <c:pt idx="1">
                  <c:v>1.5518806684491153</c:v>
                </c:pt>
                <c:pt idx="2">
                  <c:v>1.4521068833052078</c:v>
                </c:pt>
                <c:pt idx="3">
                  <c:v>1.4755650060975498</c:v>
                </c:pt>
              </c:numCache>
            </c:numRef>
          </c:val>
          <c:smooth val="0"/>
          <c:extLst>
            <c:ext xmlns:c16="http://schemas.microsoft.com/office/drawing/2014/chart" uri="{C3380CC4-5D6E-409C-BE32-E72D297353CC}">
              <c16:uniqueId val="{00000000-0CED-42B9-8C08-3B80DD0D8999}"/>
            </c:ext>
          </c:extLst>
        </c:ser>
        <c:ser>
          <c:idx val="1"/>
          <c:order val="1"/>
          <c:tx>
            <c:strRef>
              <c:f>'Ratio Analysis'!$A$79</c:f>
              <c:strCache>
                <c:ptCount val="1"/>
                <c:pt idx="0">
                  <c:v>Asset to Equity ratio</c:v>
                </c:pt>
              </c:strCache>
            </c:strRef>
          </c:tx>
          <c:spPr>
            <a:ln w="28575" cap="rnd">
              <a:solidFill>
                <a:schemeClr val="accent2"/>
              </a:solidFill>
              <a:round/>
            </a:ln>
            <a:effectLst/>
          </c:spPr>
          <c:marker>
            <c:symbol val="none"/>
          </c:marker>
          <c:dLbls>
            <c:dLbl>
              <c:idx val="0"/>
              <c:layout>
                <c:manualLayout>
                  <c:x val="-5.5052194633583719E-2"/>
                  <c:y val="-2.595894203774438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CED-42B9-8C08-3B80DD0D8999}"/>
                </c:ext>
              </c:extLst>
            </c:dLbl>
            <c:dLbl>
              <c:idx val="1"/>
              <c:layout>
                <c:manualLayout>
                  <c:x val="-6.9923127813914271E-2"/>
                  <c:y val="3.548212068796122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CED-42B9-8C08-3B80DD0D899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'Ratio Analysis'!$B$77:$E$77</c:f>
              <c:numCache>
                <c:formatCode>General</c:formatCode>
                <c:ptCount val="4"/>
                <c:pt idx="0">
                  <c:v>2024</c:v>
                </c:pt>
                <c:pt idx="1">
                  <c:v>2023</c:v>
                </c:pt>
                <c:pt idx="2">
                  <c:v>2022</c:v>
                </c:pt>
                <c:pt idx="3">
                  <c:v>2021</c:v>
                </c:pt>
              </c:numCache>
            </c:numRef>
          </c:cat>
          <c:val>
            <c:numRef>
              <c:f>'Ratio Analysis'!$B$79:$E$79</c:f>
              <c:numCache>
                <c:formatCode>0.00</c:formatCode>
                <c:ptCount val="4"/>
                <c:pt idx="0">
                  <c:v>2.6567379343147559</c:v>
                </c:pt>
                <c:pt idx="1">
                  <c:v>2.5518806684491153</c:v>
                </c:pt>
                <c:pt idx="2">
                  <c:v>2.4521068833052078</c:v>
                </c:pt>
                <c:pt idx="3">
                  <c:v>2.4755650060975496</c:v>
                </c:pt>
              </c:numCache>
            </c:numRef>
          </c:val>
          <c:smooth val="0"/>
          <c:extLst>
            <c:ext xmlns:c16="http://schemas.microsoft.com/office/drawing/2014/chart" uri="{C3380CC4-5D6E-409C-BE32-E72D297353CC}">
              <c16:uniqueId val="{00000003-0CED-42B9-8C08-3B80DD0D8999}"/>
            </c:ext>
          </c:extLst>
        </c:ser>
        <c:ser>
          <c:idx val="2"/>
          <c:order val="2"/>
          <c:tx>
            <c:strRef>
              <c:f>'Ratio Analysis'!$A$80</c:f>
              <c:strCache>
                <c:ptCount val="1"/>
                <c:pt idx="0">
                  <c:v>Interest coverage ratio</c:v>
                </c:pt>
              </c:strCache>
            </c:strRef>
          </c:tx>
          <c:spPr>
            <a:ln w="28575" cap="rnd">
              <a:solidFill>
                <a:schemeClr val="accent3"/>
              </a:solidFill>
              <a:round/>
            </a:ln>
            <a:effectLst/>
          </c:spPr>
          <c:marker>
            <c:symbol val="none"/>
          </c:marker>
          <c:dLbls>
            <c:dLbl>
              <c:idx val="2"/>
              <c:layout>
                <c:manualLayout>
                  <c:x val="-3.7207074817187054E-2"/>
                  <c:y val="-2.123270644345938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CED-42B9-8C08-3B80DD0D899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'Ratio Analysis'!$B$77:$E$77</c:f>
              <c:numCache>
                <c:formatCode>General</c:formatCode>
                <c:ptCount val="4"/>
                <c:pt idx="0">
                  <c:v>2024</c:v>
                </c:pt>
                <c:pt idx="1">
                  <c:v>2023</c:v>
                </c:pt>
                <c:pt idx="2">
                  <c:v>2022</c:v>
                </c:pt>
                <c:pt idx="3">
                  <c:v>2021</c:v>
                </c:pt>
              </c:numCache>
            </c:numRef>
          </c:cat>
          <c:val>
            <c:numRef>
              <c:f>'Ratio Analysis'!$B$80:$E$80</c:f>
              <c:numCache>
                <c:formatCode>0.00</c:formatCode>
                <c:ptCount val="4"/>
                <c:pt idx="0">
                  <c:v>2.9741572089113073</c:v>
                </c:pt>
                <c:pt idx="1">
                  <c:v>2.8317805985792477</c:v>
                </c:pt>
                <c:pt idx="2">
                  <c:v>2.1415273913861985</c:v>
                </c:pt>
                <c:pt idx="3">
                  <c:v>1.9151090829530537</c:v>
                </c:pt>
              </c:numCache>
            </c:numRef>
          </c:val>
          <c:smooth val="0"/>
          <c:extLst>
            <c:ext xmlns:c16="http://schemas.microsoft.com/office/drawing/2014/chart" uri="{C3380CC4-5D6E-409C-BE32-E72D297353CC}">
              <c16:uniqueId val="{00000005-0CED-42B9-8C08-3B80DD0D8999}"/>
            </c:ext>
          </c:extLst>
        </c:ser>
        <c:dLbls>
          <c:dLblPos val="t"/>
          <c:showLegendKey val="0"/>
          <c:showVal val="1"/>
          <c:showCatName val="0"/>
          <c:showSerName val="0"/>
          <c:showPercent val="0"/>
          <c:showBubbleSize val="0"/>
        </c:dLbls>
        <c:smooth val="0"/>
        <c:axId val="864779776"/>
        <c:axId val="864778816"/>
      </c:lineChart>
      <c:catAx>
        <c:axId val="864779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4778816"/>
        <c:crosses val="autoZero"/>
        <c:auto val="1"/>
        <c:lblAlgn val="ctr"/>
        <c:lblOffset val="100"/>
        <c:noMultiLvlLbl val="0"/>
      </c:catAx>
      <c:valAx>
        <c:axId val="86477881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47797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Solvency</a:t>
            </a:r>
            <a:r>
              <a:rPr lang="en-IN" baseline="0"/>
              <a:t> Ratios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'Ratio Analysis'!$K$78</c:f>
              <c:strCache>
                <c:ptCount val="1"/>
                <c:pt idx="0">
                  <c:v>Debt to Equity ratio</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'Ratio Analysis'!$L$77:$O$77</c:f>
              <c:numCache>
                <c:formatCode>General</c:formatCode>
                <c:ptCount val="4"/>
                <c:pt idx="0">
                  <c:v>2024</c:v>
                </c:pt>
                <c:pt idx="1">
                  <c:v>2023</c:v>
                </c:pt>
                <c:pt idx="2">
                  <c:v>2022</c:v>
                </c:pt>
                <c:pt idx="3">
                  <c:v>2021</c:v>
                </c:pt>
              </c:numCache>
            </c:numRef>
          </c:cat>
          <c:val>
            <c:numRef>
              <c:f>'Ratio Analysis'!$L$78:$O$78</c:f>
              <c:numCache>
                <c:formatCode>0.00</c:formatCode>
                <c:ptCount val="4"/>
                <c:pt idx="0">
                  <c:v>2.0107525430005286</c:v>
                </c:pt>
                <c:pt idx="1">
                  <c:v>1.9479539328595932</c:v>
                </c:pt>
                <c:pt idx="2">
                  <c:v>1.9341955472494881</c:v>
                </c:pt>
                <c:pt idx="3">
                  <c:v>2.1366597984073064</c:v>
                </c:pt>
              </c:numCache>
            </c:numRef>
          </c:val>
          <c:smooth val="0"/>
          <c:extLst>
            <c:ext xmlns:c16="http://schemas.microsoft.com/office/drawing/2014/chart" uri="{C3380CC4-5D6E-409C-BE32-E72D297353CC}">
              <c16:uniqueId val="{00000000-C6A5-4DB8-A5CF-1568CDC9BCDB}"/>
            </c:ext>
          </c:extLst>
        </c:ser>
        <c:ser>
          <c:idx val="1"/>
          <c:order val="1"/>
          <c:tx>
            <c:strRef>
              <c:f>'Ratio Analysis'!$K$79</c:f>
              <c:strCache>
                <c:ptCount val="1"/>
                <c:pt idx="0">
                  <c:v>Asset to Equity ratio</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'Ratio Analysis'!$L$77:$O$77</c:f>
              <c:numCache>
                <c:formatCode>General</c:formatCode>
                <c:ptCount val="4"/>
                <c:pt idx="0">
                  <c:v>2024</c:v>
                </c:pt>
                <c:pt idx="1">
                  <c:v>2023</c:v>
                </c:pt>
                <c:pt idx="2">
                  <c:v>2022</c:v>
                </c:pt>
                <c:pt idx="3">
                  <c:v>2021</c:v>
                </c:pt>
              </c:numCache>
            </c:numRef>
          </c:cat>
          <c:val>
            <c:numRef>
              <c:f>'Ratio Analysis'!$L$79:$O$79</c:f>
              <c:numCache>
                <c:formatCode>0.00</c:formatCode>
                <c:ptCount val="4"/>
                <c:pt idx="0">
                  <c:v>3.0107525430005286</c:v>
                </c:pt>
                <c:pt idx="1">
                  <c:v>2.9479515991645373</c:v>
                </c:pt>
                <c:pt idx="2">
                  <c:v>2.9341955472494878</c:v>
                </c:pt>
                <c:pt idx="3">
                  <c:v>3.1366597984073064</c:v>
                </c:pt>
              </c:numCache>
            </c:numRef>
          </c:val>
          <c:smooth val="0"/>
          <c:extLst>
            <c:ext xmlns:c16="http://schemas.microsoft.com/office/drawing/2014/chart" uri="{C3380CC4-5D6E-409C-BE32-E72D297353CC}">
              <c16:uniqueId val="{00000001-C6A5-4DB8-A5CF-1568CDC9BCDB}"/>
            </c:ext>
          </c:extLst>
        </c:ser>
        <c:ser>
          <c:idx val="2"/>
          <c:order val="2"/>
          <c:tx>
            <c:strRef>
              <c:f>'Ratio Analysis'!$K$80</c:f>
              <c:strCache>
                <c:ptCount val="1"/>
                <c:pt idx="0">
                  <c:v>Interest coverage ratio</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'Ratio Analysis'!$L$77:$O$77</c:f>
              <c:numCache>
                <c:formatCode>General</c:formatCode>
                <c:ptCount val="4"/>
                <c:pt idx="0">
                  <c:v>2024</c:v>
                </c:pt>
                <c:pt idx="1">
                  <c:v>2023</c:v>
                </c:pt>
                <c:pt idx="2">
                  <c:v>2022</c:v>
                </c:pt>
                <c:pt idx="3">
                  <c:v>2021</c:v>
                </c:pt>
              </c:numCache>
            </c:numRef>
          </c:cat>
          <c:val>
            <c:numRef>
              <c:f>'Ratio Analysis'!$L$80:$O$80</c:f>
              <c:numCache>
                <c:formatCode>0.00</c:formatCode>
                <c:ptCount val="4"/>
                <c:pt idx="0">
                  <c:v>3.034913473330406</c:v>
                </c:pt>
                <c:pt idx="1">
                  <c:v>3.4050649074271124</c:v>
                </c:pt>
                <c:pt idx="2">
                  <c:v>3.6078011849901253</c:v>
                </c:pt>
                <c:pt idx="3">
                  <c:v>3.327786513953106</c:v>
                </c:pt>
              </c:numCache>
            </c:numRef>
          </c:val>
          <c:smooth val="0"/>
          <c:extLst>
            <c:ext xmlns:c16="http://schemas.microsoft.com/office/drawing/2014/chart" uri="{C3380CC4-5D6E-409C-BE32-E72D297353CC}">
              <c16:uniqueId val="{00000002-C6A5-4DB8-A5CF-1568CDC9BCDB}"/>
            </c:ext>
          </c:extLst>
        </c:ser>
        <c:dLbls>
          <c:dLblPos val="t"/>
          <c:showLegendKey val="0"/>
          <c:showVal val="1"/>
          <c:showCatName val="0"/>
          <c:showSerName val="0"/>
          <c:showPercent val="0"/>
          <c:showBubbleSize val="0"/>
        </c:dLbls>
        <c:smooth val="0"/>
        <c:axId val="864754336"/>
        <c:axId val="864761536"/>
      </c:lineChart>
      <c:catAx>
        <c:axId val="864754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4761536"/>
        <c:crosses val="autoZero"/>
        <c:auto val="1"/>
        <c:lblAlgn val="ctr"/>
        <c:lblOffset val="100"/>
        <c:noMultiLvlLbl val="0"/>
      </c:catAx>
      <c:valAx>
        <c:axId val="86476153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47543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Solvency</a:t>
            </a:r>
            <a:r>
              <a:rPr lang="en-IN" baseline="0"/>
              <a:t> Ratios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'Ratio Analysis'!$T$78</c:f>
              <c:strCache>
                <c:ptCount val="1"/>
                <c:pt idx="0">
                  <c:v>Debt to Equity ratio</c:v>
                </c:pt>
              </c:strCache>
            </c:strRef>
          </c:tx>
          <c:spPr>
            <a:ln w="28575" cap="rnd">
              <a:solidFill>
                <a:schemeClr val="accent1"/>
              </a:solidFill>
              <a:round/>
            </a:ln>
            <a:effectLst/>
          </c:spPr>
          <c:marker>
            <c:symbol val="none"/>
          </c:marker>
          <c:dLbls>
            <c:dLbl>
              <c:idx val="0"/>
              <c:layout>
                <c:manualLayout>
                  <c:x val="-5.0594386375032156E-2"/>
                  <c:y val="-2.489340320354242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EB1-4F53-AA78-654414202D53}"/>
                </c:ext>
              </c:extLst>
            </c:dLbl>
            <c:dLbl>
              <c:idx val="1"/>
              <c:layout>
                <c:manualLayout>
                  <c:x val="-5.3658855567947542E-2"/>
                  <c:y val="-2.489340320354242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EB1-4F53-AA78-654414202D53}"/>
                </c:ext>
              </c:extLst>
            </c:dLbl>
            <c:dLbl>
              <c:idx val="2"/>
              <c:layout>
                <c:manualLayout>
                  <c:x val="-5.9787793953778152E-2"/>
                  <c:y val="-2.942564061569918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EB1-4F53-AA78-654414202D53}"/>
                </c:ext>
              </c:extLst>
            </c:dLbl>
            <c:dLbl>
              <c:idx val="3"/>
              <c:layout>
                <c:manualLayout>
                  <c:x val="-5.0594386375032267E-2"/>
                  <c:y val="-2.489340320354250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EB1-4F53-AA78-654414202D5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'Ratio Analysis'!$U$77:$X$77</c:f>
              <c:numCache>
                <c:formatCode>General</c:formatCode>
                <c:ptCount val="4"/>
                <c:pt idx="0">
                  <c:v>2024</c:v>
                </c:pt>
                <c:pt idx="1">
                  <c:v>2023</c:v>
                </c:pt>
                <c:pt idx="2">
                  <c:v>2022</c:v>
                </c:pt>
                <c:pt idx="3">
                  <c:v>2021</c:v>
                </c:pt>
              </c:numCache>
            </c:numRef>
          </c:cat>
          <c:val>
            <c:numRef>
              <c:f>'Ratio Analysis'!$U$78:$X$78</c:f>
              <c:numCache>
                <c:formatCode>0.00</c:formatCode>
                <c:ptCount val="4"/>
                <c:pt idx="0">
                  <c:v>0.65932561011870727</c:v>
                </c:pt>
                <c:pt idx="1">
                  <c:v>0.58506277082352254</c:v>
                </c:pt>
                <c:pt idx="2">
                  <c:v>1.0662654617450453</c:v>
                </c:pt>
                <c:pt idx="3">
                  <c:v>1.0361997388171569</c:v>
                </c:pt>
              </c:numCache>
            </c:numRef>
          </c:val>
          <c:smooth val="0"/>
          <c:extLst>
            <c:ext xmlns:c16="http://schemas.microsoft.com/office/drawing/2014/chart" uri="{C3380CC4-5D6E-409C-BE32-E72D297353CC}">
              <c16:uniqueId val="{00000004-1EB1-4F53-AA78-654414202D53}"/>
            </c:ext>
          </c:extLst>
        </c:ser>
        <c:ser>
          <c:idx val="1"/>
          <c:order val="1"/>
          <c:tx>
            <c:strRef>
              <c:f>'Ratio Analysis'!$T$79</c:f>
              <c:strCache>
                <c:ptCount val="1"/>
                <c:pt idx="0">
                  <c:v>Asset to Equity ratio</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'Ratio Analysis'!$U$77:$X$77</c:f>
              <c:numCache>
                <c:formatCode>General</c:formatCode>
                <c:ptCount val="4"/>
                <c:pt idx="0">
                  <c:v>2024</c:v>
                </c:pt>
                <c:pt idx="1">
                  <c:v>2023</c:v>
                </c:pt>
                <c:pt idx="2">
                  <c:v>2022</c:v>
                </c:pt>
                <c:pt idx="3">
                  <c:v>2021</c:v>
                </c:pt>
              </c:numCache>
            </c:numRef>
          </c:cat>
          <c:val>
            <c:numRef>
              <c:f>'Ratio Analysis'!$U$79:$X$79</c:f>
              <c:numCache>
                <c:formatCode>0.00</c:formatCode>
                <c:ptCount val="4"/>
                <c:pt idx="0">
                  <c:v>1.6593256101187073</c:v>
                </c:pt>
                <c:pt idx="1">
                  <c:v>1.5850627708235228</c:v>
                </c:pt>
                <c:pt idx="2">
                  <c:v>2.0662654617450453</c:v>
                </c:pt>
                <c:pt idx="3">
                  <c:v>2.0361997388171567</c:v>
                </c:pt>
              </c:numCache>
            </c:numRef>
          </c:val>
          <c:smooth val="0"/>
          <c:extLst>
            <c:ext xmlns:c16="http://schemas.microsoft.com/office/drawing/2014/chart" uri="{C3380CC4-5D6E-409C-BE32-E72D297353CC}">
              <c16:uniqueId val="{00000005-1EB1-4F53-AA78-654414202D53}"/>
            </c:ext>
          </c:extLst>
        </c:ser>
        <c:ser>
          <c:idx val="2"/>
          <c:order val="2"/>
          <c:tx>
            <c:strRef>
              <c:f>'Ratio Analysis'!$T$80</c:f>
              <c:strCache>
                <c:ptCount val="1"/>
                <c:pt idx="0">
                  <c:v>Interest coverage ratio</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'Ratio Analysis'!$U$77:$X$77</c:f>
              <c:numCache>
                <c:formatCode>General</c:formatCode>
                <c:ptCount val="4"/>
                <c:pt idx="0">
                  <c:v>2024</c:v>
                </c:pt>
                <c:pt idx="1">
                  <c:v>2023</c:v>
                </c:pt>
                <c:pt idx="2">
                  <c:v>2022</c:v>
                </c:pt>
                <c:pt idx="3">
                  <c:v>2021</c:v>
                </c:pt>
              </c:numCache>
            </c:numRef>
          </c:cat>
          <c:val>
            <c:numRef>
              <c:f>'Ratio Analysis'!$U$80:$X$80</c:f>
              <c:numCache>
                <c:formatCode>0.00</c:formatCode>
                <c:ptCount val="4"/>
                <c:pt idx="0">
                  <c:v>9.9153969906312103</c:v>
                </c:pt>
                <c:pt idx="1">
                  <c:v>5.9923569375489931</c:v>
                </c:pt>
                <c:pt idx="2">
                  <c:v>5.3922760110728509</c:v>
                </c:pt>
                <c:pt idx="3">
                  <c:v>5.2177545691906007</c:v>
                </c:pt>
              </c:numCache>
            </c:numRef>
          </c:val>
          <c:smooth val="0"/>
          <c:extLst>
            <c:ext xmlns:c16="http://schemas.microsoft.com/office/drawing/2014/chart" uri="{C3380CC4-5D6E-409C-BE32-E72D297353CC}">
              <c16:uniqueId val="{00000006-1EB1-4F53-AA78-654414202D53}"/>
            </c:ext>
          </c:extLst>
        </c:ser>
        <c:dLbls>
          <c:dLblPos val="t"/>
          <c:showLegendKey val="0"/>
          <c:showVal val="1"/>
          <c:showCatName val="0"/>
          <c:showSerName val="0"/>
          <c:showPercent val="0"/>
          <c:showBubbleSize val="0"/>
        </c:dLbls>
        <c:smooth val="0"/>
        <c:axId val="831017696"/>
        <c:axId val="831000896"/>
      </c:lineChart>
      <c:catAx>
        <c:axId val="831017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1000896"/>
        <c:crosses val="autoZero"/>
        <c:auto val="1"/>
        <c:lblAlgn val="ctr"/>
        <c:lblOffset val="100"/>
        <c:noMultiLvlLbl val="0"/>
      </c:catAx>
      <c:valAx>
        <c:axId val="83100089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10176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Liquidity</a:t>
            </a:r>
            <a:r>
              <a:rPr lang="en-IN" baseline="0"/>
              <a:t> Ratios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'Ratio Analysis'!$A$105</c:f>
              <c:strCache>
                <c:ptCount val="1"/>
                <c:pt idx="0">
                  <c:v>Current Ratio</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'Ratio Analysis'!$B$104:$E$104</c:f>
              <c:numCache>
                <c:formatCode>General</c:formatCode>
                <c:ptCount val="4"/>
                <c:pt idx="0">
                  <c:v>2024</c:v>
                </c:pt>
                <c:pt idx="1">
                  <c:v>2023</c:v>
                </c:pt>
                <c:pt idx="2">
                  <c:v>2022</c:v>
                </c:pt>
                <c:pt idx="3">
                  <c:v>2021</c:v>
                </c:pt>
              </c:numCache>
            </c:numRef>
          </c:cat>
          <c:val>
            <c:numRef>
              <c:f>'Ratio Analysis'!$B$105:$E$105</c:f>
              <c:numCache>
                <c:formatCode>0.00</c:formatCode>
                <c:ptCount val="4"/>
                <c:pt idx="0">
                  <c:v>0.57130130023008185</c:v>
                </c:pt>
                <c:pt idx="1">
                  <c:v>0.56474968347673371</c:v>
                </c:pt>
                <c:pt idx="2">
                  <c:v>0.55274555004584414</c:v>
                </c:pt>
                <c:pt idx="3">
                  <c:v>0.56974430631602135</c:v>
                </c:pt>
              </c:numCache>
            </c:numRef>
          </c:val>
          <c:smooth val="0"/>
          <c:extLst>
            <c:ext xmlns:c16="http://schemas.microsoft.com/office/drawing/2014/chart" uri="{C3380CC4-5D6E-409C-BE32-E72D297353CC}">
              <c16:uniqueId val="{00000000-6F6F-452F-B149-1DB3BA72F576}"/>
            </c:ext>
          </c:extLst>
        </c:ser>
        <c:ser>
          <c:idx val="1"/>
          <c:order val="1"/>
          <c:tx>
            <c:strRef>
              <c:f>'Ratio Analysis'!$A$106</c:f>
              <c:strCache>
                <c:ptCount val="1"/>
                <c:pt idx="0">
                  <c:v>Quick Ratio</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'Ratio Analysis'!$B$104:$E$104</c:f>
              <c:numCache>
                <c:formatCode>General</c:formatCode>
                <c:ptCount val="4"/>
                <c:pt idx="0">
                  <c:v>2024</c:v>
                </c:pt>
                <c:pt idx="1">
                  <c:v>2023</c:v>
                </c:pt>
                <c:pt idx="2">
                  <c:v>2022</c:v>
                </c:pt>
                <c:pt idx="3">
                  <c:v>2021</c:v>
                </c:pt>
              </c:numCache>
            </c:numRef>
          </c:cat>
          <c:val>
            <c:numRef>
              <c:f>'Ratio Analysis'!$B$106:$E$106</c:f>
              <c:numCache>
                <c:formatCode>0.00</c:formatCode>
                <c:ptCount val="4"/>
                <c:pt idx="0">
                  <c:v>0.41401091551179836</c:v>
                </c:pt>
                <c:pt idx="1">
                  <c:v>0.42701018588411493</c:v>
                </c:pt>
                <c:pt idx="2">
                  <c:v>0.41612076297789774</c:v>
                </c:pt>
                <c:pt idx="3">
                  <c:v>0.41505101976240566</c:v>
                </c:pt>
              </c:numCache>
            </c:numRef>
          </c:val>
          <c:smooth val="0"/>
          <c:extLst>
            <c:ext xmlns:c16="http://schemas.microsoft.com/office/drawing/2014/chart" uri="{C3380CC4-5D6E-409C-BE32-E72D297353CC}">
              <c16:uniqueId val="{00000001-6F6F-452F-B149-1DB3BA72F576}"/>
            </c:ext>
          </c:extLst>
        </c:ser>
        <c:ser>
          <c:idx val="2"/>
          <c:order val="2"/>
          <c:tx>
            <c:strRef>
              <c:f>'Ratio Analysis'!$A$107</c:f>
              <c:strCache>
                <c:ptCount val="1"/>
                <c:pt idx="0">
                  <c:v>Acid Test/ Cash Ratio</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'Ratio Analysis'!$B$104:$E$104</c:f>
              <c:numCache>
                <c:formatCode>General</c:formatCode>
                <c:ptCount val="4"/>
                <c:pt idx="0">
                  <c:v>2024</c:v>
                </c:pt>
                <c:pt idx="1">
                  <c:v>2023</c:v>
                </c:pt>
                <c:pt idx="2">
                  <c:v>2022</c:v>
                </c:pt>
                <c:pt idx="3">
                  <c:v>2021</c:v>
                </c:pt>
              </c:numCache>
            </c:numRef>
          </c:cat>
          <c:val>
            <c:numRef>
              <c:f>'Ratio Analysis'!$B$107:$E$107</c:f>
              <c:numCache>
                <c:formatCode>0.00</c:formatCode>
                <c:ptCount val="4"/>
                <c:pt idx="0">
                  <c:v>0.10251574009667005</c:v>
                </c:pt>
                <c:pt idx="1">
                  <c:v>7.1100699007675752E-2</c:v>
                </c:pt>
                <c:pt idx="2">
                  <c:v>7.1138851837197897E-2</c:v>
                </c:pt>
                <c:pt idx="3">
                  <c:v>6.3863933799611694E-2</c:v>
                </c:pt>
              </c:numCache>
            </c:numRef>
          </c:val>
          <c:smooth val="0"/>
          <c:extLst>
            <c:ext xmlns:c16="http://schemas.microsoft.com/office/drawing/2014/chart" uri="{C3380CC4-5D6E-409C-BE32-E72D297353CC}">
              <c16:uniqueId val="{00000002-6F6F-452F-B149-1DB3BA72F576}"/>
            </c:ext>
          </c:extLst>
        </c:ser>
        <c:dLbls>
          <c:dLblPos val="t"/>
          <c:showLegendKey val="0"/>
          <c:showVal val="1"/>
          <c:showCatName val="0"/>
          <c:showSerName val="0"/>
          <c:showPercent val="0"/>
          <c:showBubbleSize val="0"/>
        </c:dLbls>
        <c:smooth val="0"/>
        <c:axId val="831008576"/>
        <c:axId val="831003296"/>
      </c:lineChart>
      <c:catAx>
        <c:axId val="831008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1003296"/>
        <c:crosses val="autoZero"/>
        <c:auto val="1"/>
        <c:lblAlgn val="ctr"/>
        <c:lblOffset val="100"/>
        <c:noMultiLvlLbl val="0"/>
      </c:catAx>
      <c:valAx>
        <c:axId val="83100329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10085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Liquidity</a:t>
            </a:r>
            <a:r>
              <a:rPr lang="en-IN" baseline="0"/>
              <a:t> Ratios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'Ratio Analysis'!$K$105</c:f>
              <c:strCache>
                <c:ptCount val="1"/>
                <c:pt idx="0">
                  <c:v>Current Ratio</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'Ratio Analysis'!$L$104:$O$104</c:f>
              <c:numCache>
                <c:formatCode>General</c:formatCode>
                <c:ptCount val="4"/>
                <c:pt idx="0">
                  <c:v>2024</c:v>
                </c:pt>
                <c:pt idx="1">
                  <c:v>2023</c:v>
                </c:pt>
                <c:pt idx="2">
                  <c:v>2022</c:v>
                </c:pt>
                <c:pt idx="3">
                  <c:v>2021</c:v>
                </c:pt>
              </c:numCache>
            </c:numRef>
          </c:cat>
          <c:val>
            <c:numRef>
              <c:f>'Ratio Analysis'!$L$105:$O$105</c:f>
              <c:numCache>
                <c:formatCode>0.00</c:formatCode>
                <c:ptCount val="4"/>
                <c:pt idx="0">
                  <c:v>1.1949338091983699</c:v>
                </c:pt>
                <c:pt idx="1">
                  <c:v>0.92875112049272768</c:v>
                </c:pt>
                <c:pt idx="2">
                  <c:v>0.8072309833197161</c:v>
                </c:pt>
                <c:pt idx="3">
                  <c:v>0.70690576718191167</c:v>
                </c:pt>
              </c:numCache>
            </c:numRef>
          </c:val>
          <c:smooth val="0"/>
          <c:extLst>
            <c:ext xmlns:c16="http://schemas.microsoft.com/office/drawing/2014/chart" uri="{C3380CC4-5D6E-409C-BE32-E72D297353CC}">
              <c16:uniqueId val="{00000000-2663-4D15-A5E2-B1A0ED87239B}"/>
            </c:ext>
          </c:extLst>
        </c:ser>
        <c:ser>
          <c:idx val="1"/>
          <c:order val="1"/>
          <c:tx>
            <c:strRef>
              <c:f>'Ratio Analysis'!$K$106</c:f>
              <c:strCache>
                <c:ptCount val="1"/>
                <c:pt idx="0">
                  <c:v>Quick Ratio</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'Ratio Analysis'!$L$104:$O$104</c:f>
              <c:numCache>
                <c:formatCode>General</c:formatCode>
                <c:ptCount val="4"/>
                <c:pt idx="0">
                  <c:v>2024</c:v>
                </c:pt>
                <c:pt idx="1">
                  <c:v>2023</c:v>
                </c:pt>
                <c:pt idx="2">
                  <c:v>2022</c:v>
                </c:pt>
                <c:pt idx="3">
                  <c:v>2021</c:v>
                </c:pt>
              </c:numCache>
            </c:numRef>
          </c:cat>
          <c:val>
            <c:numRef>
              <c:f>'Ratio Analysis'!$L$106:$O$106</c:f>
              <c:numCache>
                <c:formatCode>0.00</c:formatCode>
                <c:ptCount val="4"/>
                <c:pt idx="0">
                  <c:v>0.95288493178424072</c:v>
                </c:pt>
                <c:pt idx="1">
                  <c:v>0.65246291530520784</c:v>
                </c:pt>
                <c:pt idx="2">
                  <c:v>0.62785917079849729</c:v>
                </c:pt>
                <c:pt idx="3">
                  <c:v>0.58006507226465109</c:v>
                </c:pt>
              </c:numCache>
            </c:numRef>
          </c:val>
          <c:smooth val="0"/>
          <c:extLst>
            <c:ext xmlns:c16="http://schemas.microsoft.com/office/drawing/2014/chart" uri="{C3380CC4-5D6E-409C-BE32-E72D297353CC}">
              <c16:uniqueId val="{00000001-2663-4D15-A5E2-B1A0ED87239B}"/>
            </c:ext>
          </c:extLst>
        </c:ser>
        <c:ser>
          <c:idx val="2"/>
          <c:order val="2"/>
          <c:tx>
            <c:strRef>
              <c:f>'Ratio Analysis'!$K$107</c:f>
              <c:strCache>
                <c:ptCount val="1"/>
                <c:pt idx="0">
                  <c:v>Acid Test/ Cash Ratio</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'Ratio Analysis'!$L$104:$O$104</c:f>
              <c:numCache>
                <c:formatCode>General</c:formatCode>
                <c:ptCount val="4"/>
                <c:pt idx="0">
                  <c:v>2024</c:v>
                </c:pt>
                <c:pt idx="1">
                  <c:v>2023</c:v>
                </c:pt>
                <c:pt idx="2">
                  <c:v>2022</c:v>
                </c:pt>
                <c:pt idx="3">
                  <c:v>2021</c:v>
                </c:pt>
              </c:numCache>
            </c:numRef>
          </c:cat>
          <c:val>
            <c:numRef>
              <c:f>'Ratio Analysis'!$L$107:$O$107</c:f>
              <c:numCache>
                <c:formatCode>0.00</c:formatCode>
                <c:ptCount val="4"/>
                <c:pt idx="0">
                  <c:v>0.43622016351532644</c:v>
                </c:pt>
                <c:pt idx="1">
                  <c:v>0.25530968973194923</c:v>
                </c:pt>
                <c:pt idx="2">
                  <c:v>0.27880063124671223</c:v>
                </c:pt>
                <c:pt idx="3">
                  <c:v>0.33882059210738713</c:v>
                </c:pt>
              </c:numCache>
            </c:numRef>
          </c:val>
          <c:smooth val="0"/>
          <c:extLst>
            <c:ext xmlns:c16="http://schemas.microsoft.com/office/drawing/2014/chart" uri="{C3380CC4-5D6E-409C-BE32-E72D297353CC}">
              <c16:uniqueId val="{00000002-2663-4D15-A5E2-B1A0ED87239B}"/>
            </c:ext>
          </c:extLst>
        </c:ser>
        <c:dLbls>
          <c:dLblPos val="t"/>
          <c:showLegendKey val="0"/>
          <c:showVal val="1"/>
          <c:showCatName val="0"/>
          <c:showSerName val="0"/>
          <c:showPercent val="0"/>
          <c:showBubbleSize val="0"/>
        </c:dLbls>
        <c:smooth val="0"/>
        <c:axId val="838605696"/>
        <c:axId val="838586496"/>
      </c:lineChart>
      <c:catAx>
        <c:axId val="838605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8586496"/>
        <c:crosses val="autoZero"/>
        <c:auto val="1"/>
        <c:lblAlgn val="ctr"/>
        <c:lblOffset val="100"/>
        <c:noMultiLvlLbl val="0"/>
      </c:catAx>
      <c:valAx>
        <c:axId val="83858649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86056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Liquidity</a:t>
            </a:r>
            <a:r>
              <a:rPr lang="en-IN" baseline="0"/>
              <a:t> Ratios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'Ratio Analysis'!$T$105</c:f>
              <c:strCache>
                <c:ptCount val="1"/>
                <c:pt idx="0">
                  <c:v>Current Ratio</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'Ratio Analysis'!$U$104:$X$104</c:f>
              <c:numCache>
                <c:formatCode>General</c:formatCode>
                <c:ptCount val="4"/>
                <c:pt idx="0">
                  <c:v>2024</c:v>
                </c:pt>
                <c:pt idx="1">
                  <c:v>2023</c:v>
                </c:pt>
                <c:pt idx="2">
                  <c:v>2022</c:v>
                </c:pt>
                <c:pt idx="3">
                  <c:v>2021</c:v>
                </c:pt>
              </c:numCache>
            </c:numRef>
          </c:cat>
          <c:val>
            <c:numRef>
              <c:f>'Ratio Analysis'!$U$105:$X$105</c:f>
              <c:numCache>
                <c:formatCode>0.00</c:formatCode>
                <c:ptCount val="4"/>
                <c:pt idx="0">
                  <c:v>1.1426786213646531</c:v>
                </c:pt>
                <c:pt idx="1">
                  <c:v>0.97720758960963583</c:v>
                </c:pt>
                <c:pt idx="2">
                  <c:v>0.81805347018353747</c:v>
                </c:pt>
                <c:pt idx="3">
                  <c:v>0.48850279080837472</c:v>
                </c:pt>
              </c:numCache>
            </c:numRef>
          </c:val>
          <c:smooth val="0"/>
          <c:extLst>
            <c:ext xmlns:c16="http://schemas.microsoft.com/office/drawing/2014/chart" uri="{C3380CC4-5D6E-409C-BE32-E72D297353CC}">
              <c16:uniqueId val="{00000000-E64E-4F1F-937D-F58E76B1B391}"/>
            </c:ext>
          </c:extLst>
        </c:ser>
        <c:ser>
          <c:idx val="1"/>
          <c:order val="1"/>
          <c:tx>
            <c:strRef>
              <c:f>'Ratio Analysis'!$T$106</c:f>
              <c:strCache>
                <c:ptCount val="1"/>
                <c:pt idx="0">
                  <c:v>Quick Ratio</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'Ratio Analysis'!$U$104:$X$104</c:f>
              <c:numCache>
                <c:formatCode>General</c:formatCode>
                <c:ptCount val="4"/>
                <c:pt idx="0">
                  <c:v>2024</c:v>
                </c:pt>
                <c:pt idx="1">
                  <c:v>2023</c:v>
                </c:pt>
                <c:pt idx="2">
                  <c:v>2022</c:v>
                </c:pt>
                <c:pt idx="3">
                  <c:v>2021</c:v>
                </c:pt>
              </c:numCache>
            </c:numRef>
          </c:cat>
          <c:val>
            <c:numRef>
              <c:f>'Ratio Analysis'!$U$106:$X$106</c:f>
              <c:numCache>
                <c:formatCode>0.00</c:formatCode>
                <c:ptCount val="4"/>
                <c:pt idx="0">
                  <c:v>0.94966442953020125</c:v>
                </c:pt>
                <c:pt idx="1">
                  <c:v>0.76476563633725159</c:v>
                </c:pt>
                <c:pt idx="2">
                  <c:v>0.64817844310482631</c:v>
                </c:pt>
                <c:pt idx="3">
                  <c:v>0.37488195686723119</c:v>
                </c:pt>
              </c:numCache>
            </c:numRef>
          </c:val>
          <c:smooth val="0"/>
          <c:extLst>
            <c:ext xmlns:c16="http://schemas.microsoft.com/office/drawing/2014/chart" uri="{C3380CC4-5D6E-409C-BE32-E72D297353CC}">
              <c16:uniqueId val="{00000001-E64E-4F1F-937D-F58E76B1B391}"/>
            </c:ext>
          </c:extLst>
        </c:ser>
        <c:ser>
          <c:idx val="2"/>
          <c:order val="2"/>
          <c:tx>
            <c:strRef>
              <c:f>'Ratio Analysis'!$T$107</c:f>
              <c:strCache>
                <c:ptCount val="1"/>
                <c:pt idx="0">
                  <c:v>Acid Test/ Cash Ratio</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'Ratio Analysis'!$U$104:$X$104</c:f>
              <c:numCache>
                <c:formatCode>General</c:formatCode>
                <c:ptCount val="4"/>
                <c:pt idx="0">
                  <c:v>2024</c:v>
                </c:pt>
                <c:pt idx="1">
                  <c:v>2023</c:v>
                </c:pt>
                <c:pt idx="2">
                  <c:v>2022</c:v>
                </c:pt>
                <c:pt idx="3">
                  <c:v>2021</c:v>
                </c:pt>
              </c:numCache>
            </c:numRef>
          </c:cat>
          <c:val>
            <c:numRef>
              <c:f>'Ratio Analysis'!$U$107:$X$107</c:f>
              <c:numCache>
                <c:formatCode>0.00</c:formatCode>
                <c:ptCount val="4"/>
                <c:pt idx="0">
                  <c:v>0.35906914149888142</c:v>
                </c:pt>
                <c:pt idx="1">
                  <c:v>0.19971702220287332</c:v>
                </c:pt>
                <c:pt idx="2">
                  <c:v>0.19362212312036392</c:v>
                </c:pt>
                <c:pt idx="3">
                  <c:v>0.11350566990917396</c:v>
                </c:pt>
              </c:numCache>
            </c:numRef>
          </c:val>
          <c:smooth val="0"/>
          <c:extLst>
            <c:ext xmlns:c16="http://schemas.microsoft.com/office/drawing/2014/chart" uri="{C3380CC4-5D6E-409C-BE32-E72D297353CC}">
              <c16:uniqueId val="{00000002-E64E-4F1F-937D-F58E76B1B391}"/>
            </c:ext>
          </c:extLst>
        </c:ser>
        <c:dLbls>
          <c:dLblPos val="t"/>
          <c:showLegendKey val="0"/>
          <c:showVal val="1"/>
          <c:showCatName val="0"/>
          <c:showSerName val="0"/>
          <c:showPercent val="0"/>
          <c:showBubbleSize val="0"/>
        </c:dLbls>
        <c:smooth val="0"/>
        <c:axId val="831001376"/>
        <c:axId val="831009536"/>
      </c:lineChart>
      <c:catAx>
        <c:axId val="831001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1009536"/>
        <c:crosses val="autoZero"/>
        <c:auto val="1"/>
        <c:lblAlgn val="ctr"/>
        <c:lblOffset val="100"/>
        <c:noMultiLvlLbl val="0"/>
      </c:catAx>
      <c:valAx>
        <c:axId val="83100953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10013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Net</a:t>
            </a:r>
            <a:r>
              <a:rPr lang="en-IN" baseline="0"/>
              <a:t> Sales Revenue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1"/>
          <c:tx>
            <c:v>NCC Ltd</c:v>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'Growth Analysis'!$A$2:$F$2</c15:sqref>
                  </c15:fullRef>
                </c:ext>
              </c:extLst>
              <c:f>'Growth Analysis'!$B$2:$F$2</c:f>
              <c:numCache>
                <c:formatCode>General</c:formatCode>
                <c:ptCount val="5"/>
                <c:pt idx="0">
                  <c:v>2024</c:v>
                </c:pt>
                <c:pt idx="1">
                  <c:v>2023</c:v>
                </c:pt>
                <c:pt idx="2">
                  <c:v>2022</c:v>
                </c:pt>
                <c:pt idx="3">
                  <c:v>2021</c:v>
                </c:pt>
                <c:pt idx="4">
                  <c:v>2020</c:v>
                </c:pt>
              </c:numCache>
            </c:numRef>
          </c:cat>
          <c:val>
            <c:numRef>
              <c:extLst>
                <c:ext xmlns:c15="http://schemas.microsoft.com/office/drawing/2012/chart" uri="{02D57815-91ED-43cb-92C2-25804820EDAC}">
                  <c15:fullRef>
                    <c15:sqref>'Growth Analysis'!$A$3:$F$3</c15:sqref>
                  </c15:fullRef>
                </c:ext>
              </c:extLst>
              <c:f>'Growth Analysis'!$B$3:$F$3</c:f>
              <c:numCache>
                <c:formatCode>#,###</c:formatCode>
                <c:ptCount val="5"/>
                <c:pt idx="0">
                  <c:v>20844.96</c:v>
                </c:pt>
                <c:pt idx="1">
                  <c:v>15553.41</c:v>
                </c:pt>
                <c:pt idx="2">
                  <c:v>11137.96</c:v>
                </c:pt>
                <c:pt idx="3">
                  <c:v>7949.42</c:v>
                </c:pt>
                <c:pt idx="4">
                  <c:v>8901.07</c:v>
                </c:pt>
              </c:numCache>
            </c:numRef>
          </c:val>
          <c:smooth val="0"/>
          <c:extLst>
            <c:ext xmlns:c16="http://schemas.microsoft.com/office/drawing/2014/chart" uri="{C3380CC4-5D6E-409C-BE32-E72D297353CC}">
              <c16:uniqueId val="{00000000-AB2D-4D7A-B5EE-7A2F6A886CC7}"/>
            </c:ext>
          </c:extLst>
        </c:ser>
        <c:ser>
          <c:idx val="2"/>
          <c:order val="2"/>
          <c:tx>
            <c:v>PNC Infratech Ltd</c:v>
          </c:tx>
          <c:spPr>
            <a:ln w="28575" cap="rnd">
              <a:solidFill>
                <a:schemeClr val="accent3"/>
              </a:solidFill>
              <a:round/>
            </a:ln>
            <a:effectLst/>
          </c:spPr>
          <c:marker>
            <c:symbol val="none"/>
          </c:marker>
          <c:dLbls>
            <c:dLbl>
              <c:idx val="3"/>
              <c:layout>
                <c:manualLayout>
                  <c:x val="-5.2194444444444543E-2"/>
                  <c:y val="2.549759405074365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B2D-4D7A-B5EE-7A2F6A886CC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'Growth Analysis'!$A$2:$F$2</c15:sqref>
                  </c15:fullRef>
                </c:ext>
              </c:extLst>
              <c:f>'Growth Analysis'!$B$2:$F$2</c:f>
              <c:numCache>
                <c:formatCode>General</c:formatCode>
                <c:ptCount val="5"/>
                <c:pt idx="0">
                  <c:v>2024</c:v>
                </c:pt>
                <c:pt idx="1">
                  <c:v>2023</c:v>
                </c:pt>
                <c:pt idx="2">
                  <c:v>2022</c:v>
                </c:pt>
                <c:pt idx="3">
                  <c:v>2021</c:v>
                </c:pt>
                <c:pt idx="4">
                  <c:v>2020</c:v>
                </c:pt>
              </c:numCache>
            </c:numRef>
          </c:cat>
          <c:val>
            <c:numRef>
              <c:extLst>
                <c:ext xmlns:c15="http://schemas.microsoft.com/office/drawing/2012/chart" uri="{02D57815-91ED-43cb-92C2-25804820EDAC}">
                  <c15:fullRef>
                    <c15:sqref>'Growth Analysis'!$A$10:$F$10</c15:sqref>
                  </c15:fullRef>
                </c:ext>
              </c:extLst>
              <c:f>'Growth Analysis'!$B$10:$F$10</c:f>
              <c:numCache>
                <c:formatCode>#,###</c:formatCode>
                <c:ptCount val="5"/>
                <c:pt idx="0">
                  <c:v>8649.8700000000008</c:v>
                </c:pt>
                <c:pt idx="1">
                  <c:v>7956.08</c:v>
                </c:pt>
                <c:pt idx="2">
                  <c:v>7208.04</c:v>
                </c:pt>
                <c:pt idx="3">
                  <c:v>5787.57</c:v>
                </c:pt>
                <c:pt idx="4">
                  <c:v>5602.57</c:v>
                </c:pt>
              </c:numCache>
            </c:numRef>
          </c:val>
          <c:smooth val="0"/>
          <c:extLst>
            <c:ext xmlns:c16="http://schemas.microsoft.com/office/drawing/2014/chart" uri="{C3380CC4-5D6E-409C-BE32-E72D297353CC}">
              <c16:uniqueId val="{00000002-AB2D-4D7A-B5EE-7A2F6A886CC7}"/>
            </c:ext>
          </c:extLst>
        </c:ser>
        <c:ser>
          <c:idx val="3"/>
          <c:order val="3"/>
          <c:tx>
            <c:v>KNR Constructions Ltd</c:v>
          </c:tx>
          <c:spPr>
            <a:ln w="28575" cap="rnd">
              <a:solidFill>
                <a:schemeClr val="accent4"/>
              </a:solidFill>
              <a:round/>
            </a:ln>
            <a:effectLst/>
          </c:spPr>
          <c:marker>
            <c:symbol val="none"/>
          </c:marker>
          <c:dLbls>
            <c:dLbl>
              <c:idx val="3"/>
              <c:layout>
                <c:manualLayout>
                  <c:x val="-5.4972222222222325E-2"/>
                  <c:y val="4.401611256926217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B2D-4D7A-B5EE-7A2F6A886CC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'Growth Analysis'!$A$2:$F$2</c15:sqref>
                  </c15:fullRef>
                </c:ext>
              </c:extLst>
              <c:f>'Growth Analysis'!$B$2:$F$2</c:f>
              <c:numCache>
                <c:formatCode>General</c:formatCode>
                <c:ptCount val="5"/>
                <c:pt idx="0">
                  <c:v>2024</c:v>
                </c:pt>
                <c:pt idx="1">
                  <c:v>2023</c:v>
                </c:pt>
                <c:pt idx="2">
                  <c:v>2022</c:v>
                </c:pt>
                <c:pt idx="3">
                  <c:v>2021</c:v>
                </c:pt>
                <c:pt idx="4">
                  <c:v>2020</c:v>
                </c:pt>
              </c:numCache>
            </c:numRef>
          </c:cat>
          <c:val>
            <c:numRef>
              <c:extLst>
                <c:ext xmlns:c15="http://schemas.microsoft.com/office/drawing/2012/chart" uri="{02D57815-91ED-43cb-92C2-25804820EDAC}">
                  <c15:fullRef>
                    <c15:sqref>'Growth Analysis'!$A$17:$F$17</c15:sqref>
                  </c15:fullRef>
                </c:ext>
              </c:extLst>
              <c:f>'Growth Analysis'!$B$17:$F$17</c:f>
              <c:numCache>
                <c:formatCode>#,###</c:formatCode>
                <c:ptCount val="5"/>
                <c:pt idx="0">
                  <c:v>4429.49</c:v>
                </c:pt>
                <c:pt idx="1">
                  <c:v>4062.36</c:v>
                </c:pt>
                <c:pt idx="2">
                  <c:v>3605.82</c:v>
                </c:pt>
                <c:pt idx="3">
                  <c:v>2903.63</c:v>
                </c:pt>
                <c:pt idx="4">
                  <c:v>2451.6799999999998</c:v>
                </c:pt>
              </c:numCache>
            </c:numRef>
          </c:val>
          <c:smooth val="0"/>
          <c:extLst>
            <c:ext xmlns:c16="http://schemas.microsoft.com/office/drawing/2014/chart" uri="{C3380CC4-5D6E-409C-BE32-E72D297353CC}">
              <c16:uniqueId val="{00000004-AB2D-4D7A-B5EE-7A2F6A886CC7}"/>
            </c:ext>
          </c:extLst>
        </c:ser>
        <c:dLbls>
          <c:dLblPos val="t"/>
          <c:showLegendKey val="0"/>
          <c:showVal val="1"/>
          <c:showCatName val="0"/>
          <c:showSerName val="0"/>
          <c:showPercent val="0"/>
          <c:showBubbleSize val="0"/>
        </c:dLbls>
        <c:smooth val="0"/>
        <c:axId val="1795069535"/>
        <c:axId val="1795063775"/>
        <c:extLst>
          <c:ext xmlns:c15="http://schemas.microsoft.com/office/drawing/2012/chart" uri="{02D57815-91ED-43cb-92C2-25804820EDAC}">
            <c15:filteredLineSeries>
              <c15:ser>
                <c:idx val="0"/>
                <c:order val="0"/>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ullRef>
                          <c15:sqref>'Growth Analysis'!$A$2:$F$2</c15:sqref>
                        </c15:fullRef>
                        <c15:formulaRef>
                          <c15:sqref>'Growth Analysis'!$B$2:$F$2</c15:sqref>
                        </c15:formulaRef>
                      </c:ext>
                    </c:extLst>
                    <c:numCache>
                      <c:formatCode>General</c:formatCode>
                      <c:ptCount val="5"/>
                      <c:pt idx="0">
                        <c:v>2024</c:v>
                      </c:pt>
                      <c:pt idx="1">
                        <c:v>2023</c:v>
                      </c:pt>
                      <c:pt idx="2">
                        <c:v>2022</c:v>
                      </c:pt>
                      <c:pt idx="3">
                        <c:v>2021</c:v>
                      </c:pt>
                      <c:pt idx="4">
                        <c:v>2020</c:v>
                      </c:pt>
                    </c:numCache>
                  </c:numRef>
                </c:cat>
                <c:val>
                  <c:numRef>
                    <c:extLst>
                      <c:ext uri="{02D57815-91ED-43cb-92C2-25804820EDAC}">
                        <c15:fullRef>
                          <c15:sqref>'Growth Analysis'!$B$2:$F$2</c15:sqref>
                        </c15:fullRef>
                        <c15:formulaRef>
                          <c15:sqref>'Growth Analysis'!$C$2:$F$2</c15:sqref>
                        </c15:formulaRef>
                      </c:ext>
                    </c:extLst>
                    <c:numCache>
                      <c:formatCode>General</c:formatCode>
                      <c:ptCount val="4"/>
                      <c:pt idx="0">
                        <c:v>2023</c:v>
                      </c:pt>
                      <c:pt idx="1">
                        <c:v>2022</c:v>
                      </c:pt>
                      <c:pt idx="2">
                        <c:v>2021</c:v>
                      </c:pt>
                      <c:pt idx="3">
                        <c:v>2020</c:v>
                      </c:pt>
                    </c:numCache>
                  </c:numRef>
                </c:val>
                <c:smooth val="0"/>
                <c:extLst>
                  <c:ext xmlns:c16="http://schemas.microsoft.com/office/drawing/2014/chart" uri="{C3380CC4-5D6E-409C-BE32-E72D297353CC}">
                    <c16:uniqueId val="{00000005-AB2D-4D7A-B5EE-7A2F6A886CC7}"/>
                  </c:ext>
                </c:extLst>
              </c15:ser>
            </c15:filteredLineSeries>
          </c:ext>
        </c:extLst>
      </c:lineChart>
      <c:catAx>
        <c:axId val="1795069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5063775"/>
        <c:crosses val="autoZero"/>
        <c:auto val="1"/>
        <c:lblAlgn val="ctr"/>
        <c:lblOffset val="100"/>
        <c:noMultiLvlLbl val="0"/>
      </c:catAx>
      <c:valAx>
        <c:axId val="1795063775"/>
        <c:scaling>
          <c:orientation val="minMax"/>
        </c:scaling>
        <c:delete val="0"/>
        <c:axPos val="l"/>
        <c:majorGridlines>
          <c:spPr>
            <a:ln w="9525" cap="flat" cmpd="sng" algn="ctr">
              <a:solidFill>
                <a:schemeClr val="tx1">
                  <a:lumMod val="15000"/>
                  <a:lumOff val="85000"/>
                </a:schemeClr>
              </a:solidFill>
              <a:round/>
            </a:ln>
            <a:effectLst/>
          </c:spPr>
        </c:majorGridlines>
        <c:numFmt formatCode="@"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50695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Net</a:t>
            </a:r>
            <a:r>
              <a:rPr lang="en-IN" baseline="0"/>
              <a:t> Profit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NCC Ltd</c:v>
          </c:tx>
          <c:spPr>
            <a:ln w="28575" cap="rnd">
              <a:solidFill>
                <a:schemeClr val="accent1"/>
              </a:solidFill>
              <a:round/>
            </a:ln>
            <a:effectLst/>
          </c:spPr>
          <c:marker>
            <c:symbol val="none"/>
          </c:marker>
          <c:dLbls>
            <c:dLbl>
              <c:idx val="0"/>
              <c:layout>
                <c:manualLayout>
                  <c:x val="-4.7335455094103619E-2"/>
                  <c:y val="6.185243248856300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02E-432E-A5D7-F5FC697850EA}"/>
                </c:ext>
              </c:extLst>
            </c:dLbl>
            <c:dLbl>
              <c:idx val="1"/>
              <c:layout>
                <c:manualLayout>
                  <c:x val="-0.10883936975299584"/>
                  <c:y val="-5.80137012598796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02E-432E-A5D7-F5FC697850EA}"/>
                </c:ext>
              </c:extLst>
            </c:dLbl>
            <c:dLbl>
              <c:idx val="2"/>
              <c:layout>
                <c:manualLayout>
                  <c:x val="-3.6409791724383404E-2"/>
                  <c:y val="-2.550657547119800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02E-432E-A5D7-F5FC697850EA}"/>
                </c:ext>
              </c:extLst>
            </c:dLbl>
            <c:dLbl>
              <c:idx val="3"/>
              <c:layout>
                <c:manualLayout>
                  <c:x val="-5.8695815733187155E-2"/>
                  <c:y val="-4.408207592187328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02E-432E-A5D7-F5FC697850EA}"/>
                </c:ext>
              </c:extLst>
            </c:dLbl>
            <c:dLbl>
              <c:idx val="4"/>
              <c:layout>
                <c:manualLayout>
                  <c:x val="-6.1481568734287742E-2"/>
                  <c:y val="-7.1945326597886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02E-432E-A5D7-F5FC697850E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'Growth Analysis'!$B$2:$F$2</c:f>
              <c:numCache>
                <c:formatCode>General</c:formatCode>
                <c:ptCount val="5"/>
                <c:pt idx="0">
                  <c:v>2024</c:v>
                </c:pt>
                <c:pt idx="1">
                  <c:v>2023</c:v>
                </c:pt>
                <c:pt idx="2">
                  <c:v>2022</c:v>
                </c:pt>
                <c:pt idx="3">
                  <c:v>2021</c:v>
                </c:pt>
                <c:pt idx="4">
                  <c:v>2020</c:v>
                </c:pt>
              </c:numCache>
            </c:numRef>
          </c:cat>
          <c:val>
            <c:numRef>
              <c:f>'Growth Analysis'!$B$4:$F$4</c:f>
              <c:numCache>
                <c:formatCode>#,##0.00</c:formatCode>
                <c:ptCount val="5"/>
                <c:pt idx="0">
                  <c:v>710.69</c:v>
                </c:pt>
                <c:pt idx="1">
                  <c:v>609.20000000000005</c:v>
                </c:pt>
                <c:pt idx="2">
                  <c:v>482.41</c:v>
                </c:pt>
                <c:pt idx="3">
                  <c:v>283.04000000000002</c:v>
                </c:pt>
                <c:pt idx="4">
                  <c:v>336.53</c:v>
                </c:pt>
              </c:numCache>
            </c:numRef>
          </c:val>
          <c:smooth val="0"/>
          <c:extLst>
            <c:ext xmlns:c16="http://schemas.microsoft.com/office/drawing/2014/chart" uri="{C3380CC4-5D6E-409C-BE32-E72D297353CC}">
              <c16:uniqueId val="{00000005-002E-432E-A5D7-F5FC697850EA}"/>
            </c:ext>
          </c:extLst>
        </c:ser>
        <c:ser>
          <c:idx val="1"/>
          <c:order val="1"/>
          <c:tx>
            <c:v>PNC Infratech</c:v>
          </c:tx>
          <c:spPr>
            <a:ln w="28575" cap="rnd">
              <a:solidFill>
                <a:schemeClr val="accent2"/>
              </a:solidFill>
              <a:round/>
            </a:ln>
            <a:effectLst/>
          </c:spPr>
          <c:marker>
            <c:symbol val="none"/>
          </c:marker>
          <c:dLbls>
            <c:dLbl>
              <c:idx val="0"/>
              <c:layout>
                <c:manualLayout>
                  <c:x val="-5.8427535959740116E-2"/>
                  <c:y val="-4.346742836374545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02E-432E-A5D7-F5FC697850E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'Growth Analysis'!$B$2:$F$2</c:f>
              <c:numCache>
                <c:formatCode>General</c:formatCode>
                <c:ptCount val="5"/>
                <c:pt idx="0">
                  <c:v>2024</c:v>
                </c:pt>
                <c:pt idx="1">
                  <c:v>2023</c:v>
                </c:pt>
                <c:pt idx="2">
                  <c:v>2022</c:v>
                </c:pt>
                <c:pt idx="3">
                  <c:v>2021</c:v>
                </c:pt>
                <c:pt idx="4">
                  <c:v>2020</c:v>
                </c:pt>
              </c:numCache>
            </c:numRef>
          </c:cat>
          <c:val>
            <c:numRef>
              <c:f>'Growth Analysis'!$B$11:$F$11</c:f>
              <c:numCache>
                <c:formatCode>#,##0.00</c:formatCode>
                <c:ptCount val="5"/>
                <c:pt idx="0">
                  <c:v>909.42</c:v>
                </c:pt>
                <c:pt idx="1">
                  <c:v>658.45</c:v>
                </c:pt>
                <c:pt idx="2">
                  <c:v>580.17999999999995</c:v>
                </c:pt>
                <c:pt idx="3">
                  <c:v>497.38</c:v>
                </c:pt>
                <c:pt idx="4">
                  <c:v>549.88</c:v>
                </c:pt>
              </c:numCache>
            </c:numRef>
          </c:val>
          <c:smooth val="0"/>
          <c:extLst>
            <c:ext xmlns:c16="http://schemas.microsoft.com/office/drawing/2014/chart" uri="{C3380CC4-5D6E-409C-BE32-E72D297353CC}">
              <c16:uniqueId val="{00000007-002E-432E-A5D7-F5FC697850EA}"/>
            </c:ext>
          </c:extLst>
        </c:ser>
        <c:ser>
          <c:idx val="2"/>
          <c:order val="2"/>
          <c:tx>
            <c:v>KNR Constructions</c:v>
          </c:tx>
          <c:spPr>
            <a:ln w="28575" cap="rnd">
              <a:solidFill>
                <a:schemeClr val="accent3"/>
              </a:solidFill>
              <a:round/>
            </a:ln>
            <a:effectLst/>
          </c:spPr>
          <c:marker>
            <c:symbol val="none"/>
          </c:marker>
          <c:dLbls>
            <c:dLbl>
              <c:idx val="0"/>
              <c:layout>
                <c:manualLayout>
                  <c:x val="-6.6746596608967465E-2"/>
                  <c:y val="-4.346742836374545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02E-432E-A5D7-F5FC697850EA}"/>
                </c:ext>
              </c:extLst>
            </c:dLbl>
            <c:dLbl>
              <c:idx val="2"/>
              <c:layout>
                <c:manualLayout>
                  <c:x val="-5.8695815733187259E-2"/>
                  <c:y val="4.87954263315032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02E-432E-A5D7-F5FC697850EA}"/>
                </c:ext>
              </c:extLst>
            </c:dLbl>
            <c:dLbl>
              <c:idx val="3"/>
              <c:layout>
                <c:manualLayout>
                  <c:x val="-5.8695815733187155E-2"/>
                  <c:y val="-3.943820080920437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002E-432E-A5D7-F5FC697850E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'Growth Analysis'!$B$2:$F$2</c:f>
              <c:numCache>
                <c:formatCode>General</c:formatCode>
                <c:ptCount val="5"/>
                <c:pt idx="0">
                  <c:v>2024</c:v>
                </c:pt>
                <c:pt idx="1">
                  <c:v>2023</c:v>
                </c:pt>
                <c:pt idx="2">
                  <c:v>2022</c:v>
                </c:pt>
                <c:pt idx="3">
                  <c:v>2021</c:v>
                </c:pt>
                <c:pt idx="4">
                  <c:v>2020</c:v>
                </c:pt>
              </c:numCache>
            </c:numRef>
          </c:cat>
          <c:val>
            <c:numRef>
              <c:f>'Growth Analysis'!$B$18:$F$18</c:f>
              <c:numCache>
                <c:formatCode>#,##0.00</c:formatCode>
                <c:ptCount val="5"/>
                <c:pt idx="0">
                  <c:v>777.4</c:v>
                </c:pt>
                <c:pt idx="1">
                  <c:v>458.01</c:v>
                </c:pt>
                <c:pt idx="2">
                  <c:v>381.84</c:v>
                </c:pt>
                <c:pt idx="3">
                  <c:v>407.38</c:v>
                </c:pt>
                <c:pt idx="4">
                  <c:v>265.51</c:v>
                </c:pt>
              </c:numCache>
            </c:numRef>
          </c:val>
          <c:smooth val="0"/>
          <c:extLst>
            <c:ext xmlns:c16="http://schemas.microsoft.com/office/drawing/2014/chart" uri="{C3380CC4-5D6E-409C-BE32-E72D297353CC}">
              <c16:uniqueId val="{0000000B-002E-432E-A5D7-F5FC697850EA}"/>
            </c:ext>
          </c:extLst>
        </c:ser>
        <c:dLbls>
          <c:dLblPos val="t"/>
          <c:showLegendKey val="0"/>
          <c:showVal val="1"/>
          <c:showCatName val="0"/>
          <c:showSerName val="0"/>
          <c:showPercent val="0"/>
          <c:showBubbleSize val="0"/>
        </c:dLbls>
        <c:smooth val="0"/>
        <c:axId val="1792587167"/>
        <c:axId val="1792578527"/>
      </c:lineChart>
      <c:catAx>
        <c:axId val="1792587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2578527"/>
        <c:crosses val="autoZero"/>
        <c:auto val="1"/>
        <c:lblAlgn val="ctr"/>
        <c:lblOffset val="100"/>
        <c:noMultiLvlLbl val="0"/>
      </c:catAx>
      <c:valAx>
        <c:axId val="179257852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258716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r>
              <a:rPr lang="en-IN" baseline="0"/>
              <a:t> Assets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NCC Ltd</c:v>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'Growth Analysis'!$B$2:$F$2</c:f>
              <c:numCache>
                <c:formatCode>General</c:formatCode>
                <c:ptCount val="5"/>
                <c:pt idx="0">
                  <c:v>2024</c:v>
                </c:pt>
                <c:pt idx="1">
                  <c:v>2023</c:v>
                </c:pt>
                <c:pt idx="2">
                  <c:v>2022</c:v>
                </c:pt>
                <c:pt idx="3">
                  <c:v>2021</c:v>
                </c:pt>
                <c:pt idx="4">
                  <c:v>2020</c:v>
                </c:pt>
              </c:numCache>
            </c:numRef>
          </c:cat>
          <c:val>
            <c:numRef>
              <c:f>'Growth Analysis'!$B$5:$F$5</c:f>
              <c:numCache>
                <c:formatCode>#,###</c:formatCode>
                <c:ptCount val="5"/>
                <c:pt idx="0">
                  <c:v>18097.38</c:v>
                </c:pt>
                <c:pt idx="1">
                  <c:v>16550.12</c:v>
                </c:pt>
                <c:pt idx="2">
                  <c:v>14457.99</c:v>
                </c:pt>
                <c:pt idx="3">
                  <c:v>13539.88</c:v>
                </c:pt>
                <c:pt idx="4">
                  <c:v>13811.89</c:v>
                </c:pt>
              </c:numCache>
            </c:numRef>
          </c:val>
          <c:smooth val="0"/>
          <c:extLst>
            <c:ext xmlns:c16="http://schemas.microsoft.com/office/drawing/2014/chart" uri="{C3380CC4-5D6E-409C-BE32-E72D297353CC}">
              <c16:uniqueId val="{00000000-329F-4BD8-9923-99CF40BCE826}"/>
            </c:ext>
          </c:extLst>
        </c:ser>
        <c:ser>
          <c:idx val="1"/>
          <c:order val="1"/>
          <c:tx>
            <c:v>PNC Infratech</c:v>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'Growth Analysis'!$B$2:$F$2</c:f>
              <c:numCache>
                <c:formatCode>General</c:formatCode>
                <c:ptCount val="5"/>
                <c:pt idx="0">
                  <c:v>2024</c:v>
                </c:pt>
                <c:pt idx="1">
                  <c:v>2023</c:v>
                </c:pt>
                <c:pt idx="2">
                  <c:v>2022</c:v>
                </c:pt>
                <c:pt idx="3">
                  <c:v>2021</c:v>
                </c:pt>
                <c:pt idx="4">
                  <c:v>2020</c:v>
                </c:pt>
              </c:numCache>
            </c:numRef>
          </c:cat>
          <c:val>
            <c:numRef>
              <c:f>'Growth Analysis'!$B$12:$F$12</c:f>
              <c:numCache>
                <c:formatCode>#,###</c:formatCode>
                <c:ptCount val="5"/>
                <c:pt idx="0">
                  <c:v>15610.21</c:v>
                </c:pt>
                <c:pt idx="1">
                  <c:v>12632.12</c:v>
                </c:pt>
                <c:pt idx="2">
                  <c:v>10644.88</c:v>
                </c:pt>
                <c:pt idx="3">
                  <c:v>9575.25</c:v>
                </c:pt>
                <c:pt idx="4">
                  <c:v>8490.2999999999993</c:v>
                </c:pt>
              </c:numCache>
            </c:numRef>
          </c:val>
          <c:smooth val="0"/>
          <c:extLst>
            <c:ext xmlns:c16="http://schemas.microsoft.com/office/drawing/2014/chart" uri="{C3380CC4-5D6E-409C-BE32-E72D297353CC}">
              <c16:uniqueId val="{00000001-329F-4BD8-9923-99CF40BCE826}"/>
            </c:ext>
          </c:extLst>
        </c:ser>
        <c:ser>
          <c:idx val="2"/>
          <c:order val="2"/>
          <c:tx>
            <c:v>KNR Constructions</c:v>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'Growth Analysis'!$B$2:$F$2</c:f>
              <c:numCache>
                <c:formatCode>General</c:formatCode>
                <c:ptCount val="5"/>
                <c:pt idx="0">
                  <c:v>2024</c:v>
                </c:pt>
                <c:pt idx="1">
                  <c:v>2023</c:v>
                </c:pt>
                <c:pt idx="2">
                  <c:v>2022</c:v>
                </c:pt>
                <c:pt idx="3">
                  <c:v>2021</c:v>
                </c:pt>
                <c:pt idx="4">
                  <c:v>2020</c:v>
                </c:pt>
              </c:numCache>
            </c:numRef>
          </c:cat>
          <c:val>
            <c:numRef>
              <c:f>'Growth Analysis'!$B$19:$F$19</c:f>
              <c:numCache>
                <c:formatCode>#,###</c:formatCode>
                <c:ptCount val="5"/>
                <c:pt idx="0">
                  <c:v>5803.79</c:v>
                </c:pt>
                <c:pt idx="1">
                  <c:v>4342.01</c:v>
                </c:pt>
                <c:pt idx="2">
                  <c:v>5270.32</c:v>
                </c:pt>
                <c:pt idx="3">
                  <c:v>4007.18</c:v>
                </c:pt>
                <c:pt idx="4">
                  <c:v>3503.33</c:v>
                </c:pt>
              </c:numCache>
            </c:numRef>
          </c:val>
          <c:smooth val="0"/>
          <c:extLst>
            <c:ext xmlns:c16="http://schemas.microsoft.com/office/drawing/2014/chart" uri="{C3380CC4-5D6E-409C-BE32-E72D297353CC}">
              <c16:uniqueId val="{00000002-329F-4BD8-9923-99CF40BCE826}"/>
            </c:ext>
          </c:extLst>
        </c:ser>
        <c:dLbls>
          <c:dLblPos val="t"/>
          <c:showLegendKey val="0"/>
          <c:showVal val="1"/>
          <c:showCatName val="0"/>
          <c:showSerName val="0"/>
          <c:showPercent val="0"/>
          <c:showBubbleSize val="0"/>
        </c:dLbls>
        <c:smooth val="0"/>
        <c:axId val="1792575167"/>
        <c:axId val="1792597247"/>
      </c:lineChart>
      <c:catAx>
        <c:axId val="1792575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2597247"/>
        <c:crosses val="autoZero"/>
        <c:auto val="1"/>
        <c:lblAlgn val="ctr"/>
        <c:lblOffset val="100"/>
        <c:noMultiLvlLbl val="0"/>
      </c:catAx>
      <c:valAx>
        <c:axId val="1792597247"/>
        <c:scaling>
          <c:orientation val="minMax"/>
        </c:scaling>
        <c:delete val="0"/>
        <c:axPos val="l"/>
        <c:majorGridlines>
          <c:spPr>
            <a:ln w="9525" cap="flat" cmpd="sng" algn="ctr">
              <a:solidFill>
                <a:schemeClr val="tx1">
                  <a:lumMod val="15000"/>
                  <a:lumOff val="85000"/>
                </a:schemeClr>
              </a:solidFill>
              <a:round/>
            </a:ln>
            <a:effectLst/>
          </c:spPr>
        </c:majorGridlines>
        <c:numFmt formatCode="#,###"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257516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 Id="rId5" Type="http://schemas.openxmlformats.org/officeDocument/2006/relationships/chart" Target="../charts/chart4.xml"/><Relationship Id="rId4" Type="http://schemas.openxmlformats.org/officeDocument/2006/relationships/image" Target="../media/image6.png"/></Relationships>
</file>

<file path=xl/drawings/_rels/drawing5.xml.rels><?xml version="1.0" encoding="UTF-8" standalone="yes"?>
<Relationships xmlns="http://schemas.openxmlformats.org/package/2006/relationships"><Relationship Id="rId8" Type="http://schemas.openxmlformats.org/officeDocument/2006/relationships/chart" Target="../charts/chart12.xml"/><Relationship Id="rId3" Type="http://schemas.openxmlformats.org/officeDocument/2006/relationships/chart" Target="../charts/chart7.xml"/><Relationship Id="rId7" Type="http://schemas.openxmlformats.org/officeDocument/2006/relationships/chart" Target="../charts/chart11.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 Id="rId9" Type="http://schemas.openxmlformats.org/officeDocument/2006/relationships/chart" Target="../charts/chart13.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6.xml"/><Relationship Id="rId2" Type="http://schemas.openxmlformats.org/officeDocument/2006/relationships/chart" Target="../charts/chart15.xml"/><Relationship Id="rId1" Type="http://schemas.openxmlformats.org/officeDocument/2006/relationships/chart" Target="../charts/chart14.xml"/><Relationship Id="rId6" Type="http://schemas.openxmlformats.org/officeDocument/2006/relationships/chart" Target="../charts/chart19.xml"/><Relationship Id="rId5" Type="http://schemas.openxmlformats.org/officeDocument/2006/relationships/chart" Target="../charts/chart18.xml"/><Relationship Id="rId4" Type="http://schemas.openxmlformats.org/officeDocument/2006/relationships/chart" Target="../charts/chart17.xml"/></Relationships>
</file>

<file path=xl/drawings/_rels/drawing7.xml.rels><?xml version="1.0" encoding="UTF-8" standalone="yes"?>
<Relationships xmlns="http://schemas.openxmlformats.org/package/2006/relationships"><Relationship Id="rId3" Type="http://schemas.openxmlformats.org/officeDocument/2006/relationships/chart" Target="../charts/chart22.xml"/><Relationship Id="rId2" Type="http://schemas.openxmlformats.org/officeDocument/2006/relationships/chart" Target="../charts/chart21.xml"/><Relationship Id="rId1" Type="http://schemas.openxmlformats.org/officeDocument/2006/relationships/chart" Target="../charts/chart20.xml"/></Relationships>
</file>

<file path=xl/drawings/_rels/drawing8.xml.rels><?xml version="1.0" encoding="UTF-8" standalone="yes"?>
<Relationships xmlns="http://schemas.openxmlformats.org/package/2006/relationships"><Relationship Id="rId1" Type="http://schemas.openxmlformats.org/officeDocument/2006/relationships/chart" Target="../charts/chart23.xml"/></Relationships>
</file>

<file path=xl/drawings/_rels/drawing9.xml.rels><?xml version="1.0" encoding="UTF-8" standalone="yes"?>
<Relationships xmlns="http://schemas.openxmlformats.org/package/2006/relationships"><Relationship Id="rId8" Type="http://schemas.openxmlformats.org/officeDocument/2006/relationships/chart" Target="../charts/chart31.xml"/><Relationship Id="rId3" Type="http://schemas.openxmlformats.org/officeDocument/2006/relationships/chart" Target="../charts/chart26.xml"/><Relationship Id="rId7" Type="http://schemas.openxmlformats.org/officeDocument/2006/relationships/chart" Target="../charts/chart30.xml"/><Relationship Id="rId2" Type="http://schemas.openxmlformats.org/officeDocument/2006/relationships/chart" Target="../charts/chart25.xml"/><Relationship Id="rId1" Type="http://schemas.openxmlformats.org/officeDocument/2006/relationships/chart" Target="../charts/chart24.xml"/><Relationship Id="rId6" Type="http://schemas.openxmlformats.org/officeDocument/2006/relationships/chart" Target="../charts/chart29.xml"/><Relationship Id="rId5" Type="http://schemas.openxmlformats.org/officeDocument/2006/relationships/chart" Target="../charts/chart28.xml"/><Relationship Id="rId4" Type="http://schemas.openxmlformats.org/officeDocument/2006/relationships/chart" Target="../charts/chart27.xml"/><Relationship Id="rId9" Type="http://schemas.openxmlformats.org/officeDocument/2006/relationships/chart" Target="../charts/chart32.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35.xml"/><Relationship Id="rId2" Type="http://schemas.openxmlformats.org/officeDocument/2006/relationships/chart" Target="../charts/chart34.xml"/><Relationship Id="rId1" Type="http://schemas.openxmlformats.org/officeDocument/2006/relationships/chart" Target="../charts/chart33.xml"/></Relationships>
</file>

<file path=xl/drawings/drawing1.xml><?xml version="1.0" encoding="utf-8"?>
<xdr:wsDr xmlns:xdr="http://schemas.openxmlformats.org/drawingml/2006/spreadsheetDrawing" xmlns:a="http://schemas.openxmlformats.org/drawingml/2006/main">
  <xdr:oneCellAnchor>
    <xdr:from>
      <xdr:col>1</xdr:col>
      <xdr:colOff>312420</xdr:colOff>
      <xdr:row>1</xdr:row>
      <xdr:rowOff>45720</xdr:rowOff>
    </xdr:from>
    <xdr:ext cx="11963400" cy="2930418"/>
    <xdr:sp macro="" textlink="">
      <xdr:nvSpPr>
        <xdr:cNvPr id="2" name="TextBox 1">
          <a:extLst>
            <a:ext uri="{FF2B5EF4-FFF2-40B4-BE49-F238E27FC236}">
              <a16:creationId xmlns:a16="http://schemas.microsoft.com/office/drawing/2014/main" id="{DF305632-ABCD-2F99-EA17-9BAB96892A4C}"/>
            </a:ext>
          </a:extLst>
        </xdr:cNvPr>
        <xdr:cNvSpPr txBox="1"/>
      </xdr:nvSpPr>
      <xdr:spPr>
        <a:xfrm>
          <a:off x="922020" y="228600"/>
          <a:ext cx="11963400" cy="2930418"/>
        </a:xfrm>
        <a:prstGeom prst="rect">
          <a:avLst/>
        </a:prstGeom>
        <a:solidFill>
          <a:schemeClr val="bg2"/>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2800" b="1"/>
            <a:t>GROUP-</a:t>
          </a:r>
          <a:r>
            <a:rPr lang="en-IN" sz="2800" b="1" baseline="0"/>
            <a:t> 3</a:t>
          </a:r>
        </a:p>
        <a:p>
          <a:endParaRPr lang="en-IN" sz="2800" b="1" baseline="0"/>
        </a:p>
        <a:p>
          <a:r>
            <a:rPr lang="en-IN" sz="1800" b="1"/>
            <a:t>Group Details-</a:t>
          </a:r>
        </a:p>
        <a:p>
          <a:r>
            <a:rPr lang="en-IN" sz="1800" b="1">
              <a:latin typeface="Avenir Next LT Pro Light" panose="020B0304020202020204" pitchFamily="34" charset="0"/>
            </a:rPr>
            <a:t>AKSHAT</a:t>
          </a:r>
          <a:r>
            <a:rPr lang="en-IN" sz="1800" b="1" baseline="0">
              <a:latin typeface="Avenir Next LT Pro Light" panose="020B0304020202020204" pitchFamily="34" charset="0"/>
            </a:rPr>
            <a:t> AGRAWAL (DM261004)</a:t>
          </a:r>
        </a:p>
        <a:p>
          <a:r>
            <a:rPr lang="en-IN" sz="1800" b="1" baseline="0">
              <a:latin typeface="Avenir Next LT Pro Light" panose="020B0304020202020204" pitchFamily="34" charset="0"/>
            </a:rPr>
            <a:t>HARSH BARARIA (DM261022)</a:t>
          </a:r>
        </a:p>
        <a:p>
          <a:r>
            <a:rPr lang="en-IN" sz="1800" b="1" baseline="0">
              <a:latin typeface="Avenir Next LT Pro Light" panose="020B0304020202020204" pitchFamily="34" charset="0"/>
            </a:rPr>
            <a:t>KEERTHANA DS (DM261025)</a:t>
          </a:r>
        </a:p>
        <a:p>
          <a:r>
            <a:rPr lang="en-IN" sz="1800" b="1" baseline="0">
              <a:latin typeface="Avenir Next LT Pro Light" panose="020B0304020202020204" pitchFamily="34" charset="0"/>
            </a:rPr>
            <a:t>DHIREN REDDY (DM261043)</a:t>
          </a:r>
        </a:p>
        <a:p>
          <a:r>
            <a:rPr lang="en-IN" sz="1800" b="1" baseline="0">
              <a:latin typeface="Avenir Next LT Pro Light" panose="020B0304020202020204" pitchFamily="34" charset="0"/>
            </a:rPr>
            <a:t>RUPKATHA BOSE (DM261065)</a:t>
          </a:r>
        </a:p>
        <a:p>
          <a:r>
            <a:rPr lang="en-IN" sz="1800" b="1" baseline="0">
              <a:latin typeface="Avenir Next LT Pro Light" panose="020B0304020202020204" pitchFamily="34" charset="0"/>
            </a:rPr>
            <a:t>SARATH GOPAL (DM261069)</a:t>
          </a:r>
          <a:endParaRPr lang="en-IN" sz="1800" b="1">
            <a:latin typeface="Avenir Next LT Pro Light" panose="020B0304020202020204" pitchFamily="34" charset="0"/>
          </a:endParaRPr>
        </a:p>
      </xdr:txBody>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11</xdr:row>
      <xdr:rowOff>0</xdr:rowOff>
    </xdr:from>
    <xdr:to>
      <xdr:col>10</xdr:col>
      <xdr:colOff>66362</xdr:colOff>
      <xdr:row>49</xdr:row>
      <xdr:rowOff>166727</xdr:rowOff>
    </xdr:to>
    <xdr:pic>
      <xdr:nvPicPr>
        <xdr:cNvPr id="2" name="Picture 1">
          <a:extLst>
            <a:ext uri="{FF2B5EF4-FFF2-40B4-BE49-F238E27FC236}">
              <a16:creationId xmlns:a16="http://schemas.microsoft.com/office/drawing/2014/main" id="{85FC1483-270B-50D2-26C8-9749611DC3C1}"/>
            </a:ext>
          </a:extLst>
        </xdr:cNvPr>
        <xdr:cNvPicPr>
          <a:picLocks noChangeAspect="1"/>
        </xdr:cNvPicPr>
      </xdr:nvPicPr>
      <xdr:blipFill>
        <a:blip xmlns:r="http://schemas.openxmlformats.org/officeDocument/2006/relationships" r:embed="rId1"/>
        <a:stretch>
          <a:fillRect/>
        </a:stretch>
      </xdr:blipFill>
      <xdr:spPr>
        <a:xfrm>
          <a:off x="0" y="2011680"/>
          <a:ext cx="6201640" cy="7116168"/>
        </a:xfrm>
        <a:prstGeom prst="rect">
          <a:avLst/>
        </a:prstGeom>
      </xdr:spPr>
    </xdr:pic>
    <xdr:clientData/>
  </xdr:twoCellAnchor>
  <xdr:twoCellAnchor editAs="oneCell">
    <xdr:from>
      <xdr:col>9</xdr:col>
      <xdr:colOff>304800</xdr:colOff>
      <xdr:row>14</xdr:row>
      <xdr:rowOff>70702</xdr:rowOff>
    </xdr:from>
    <xdr:to>
      <xdr:col>19</xdr:col>
      <xdr:colOff>458073</xdr:colOff>
      <xdr:row>51</xdr:row>
      <xdr:rowOff>31416</xdr:rowOff>
    </xdr:to>
    <xdr:pic>
      <xdr:nvPicPr>
        <xdr:cNvPr id="3" name="Picture 2">
          <a:extLst>
            <a:ext uri="{FF2B5EF4-FFF2-40B4-BE49-F238E27FC236}">
              <a16:creationId xmlns:a16="http://schemas.microsoft.com/office/drawing/2014/main" id="{50F5CA66-44B0-6EB2-D5C9-21989FEB9B4C}"/>
            </a:ext>
          </a:extLst>
        </xdr:cNvPr>
        <xdr:cNvPicPr>
          <a:picLocks noChangeAspect="1"/>
        </xdr:cNvPicPr>
      </xdr:nvPicPr>
      <xdr:blipFill>
        <a:blip xmlns:r="http://schemas.openxmlformats.org/officeDocument/2006/relationships" r:embed="rId2"/>
        <a:stretch>
          <a:fillRect/>
        </a:stretch>
      </xdr:blipFill>
      <xdr:spPr>
        <a:xfrm>
          <a:off x="5858759" y="2655217"/>
          <a:ext cx="6280695" cy="664589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14</xdr:col>
      <xdr:colOff>369147</xdr:colOff>
      <xdr:row>0</xdr:row>
      <xdr:rowOff>107527</xdr:rowOff>
    </xdr:from>
    <xdr:ext cx="2179636" cy="1031629"/>
    <xdr:sp macro="" textlink="">
      <xdr:nvSpPr>
        <xdr:cNvPr id="2" name="TextBox 1">
          <a:extLst>
            <a:ext uri="{FF2B5EF4-FFF2-40B4-BE49-F238E27FC236}">
              <a16:creationId xmlns:a16="http://schemas.microsoft.com/office/drawing/2014/main" id="{34F0C155-4B82-9B8B-45A5-23147D0E5D54}"/>
            </a:ext>
          </a:extLst>
        </xdr:cNvPr>
        <xdr:cNvSpPr txBox="1"/>
      </xdr:nvSpPr>
      <xdr:spPr>
        <a:xfrm>
          <a:off x="8931621" y="107527"/>
          <a:ext cx="2179636" cy="1031629"/>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000" b="1" i="1" baseline="0"/>
            <a:t>FINANCE  PROJECT</a:t>
          </a:r>
        </a:p>
        <a:p>
          <a:r>
            <a:rPr lang="en-IN" sz="2000" b="1" i="1" baseline="0"/>
            <a:t>GROUP-3</a:t>
          </a:r>
        </a:p>
        <a:p>
          <a:endParaRPr lang="en-IN" sz="2000" b="1" i="1"/>
        </a:p>
      </xdr:txBody>
    </xdr:sp>
    <xdr:clientData/>
  </xdr:oneCellAnchor>
  <xdr:oneCellAnchor>
    <xdr:from>
      <xdr:col>0</xdr:col>
      <xdr:colOff>366906</xdr:colOff>
      <xdr:row>9</xdr:row>
      <xdr:rowOff>11464</xdr:rowOff>
    </xdr:from>
    <xdr:ext cx="12587093" cy="2491740"/>
    <xdr:sp macro="" textlink="">
      <xdr:nvSpPr>
        <xdr:cNvPr id="3" name="TextBox 2">
          <a:extLst>
            <a:ext uri="{FF2B5EF4-FFF2-40B4-BE49-F238E27FC236}">
              <a16:creationId xmlns:a16="http://schemas.microsoft.com/office/drawing/2014/main" id="{55FA8CE4-B56F-5140-7BBA-21D3484A57D8}"/>
            </a:ext>
          </a:extLst>
        </xdr:cNvPr>
        <xdr:cNvSpPr txBox="1"/>
      </xdr:nvSpPr>
      <xdr:spPr>
        <a:xfrm>
          <a:off x="366906" y="1670658"/>
          <a:ext cx="12587093" cy="2491740"/>
        </a:xfrm>
        <a:prstGeom prst="rect">
          <a:avLst/>
        </a:prstGeom>
        <a:solidFill>
          <a:schemeClr val="bg2"/>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600" b="1" i="1"/>
            <a:t>Company</a:t>
          </a:r>
          <a:r>
            <a:rPr lang="en-IN" sz="1600" b="1" i="1" baseline="0"/>
            <a:t> 1- </a:t>
          </a:r>
          <a:r>
            <a:rPr lang="en-IN" sz="1600" b="1" i="1"/>
            <a:t>NCC</a:t>
          </a:r>
          <a:r>
            <a:rPr lang="en-IN" sz="1600" b="1" i="1" baseline="0"/>
            <a:t> LTD</a:t>
          </a:r>
        </a:p>
        <a:p>
          <a:endParaRPr lang="en-IN" sz="1600" b="1" i="1" baseline="0"/>
        </a:p>
        <a:p>
          <a:pPr algn="l"/>
          <a:r>
            <a:rPr lang="en-IN" sz="1800" b="1" i="1" baseline="0"/>
            <a:t>About-  </a:t>
          </a:r>
          <a:r>
            <a:rPr lang="en-IN" sz="1800" b="0" i="0">
              <a:solidFill>
                <a:srgbClr val="FF0000"/>
              </a:solidFill>
              <a:effectLst/>
              <a:latin typeface="+mn-lt"/>
              <a:ea typeface="+mn-ea"/>
              <a:cs typeface="+mn-cs"/>
            </a:rPr>
            <a:t>NCC Limited operates as a construction company specializing in the construction </a:t>
          </a:r>
        </a:p>
        <a:p>
          <a:pPr algn="l"/>
          <a:r>
            <a:rPr lang="en-IN" sz="1800" b="0" i="0">
              <a:solidFill>
                <a:srgbClr val="FF0000"/>
              </a:solidFill>
              <a:effectLst/>
              <a:latin typeface="+mn-lt"/>
              <a:ea typeface="+mn-ea"/>
              <a:cs typeface="+mn-cs"/>
            </a:rPr>
            <a:t>of infrastructures such as roads, bridges, railways, flyovers, transmission lines, irrigation as</a:t>
          </a:r>
        </a:p>
        <a:p>
          <a:pPr algn="l"/>
          <a:r>
            <a:rPr lang="en-IN" sz="1800" b="0" i="0">
              <a:solidFill>
                <a:srgbClr val="FF0000"/>
              </a:solidFill>
              <a:effectLst/>
              <a:latin typeface="+mn-lt"/>
              <a:ea typeface="+mn-ea"/>
              <a:cs typeface="+mn-cs"/>
            </a:rPr>
            <a:t> well as industrial and commercial buildings.</a:t>
          </a:r>
        </a:p>
        <a:p>
          <a:pPr algn="l"/>
          <a:r>
            <a:rPr lang="en-IN" sz="1800" b="0" i="0">
              <a:solidFill>
                <a:srgbClr val="FF0000"/>
              </a:solidFill>
              <a:effectLst/>
              <a:latin typeface="+mn-lt"/>
              <a:ea typeface="+mn-ea"/>
              <a:cs typeface="+mn-cs"/>
            </a:rPr>
            <a:t> The company has many subsidiaries enaged in different industries, namely, Real estate, urban Infrastructure development, power,</a:t>
          </a:r>
          <a:r>
            <a:rPr lang="en-IN" sz="1800" b="0" i="0" baseline="0">
              <a:solidFill>
                <a:srgbClr val="FF0000"/>
              </a:solidFill>
              <a:effectLst/>
              <a:latin typeface="+mn-lt"/>
              <a:ea typeface="+mn-ea"/>
              <a:cs typeface="+mn-cs"/>
            </a:rPr>
            <a:t> </a:t>
          </a:r>
          <a:r>
            <a:rPr lang="en-IN" sz="1800" b="0" i="0">
              <a:solidFill>
                <a:srgbClr val="FF0000"/>
              </a:solidFill>
              <a:effectLst/>
              <a:latin typeface="+mn-lt"/>
              <a:ea typeface="+mn-ea"/>
              <a:cs typeface="+mn-cs"/>
            </a:rPr>
            <a:t>etc.</a:t>
          </a:r>
        </a:p>
        <a:p>
          <a:pPr algn="l"/>
          <a:r>
            <a:rPr lang="en-IN" sz="1800" b="0" i="0">
              <a:solidFill>
                <a:srgbClr val="FF0000"/>
              </a:solidFill>
              <a:effectLst/>
              <a:latin typeface="+mn-lt"/>
              <a:ea typeface="+mn-ea"/>
              <a:cs typeface="+mn-cs"/>
            </a:rPr>
            <a:t>Established in 1978, the company has its registered office located in Andhra Pradesh.</a:t>
          </a:r>
          <a:endParaRPr lang="en-IN" sz="1800" b="1" i="1" baseline="0">
            <a:solidFill>
              <a:srgbClr val="FF0000"/>
            </a:solidFill>
          </a:endParaRPr>
        </a:p>
        <a:p>
          <a:endParaRPr lang="en-IN" sz="1600" b="1" i="1"/>
        </a:p>
      </xdr:txBody>
    </xdr:sp>
    <xdr:clientData/>
  </xdr:oneCellAnchor>
  <xdr:oneCellAnchor>
    <xdr:from>
      <xdr:col>12</xdr:col>
      <xdr:colOff>12290</xdr:colOff>
      <xdr:row>9</xdr:row>
      <xdr:rowOff>24580</xdr:rowOff>
    </xdr:from>
    <xdr:ext cx="9881419" cy="2526631"/>
    <xdr:sp macro="" textlink="">
      <xdr:nvSpPr>
        <xdr:cNvPr id="4" name="TextBox 3">
          <a:extLst>
            <a:ext uri="{FF2B5EF4-FFF2-40B4-BE49-F238E27FC236}">
              <a16:creationId xmlns:a16="http://schemas.microsoft.com/office/drawing/2014/main" id="{BFB65705-C0B7-F9C3-0327-ED28AEAEEB4D}"/>
            </a:ext>
          </a:extLst>
        </xdr:cNvPr>
        <xdr:cNvSpPr txBox="1"/>
      </xdr:nvSpPr>
      <xdr:spPr>
        <a:xfrm>
          <a:off x="14895871" y="1683774"/>
          <a:ext cx="9881419" cy="2526631"/>
        </a:xfrm>
        <a:prstGeom prst="rect">
          <a:avLst/>
        </a:prstGeom>
        <a:solidFill>
          <a:schemeClr val="bg2"/>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600" b="1" i="1"/>
            <a:t>Company 2- PNC</a:t>
          </a:r>
          <a:r>
            <a:rPr lang="en-IN" sz="1600" b="1" i="1" baseline="0"/>
            <a:t> Infratech Ltd</a:t>
          </a:r>
        </a:p>
        <a:p>
          <a:endParaRPr lang="en-IN" sz="1800" b="0" i="0">
            <a:solidFill>
              <a:srgbClr val="FF0000"/>
            </a:solidFill>
            <a:effectLst/>
            <a:latin typeface="+mn-lt"/>
            <a:ea typeface="+mn-ea"/>
            <a:cs typeface="+mn-cs"/>
          </a:endParaRPr>
        </a:p>
        <a:p>
          <a:r>
            <a:rPr lang="en-IN" sz="2000" b="1" i="1" baseline="0"/>
            <a:t>About-  </a:t>
          </a:r>
          <a:r>
            <a:rPr lang="en-IN" sz="2000" b="0" i="0">
              <a:solidFill>
                <a:srgbClr val="FF0000"/>
              </a:solidFill>
              <a:effectLst/>
              <a:latin typeface="+mn-lt"/>
              <a:ea typeface="+mn-ea"/>
              <a:cs typeface="+mn-cs"/>
            </a:rPr>
            <a:t>PNC Infratech Ltd. engages in the infrastructure development and construction business. It includes build, operate, and transfer (BOT) projects, airport runways, bridges, flyovers, and power transmission projects. It operates through the Contract and Toll Annuity segments. </a:t>
          </a:r>
        </a:p>
        <a:p>
          <a:r>
            <a:rPr lang="en-IN" sz="2000" b="0" i="0">
              <a:solidFill>
                <a:srgbClr val="FF0000"/>
              </a:solidFill>
              <a:effectLst/>
              <a:latin typeface="+mn-lt"/>
              <a:ea typeface="+mn-ea"/>
              <a:cs typeface="+mn-cs"/>
            </a:rPr>
            <a:t>The company was founded by Pradeep Kumar Jain on August 9, 1999 and is headquartered in Agra, India.</a:t>
          </a:r>
        </a:p>
        <a:p>
          <a:endParaRPr lang="en-IN" sz="1200" b="1" i="0">
            <a:solidFill>
              <a:srgbClr val="FF0000"/>
            </a:solidFill>
            <a:effectLst/>
            <a:latin typeface="+mn-lt"/>
            <a:ea typeface="+mn-ea"/>
            <a:cs typeface="+mn-cs"/>
          </a:endParaRPr>
        </a:p>
        <a:p>
          <a:br>
            <a:rPr lang="en-IN" sz="1200" b="0" i="0">
              <a:solidFill>
                <a:srgbClr val="FF0000"/>
              </a:solidFill>
              <a:effectLst/>
              <a:latin typeface="+mn-lt"/>
              <a:ea typeface="+mn-ea"/>
              <a:cs typeface="+mn-cs"/>
            </a:rPr>
          </a:br>
          <a:endParaRPr lang="en-IN" sz="1200" b="0" i="0">
            <a:solidFill>
              <a:srgbClr val="FF0000"/>
            </a:solidFill>
            <a:effectLst/>
            <a:latin typeface="+mn-lt"/>
            <a:ea typeface="+mn-ea"/>
            <a:cs typeface="+mn-cs"/>
          </a:endParaRPr>
        </a:p>
      </xdr:txBody>
    </xdr:sp>
    <xdr:clientData/>
  </xdr:oneCellAnchor>
  <xdr:oneCellAnchor>
    <xdr:from>
      <xdr:col>23</xdr:col>
      <xdr:colOff>339603</xdr:colOff>
      <xdr:row>8</xdr:row>
      <xdr:rowOff>17606</xdr:rowOff>
    </xdr:from>
    <xdr:ext cx="11643461" cy="2796878"/>
    <xdr:sp macro="" textlink="">
      <xdr:nvSpPr>
        <xdr:cNvPr id="7" name="TextBox 6">
          <a:extLst>
            <a:ext uri="{FF2B5EF4-FFF2-40B4-BE49-F238E27FC236}">
              <a16:creationId xmlns:a16="http://schemas.microsoft.com/office/drawing/2014/main" id="{A6A42DA6-E50C-6689-9310-851D6880AF46}"/>
            </a:ext>
          </a:extLst>
        </xdr:cNvPr>
        <xdr:cNvSpPr txBox="1"/>
      </xdr:nvSpPr>
      <xdr:spPr>
        <a:xfrm>
          <a:off x="29836377" y="1492445"/>
          <a:ext cx="11643461" cy="2796878"/>
        </a:xfrm>
        <a:prstGeom prst="rect">
          <a:avLst/>
        </a:prstGeom>
        <a:solidFill>
          <a:schemeClr val="bg2"/>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600" b="1" i="1"/>
            <a:t>Company 3- KNR Constructions Ltd</a:t>
          </a:r>
        </a:p>
        <a:p>
          <a:endParaRPr lang="en-IN" sz="1600" b="1" i="1"/>
        </a:p>
        <a:p>
          <a:r>
            <a:rPr lang="en-IN" sz="2000" b="1" i="1"/>
            <a:t>About-</a:t>
          </a:r>
          <a:r>
            <a:rPr lang="en-IN" sz="2000" b="1" i="1" baseline="0"/>
            <a:t> </a:t>
          </a:r>
          <a:r>
            <a:rPr lang="en-IN" sz="2000" b="0" i="0">
              <a:solidFill>
                <a:schemeClr val="tx1"/>
              </a:solidFill>
              <a:effectLst/>
              <a:latin typeface="+mn-lt"/>
              <a:ea typeface="+mn-ea"/>
              <a:cs typeface="+mn-cs"/>
            </a:rPr>
            <a:t> </a:t>
          </a:r>
          <a:r>
            <a:rPr lang="en-IN" sz="2000" b="0" i="0">
              <a:solidFill>
                <a:srgbClr val="FF0000"/>
              </a:solidFill>
              <a:effectLst/>
              <a:latin typeface="+mn-lt"/>
              <a:ea typeface="+mn-ea"/>
              <a:cs typeface="+mn-cs"/>
            </a:rPr>
            <a:t>The company provides engineering, procurement, and construction services in the areas of roads and highways, irrigation, and urban water infrastructure management. KNR Constructions primarily undertakes road transportation engineering projects, such as construction and maintenance of roads, highways, flyovers, and bridges. The company also executes the construction projects, such as express ways, national highways, state highways and rural roads, flyovers, bridges and viaducts, irrigation projects, urban development, and commercial and residential projects. </a:t>
          </a:r>
        </a:p>
        <a:p>
          <a:r>
            <a:rPr lang="en-IN" sz="2000" b="0" i="0">
              <a:solidFill>
                <a:srgbClr val="FF0000"/>
              </a:solidFill>
              <a:effectLst/>
              <a:latin typeface="+mn-lt"/>
              <a:ea typeface="+mn-ea"/>
              <a:cs typeface="+mn-cs"/>
            </a:rPr>
            <a:t>KNR Constructions Limited was founded in 1979 and is based in Hyderabad.</a:t>
          </a:r>
          <a:endParaRPr lang="en-IN" sz="2000" b="1" i="1">
            <a:solidFill>
              <a:srgbClr val="FF0000"/>
            </a:solidFill>
          </a:endParaRPr>
        </a:p>
        <a:p>
          <a:endParaRPr lang="en-IN" sz="1600" b="1" i="1"/>
        </a:p>
        <a:p>
          <a:endParaRPr lang="en-IN" sz="1600" b="1" i="1"/>
        </a:p>
      </xdr:txBody>
    </xdr:sp>
    <xdr:clientData/>
  </xdr:oneCellAnchor>
  <xdr:oneCellAnchor>
    <xdr:from>
      <xdr:col>3</xdr:col>
      <xdr:colOff>6169</xdr:colOff>
      <xdr:row>37</xdr:row>
      <xdr:rowOff>180620</xdr:rowOff>
    </xdr:from>
    <xdr:ext cx="4234353" cy="3805255"/>
    <xdr:sp macro="" textlink="">
      <xdr:nvSpPr>
        <xdr:cNvPr id="6" name="TextBox 5">
          <a:extLst>
            <a:ext uri="{FF2B5EF4-FFF2-40B4-BE49-F238E27FC236}">
              <a16:creationId xmlns:a16="http://schemas.microsoft.com/office/drawing/2014/main" id="{EEE896B6-3CE4-4F7C-544C-52B945F8776E}"/>
            </a:ext>
          </a:extLst>
        </xdr:cNvPr>
        <xdr:cNvSpPr txBox="1"/>
      </xdr:nvSpPr>
      <xdr:spPr>
        <a:xfrm>
          <a:off x="9358936" y="7779743"/>
          <a:ext cx="4234353" cy="3805255"/>
        </a:xfrm>
        <a:prstGeom prst="rect">
          <a:avLst/>
        </a:prstGeom>
        <a:solidFill>
          <a:schemeClr val="accent2"/>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IN" sz="1800"/>
        </a:p>
        <a:p>
          <a:r>
            <a:rPr lang="en-IN" sz="2400"/>
            <a:t>Comments-</a:t>
          </a:r>
          <a:endParaRPr lang="en-IN" sz="1800"/>
        </a:p>
        <a:p>
          <a:endParaRPr lang="en-IN" sz="1800"/>
        </a:p>
        <a:p>
          <a:r>
            <a:rPr lang="en-IN" sz="1800"/>
            <a:t>Foreign institutions have sold a</a:t>
          </a:r>
          <a:r>
            <a:rPr lang="en-IN" sz="1800" baseline="0"/>
            <a:t> portion of their stake over the period of one year, unlike the competitors; where FIIs have increased their equity stake in those respective companies.</a:t>
          </a:r>
        </a:p>
        <a:p>
          <a:r>
            <a:rPr lang="en-IN" sz="1800" baseline="0"/>
            <a:t>Promoters do not hold the majority of shares of the company, unlike the competitors where they have more than 50% of equity holdings.</a:t>
          </a:r>
        </a:p>
        <a:p>
          <a:r>
            <a:rPr lang="en-IN" sz="1800" baseline="0"/>
            <a:t> </a:t>
          </a:r>
        </a:p>
        <a:p>
          <a:endParaRPr lang="en-IN" sz="1800"/>
        </a:p>
      </xdr:txBody>
    </xdr:sp>
    <xdr:clientData/>
  </xdr:oneCellAnchor>
  <xdr:twoCellAnchor>
    <xdr:from>
      <xdr:col>0</xdr:col>
      <xdr:colOff>1883886</xdr:colOff>
      <xdr:row>33</xdr:row>
      <xdr:rowOff>222961</xdr:rowOff>
    </xdr:from>
    <xdr:to>
      <xdr:col>1</xdr:col>
      <xdr:colOff>2277024</xdr:colOff>
      <xdr:row>50</xdr:row>
      <xdr:rowOff>14243</xdr:rowOff>
    </xdr:to>
    <xdr:graphicFrame macro="">
      <xdr:nvGraphicFramePr>
        <xdr:cNvPr id="14" name="Chart 13">
          <a:extLst>
            <a:ext uri="{FF2B5EF4-FFF2-40B4-BE49-F238E27FC236}">
              <a16:creationId xmlns:a16="http://schemas.microsoft.com/office/drawing/2014/main" id="{AA04A76F-2574-FC4C-3490-B20A2EA171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1415760</xdr:colOff>
      <xdr:row>34</xdr:row>
      <xdr:rowOff>5194</xdr:rowOff>
    </xdr:from>
    <xdr:to>
      <xdr:col>13</xdr:col>
      <xdr:colOff>1870363</xdr:colOff>
      <xdr:row>49</xdr:row>
      <xdr:rowOff>156575</xdr:rowOff>
    </xdr:to>
    <xdr:graphicFrame macro="">
      <xdr:nvGraphicFramePr>
        <xdr:cNvPr id="15" name="Chart 14">
          <a:extLst>
            <a:ext uri="{FF2B5EF4-FFF2-40B4-BE49-F238E27FC236}">
              <a16:creationId xmlns:a16="http://schemas.microsoft.com/office/drawing/2014/main" id="{FC0E3A80-82E0-8B86-749A-C338841E33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1909329</xdr:colOff>
      <xdr:row>33</xdr:row>
      <xdr:rowOff>213014</xdr:rowOff>
    </xdr:from>
    <xdr:to>
      <xdr:col>25</xdr:col>
      <xdr:colOff>2199968</xdr:colOff>
      <xdr:row>50</xdr:row>
      <xdr:rowOff>122903</xdr:rowOff>
    </xdr:to>
    <xdr:graphicFrame macro="">
      <xdr:nvGraphicFramePr>
        <xdr:cNvPr id="16" name="Chart 15">
          <a:extLst>
            <a:ext uri="{FF2B5EF4-FFF2-40B4-BE49-F238E27FC236}">
              <a16:creationId xmlns:a16="http://schemas.microsoft.com/office/drawing/2014/main" id="{083A44EF-381B-B518-A4C8-78E0F9151D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7</xdr:col>
      <xdr:colOff>262128</xdr:colOff>
      <xdr:row>5</xdr:row>
      <xdr:rowOff>0</xdr:rowOff>
    </xdr:from>
    <xdr:to>
      <xdr:col>13</xdr:col>
      <xdr:colOff>335792</xdr:colOff>
      <xdr:row>17</xdr:row>
      <xdr:rowOff>152400</xdr:rowOff>
    </xdr:to>
    <xdr:pic>
      <xdr:nvPicPr>
        <xdr:cNvPr id="3" name="Picture 2">
          <a:extLst>
            <a:ext uri="{FF2B5EF4-FFF2-40B4-BE49-F238E27FC236}">
              <a16:creationId xmlns:a16="http://schemas.microsoft.com/office/drawing/2014/main" id="{5CF2045B-25EA-C9D9-7425-446A082FBCD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529328" y="914400"/>
          <a:ext cx="4349620" cy="2346960"/>
        </a:xfrm>
        <a:prstGeom prst="rect">
          <a:avLst/>
        </a:prstGeom>
      </xdr:spPr>
    </xdr:pic>
    <xdr:clientData/>
  </xdr:twoCellAnchor>
  <xdr:twoCellAnchor editAs="oneCell">
    <xdr:from>
      <xdr:col>0</xdr:col>
      <xdr:colOff>75939</xdr:colOff>
      <xdr:row>4</xdr:row>
      <xdr:rowOff>177755</xdr:rowOff>
    </xdr:from>
    <xdr:to>
      <xdr:col>3</xdr:col>
      <xdr:colOff>976113</xdr:colOff>
      <xdr:row>17</xdr:row>
      <xdr:rowOff>155478</xdr:rowOff>
    </xdr:to>
    <xdr:pic>
      <xdr:nvPicPr>
        <xdr:cNvPr id="5" name="Picture 4">
          <a:extLst>
            <a:ext uri="{FF2B5EF4-FFF2-40B4-BE49-F238E27FC236}">
              <a16:creationId xmlns:a16="http://schemas.microsoft.com/office/drawing/2014/main" id="{3D24A70F-CFFD-4A76-8399-FF4E6FE0209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5939" y="903469"/>
          <a:ext cx="4089262" cy="2336295"/>
        </a:xfrm>
        <a:prstGeom prst="rect">
          <a:avLst/>
        </a:prstGeom>
      </xdr:spPr>
    </xdr:pic>
    <xdr:clientData/>
  </xdr:twoCellAnchor>
  <xdr:twoCellAnchor editAs="oneCell">
    <xdr:from>
      <xdr:col>15</xdr:col>
      <xdr:colOff>50964</xdr:colOff>
      <xdr:row>5</xdr:row>
      <xdr:rowOff>129143</xdr:rowOff>
    </xdr:from>
    <xdr:to>
      <xdr:col>21</xdr:col>
      <xdr:colOff>312945</xdr:colOff>
      <xdr:row>17</xdr:row>
      <xdr:rowOff>112922</xdr:rowOff>
    </xdr:to>
    <xdr:pic>
      <xdr:nvPicPr>
        <xdr:cNvPr id="7" name="Picture 6">
          <a:extLst>
            <a:ext uri="{FF2B5EF4-FFF2-40B4-BE49-F238E27FC236}">
              <a16:creationId xmlns:a16="http://schemas.microsoft.com/office/drawing/2014/main" id="{75C76F29-F03A-C1B1-7A43-2C9BCB800B54}"/>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194964" y="1054429"/>
          <a:ext cx="4426528" cy="2204464"/>
        </a:xfrm>
        <a:prstGeom prst="rect">
          <a:avLst/>
        </a:prstGeom>
      </xdr:spPr>
    </xdr:pic>
    <xdr:clientData/>
  </xdr:twoCellAnchor>
  <xdr:twoCellAnchor editAs="oneCell">
    <xdr:from>
      <xdr:col>4</xdr:col>
      <xdr:colOff>587230</xdr:colOff>
      <xdr:row>25</xdr:row>
      <xdr:rowOff>22306</xdr:rowOff>
    </xdr:from>
    <xdr:to>
      <xdr:col>16</xdr:col>
      <xdr:colOff>81959</xdr:colOff>
      <xdr:row>47</xdr:row>
      <xdr:rowOff>49519</xdr:rowOff>
    </xdr:to>
    <xdr:pic>
      <xdr:nvPicPr>
        <xdr:cNvPr id="9" name="Picture 8">
          <a:extLst>
            <a:ext uri="{FF2B5EF4-FFF2-40B4-BE49-F238E27FC236}">
              <a16:creationId xmlns:a16="http://schemas.microsoft.com/office/drawing/2014/main" id="{345E44D1-32DC-ACCD-D0FB-DC8406F179CD}"/>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3020037" y="4566343"/>
          <a:ext cx="8625801" cy="4025965"/>
        </a:xfrm>
        <a:prstGeom prst="rect">
          <a:avLst/>
        </a:prstGeom>
      </xdr:spPr>
    </xdr:pic>
    <xdr:clientData/>
  </xdr:twoCellAnchor>
  <xdr:twoCellAnchor>
    <xdr:from>
      <xdr:col>9</xdr:col>
      <xdr:colOff>596746</xdr:colOff>
      <xdr:row>86</xdr:row>
      <xdr:rowOff>132522</xdr:rowOff>
    </xdr:from>
    <xdr:to>
      <xdr:col>28</xdr:col>
      <xdr:colOff>541131</xdr:colOff>
      <xdr:row>115</xdr:row>
      <xdr:rowOff>11043</xdr:rowOff>
    </xdr:to>
    <xdr:graphicFrame macro="">
      <xdr:nvGraphicFramePr>
        <xdr:cNvPr id="2" name="Chart 1">
          <a:extLst>
            <a:ext uri="{FF2B5EF4-FFF2-40B4-BE49-F238E27FC236}">
              <a16:creationId xmlns:a16="http://schemas.microsoft.com/office/drawing/2014/main" id="{BBB1B07A-C01B-D859-D308-ED27025F9E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10</xdr:col>
      <xdr:colOff>18585</xdr:colOff>
      <xdr:row>117</xdr:row>
      <xdr:rowOff>195146</xdr:rowOff>
    </xdr:from>
    <xdr:ext cx="6737195" cy="1765610"/>
    <xdr:sp macro="" textlink="">
      <xdr:nvSpPr>
        <xdr:cNvPr id="4" name="TextBox 3">
          <a:extLst>
            <a:ext uri="{FF2B5EF4-FFF2-40B4-BE49-F238E27FC236}">
              <a16:creationId xmlns:a16="http://schemas.microsoft.com/office/drawing/2014/main" id="{615C8830-02EE-3CA1-C383-BEE8D0698795}"/>
            </a:ext>
          </a:extLst>
        </xdr:cNvPr>
        <xdr:cNvSpPr txBox="1"/>
      </xdr:nvSpPr>
      <xdr:spPr>
        <a:xfrm>
          <a:off x="9190463" y="22460414"/>
          <a:ext cx="6737195" cy="1765610"/>
        </a:xfrm>
        <a:prstGeom prst="rect">
          <a:avLst/>
        </a:prstGeom>
        <a:solidFill>
          <a:schemeClr val="accent2">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b">
          <a:noAutofit/>
        </a:bodyPr>
        <a:lstStyle/>
        <a:p>
          <a:r>
            <a:rPr lang="en-IN" sz="2800" b="1">
              <a:solidFill>
                <a:srgbClr val="FF0000"/>
              </a:solidFill>
            </a:rPr>
            <a:t>COMMENTS-</a:t>
          </a:r>
        </a:p>
        <a:p>
          <a:r>
            <a:rPr lang="en-IN" sz="1600"/>
            <a:t>Comparing the coefficient</a:t>
          </a:r>
          <a:r>
            <a:rPr lang="en-IN" sz="1600" baseline="0"/>
            <a:t> of variation of all 3 companies and the index,</a:t>
          </a:r>
        </a:p>
        <a:p>
          <a:r>
            <a:rPr lang="en-IN" sz="1600" baseline="0"/>
            <a:t> we noticed that NCC Ltd shows the highest degree of volatility and the share</a:t>
          </a:r>
        </a:p>
        <a:p>
          <a:r>
            <a:rPr lang="en-IN" sz="1600" baseline="0"/>
            <a:t> price rose 128.6%, which is the highest among the three companies that we </a:t>
          </a:r>
        </a:p>
        <a:p>
          <a:r>
            <a:rPr lang="en-IN" sz="1600" baseline="0"/>
            <a:t>took under consideration.</a:t>
          </a:r>
          <a:endParaRPr lang="en-IN" sz="1600"/>
        </a:p>
      </xdr:txBody>
    </xdr:sp>
    <xdr:clientData/>
  </xdr:oneCellAnchor>
</xdr:wsDr>
</file>

<file path=xl/drawings/drawing5.xml><?xml version="1.0" encoding="utf-8"?>
<xdr:wsDr xmlns:xdr="http://schemas.openxmlformats.org/drawingml/2006/spreadsheetDrawing" xmlns:a="http://schemas.openxmlformats.org/drawingml/2006/main">
  <xdr:twoCellAnchor>
    <xdr:from>
      <xdr:col>0</xdr:col>
      <xdr:colOff>114300</xdr:colOff>
      <xdr:row>36</xdr:row>
      <xdr:rowOff>11430</xdr:rowOff>
    </xdr:from>
    <xdr:to>
      <xdr:col>5</xdr:col>
      <xdr:colOff>746760</xdr:colOff>
      <xdr:row>51</xdr:row>
      <xdr:rowOff>11430</xdr:rowOff>
    </xdr:to>
    <xdr:graphicFrame macro="">
      <xdr:nvGraphicFramePr>
        <xdr:cNvPr id="2" name="Chart 1">
          <a:extLst>
            <a:ext uri="{FF2B5EF4-FFF2-40B4-BE49-F238E27FC236}">
              <a16:creationId xmlns:a16="http://schemas.microsoft.com/office/drawing/2014/main" id="{2773BF71-EEFF-E249-13C5-3D20FF39E6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250372</xdr:colOff>
      <xdr:row>64</xdr:row>
      <xdr:rowOff>174171</xdr:rowOff>
    </xdr:from>
    <xdr:to>
      <xdr:col>5</xdr:col>
      <xdr:colOff>10886</xdr:colOff>
      <xdr:row>81</xdr:row>
      <xdr:rowOff>14514</xdr:rowOff>
    </xdr:to>
    <xdr:graphicFrame macro="">
      <xdr:nvGraphicFramePr>
        <xdr:cNvPr id="6" name="Chart 5">
          <a:extLst>
            <a:ext uri="{FF2B5EF4-FFF2-40B4-BE49-F238E27FC236}">
              <a16:creationId xmlns:a16="http://schemas.microsoft.com/office/drawing/2014/main" id="{9978E1DB-9877-1FA8-0258-7ECF2924D6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97</xdr:row>
      <xdr:rowOff>14515</xdr:rowOff>
    </xdr:from>
    <xdr:to>
      <xdr:col>5</xdr:col>
      <xdr:colOff>551543</xdr:colOff>
      <xdr:row>112</xdr:row>
      <xdr:rowOff>36286</xdr:rowOff>
    </xdr:to>
    <xdr:graphicFrame macro="">
      <xdr:nvGraphicFramePr>
        <xdr:cNvPr id="7" name="Chart 6">
          <a:extLst>
            <a:ext uri="{FF2B5EF4-FFF2-40B4-BE49-F238E27FC236}">
              <a16:creationId xmlns:a16="http://schemas.microsoft.com/office/drawing/2014/main" id="{AE7F0966-F2F9-7266-B46D-AC5B0877C3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0</xdr:colOff>
      <xdr:row>35</xdr:row>
      <xdr:rowOff>168498</xdr:rowOff>
    </xdr:from>
    <xdr:to>
      <xdr:col>14</xdr:col>
      <xdr:colOff>65</xdr:colOff>
      <xdr:row>50</xdr:row>
      <xdr:rowOff>174938</xdr:rowOff>
    </xdr:to>
    <xdr:graphicFrame macro="">
      <xdr:nvGraphicFramePr>
        <xdr:cNvPr id="9" name="Chart 8">
          <a:extLst>
            <a:ext uri="{FF2B5EF4-FFF2-40B4-BE49-F238E27FC236}">
              <a16:creationId xmlns:a16="http://schemas.microsoft.com/office/drawing/2014/main" id="{32FDDFBF-7B07-9040-8BB9-A901B309F4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29308</xdr:colOff>
      <xdr:row>65</xdr:row>
      <xdr:rowOff>41304</xdr:rowOff>
    </xdr:from>
    <xdr:to>
      <xdr:col>13</xdr:col>
      <xdr:colOff>603739</xdr:colOff>
      <xdr:row>81</xdr:row>
      <xdr:rowOff>26581</xdr:rowOff>
    </xdr:to>
    <xdr:graphicFrame macro="">
      <xdr:nvGraphicFramePr>
        <xdr:cNvPr id="10" name="Chart 9">
          <a:extLst>
            <a:ext uri="{FF2B5EF4-FFF2-40B4-BE49-F238E27FC236}">
              <a16:creationId xmlns:a16="http://schemas.microsoft.com/office/drawing/2014/main" id="{06E950A6-02E4-2B6F-FE53-8CB4D4457F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9180</xdr:colOff>
      <xdr:row>97</xdr:row>
      <xdr:rowOff>918</xdr:rowOff>
    </xdr:from>
    <xdr:to>
      <xdr:col>13</xdr:col>
      <xdr:colOff>339686</xdr:colOff>
      <xdr:row>111</xdr:row>
      <xdr:rowOff>173515</xdr:rowOff>
    </xdr:to>
    <xdr:graphicFrame macro="">
      <xdr:nvGraphicFramePr>
        <xdr:cNvPr id="11" name="Chart 10">
          <a:extLst>
            <a:ext uri="{FF2B5EF4-FFF2-40B4-BE49-F238E27FC236}">
              <a16:creationId xmlns:a16="http://schemas.microsoft.com/office/drawing/2014/main" id="{3CAF8305-B7F7-242F-3545-35D9F76035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9896</xdr:colOff>
      <xdr:row>36</xdr:row>
      <xdr:rowOff>3959</xdr:rowOff>
    </xdr:from>
    <xdr:to>
      <xdr:col>21</xdr:col>
      <xdr:colOff>762000</xdr:colOff>
      <xdr:row>51</xdr:row>
      <xdr:rowOff>75211</xdr:rowOff>
    </xdr:to>
    <xdr:graphicFrame macro="">
      <xdr:nvGraphicFramePr>
        <xdr:cNvPr id="3" name="Chart 2">
          <a:extLst>
            <a:ext uri="{FF2B5EF4-FFF2-40B4-BE49-F238E27FC236}">
              <a16:creationId xmlns:a16="http://schemas.microsoft.com/office/drawing/2014/main" id="{D62C0B63-153F-C7AC-FCC8-0A15100FE2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3595</xdr:colOff>
      <xdr:row>65</xdr:row>
      <xdr:rowOff>1438</xdr:rowOff>
    </xdr:from>
    <xdr:to>
      <xdr:col>21</xdr:col>
      <xdr:colOff>672142</xdr:colOff>
      <xdr:row>80</xdr:row>
      <xdr:rowOff>48883</xdr:rowOff>
    </xdr:to>
    <xdr:graphicFrame macro="">
      <xdr:nvGraphicFramePr>
        <xdr:cNvPr id="4" name="Chart 3">
          <a:extLst>
            <a:ext uri="{FF2B5EF4-FFF2-40B4-BE49-F238E27FC236}">
              <a16:creationId xmlns:a16="http://schemas.microsoft.com/office/drawing/2014/main" id="{48F74944-2C3F-96F6-AFFE-AB3B5FC498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18584</xdr:colOff>
      <xdr:row>97</xdr:row>
      <xdr:rowOff>8364</xdr:rowOff>
    </xdr:from>
    <xdr:to>
      <xdr:col>21</xdr:col>
      <xdr:colOff>734121</xdr:colOff>
      <xdr:row>111</xdr:row>
      <xdr:rowOff>149613</xdr:rowOff>
    </xdr:to>
    <xdr:graphicFrame macro="">
      <xdr:nvGraphicFramePr>
        <xdr:cNvPr id="5" name="Chart 4">
          <a:extLst>
            <a:ext uri="{FF2B5EF4-FFF2-40B4-BE49-F238E27FC236}">
              <a16:creationId xmlns:a16="http://schemas.microsoft.com/office/drawing/2014/main" id="{74ADFC00-464D-E185-925D-55C61C3113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1016001</xdr:colOff>
      <xdr:row>47</xdr:row>
      <xdr:rowOff>11596</xdr:rowOff>
    </xdr:from>
    <xdr:to>
      <xdr:col>4</xdr:col>
      <xdr:colOff>861391</xdr:colOff>
      <xdr:row>66</xdr:row>
      <xdr:rowOff>70554</xdr:rowOff>
    </xdr:to>
    <xdr:graphicFrame macro="">
      <xdr:nvGraphicFramePr>
        <xdr:cNvPr id="2" name="Chart 1">
          <a:extLst>
            <a:ext uri="{FF2B5EF4-FFF2-40B4-BE49-F238E27FC236}">
              <a16:creationId xmlns:a16="http://schemas.microsoft.com/office/drawing/2014/main" id="{187BFEDF-B582-1E6C-CDBD-A6835A0D80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376297</xdr:colOff>
      <xdr:row>47</xdr:row>
      <xdr:rowOff>15991</xdr:rowOff>
    </xdr:from>
    <xdr:to>
      <xdr:col>13</xdr:col>
      <xdr:colOff>762001</xdr:colOff>
      <xdr:row>66</xdr:row>
      <xdr:rowOff>183443</xdr:rowOff>
    </xdr:to>
    <xdr:graphicFrame macro="">
      <xdr:nvGraphicFramePr>
        <xdr:cNvPr id="3" name="Chart 2">
          <a:extLst>
            <a:ext uri="{FF2B5EF4-FFF2-40B4-BE49-F238E27FC236}">
              <a16:creationId xmlns:a16="http://schemas.microsoft.com/office/drawing/2014/main" id="{BDB4CB64-5B00-417A-5861-C70DCBEBDB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428624</xdr:colOff>
      <xdr:row>47</xdr:row>
      <xdr:rowOff>5196</xdr:rowOff>
    </xdr:from>
    <xdr:to>
      <xdr:col>22</xdr:col>
      <xdr:colOff>38965</xdr:colOff>
      <xdr:row>66</xdr:row>
      <xdr:rowOff>155222</xdr:rowOff>
    </xdr:to>
    <xdr:graphicFrame macro="">
      <xdr:nvGraphicFramePr>
        <xdr:cNvPr id="4" name="Chart 3">
          <a:extLst>
            <a:ext uri="{FF2B5EF4-FFF2-40B4-BE49-F238E27FC236}">
              <a16:creationId xmlns:a16="http://schemas.microsoft.com/office/drawing/2014/main" id="{B587D843-AB7C-1D62-6A84-6B1A5502F3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10027</xdr:colOff>
      <xdr:row>75</xdr:row>
      <xdr:rowOff>12032</xdr:rowOff>
    </xdr:from>
    <xdr:to>
      <xdr:col>4</xdr:col>
      <xdr:colOff>852237</xdr:colOff>
      <xdr:row>90</xdr:row>
      <xdr:rowOff>48127</xdr:rowOff>
    </xdr:to>
    <xdr:graphicFrame macro="">
      <xdr:nvGraphicFramePr>
        <xdr:cNvPr id="5" name="Chart 4">
          <a:extLst>
            <a:ext uri="{FF2B5EF4-FFF2-40B4-BE49-F238E27FC236}">
              <a16:creationId xmlns:a16="http://schemas.microsoft.com/office/drawing/2014/main" id="{13F3D8FF-17AC-F023-A083-6B84DB1A3C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276329</xdr:colOff>
      <xdr:row>75</xdr:row>
      <xdr:rowOff>18421</xdr:rowOff>
    </xdr:from>
    <xdr:to>
      <xdr:col>10</xdr:col>
      <xdr:colOff>443802</xdr:colOff>
      <xdr:row>89</xdr:row>
      <xdr:rowOff>182544</xdr:rowOff>
    </xdr:to>
    <xdr:graphicFrame macro="">
      <xdr:nvGraphicFramePr>
        <xdr:cNvPr id="6" name="Chart 5">
          <a:extLst>
            <a:ext uri="{FF2B5EF4-FFF2-40B4-BE49-F238E27FC236}">
              <a16:creationId xmlns:a16="http://schemas.microsoft.com/office/drawing/2014/main" id="{A8108AA9-79F3-D1FA-5D1B-0F8C0079E5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665544</xdr:colOff>
      <xdr:row>75</xdr:row>
      <xdr:rowOff>2893</xdr:rowOff>
    </xdr:from>
    <xdr:to>
      <xdr:col>19</xdr:col>
      <xdr:colOff>202557</xdr:colOff>
      <xdr:row>89</xdr:row>
      <xdr:rowOff>180372</xdr:rowOff>
    </xdr:to>
    <xdr:graphicFrame macro="">
      <xdr:nvGraphicFramePr>
        <xdr:cNvPr id="7" name="Chart 6">
          <a:extLst>
            <a:ext uri="{FF2B5EF4-FFF2-40B4-BE49-F238E27FC236}">
              <a16:creationId xmlns:a16="http://schemas.microsoft.com/office/drawing/2014/main" id="{BAA3DCE4-3E40-6605-BD04-38D635A10C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421105</xdr:colOff>
      <xdr:row>9</xdr:row>
      <xdr:rowOff>175794</xdr:rowOff>
    </xdr:from>
    <xdr:to>
      <xdr:col>5</xdr:col>
      <xdr:colOff>274052</xdr:colOff>
      <xdr:row>25</xdr:row>
      <xdr:rowOff>31415</xdr:rowOff>
    </xdr:to>
    <xdr:graphicFrame macro="">
      <xdr:nvGraphicFramePr>
        <xdr:cNvPr id="3" name="Chart 2">
          <a:extLst>
            <a:ext uri="{FF2B5EF4-FFF2-40B4-BE49-F238E27FC236}">
              <a16:creationId xmlns:a16="http://schemas.microsoft.com/office/drawing/2014/main" id="{762A80BD-1FE7-8620-C923-F3C29B9072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641684</xdr:colOff>
      <xdr:row>10</xdr:row>
      <xdr:rowOff>8689</xdr:rowOff>
    </xdr:from>
    <xdr:to>
      <xdr:col>12</xdr:col>
      <xdr:colOff>494631</xdr:colOff>
      <xdr:row>25</xdr:row>
      <xdr:rowOff>44784</xdr:rowOff>
    </xdr:to>
    <xdr:graphicFrame macro="">
      <xdr:nvGraphicFramePr>
        <xdr:cNvPr id="4" name="Chart 3">
          <a:extLst>
            <a:ext uri="{FF2B5EF4-FFF2-40B4-BE49-F238E27FC236}">
              <a16:creationId xmlns:a16="http://schemas.microsoft.com/office/drawing/2014/main" id="{D85966F9-C015-8291-0CB7-AACC152F66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648369</xdr:colOff>
      <xdr:row>10</xdr:row>
      <xdr:rowOff>8689</xdr:rowOff>
    </xdr:from>
    <xdr:to>
      <xdr:col>20</xdr:col>
      <xdr:colOff>501316</xdr:colOff>
      <xdr:row>25</xdr:row>
      <xdr:rowOff>44784</xdr:rowOff>
    </xdr:to>
    <xdr:graphicFrame macro="">
      <xdr:nvGraphicFramePr>
        <xdr:cNvPr id="5" name="Chart 4">
          <a:extLst>
            <a:ext uri="{FF2B5EF4-FFF2-40B4-BE49-F238E27FC236}">
              <a16:creationId xmlns:a16="http://schemas.microsoft.com/office/drawing/2014/main" id="{82039B1C-71AA-93C4-513B-D1B9E1635A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0</xdr:col>
      <xdr:colOff>431575</xdr:colOff>
      <xdr:row>28</xdr:row>
      <xdr:rowOff>26973</xdr:rowOff>
    </xdr:from>
    <xdr:ext cx="5138442" cy="1213807"/>
    <xdr:sp macro="" textlink="">
      <xdr:nvSpPr>
        <xdr:cNvPr id="2" name="TextBox 1">
          <a:extLst>
            <a:ext uri="{FF2B5EF4-FFF2-40B4-BE49-F238E27FC236}">
              <a16:creationId xmlns:a16="http://schemas.microsoft.com/office/drawing/2014/main" id="{40BC3362-B202-DF67-6B04-249180AE6D7A}"/>
            </a:ext>
          </a:extLst>
        </xdr:cNvPr>
        <xdr:cNvSpPr txBox="1"/>
      </xdr:nvSpPr>
      <xdr:spPr>
        <a:xfrm>
          <a:off x="431575" y="5124955"/>
          <a:ext cx="5138442" cy="1213807"/>
        </a:xfrm>
        <a:prstGeom prst="rect">
          <a:avLst/>
        </a:prstGeom>
        <a:solidFill>
          <a:schemeClr val="accent2">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800" b="1"/>
            <a:t>Comments-</a:t>
          </a:r>
        </a:p>
        <a:p>
          <a:r>
            <a:rPr lang="en-IN" sz="1200"/>
            <a:t>A higher sales per employee ratio can indicate a lean and efficient operation,</a:t>
          </a:r>
        </a:p>
        <a:p>
          <a:r>
            <a:rPr lang="en-IN" sz="1200"/>
            <a:t> while a lower ratio may suggest potential inefficiencies or the need for more</a:t>
          </a:r>
        </a:p>
        <a:p>
          <a:r>
            <a:rPr lang="en-IN" sz="1200"/>
            <a:t>training or better resource management. Among the three companies,</a:t>
          </a:r>
          <a:r>
            <a:rPr lang="en-IN" sz="1200" baseline="0"/>
            <a:t> NCC ltd </a:t>
          </a:r>
        </a:p>
        <a:p>
          <a:r>
            <a:rPr lang="en-IN" sz="1200" baseline="0"/>
            <a:t>has the highest sales per employee ratio for last five years and therefore is more</a:t>
          </a:r>
        </a:p>
        <a:p>
          <a:r>
            <a:rPr lang="en-IN" sz="1200" baseline="0"/>
            <a:t>efficient than its competitors .</a:t>
          </a:r>
          <a:endParaRPr lang="en-IN" sz="1200"/>
        </a:p>
      </xdr:txBody>
    </xdr:sp>
    <xdr:clientData/>
  </xdr:oneCellAnchor>
</xdr:wsDr>
</file>

<file path=xl/drawings/drawing8.xml><?xml version="1.0" encoding="utf-8"?>
<xdr:wsDr xmlns:xdr="http://schemas.openxmlformats.org/drawingml/2006/spreadsheetDrawing" xmlns:a="http://schemas.openxmlformats.org/drawingml/2006/main">
  <xdr:twoCellAnchor>
    <xdr:from>
      <xdr:col>7</xdr:col>
      <xdr:colOff>0</xdr:colOff>
      <xdr:row>3</xdr:row>
      <xdr:rowOff>3810</xdr:rowOff>
    </xdr:from>
    <xdr:to>
      <xdr:col>14</xdr:col>
      <xdr:colOff>304800</xdr:colOff>
      <xdr:row>18</xdr:row>
      <xdr:rowOff>3810</xdr:rowOff>
    </xdr:to>
    <xdr:graphicFrame macro="">
      <xdr:nvGraphicFramePr>
        <xdr:cNvPr id="2" name="Chart 1">
          <a:extLst>
            <a:ext uri="{FF2B5EF4-FFF2-40B4-BE49-F238E27FC236}">
              <a16:creationId xmlns:a16="http://schemas.microsoft.com/office/drawing/2014/main" id="{A4025F60-0993-9DD6-FE94-1C944E88E7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2</xdr:col>
      <xdr:colOff>198120</xdr:colOff>
      <xdr:row>19</xdr:row>
      <xdr:rowOff>99060</xdr:rowOff>
    </xdr:from>
    <xdr:ext cx="6804748" cy="749821"/>
    <xdr:sp macro="" textlink="">
      <xdr:nvSpPr>
        <xdr:cNvPr id="3" name="TextBox 2">
          <a:extLst>
            <a:ext uri="{FF2B5EF4-FFF2-40B4-BE49-F238E27FC236}">
              <a16:creationId xmlns:a16="http://schemas.microsoft.com/office/drawing/2014/main" id="{D2141EF1-22D4-C730-B0C8-5456691D5627}"/>
            </a:ext>
          </a:extLst>
        </xdr:cNvPr>
        <xdr:cNvSpPr txBox="1"/>
      </xdr:nvSpPr>
      <xdr:spPr>
        <a:xfrm>
          <a:off x="1844040" y="3573780"/>
          <a:ext cx="6804748" cy="749821"/>
        </a:xfrm>
        <a:prstGeom prst="rect">
          <a:avLst/>
        </a:prstGeom>
        <a:solidFill>
          <a:schemeClr val="accent2">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b="1"/>
            <a:t>COMMENTS-</a:t>
          </a:r>
        </a:p>
        <a:p>
          <a:r>
            <a:rPr lang="en-IN" sz="1400" b="0"/>
            <a:t>Among the three companies NCC</a:t>
          </a:r>
          <a:r>
            <a:rPr lang="en-IN" sz="1400" b="0" baseline="0"/>
            <a:t> ltd has the least Debt and PNC Infratech has the most debt.</a:t>
          </a:r>
        </a:p>
        <a:p>
          <a:r>
            <a:rPr lang="en-IN" sz="1400" b="0" baseline="0"/>
            <a:t>The debt of NCC ltd is reducing year on year which shows a positive trend for the company .</a:t>
          </a:r>
        </a:p>
      </xdr:txBody>
    </xdr:sp>
    <xdr:clientData/>
  </xdr:oneCellAnchor>
</xdr:wsDr>
</file>

<file path=xl/drawings/drawing9.xml><?xml version="1.0" encoding="utf-8"?>
<xdr:wsDr xmlns:xdr="http://schemas.openxmlformats.org/drawingml/2006/spreadsheetDrawing" xmlns:a="http://schemas.openxmlformats.org/drawingml/2006/main">
  <xdr:twoCellAnchor>
    <xdr:from>
      <xdr:col>0</xdr:col>
      <xdr:colOff>168088</xdr:colOff>
      <xdr:row>29</xdr:row>
      <xdr:rowOff>14940</xdr:rowOff>
    </xdr:from>
    <xdr:to>
      <xdr:col>5</xdr:col>
      <xdr:colOff>437029</xdr:colOff>
      <xdr:row>48</xdr:row>
      <xdr:rowOff>37352</xdr:rowOff>
    </xdr:to>
    <xdr:graphicFrame macro="">
      <xdr:nvGraphicFramePr>
        <xdr:cNvPr id="2" name="Chart 1">
          <a:extLst>
            <a:ext uri="{FF2B5EF4-FFF2-40B4-BE49-F238E27FC236}">
              <a16:creationId xmlns:a16="http://schemas.microsoft.com/office/drawing/2014/main" id="{F56C32DC-938F-43F5-B1F8-A3E9F3783E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160618</xdr:colOff>
      <xdr:row>29</xdr:row>
      <xdr:rowOff>17928</xdr:rowOff>
    </xdr:from>
    <xdr:to>
      <xdr:col>15</xdr:col>
      <xdr:colOff>578971</xdr:colOff>
      <xdr:row>48</xdr:row>
      <xdr:rowOff>44823</xdr:rowOff>
    </xdr:to>
    <xdr:graphicFrame macro="">
      <xdr:nvGraphicFramePr>
        <xdr:cNvPr id="3" name="Chart 2">
          <a:extLst>
            <a:ext uri="{FF2B5EF4-FFF2-40B4-BE49-F238E27FC236}">
              <a16:creationId xmlns:a16="http://schemas.microsoft.com/office/drawing/2014/main" id="{52801E29-2431-4C50-9125-11CFCBCAAF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70970</xdr:colOff>
      <xdr:row>29</xdr:row>
      <xdr:rowOff>32871</xdr:rowOff>
    </xdr:from>
    <xdr:to>
      <xdr:col>24</xdr:col>
      <xdr:colOff>489323</xdr:colOff>
      <xdr:row>48</xdr:row>
      <xdr:rowOff>37353</xdr:rowOff>
    </xdr:to>
    <xdr:graphicFrame macro="">
      <xdr:nvGraphicFramePr>
        <xdr:cNvPr id="4" name="Chart 3">
          <a:extLst>
            <a:ext uri="{FF2B5EF4-FFF2-40B4-BE49-F238E27FC236}">
              <a16:creationId xmlns:a16="http://schemas.microsoft.com/office/drawing/2014/main" id="{43458E79-3353-407A-A154-A0046D5138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81</xdr:row>
      <xdr:rowOff>15815</xdr:rowOff>
    </xdr:from>
    <xdr:to>
      <xdr:col>4</xdr:col>
      <xdr:colOff>596660</xdr:colOff>
      <xdr:row>96</xdr:row>
      <xdr:rowOff>7188</xdr:rowOff>
    </xdr:to>
    <xdr:graphicFrame macro="">
      <xdr:nvGraphicFramePr>
        <xdr:cNvPr id="5" name="Chart 4">
          <a:extLst>
            <a:ext uri="{FF2B5EF4-FFF2-40B4-BE49-F238E27FC236}">
              <a16:creationId xmlns:a16="http://schemas.microsoft.com/office/drawing/2014/main" id="{D7799F85-BE87-409A-9E0D-3647A15D74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3595</xdr:colOff>
      <xdr:row>81</xdr:row>
      <xdr:rowOff>8626</xdr:rowOff>
    </xdr:from>
    <xdr:to>
      <xdr:col>15</xdr:col>
      <xdr:colOff>0</xdr:colOff>
      <xdr:row>96</xdr:row>
      <xdr:rowOff>50320</xdr:rowOff>
    </xdr:to>
    <xdr:graphicFrame macro="">
      <xdr:nvGraphicFramePr>
        <xdr:cNvPr id="6" name="Chart 5">
          <a:extLst>
            <a:ext uri="{FF2B5EF4-FFF2-40B4-BE49-F238E27FC236}">
              <a16:creationId xmlns:a16="http://schemas.microsoft.com/office/drawing/2014/main" id="{86C4CFB1-33F0-4035-B6DB-88709224CE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10783</xdr:colOff>
      <xdr:row>81</xdr:row>
      <xdr:rowOff>23003</xdr:rowOff>
    </xdr:from>
    <xdr:to>
      <xdr:col>24</xdr:col>
      <xdr:colOff>7189</xdr:colOff>
      <xdr:row>96</xdr:row>
      <xdr:rowOff>129396</xdr:rowOff>
    </xdr:to>
    <xdr:graphicFrame macro="">
      <xdr:nvGraphicFramePr>
        <xdr:cNvPr id="7" name="Chart 6">
          <a:extLst>
            <a:ext uri="{FF2B5EF4-FFF2-40B4-BE49-F238E27FC236}">
              <a16:creationId xmlns:a16="http://schemas.microsoft.com/office/drawing/2014/main" id="{68B10BCF-4D0A-4002-B03B-F24B1BFDDD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107</xdr:row>
      <xdr:rowOff>128882</xdr:rowOff>
    </xdr:from>
    <xdr:to>
      <xdr:col>4</xdr:col>
      <xdr:colOff>602074</xdr:colOff>
      <xdr:row>123</xdr:row>
      <xdr:rowOff>12230</xdr:rowOff>
    </xdr:to>
    <xdr:graphicFrame macro="">
      <xdr:nvGraphicFramePr>
        <xdr:cNvPr id="8" name="Chart 7">
          <a:extLst>
            <a:ext uri="{FF2B5EF4-FFF2-40B4-BE49-F238E27FC236}">
              <a16:creationId xmlns:a16="http://schemas.microsoft.com/office/drawing/2014/main" id="{B58C668B-E684-4434-AB02-11762AE39D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18814</xdr:colOff>
      <xdr:row>108</xdr:row>
      <xdr:rowOff>6585</xdr:rowOff>
    </xdr:from>
    <xdr:to>
      <xdr:col>15</xdr:col>
      <xdr:colOff>9408</xdr:colOff>
      <xdr:row>123</xdr:row>
      <xdr:rowOff>68674</xdr:rowOff>
    </xdr:to>
    <xdr:graphicFrame macro="">
      <xdr:nvGraphicFramePr>
        <xdr:cNvPr id="9" name="Chart 8">
          <a:extLst>
            <a:ext uri="{FF2B5EF4-FFF2-40B4-BE49-F238E27FC236}">
              <a16:creationId xmlns:a16="http://schemas.microsoft.com/office/drawing/2014/main" id="{705F5F05-CE49-4797-9D40-58D40FECAB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19</xdr:col>
      <xdr:colOff>18815</xdr:colOff>
      <xdr:row>108</xdr:row>
      <xdr:rowOff>25399</xdr:rowOff>
    </xdr:from>
    <xdr:to>
      <xdr:col>23</xdr:col>
      <xdr:colOff>583260</xdr:colOff>
      <xdr:row>123</xdr:row>
      <xdr:rowOff>87488</xdr:rowOff>
    </xdr:to>
    <xdr:graphicFrame macro="">
      <xdr:nvGraphicFramePr>
        <xdr:cNvPr id="10" name="Chart 9">
          <a:extLst>
            <a:ext uri="{FF2B5EF4-FFF2-40B4-BE49-F238E27FC236}">
              <a16:creationId xmlns:a16="http://schemas.microsoft.com/office/drawing/2014/main" id="{835B1914-D2A2-41F1-8384-D2A305A42C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oneCellAnchor>
    <xdr:from>
      <xdr:col>26</xdr:col>
      <xdr:colOff>13233</xdr:colOff>
      <xdr:row>15</xdr:row>
      <xdr:rowOff>172142</xdr:rowOff>
    </xdr:from>
    <xdr:ext cx="5612119" cy="4881977"/>
    <xdr:sp macro="" textlink="">
      <xdr:nvSpPr>
        <xdr:cNvPr id="11" name="TextBox 10">
          <a:extLst>
            <a:ext uri="{FF2B5EF4-FFF2-40B4-BE49-F238E27FC236}">
              <a16:creationId xmlns:a16="http://schemas.microsoft.com/office/drawing/2014/main" id="{686C8965-832B-478D-A3D7-16D4B7E3976B}"/>
            </a:ext>
          </a:extLst>
        </xdr:cNvPr>
        <xdr:cNvSpPr txBox="1"/>
      </xdr:nvSpPr>
      <xdr:spPr>
        <a:xfrm>
          <a:off x="19220115" y="2861554"/>
          <a:ext cx="5612119" cy="4881977"/>
        </a:xfrm>
        <a:prstGeom prst="rect">
          <a:avLst/>
        </a:prstGeom>
        <a:solidFill>
          <a:schemeClr val="accent1">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800" b="1"/>
            <a:t>NCC Ltd</a:t>
          </a:r>
          <a:r>
            <a:rPr lang="en-IN" sz="1800"/>
            <a:t> shows moderate growth in </a:t>
          </a:r>
          <a:r>
            <a:rPr lang="en-IN" sz="1800" b="1"/>
            <a:t>ROA</a:t>
          </a:r>
          <a:r>
            <a:rPr lang="en-IN" sz="1800"/>
            <a:t> and </a:t>
          </a:r>
          <a:r>
            <a:rPr lang="en-IN" sz="1800" b="1"/>
            <a:t>ROE</a:t>
          </a:r>
          <a:r>
            <a:rPr lang="en-IN" sz="1800"/>
            <a:t>, with a steady improvement from 2020 to 2024. However, its </a:t>
          </a:r>
          <a:r>
            <a:rPr lang="en-IN" sz="1800" b="1"/>
            <a:t>net margin</a:t>
          </a:r>
          <a:r>
            <a:rPr lang="en-IN" sz="1800"/>
            <a:t> and </a:t>
          </a:r>
          <a:r>
            <a:rPr lang="en-IN" sz="1800" b="1"/>
            <a:t>operating margin</a:t>
          </a:r>
          <a:r>
            <a:rPr lang="en-IN" sz="1800"/>
            <a:t> have seen some decline from the earlier years.</a:t>
          </a:r>
        </a:p>
        <a:p>
          <a:r>
            <a:rPr lang="en-IN" sz="1800" b="1"/>
            <a:t>PNC Infratech Ltd</a:t>
          </a:r>
          <a:r>
            <a:rPr lang="en-IN" sz="1800"/>
            <a:t> maintains stable margins, though its </a:t>
          </a:r>
          <a:r>
            <a:rPr lang="en-IN" sz="1800" b="1"/>
            <a:t>ROA</a:t>
          </a:r>
          <a:r>
            <a:rPr lang="en-IN" sz="1800"/>
            <a:t> has declined from 2020, and its </a:t>
          </a:r>
          <a:r>
            <a:rPr lang="en-IN" sz="1800" b="1"/>
            <a:t>ROE</a:t>
          </a:r>
          <a:r>
            <a:rPr lang="en-IN" sz="1800"/>
            <a:t> is also lower than in 2020, indicating profitability pressure. Still, its operating margins remain solid.</a:t>
          </a:r>
        </a:p>
        <a:p>
          <a:r>
            <a:rPr lang="en-IN" sz="1800" b="1"/>
            <a:t>KNR Constructions Ltd</a:t>
          </a:r>
          <a:r>
            <a:rPr lang="en-IN" sz="1800"/>
            <a:t> displays strong growth, with a significant increase in </a:t>
          </a:r>
          <a:r>
            <a:rPr lang="en-IN" sz="1800" b="1"/>
            <a:t>ROA</a:t>
          </a:r>
          <a:r>
            <a:rPr lang="en-IN" sz="1800"/>
            <a:t>, </a:t>
          </a:r>
          <a:r>
            <a:rPr lang="en-IN" sz="1800" b="1"/>
            <a:t>ROE</a:t>
          </a:r>
          <a:r>
            <a:rPr lang="en-IN" sz="1800"/>
            <a:t>, and </a:t>
          </a:r>
          <a:r>
            <a:rPr lang="en-IN" sz="1800" b="1"/>
            <a:t>net margins</a:t>
          </a:r>
          <a:r>
            <a:rPr lang="en-IN" sz="1800"/>
            <a:t> in 2024, showing better performance compared to the other two companies. </a:t>
          </a:r>
          <a:r>
            <a:rPr lang="en-IN" sz="1800" b="1"/>
            <a:t>ROCE</a:t>
          </a:r>
          <a:r>
            <a:rPr lang="en-IN" sz="1800"/>
            <a:t> has seen fluctuations, but it's still relatively high.</a:t>
          </a:r>
        </a:p>
        <a:p>
          <a:r>
            <a:rPr lang="en-IN" sz="1800"/>
            <a:t>In summary, KNR Constructions appears to be the strongest performer, while PNC Infratech has stable operations, and NCC Ltd shows gradual improvement but slightly weaker margins.</a:t>
          </a:r>
        </a:p>
      </xdr:txBody>
    </xdr:sp>
    <xdr:clientData/>
  </xdr:oneCellAnchor>
  <xdr:oneCellAnchor>
    <xdr:from>
      <xdr:col>25</xdr:col>
      <xdr:colOff>603169</xdr:colOff>
      <xdr:row>55</xdr:row>
      <xdr:rowOff>36871</xdr:rowOff>
    </xdr:from>
    <xdr:ext cx="6709571" cy="2458066"/>
    <xdr:sp macro="" textlink="">
      <xdr:nvSpPr>
        <xdr:cNvPr id="12" name="TextBox 11">
          <a:extLst>
            <a:ext uri="{FF2B5EF4-FFF2-40B4-BE49-F238E27FC236}">
              <a16:creationId xmlns:a16="http://schemas.microsoft.com/office/drawing/2014/main" id="{6E0226B6-C644-455F-A27E-85887880DA12}"/>
            </a:ext>
          </a:extLst>
        </xdr:cNvPr>
        <xdr:cNvSpPr txBox="1"/>
      </xdr:nvSpPr>
      <xdr:spPr>
        <a:xfrm>
          <a:off x="19370492" y="10225548"/>
          <a:ext cx="6709571" cy="2458066"/>
        </a:xfrm>
        <a:prstGeom prst="rect">
          <a:avLst/>
        </a:prstGeom>
        <a:solidFill>
          <a:schemeClr val="accent1">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800" b="1"/>
            <a:t>NCC Ltd</a:t>
          </a:r>
          <a:r>
            <a:rPr lang="en-IN" sz="1800"/>
            <a:t>: Improved asset and inventory turnover, along with better receivables collection, indicates stronger operational efficiency and effective resource management.</a:t>
          </a:r>
        </a:p>
        <a:p>
          <a:r>
            <a:rPr lang="en-IN" sz="1800" b="1"/>
            <a:t>PNC Infratech Ltd</a:t>
          </a:r>
          <a:r>
            <a:rPr lang="en-IN" sz="1800"/>
            <a:t>: Declining turnover ratios and slower receivables collection suggest weaker asset utilization and challenges in managing credit.</a:t>
          </a:r>
        </a:p>
        <a:p>
          <a:r>
            <a:rPr lang="en-IN" sz="1800" b="1"/>
            <a:t>KNR Constructions Ltd</a:t>
          </a:r>
          <a:r>
            <a:rPr lang="en-IN" sz="1800"/>
            <a:t>: Strong asset and inventory management, though a drop in receivables ratio points to slower cash flow from customers.</a:t>
          </a:r>
        </a:p>
        <a:p>
          <a:r>
            <a:rPr lang="en-IN" sz="1800"/>
            <a:t>Overall, NCC is optimizing, PNC is lagging in efficiency, and KNR is solid but faces cash collection delays.</a:t>
          </a:r>
        </a:p>
        <a:p>
          <a:endParaRPr lang="en-IN" sz="1800"/>
        </a:p>
      </xdr:txBody>
    </xdr:sp>
    <xdr:clientData/>
  </xdr:oneCellAnchor>
  <xdr:oneCellAnchor>
    <xdr:from>
      <xdr:col>25</xdr:col>
      <xdr:colOff>510867</xdr:colOff>
      <xdr:row>71</xdr:row>
      <xdr:rowOff>97499</xdr:rowOff>
    </xdr:from>
    <xdr:ext cx="6875868" cy="4707767"/>
    <xdr:sp macro="" textlink="">
      <xdr:nvSpPr>
        <xdr:cNvPr id="13" name="TextBox 12">
          <a:extLst>
            <a:ext uri="{FF2B5EF4-FFF2-40B4-BE49-F238E27FC236}">
              <a16:creationId xmlns:a16="http://schemas.microsoft.com/office/drawing/2014/main" id="{0202CD6C-6B2E-476E-BF8D-AF3522BD7CE0}"/>
            </a:ext>
          </a:extLst>
        </xdr:cNvPr>
        <xdr:cNvSpPr txBox="1"/>
      </xdr:nvSpPr>
      <xdr:spPr>
        <a:xfrm>
          <a:off x="19172091" y="13440275"/>
          <a:ext cx="6875868" cy="4707767"/>
        </a:xfrm>
        <a:prstGeom prst="rect">
          <a:avLst/>
        </a:prstGeom>
        <a:solidFill>
          <a:schemeClr val="accent1">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800" b="1"/>
            <a:t>NCC Ltd</a:t>
          </a:r>
          <a:r>
            <a:rPr lang="en-IN" sz="1800"/>
            <a:t>: Rising </a:t>
          </a:r>
          <a:r>
            <a:rPr lang="en-IN" sz="1800" b="1"/>
            <a:t>debt-to-equity ratio</a:t>
          </a:r>
          <a:r>
            <a:rPr lang="en-IN" sz="1800"/>
            <a:t> (1.66 in 2024), suggesting higher reliance on debt. Moderate improvement in </a:t>
          </a:r>
          <a:r>
            <a:rPr lang="en-IN" sz="1800" b="1"/>
            <a:t>interest coverage ratio</a:t>
          </a:r>
          <a:r>
            <a:rPr lang="en-IN" sz="1800"/>
            <a:t> (2.97), indicating the company's ability to cover interest payments is improving but still below ideal levels.</a:t>
          </a:r>
        </a:p>
        <a:p>
          <a:r>
            <a:rPr lang="en-IN" sz="1800" b="1"/>
            <a:t>PNC Infratech Ltd</a:t>
          </a:r>
          <a:r>
            <a:rPr lang="en-IN" sz="1800"/>
            <a:t>: High and increasing </a:t>
          </a:r>
          <a:r>
            <a:rPr lang="en-IN" sz="1800" b="1"/>
            <a:t>debt-to-equity ratio</a:t>
          </a:r>
          <a:r>
            <a:rPr lang="en-IN" sz="1800"/>
            <a:t> (2.01 in 2024), showing significant leverage. The </a:t>
          </a:r>
          <a:r>
            <a:rPr lang="en-IN" sz="1800" b="1"/>
            <a:t>interest coverage ratio</a:t>
          </a:r>
          <a:r>
            <a:rPr lang="en-IN" sz="1800"/>
            <a:t> has slightly declined (3.03 in 2024), but it still demonstrates sufficient capacity to manage interest obligations.</a:t>
          </a:r>
        </a:p>
        <a:p>
          <a:r>
            <a:rPr lang="en-IN" sz="1800" b="1"/>
            <a:t>KNR Constructions Ltd</a:t>
          </a:r>
          <a:r>
            <a:rPr lang="en-IN" sz="1800"/>
            <a:t>: Lowest </a:t>
          </a:r>
          <a:r>
            <a:rPr lang="en-IN" sz="1800" b="1"/>
            <a:t>debt-to-equity ratio</a:t>
          </a:r>
          <a:r>
            <a:rPr lang="en-IN" sz="1800"/>
            <a:t> (0.66 in 2024), indicating low financial risk. A strong rise in the </a:t>
          </a:r>
          <a:r>
            <a:rPr lang="en-IN" sz="1800" b="1"/>
            <a:t>interest coverage ratio</a:t>
          </a:r>
          <a:r>
            <a:rPr lang="en-IN" sz="1800"/>
            <a:t> (9.92), reflecting excellent ability to cover interest costs.</a:t>
          </a:r>
        </a:p>
        <a:p>
          <a:r>
            <a:rPr lang="en-IN" sz="1800"/>
            <a:t>In summary, </a:t>
          </a:r>
          <a:r>
            <a:rPr lang="en-IN" sz="1800" b="1"/>
            <a:t>NCC</a:t>
          </a:r>
          <a:r>
            <a:rPr lang="en-IN" sz="1800"/>
            <a:t> and </a:t>
          </a:r>
          <a:r>
            <a:rPr lang="en-IN" sz="1800" b="1"/>
            <a:t>PNC</a:t>
          </a:r>
          <a:r>
            <a:rPr lang="en-IN" sz="1800"/>
            <a:t> are more leveraged, with PNC showing higher debt reliance. </a:t>
          </a:r>
          <a:r>
            <a:rPr lang="en-IN" sz="1800" b="1"/>
            <a:t>KNR</a:t>
          </a:r>
          <a:r>
            <a:rPr lang="en-IN" sz="1800"/>
            <a:t> is the least leveraged and demonstrates strong financial health with ample interest coverage.</a:t>
          </a:r>
        </a:p>
        <a:p>
          <a:endParaRPr lang="en-IN" sz="1800"/>
        </a:p>
      </xdr:txBody>
    </xdr:sp>
    <xdr:clientData/>
  </xdr:oneCellAnchor>
  <xdr:oneCellAnchor>
    <xdr:from>
      <xdr:col>25</xdr:col>
      <xdr:colOff>479765</xdr:colOff>
      <xdr:row>98</xdr:row>
      <xdr:rowOff>172875</xdr:rowOff>
    </xdr:from>
    <xdr:ext cx="6689255" cy="4600234"/>
    <xdr:sp macro="" textlink="">
      <xdr:nvSpPr>
        <xdr:cNvPr id="14" name="TextBox 13">
          <a:extLst>
            <a:ext uri="{FF2B5EF4-FFF2-40B4-BE49-F238E27FC236}">
              <a16:creationId xmlns:a16="http://schemas.microsoft.com/office/drawing/2014/main" id="{04D53AFF-8832-4836-9D93-B8764248DCFB}"/>
            </a:ext>
          </a:extLst>
        </xdr:cNvPr>
        <xdr:cNvSpPr txBox="1"/>
      </xdr:nvSpPr>
      <xdr:spPr>
        <a:xfrm>
          <a:off x="19140989" y="18600834"/>
          <a:ext cx="6689255" cy="4600234"/>
        </a:xfrm>
        <a:prstGeom prst="rect">
          <a:avLst/>
        </a:prstGeom>
        <a:solidFill>
          <a:schemeClr val="accent1">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800" b="1"/>
            <a:t>NCC Ltd</a:t>
          </a:r>
          <a:r>
            <a:rPr lang="en-IN" sz="1800"/>
            <a:t>: Consistently low </a:t>
          </a:r>
          <a:r>
            <a:rPr lang="en-IN" sz="1800" b="1"/>
            <a:t>current</a:t>
          </a:r>
          <a:r>
            <a:rPr lang="en-IN" sz="1800"/>
            <a:t> (0.57) and </a:t>
          </a:r>
          <a:r>
            <a:rPr lang="en-IN" sz="1800" b="1"/>
            <a:t>quick ratios</a:t>
          </a:r>
          <a:r>
            <a:rPr lang="en-IN" sz="1800"/>
            <a:t> (0.41) indicate weak short-term liquidity, suggesting potential challenges in meeting short-term liabilities. The </a:t>
          </a:r>
          <a:r>
            <a:rPr lang="en-IN" sz="1800" b="1"/>
            <a:t>acid test ratio</a:t>
          </a:r>
          <a:r>
            <a:rPr lang="en-IN" sz="1800"/>
            <a:t> remains very low (0.10 in 2024), implying minimal cash reserves to cover immediate obligations.</a:t>
          </a:r>
        </a:p>
        <a:p>
          <a:r>
            <a:rPr lang="en-IN" sz="1800" b="1"/>
            <a:t>PNC Infratech Ltd</a:t>
          </a:r>
          <a:r>
            <a:rPr lang="en-IN" sz="1800"/>
            <a:t>: Improving </a:t>
          </a:r>
          <a:r>
            <a:rPr lang="en-IN" sz="1800" b="1"/>
            <a:t>current ratio</a:t>
          </a:r>
          <a:r>
            <a:rPr lang="en-IN" sz="1800"/>
            <a:t> (1.19 in 2024) shows better short-term financial stability, now above 1, indicating it can cover its liabilities. The </a:t>
          </a:r>
          <a:r>
            <a:rPr lang="en-IN" sz="1800" b="1"/>
            <a:t>quick ratio</a:t>
          </a:r>
          <a:r>
            <a:rPr lang="en-IN" sz="1800"/>
            <a:t> (0.95) and </a:t>
          </a:r>
          <a:r>
            <a:rPr lang="en-IN" sz="1800" b="1"/>
            <a:t>acid test ratio</a:t>
          </a:r>
          <a:r>
            <a:rPr lang="en-IN" sz="1800"/>
            <a:t> (0.44) have also improved, reflecting healthier liquidity and cash management.</a:t>
          </a:r>
        </a:p>
        <a:p>
          <a:r>
            <a:rPr lang="en-IN" sz="1800" b="1"/>
            <a:t>KNR Constructions Ltd</a:t>
          </a:r>
          <a:r>
            <a:rPr lang="en-IN" sz="1800"/>
            <a:t>: Significant improvement in liquidity, with the </a:t>
          </a:r>
          <a:r>
            <a:rPr lang="en-IN" sz="1800" b="1"/>
            <a:t>current ratio</a:t>
          </a:r>
          <a:r>
            <a:rPr lang="en-IN" sz="1800"/>
            <a:t> rising to 1.14 in 2024 from 0.49 in 2021. Both the </a:t>
          </a:r>
          <a:r>
            <a:rPr lang="en-IN" sz="1800" b="1"/>
            <a:t>quick ratio</a:t>
          </a:r>
          <a:r>
            <a:rPr lang="en-IN" sz="1800"/>
            <a:t> (0.95) and </a:t>
          </a:r>
          <a:r>
            <a:rPr lang="en-IN" sz="1800" b="1"/>
            <a:t>acid test ratio</a:t>
          </a:r>
          <a:r>
            <a:rPr lang="en-IN" sz="1800"/>
            <a:t> (0.36) have strengthened, indicating enhanced ability to cover short-term obligations.</a:t>
          </a:r>
        </a:p>
        <a:p>
          <a:r>
            <a:rPr lang="en-IN" sz="1800"/>
            <a:t>In summary, </a:t>
          </a:r>
          <a:r>
            <a:rPr lang="en-IN" sz="1800" b="1"/>
            <a:t>NCC</a:t>
          </a:r>
          <a:r>
            <a:rPr lang="en-IN" sz="1800"/>
            <a:t> struggles with liquidity, </a:t>
          </a:r>
          <a:r>
            <a:rPr lang="en-IN" sz="1800" b="1"/>
            <a:t>PNC</a:t>
          </a:r>
          <a:r>
            <a:rPr lang="en-IN" sz="1800"/>
            <a:t> has improved considerably, and </a:t>
          </a:r>
          <a:r>
            <a:rPr lang="en-IN" sz="1800" b="1"/>
            <a:t>KNR</a:t>
          </a:r>
          <a:r>
            <a:rPr lang="en-IN" sz="1800"/>
            <a:t> shows strong recovery in short-term financial health.</a:t>
          </a:r>
        </a:p>
      </xdr:txBody>
    </xdr:sp>
    <xdr:clientData/>
  </xdr:oneCellAnchor>
</xdr:wsDr>
</file>

<file path=xl/drawings/drawing10.xml><?xml version="1.0" encoding="utf-8"?>
<xdr:wsDr xmlns:xdr="http://schemas.openxmlformats.org/drawingml/2006/spreadsheetDrawing" xmlns:a="http://schemas.openxmlformats.org/drawingml/2006/main">
  <xdr:twoCellAnchor>
    <xdr:from>
      <xdr:col>8</xdr:col>
      <xdr:colOff>7620</xdr:colOff>
      <xdr:row>0</xdr:row>
      <xdr:rowOff>0</xdr:rowOff>
    </xdr:from>
    <xdr:to>
      <xdr:col>15</xdr:col>
      <xdr:colOff>312420</xdr:colOff>
      <xdr:row>14</xdr:row>
      <xdr:rowOff>91440</xdr:rowOff>
    </xdr:to>
    <xdr:graphicFrame macro="">
      <xdr:nvGraphicFramePr>
        <xdr:cNvPr id="2" name="Chart 1">
          <a:extLst>
            <a:ext uri="{FF2B5EF4-FFF2-40B4-BE49-F238E27FC236}">
              <a16:creationId xmlns:a16="http://schemas.microsoft.com/office/drawing/2014/main" id="{86613211-233C-4840-BB9B-F14428E1B0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15240</xdr:colOff>
      <xdr:row>15</xdr:row>
      <xdr:rowOff>3810</xdr:rowOff>
    </xdr:from>
    <xdr:to>
      <xdr:col>15</xdr:col>
      <xdr:colOff>320040</xdr:colOff>
      <xdr:row>30</xdr:row>
      <xdr:rowOff>3810</xdr:rowOff>
    </xdr:to>
    <xdr:graphicFrame macro="">
      <xdr:nvGraphicFramePr>
        <xdr:cNvPr id="3" name="Chart 2">
          <a:extLst>
            <a:ext uri="{FF2B5EF4-FFF2-40B4-BE49-F238E27FC236}">
              <a16:creationId xmlns:a16="http://schemas.microsoft.com/office/drawing/2014/main" id="{E3F7D2CF-5C59-4BF8-86CF-5D59915462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9292</xdr:colOff>
      <xdr:row>31</xdr:row>
      <xdr:rowOff>8364</xdr:rowOff>
    </xdr:from>
    <xdr:to>
      <xdr:col>15</xdr:col>
      <xdr:colOff>288072</xdr:colOff>
      <xdr:row>45</xdr:row>
      <xdr:rowOff>149613</xdr:rowOff>
    </xdr:to>
    <xdr:graphicFrame macro="">
      <xdr:nvGraphicFramePr>
        <xdr:cNvPr id="4" name="Chart 3">
          <a:extLst>
            <a:ext uri="{FF2B5EF4-FFF2-40B4-BE49-F238E27FC236}">
              <a16:creationId xmlns:a16="http://schemas.microsoft.com/office/drawing/2014/main" id="{4A3979C3-AC97-4B17-808E-E545C4D2DE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0</xdr:col>
      <xdr:colOff>1267408</xdr:colOff>
      <xdr:row>21</xdr:row>
      <xdr:rowOff>23326</xdr:rowOff>
    </xdr:from>
    <xdr:ext cx="184731" cy="264560"/>
    <xdr:sp macro="" textlink="">
      <xdr:nvSpPr>
        <xdr:cNvPr id="5" name="TextBox 4">
          <a:extLst>
            <a:ext uri="{FF2B5EF4-FFF2-40B4-BE49-F238E27FC236}">
              <a16:creationId xmlns:a16="http://schemas.microsoft.com/office/drawing/2014/main" id="{F98EE67E-D603-4159-A605-BEFF10FCE4B6}"/>
            </a:ext>
          </a:extLst>
        </xdr:cNvPr>
        <xdr:cNvSpPr txBox="1"/>
      </xdr:nvSpPr>
      <xdr:spPr>
        <a:xfrm>
          <a:off x="612088" y="386380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0</xdr:col>
      <xdr:colOff>1197429</xdr:colOff>
      <xdr:row>21</xdr:row>
      <xdr:rowOff>7776</xdr:rowOff>
    </xdr:from>
    <xdr:ext cx="3553408" cy="2847959"/>
    <xdr:sp macro="" textlink="">
      <xdr:nvSpPr>
        <xdr:cNvPr id="6" name="TextBox 5">
          <a:extLst>
            <a:ext uri="{FF2B5EF4-FFF2-40B4-BE49-F238E27FC236}">
              <a16:creationId xmlns:a16="http://schemas.microsoft.com/office/drawing/2014/main" id="{166C5621-4550-4895-957A-C1BEEAB5E893}"/>
            </a:ext>
          </a:extLst>
        </xdr:cNvPr>
        <xdr:cNvSpPr txBox="1"/>
      </xdr:nvSpPr>
      <xdr:spPr>
        <a:xfrm>
          <a:off x="610689" y="3848256"/>
          <a:ext cx="3553408" cy="2847959"/>
        </a:xfrm>
        <a:prstGeom prst="rect">
          <a:avLst/>
        </a:prstGeom>
        <a:solidFill>
          <a:schemeClr val="accent1">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a:t>Here’s a concise summary with key figures:</a:t>
          </a:r>
        </a:p>
        <a:p>
          <a:r>
            <a:rPr lang="en-IN" b="1"/>
            <a:t>NCC Ltd</a:t>
          </a:r>
          <a:r>
            <a:rPr lang="en-IN"/>
            <a:t>: Revenue grows from ₹8,901 million in 2020 to ₹20,845 million in 2024. Net profit rises from ₹336.53 million to ₹710.69 million, with assets increasing from ₹13,812 million to ₹18,097 million.</a:t>
          </a:r>
        </a:p>
        <a:p>
          <a:r>
            <a:rPr lang="en-IN" b="1"/>
            <a:t>PNC Infratech Ltd</a:t>
          </a:r>
          <a:r>
            <a:rPr lang="en-IN"/>
            <a:t>: Revenue increases from ₹5,603 million in 2020 to ₹8,650 million in 2024. Net profit climbs from ₹549.88 million to ₹909.42 million, and assets grow from ₹8,490 million to ₹15,610 million.</a:t>
          </a:r>
        </a:p>
        <a:p>
          <a:r>
            <a:rPr lang="en-IN" b="1"/>
            <a:t>KNR Constructions Ltd</a:t>
          </a:r>
          <a:r>
            <a:rPr lang="en-IN"/>
            <a:t>: Revenue rises from ₹2,452 million in 2020 to ₹4,429 million in 2024. Net profit jumps from ₹265.51 million to ₹777.40 million, with assets expanding from ₹3,503 million to ₹5,804 million.</a:t>
          </a:r>
        </a:p>
        <a:p>
          <a:r>
            <a:rPr lang="en-IN"/>
            <a:t>Overall, these companies exhibit strong financial growth, with notable increases in revenue, profit, and assets over the five-year period.</a:t>
          </a:r>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0</xdr:col>
      <xdr:colOff>302380</xdr:colOff>
      <xdr:row>122</xdr:row>
      <xdr:rowOff>143931</xdr:rowOff>
    </xdr:from>
    <xdr:ext cx="7103532" cy="4742452"/>
    <xdr:sp macro="" textlink="">
      <xdr:nvSpPr>
        <xdr:cNvPr id="2" name="TextBox 1">
          <a:extLst>
            <a:ext uri="{FF2B5EF4-FFF2-40B4-BE49-F238E27FC236}">
              <a16:creationId xmlns:a16="http://schemas.microsoft.com/office/drawing/2014/main" id="{1A605D5B-AA6C-6614-8D26-F9285084A061}"/>
            </a:ext>
          </a:extLst>
        </xdr:cNvPr>
        <xdr:cNvSpPr txBox="1"/>
      </xdr:nvSpPr>
      <xdr:spPr>
        <a:xfrm>
          <a:off x="302380" y="22720902"/>
          <a:ext cx="7103532" cy="4742452"/>
        </a:xfrm>
        <a:prstGeom prst="rect">
          <a:avLst/>
        </a:prstGeom>
        <a:solidFill>
          <a:schemeClr val="tx2">
            <a:lumMod val="10000"/>
            <a:lumOff val="9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a:t>The </a:t>
          </a:r>
          <a:r>
            <a:rPr lang="en-IN" b="1"/>
            <a:t>cash realization ratio</a:t>
          </a:r>
          <a:r>
            <a:rPr lang="en-IN"/>
            <a:t> (CFO/Net Income) is negative in 2024, 2022, and 2021, indicating that the company is struggling to generate cash from its net income in those years. The high ratio in 2023 (1.96) is an anomaly, likely due to unusually high cash inflow that year.A negative cash realization ratio points to potential operational inefficiencies or issues with working capital management, as earnings are not being effectively translated into cash.</a:t>
          </a:r>
        </a:p>
        <a:p>
          <a:r>
            <a:rPr lang="en-IN"/>
            <a:t>The </a:t>
          </a:r>
          <a:r>
            <a:rPr lang="en-IN" b="1"/>
            <a:t>interest coverage ratio</a:t>
          </a:r>
          <a:r>
            <a:rPr lang="en-IN"/>
            <a:t> in 2024 is alarmingly low (0.008), meaning the company barely generates enough operating income to cover its interest obligations. This poses a high financial risk, as insufficient cash flow to service debt could strain liquidity.</a:t>
          </a:r>
        </a:p>
        <a:p>
          <a:r>
            <a:rPr lang="en-IN" b="1"/>
            <a:t>Cash Flow per Share</a:t>
          </a:r>
          <a:r>
            <a:rPr lang="en-IN"/>
            <a:t>:</a:t>
          </a:r>
        </a:p>
        <a:p>
          <a:r>
            <a:rPr lang="en-IN"/>
            <a:t>The declining cash flow per share, especially in the negative range for recent years, highlights worsening cash generation for each share, affecting shareholder returns. The drastic shift from positive in 2020 to negative in 2023 and 2024 is a red flag for investors.</a:t>
          </a:r>
        </a:p>
        <a:p>
          <a:r>
            <a:rPr lang="en-IN" b="1"/>
            <a:t>External Financing Ratio</a:t>
          </a:r>
          <a:r>
            <a:rPr lang="en-IN"/>
            <a:t>:</a:t>
          </a:r>
        </a:p>
        <a:p>
          <a:r>
            <a:rPr lang="en-IN"/>
            <a:t>This ratio measures the reliance on external financing. In 2024, the negative ratio (-2.15) shows heavy reliance on external financing, which could be due to the company's inability to generate cash internally. In contrast, 2021 and 2020 show a much lower reliance, with some years like 2023 even showing a positive ratio (indicating lower external financing needs).</a:t>
          </a:r>
        </a:p>
        <a:p>
          <a:r>
            <a:rPr lang="en-IN" b="1"/>
            <a:t>Cash Generating Power</a:t>
          </a:r>
          <a:r>
            <a:rPr lang="en-IN"/>
            <a:t>:</a:t>
          </a:r>
        </a:p>
        <a:p>
          <a:r>
            <a:rPr lang="en-IN"/>
            <a:t>A negative cash-generating power in 2024 (-0.93) signals weak cash flow relative to financing and investing activities. The significant positive ratio in 2022 (3.51) suggests a one-time event or an exceptional situation that boosted cash flow, while 2023 and 2021 show moderate to weak cash generation capacity.</a:t>
          </a:r>
        </a:p>
        <a:p>
          <a:r>
            <a:rPr lang="en-IN" b="1"/>
            <a:t>Long-term Debt Coverage</a:t>
          </a:r>
          <a:r>
            <a:rPr lang="en-IN"/>
            <a:t>:</a:t>
          </a:r>
        </a:p>
        <a:p>
          <a:r>
            <a:rPr lang="en-IN"/>
            <a:t>The long-term debt coverage ratio is negative in recent years, indicating the company is struggling to generate enough cash from operations to cover its long-term debt obligations. The positive ratio in 2021 (1.10) suggests a brief period of financial stability, but overall the trend is concerning as debt obligations are not being comfortably covered.</a:t>
          </a:r>
        </a:p>
        <a:p>
          <a:r>
            <a:rPr lang="en-IN" b="1"/>
            <a:t>Current Liabilities Coverage Ratio</a:t>
          </a:r>
          <a:r>
            <a:rPr lang="en-IN"/>
            <a:t>:</a:t>
          </a:r>
        </a:p>
        <a:p>
          <a:r>
            <a:rPr lang="en-IN"/>
            <a:t>The declining current liabilities coverage ratio in the last three years shows that NCC is finding it difficult to generate enough cash to cover its short-term liabilities. This could point to liquidity issues, with 2024 being especially low (-0.02).</a:t>
          </a:r>
          <a:endParaRPr lang="en-IN" sz="1100"/>
        </a:p>
        <a:p>
          <a:endParaRPr lang="en-IN" sz="1100"/>
        </a:p>
      </xdr:txBody>
    </xdr:sp>
    <xdr:clientData/>
  </xdr:oneCellAnchor>
  <xdr:oneCellAnchor>
    <xdr:from>
      <xdr:col>8</xdr:col>
      <xdr:colOff>292705</xdr:colOff>
      <xdr:row>122</xdr:row>
      <xdr:rowOff>164493</xdr:rowOff>
    </xdr:from>
    <xdr:ext cx="7103532" cy="5259132"/>
    <xdr:sp macro="" textlink="">
      <xdr:nvSpPr>
        <xdr:cNvPr id="3" name="TextBox 2">
          <a:extLst>
            <a:ext uri="{FF2B5EF4-FFF2-40B4-BE49-F238E27FC236}">
              <a16:creationId xmlns:a16="http://schemas.microsoft.com/office/drawing/2014/main" id="{FE435EEF-F642-4C9E-9C74-A3A73055102C}"/>
            </a:ext>
          </a:extLst>
        </xdr:cNvPr>
        <xdr:cNvSpPr txBox="1"/>
      </xdr:nvSpPr>
      <xdr:spPr>
        <a:xfrm>
          <a:off x="9371391" y="22741464"/>
          <a:ext cx="7103532" cy="5259132"/>
        </a:xfrm>
        <a:prstGeom prst="rect">
          <a:avLst/>
        </a:prstGeom>
        <a:solidFill>
          <a:schemeClr val="tx2">
            <a:lumMod val="10000"/>
            <a:lumOff val="9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a:t>The </a:t>
          </a:r>
          <a:r>
            <a:rPr lang="en-IN" b="1"/>
            <a:t>cash from operations (CFO)</a:t>
          </a:r>
          <a:r>
            <a:rPr lang="en-IN"/>
            <a:t> is consistently negative from 2020 to 2024, with 2023 and 2022 showing particularly large deficits. This suggests that the company struggles to convert profits into cash, as reflected in the </a:t>
          </a:r>
          <a:r>
            <a:rPr lang="en-IN" b="1"/>
            <a:t>negative cash realization ratio</a:t>
          </a:r>
          <a:r>
            <a:rPr lang="en-IN"/>
            <a:t> in these years.</a:t>
          </a:r>
        </a:p>
        <a:p>
          <a:r>
            <a:rPr lang="en-IN"/>
            <a:t>The </a:t>
          </a:r>
          <a:r>
            <a:rPr lang="en-IN" b="1"/>
            <a:t>interest coverage ratio</a:t>
          </a:r>
          <a:r>
            <a:rPr lang="en-IN"/>
            <a:t> is negative in 2023 and 2022, indicating that the company may have had difficulty covering its interest expenses with operating income. The positive interest coverage in 2021 and 2020 shows some stability, but the overall trend raises concerns about liquidity and the company's ability to service debt.</a:t>
          </a:r>
        </a:p>
        <a:p>
          <a:r>
            <a:rPr lang="en-IN"/>
            <a:t>Overall, PNC Infratech needs to improve its cash flow management and debt servicing capacity to ensure long-term financial health.</a:t>
          </a:r>
        </a:p>
        <a:p>
          <a:r>
            <a:rPr lang="en-IN" b="1"/>
            <a:t>Cash Flow Per Share:</a:t>
          </a:r>
        </a:p>
        <a:p>
          <a:r>
            <a:rPr lang="en-IN"/>
            <a:t>The cash flow per share reflects the company's declining operational cash generation ability. The steep decline from a positive value in 2020 (0.2055) to a large negative value in 2024 (-0.0446) raises concerns for shareholders, as this affects returns.</a:t>
          </a:r>
        </a:p>
        <a:p>
          <a:r>
            <a:rPr lang="en-IN" b="1"/>
            <a:t>External Financing Ratio:</a:t>
          </a:r>
        </a:p>
        <a:p>
          <a:r>
            <a:rPr lang="en-IN"/>
            <a:t>The company has shown an increasing reliance on external financing, as evident from the negative external financing ratios in 2024 and 2023 (-4.62 and -0.69). The significant negative ratio in 2024 (-4.62) highlights a heavy dependence on external sources to fund operations, which could indicate potential financial distress.</a:t>
          </a:r>
        </a:p>
        <a:p>
          <a:r>
            <a:rPr lang="en-IN" b="1"/>
            <a:t>Cash Generating Power:</a:t>
          </a:r>
        </a:p>
        <a:p>
          <a:r>
            <a:rPr lang="en-IN"/>
            <a:t>PNC Infratech’s cash-generating power shows an extreme fluctuation. In 2021, the ratio skyrocketed to 325.89, possibly due to an extraordinary event that boosted cash inflows. However, it has fallen sharply in 2024 to a negative value (-0.39), reflecting poor cash flow generation relative to financing and investing activities.</a:t>
          </a:r>
        </a:p>
        <a:p>
          <a:r>
            <a:rPr lang="en-IN" b="1"/>
            <a:t>Long-term Debt Coverage:</a:t>
          </a:r>
        </a:p>
        <a:p>
          <a:r>
            <a:rPr lang="en-IN"/>
            <a:t>The long-term debt coverage ratio has been declining and has remained negative from 2022 to 2024. In 2024, the ratio (-0.0318) indicates that the company is struggling to cover its long-term debt obligations using its operational cash flow. The positive ratios in 2020 (0.16) and 2021 (0.05) suggest that debt coverage was manageable during those years, but the recent decline is worrisome.</a:t>
          </a:r>
        </a:p>
        <a:p>
          <a:r>
            <a:rPr lang="en-IN" b="1"/>
            <a:t>Current Liabilities Coverage:</a:t>
          </a:r>
        </a:p>
        <a:p>
          <a:r>
            <a:rPr lang="en-IN"/>
            <a:t>The current liabilities coverage ratio has dropped sharply in the last three years, with 2024 showing a significantly negative value (-0.0731). This points to liquidity concerns, as the company is not generating enough cash from operations to cover its short-term liabilities.</a:t>
          </a:r>
          <a:endParaRPr lang="en-IN" sz="1100"/>
        </a:p>
        <a:p>
          <a:endParaRPr lang="en-IN" sz="1100"/>
        </a:p>
      </xdr:txBody>
    </xdr:sp>
    <xdr:clientData/>
  </xdr:oneCellAnchor>
  <xdr:oneCellAnchor>
    <xdr:from>
      <xdr:col>15</xdr:col>
      <xdr:colOff>489520</xdr:colOff>
      <xdr:row>122</xdr:row>
      <xdr:rowOff>178556</xdr:rowOff>
    </xdr:from>
    <xdr:ext cx="7103532" cy="5259132"/>
    <xdr:sp macro="" textlink="">
      <xdr:nvSpPr>
        <xdr:cNvPr id="4" name="TextBox 3">
          <a:extLst>
            <a:ext uri="{FF2B5EF4-FFF2-40B4-BE49-F238E27FC236}">
              <a16:creationId xmlns:a16="http://schemas.microsoft.com/office/drawing/2014/main" id="{AC18A98B-F24F-475D-BE5E-36388A87B46C}"/>
            </a:ext>
          </a:extLst>
        </xdr:cNvPr>
        <xdr:cNvSpPr txBox="1"/>
      </xdr:nvSpPr>
      <xdr:spPr>
        <a:xfrm>
          <a:off x="18423101" y="22879068"/>
          <a:ext cx="7103532" cy="5259132"/>
        </a:xfrm>
        <a:prstGeom prst="rect">
          <a:avLst/>
        </a:prstGeom>
        <a:solidFill>
          <a:schemeClr val="tx2">
            <a:lumMod val="10000"/>
            <a:lumOff val="9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a:t>The company has demonstrated healthy cash flow generation in 2024, 2023, and 2022, with CFO figures exceeding net income. This is reflected in consistently high </a:t>
          </a:r>
          <a:r>
            <a:rPr lang="en-IN" b="1"/>
            <a:t>cash realization ratios</a:t>
          </a:r>
          <a:r>
            <a:rPr lang="en-IN"/>
            <a:t> (ranging from 1.75 to 3.71). This suggests efficient conversion of profits into cash, especially during recent years.</a:t>
          </a:r>
        </a:p>
        <a:p>
          <a:r>
            <a:rPr lang="en-IN" b="1"/>
            <a:t>Interest Coverage Ratio</a:t>
          </a:r>
          <a:r>
            <a:rPr lang="en-IN"/>
            <a:t>: KNR Constructions' ability to cover its interest expenses has significantly improved. In 2024, the interest coverage ratio is a very strong </a:t>
          </a:r>
          <a:r>
            <a:rPr lang="en-IN" b="1"/>
            <a:t>14.72</a:t>
          </a:r>
          <a:r>
            <a:rPr lang="en-IN"/>
            <a:t>, indicating that the company's earnings can comfortably cover its interest obligations. The trend has consistently improved from 2021 onward, signaling increased financial stability.</a:t>
          </a:r>
        </a:p>
        <a:p>
          <a:r>
            <a:rPr lang="en-IN" b="1"/>
            <a:t>Cash Flow per Share:</a:t>
          </a:r>
        </a:p>
        <a:p>
          <a:r>
            <a:rPr lang="en-IN"/>
            <a:t>The cash flow per share remains relatively stable, though it slightly decreased in 2024 (₹0.39) compared to 2023 (₹0.40). The decrease might be due to an increase in the number of equity shares, diluting the cash flow per share despite strong cash generation.</a:t>
          </a:r>
        </a:p>
        <a:p>
          <a:r>
            <a:rPr lang="en-IN" b="1"/>
            <a:t>External Financing Ratio:</a:t>
          </a:r>
        </a:p>
        <a:p>
          <a:r>
            <a:rPr lang="en-IN"/>
            <a:t>The external financing ratio is negative for 2022 to 2024, indicating the company has been using internal sources (cash from operations) to pay off debt or fund activities, rather than relying on external financing. This shows a decreasing reliance on external borrowing, which is a positive indicator for the company's financial independence. However, the sharp decline from -0.57 in 2024 to -0.81 in 2023 and -0.90 in 2022 suggests that external financing was significantly reduced, potentially because of strong cash generation or management’s decision to deleverage.</a:t>
          </a:r>
        </a:p>
        <a:p>
          <a:r>
            <a:rPr lang="en-IN" b="1"/>
            <a:t>Cash Generating Power:</a:t>
          </a:r>
        </a:p>
        <a:p>
          <a:r>
            <a:rPr lang="en-IN"/>
            <a:t>The cash-generating power shows highly fluctuating values, reaching 69.41 in 2023 and 18.90 in 2022, before stabilizing at a much lower level of 5.04 in 2024. This fluctuation suggests that the company experienced a period of high cash generation relative to its financing and investing needs but saw a significant drop in 2024. This may reflect changes in operational efficiency or financing/investment strategies.</a:t>
          </a:r>
        </a:p>
        <a:p>
          <a:r>
            <a:rPr lang="en-IN" b="1"/>
            <a:t>Long-term Debt Coverage:</a:t>
          </a:r>
        </a:p>
        <a:p>
          <a:r>
            <a:rPr lang="en-IN"/>
            <a:t>KNR Construction has maintained a good long-term debt coverage ratio, which is above 1 for the years 2022 to 2024. In 2024, the ratio is 1.17, indicating that the company generates enough cash from operations to comfortably cover its long-term debt obligations. The highest coverage was in 2023 (2.20), showcasing strong financial health during that year.</a:t>
          </a:r>
        </a:p>
        <a:p>
          <a:r>
            <a:rPr lang="en-IN" b="1"/>
            <a:t>Current Liabilities Coverage:</a:t>
          </a:r>
        </a:p>
        <a:p>
          <a:r>
            <a:rPr lang="en-IN"/>
            <a:t>The current liabilities coverage ratio indicates the company’s ability to cover its short-term liabilities with operational cash flow. In 2024, this ratio is strong (1.19), suggesting that KNR Construction is more than capable of covering its current liabilities with cash generated from operations. The ratio remained above 1 in most years except for 2023 (0.99), indicating overall stable liquidity.</a:t>
          </a:r>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0</xdr:col>
      <xdr:colOff>85344</xdr:colOff>
      <xdr:row>34</xdr:row>
      <xdr:rowOff>6096</xdr:rowOff>
    </xdr:from>
    <xdr:ext cx="5462016" cy="4053546"/>
    <xdr:sp macro="" textlink="">
      <xdr:nvSpPr>
        <xdr:cNvPr id="2" name="TextBox 1">
          <a:extLst>
            <a:ext uri="{FF2B5EF4-FFF2-40B4-BE49-F238E27FC236}">
              <a16:creationId xmlns:a16="http://schemas.microsoft.com/office/drawing/2014/main" id="{46EF254E-4C66-4556-E313-3836DFA89C54}"/>
            </a:ext>
          </a:extLst>
        </xdr:cNvPr>
        <xdr:cNvSpPr txBox="1"/>
      </xdr:nvSpPr>
      <xdr:spPr>
        <a:xfrm>
          <a:off x="85344" y="6272784"/>
          <a:ext cx="5462016" cy="4053546"/>
        </a:xfrm>
        <a:prstGeom prst="rect">
          <a:avLst/>
        </a:prstGeom>
        <a:solidFill>
          <a:schemeClr val="tx2">
            <a:lumMod val="10000"/>
            <a:lumOff val="9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b="1"/>
            <a:t>Tax Factor</a:t>
          </a:r>
          <a:r>
            <a:rPr lang="en-IN"/>
            <a:t>:</a:t>
          </a:r>
        </a:p>
        <a:p>
          <a:r>
            <a:rPr lang="en-IN"/>
            <a:t>The tax factor has decreased from 0.7526 in 2020 to 0.6531 in 2024. This could suggest a decrease in effective tax rates or changes in tax regulations benefiting the company.</a:t>
          </a:r>
        </a:p>
        <a:p>
          <a:r>
            <a:rPr lang="en-IN" b="1"/>
            <a:t>Interest Factor</a:t>
          </a:r>
          <a:r>
            <a:rPr lang="en-IN"/>
            <a:t>:</a:t>
          </a:r>
        </a:p>
        <a:p>
          <a:r>
            <a:rPr lang="en-IN"/>
            <a:t>The interest factor has fluctuated slightly, decreasing from 0.4113 in 2020 to 0.6152 in 2024. An increasing interest factor could indicate higher financial leverage or increased interest expenses.</a:t>
          </a:r>
        </a:p>
        <a:p>
          <a:r>
            <a:rPr lang="en-IN" b="1"/>
            <a:t>Operating Margin</a:t>
          </a:r>
          <a:r>
            <a:rPr lang="en-IN"/>
            <a:t>:</a:t>
          </a:r>
        </a:p>
        <a:p>
          <a:r>
            <a:rPr lang="en-IN"/>
            <a:t>Operating margin has slightly decreased from 0.1221 in 2020 to 0.0849 in 2024. A lower operating margin might suggest declining profitability or increased operational costs.</a:t>
          </a:r>
        </a:p>
        <a:p>
          <a:r>
            <a:rPr lang="en-IN" b="1"/>
            <a:t>Asset Turnover Ratio</a:t>
          </a:r>
          <a:r>
            <a:rPr lang="en-IN"/>
            <a:t>:</a:t>
          </a:r>
        </a:p>
        <a:p>
          <a:r>
            <a:rPr lang="en-IN"/>
            <a:t>The asset turnover ratio has improved from 0.6444 in 2020 to 1.2033 in 2024. This indicates that the company has become more efficient in generating revenue from its assets.</a:t>
          </a:r>
        </a:p>
        <a:p>
          <a:r>
            <a:rPr lang="en-IN" b="1"/>
            <a:t>Equity Multiplier</a:t>
          </a:r>
          <a:r>
            <a:rPr lang="en-IN"/>
            <a:t>:</a:t>
          </a:r>
        </a:p>
        <a:p>
          <a:r>
            <a:rPr lang="en-IN"/>
            <a:t>The equity multiplier has decreased from 2.6771 in 2020 to 2.6056 in 2024. A lower equity multiplier suggests a decrease in financial leverage, meaning the company is using less debt relative to equity.</a:t>
          </a:r>
        </a:p>
        <a:p>
          <a:r>
            <a:rPr lang="en-IN"/>
            <a:t>The increase in ROE over the years is largely driven by improved asset turnover ratio, which indicates better efficiency in asset use. Despite a decline in operating margin and tax factor, the overall ROE improvement suggests effective management of assets and potentially improved financial strategies. The decrease in the equity multiplier reflects a more conservative approach towards leveraging, which could be a strategic move to reduce financial risk.</a:t>
          </a:r>
        </a:p>
        <a:p>
          <a:endParaRPr lang="en-IN" sz="1100"/>
        </a:p>
      </xdr:txBody>
    </xdr:sp>
    <xdr:clientData/>
  </xdr:oneCellAnchor>
  <xdr:oneCellAnchor>
    <xdr:from>
      <xdr:col>8</xdr:col>
      <xdr:colOff>575126</xdr:colOff>
      <xdr:row>34</xdr:row>
      <xdr:rowOff>1541</xdr:rowOff>
    </xdr:from>
    <xdr:ext cx="5462016" cy="4053546"/>
    <xdr:sp macro="" textlink="">
      <xdr:nvSpPr>
        <xdr:cNvPr id="3" name="TextBox 2">
          <a:extLst>
            <a:ext uri="{FF2B5EF4-FFF2-40B4-BE49-F238E27FC236}">
              <a16:creationId xmlns:a16="http://schemas.microsoft.com/office/drawing/2014/main" id="{90F9E63E-84D3-464B-9F7F-9B0CD45D75E1}"/>
            </a:ext>
          </a:extLst>
        </xdr:cNvPr>
        <xdr:cNvSpPr txBox="1"/>
      </xdr:nvSpPr>
      <xdr:spPr>
        <a:xfrm>
          <a:off x="6574781" y="6298989"/>
          <a:ext cx="5462016" cy="4053546"/>
        </a:xfrm>
        <a:prstGeom prst="rect">
          <a:avLst/>
        </a:prstGeom>
        <a:solidFill>
          <a:schemeClr val="tx2">
            <a:lumMod val="10000"/>
            <a:lumOff val="9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b="1"/>
            <a:t>Tax Factor</a:t>
          </a:r>
          <a:r>
            <a:rPr lang="en-IN"/>
            <a:t>:</a:t>
          </a:r>
        </a:p>
        <a:p>
          <a:r>
            <a:rPr lang="en-IN"/>
            <a:t>The tax factor has improved slightly from 0.7715 in 2020 to 0.7283 in 2024. This suggests that effective tax rates have improved, which is beneficial for profitability.</a:t>
          </a:r>
        </a:p>
        <a:p>
          <a:r>
            <a:rPr lang="en-IN" b="1"/>
            <a:t>Interest Factor</a:t>
          </a:r>
          <a:r>
            <a:rPr lang="en-IN"/>
            <a:t>:</a:t>
          </a:r>
        </a:p>
        <a:p>
          <a:r>
            <a:rPr lang="en-IN"/>
            <a:t>The interest factor has decreased from 0.5371 in 2020 to 0.6230 in 2024. This indicates an increase in financial leverage or interest expenses, which could imply higher borrowing costs or greater debt levels.</a:t>
          </a:r>
        </a:p>
        <a:p>
          <a:r>
            <a:rPr lang="en-IN" b="1"/>
            <a:t>Operating Margin</a:t>
          </a:r>
          <a:r>
            <a:rPr lang="en-IN"/>
            <a:t>:</a:t>
          </a:r>
        </a:p>
        <a:p>
          <a:r>
            <a:rPr lang="en-IN"/>
            <a:t>The operating margin has shown fluctuations but overall increased from 0.2369 in 2020 to 0.2317 in 2024. Despite the increase in operating margin in 2021, it has slightly decreased afterward. This suggests that profitability from core operations has varied, but overall, it has been relatively stable.</a:t>
          </a:r>
        </a:p>
        <a:p>
          <a:r>
            <a:rPr lang="en-IN" b="1"/>
            <a:t>Asset Turnover Ratio</a:t>
          </a:r>
          <a:r>
            <a:rPr lang="en-IN"/>
            <a:t>:</a:t>
          </a:r>
        </a:p>
        <a:p>
          <a:r>
            <a:rPr lang="en-IN"/>
            <a:t>The asset turnover ratio has decreased from 0.6599 in 2020 to 0.6125 in 2024. This decline indicates reduced efficiency in generating revenue from assets over time.</a:t>
          </a:r>
        </a:p>
        <a:p>
          <a:r>
            <a:rPr lang="en-IN" b="1"/>
            <a:t>Equity Multiplier</a:t>
          </a:r>
          <a:r>
            <a:rPr lang="en-IN"/>
            <a:t>:</a:t>
          </a:r>
        </a:p>
        <a:p>
          <a:r>
            <a:rPr lang="en-IN"/>
            <a:t>The equity multiplier has decreased from 3.3240 in 2020 to 2.9823 in 2024. A lower equity multiplier suggests that the company is using less debt relative to equity, indicating a shift towards a more conservative approach to financial leverage.</a:t>
          </a:r>
        </a:p>
        <a:p>
          <a:r>
            <a:rPr lang="en-IN"/>
            <a:t>PNC Infratech’s ROE decline over the years reflects a combination of reduced asset turnover and increased interest expenses, despite improvements in the tax factor and a more conservative use of leverage. The company may need to focus on enhancing asset utilization and managing interest costs to improve its ROE moving forward.</a:t>
          </a:r>
          <a:endParaRPr lang="en-IN" sz="1100"/>
        </a:p>
      </xdr:txBody>
    </xdr:sp>
    <xdr:clientData/>
  </xdr:oneCellAnchor>
  <xdr:oneCellAnchor>
    <xdr:from>
      <xdr:col>17</xdr:col>
      <xdr:colOff>83943</xdr:colOff>
      <xdr:row>34</xdr:row>
      <xdr:rowOff>21721</xdr:rowOff>
    </xdr:from>
    <xdr:ext cx="5462016" cy="4570225"/>
    <xdr:sp macro="" textlink="">
      <xdr:nvSpPr>
        <xdr:cNvPr id="4" name="TextBox 3">
          <a:extLst>
            <a:ext uri="{FF2B5EF4-FFF2-40B4-BE49-F238E27FC236}">
              <a16:creationId xmlns:a16="http://schemas.microsoft.com/office/drawing/2014/main" id="{896A65EE-8394-4D2D-A30C-7855253D7C58}"/>
            </a:ext>
          </a:extLst>
        </xdr:cNvPr>
        <xdr:cNvSpPr txBox="1"/>
      </xdr:nvSpPr>
      <xdr:spPr>
        <a:xfrm>
          <a:off x="12696357" y="6319169"/>
          <a:ext cx="5462016" cy="4570225"/>
        </a:xfrm>
        <a:prstGeom prst="rect">
          <a:avLst/>
        </a:prstGeom>
        <a:solidFill>
          <a:schemeClr val="tx2">
            <a:lumMod val="10000"/>
            <a:lumOff val="9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b="1"/>
            <a:t>Tax Factor</a:t>
          </a:r>
          <a:r>
            <a:rPr lang="en-IN"/>
            <a:t>:</a:t>
          </a:r>
        </a:p>
        <a:p>
          <a:r>
            <a:rPr lang="en-IN"/>
            <a:t>The tax factor has generally improved, rising from 0.8201 in 2020 to 0.8360 in 2024. This suggests that KNR Constructions has managed to reduce its effective tax rates or benefit from favorable tax conditions, contributing positively to profitability.</a:t>
          </a:r>
        </a:p>
        <a:p>
          <a:r>
            <a:rPr lang="en-IN" b="1"/>
            <a:t>Interest Factor</a:t>
          </a:r>
          <a:r>
            <a:rPr lang="en-IN"/>
            <a:t>:</a:t>
          </a:r>
        </a:p>
        <a:p>
          <a:r>
            <a:rPr lang="en-IN"/>
            <a:t>The interest factor has increased substantially from 0.5202 in 2020 to 0.8876 in 2024. This indicates a rise in financial leverage or interest expenses. The significant increase could imply that KNR Constructions is taking on more debt or facing higher interest rates.</a:t>
          </a:r>
        </a:p>
        <a:p>
          <a:r>
            <a:rPr lang="en-IN" b="1"/>
            <a:t>Operating Margin</a:t>
          </a:r>
          <a:r>
            <a:rPr lang="en-IN"/>
            <a:t>:</a:t>
          </a:r>
        </a:p>
        <a:p>
          <a:r>
            <a:rPr lang="en-IN"/>
            <a:t>The operating margin has been relatively stable but slightly decreased from 0.2539 in 2020 to 0.2365 in 2024. Although there is a slight decline, it remains strong, indicating that the company has maintained a good level of profitability from its operations.</a:t>
          </a:r>
        </a:p>
        <a:p>
          <a:r>
            <a:rPr lang="en-IN" b="1"/>
            <a:t>Asset Turnover Ratio</a:t>
          </a:r>
          <a:r>
            <a:rPr lang="en-IN"/>
            <a:t>:</a:t>
          </a:r>
        </a:p>
        <a:p>
          <a:r>
            <a:rPr lang="en-IN"/>
            <a:t>The asset turnover ratio has improved from 0.6998 in 2020 to 0.8732 in 2024. This increase shows that KNR Constructions has become more efficient in generating revenue from its assets over time.</a:t>
          </a:r>
        </a:p>
        <a:p>
          <a:r>
            <a:rPr lang="en-IN" b="1"/>
            <a:t>Equity Multiplier</a:t>
          </a:r>
          <a:r>
            <a:rPr lang="en-IN"/>
            <a:t>:</a:t>
          </a:r>
        </a:p>
        <a:p>
          <a:r>
            <a:rPr lang="en-IN"/>
            <a:t>The equity multiplier has decreased from 2.2098 in 2020 to 1.6267 in 2024. A lower equity multiplier indicates reduced financial leverage, meaning the company is using less debt relative to equity.</a:t>
          </a:r>
        </a:p>
        <a:p>
          <a:r>
            <a:rPr lang="en-IN"/>
            <a:t>KNR Constructions has achieved a notable improvement in ROE over the period, driven by better asset turnover and effective tax management. The company has managed to increase returns despite higher interest expenses by maintaining strong operating margins and improving asset utilization. The reduction in financial leverage reflects a strategic shift towards lower risk, contributing positively to ROE. The overall financial health and performance of KNR Constructions appear to be strong and improving.</a:t>
          </a:r>
          <a:endParaRPr lang="en-IN" sz="1100"/>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0</xdr:col>
      <xdr:colOff>205740</xdr:colOff>
      <xdr:row>3</xdr:row>
      <xdr:rowOff>83820</xdr:rowOff>
    </xdr:from>
    <xdr:ext cx="6262420" cy="2910540"/>
    <xdr:sp macro="" textlink="">
      <xdr:nvSpPr>
        <xdr:cNvPr id="2" name="TextBox 1">
          <a:extLst>
            <a:ext uri="{FF2B5EF4-FFF2-40B4-BE49-F238E27FC236}">
              <a16:creationId xmlns:a16="http://schemas.microsoft.com/office/drawing/2014/main" id="{58DE9BA7-A624-FE3C-B7BE-70EEEA39FD51}"/>
            </a:ext>
          </a:extLst>
        </xdr:cNvPr>
        <xdr:cNvSpPr txBox="1"/>
      </xdr:nvSpPr>
      <xdr:spPr>
        <a:xfrm>
          <a:off x="205740" y="632460"/>
          <a:ext cx="6262420" cy="29105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b="1"/>
            <a:t>1)</a:t>
          </a:r>
          <a:r>
            <a:rPr lang="en-IN" sz="1200" b="1" baseline="0"/>
            <a:t> NSE - https://www.nseindia.com/get-quotes/equity?symbol=NCC</a:t>
          </a:r>
        </a:p>
        <a:p>
          <a:r>
            <a:rPr lang="en-IN" sz="1200" b="1" baseline="0"/>
            <a:t>      </a:t>
          </a:r>
          <a:r>
            <a:rPr lang="en-IN" sz="1200" b="0" baseline="0"/>
            <a:t>Used for- Details of share returns to sectoral index returns, M&amp;As, Announcements, Investments </a:t>
          </a:r>
          <a:r>
            <a:rPr lang="en-IN" sz="1200" b="1" baseline="0"/>
            <a:t>.</a:t>
          </a:r>
        </a:p>
        <a:p>
          <a:endParaRPr lang="en-IN" sz="1200" baseline="0"/>
        </a:p>
        <a:p>
          <a:r>
            <a:rPr lang="en-IN" sz="1200" b="1" baseline="0"/>
            <a:t>2) Emis - https://www.emis.com/php/home </a:t>
          </a:r>
        </a:p>
        <a:p>
          <a:r>
            <a:rPr lang="en-IN" sz="1100" b="1" baseline="0"/>
            <a:t>       </a:t>
          </a:r>
          <a:r>
            <a:rPr lang="en-IN" sz="1100" b="0" baseline="0"/>
            <a:t>Used for- Balance sheet, Income Statement, Cash Flow Statements.</a:t>
          </a:r>
          <a:endParaRPr lang="en-IN" sz="1100" b="1" baseline="0"/>
        </a:p>
        <a:p>
          <a:endParaRPr lang="en-IN" sz="1100" baseline="0"/>
        </a:p>
        <a:p>
          <a:r>
            <a:rPr lang="en-IN" sz="1100" b="1" baseline="0"/>
            <a:t>3) TradingView- https://www.tradingview.com/markets/india/</a:t>
          </a:r>
        </a:p>
        <a:p>
          <a:r>
            <a:rPr lang="en-IN" sz="1100" b="1" baseline="0"/>
            <a:t>       </a:t>
          </a:r>
          <a:r>
            <a:rPr lang="en-IN" sz="1100" b="0" baseline="0"/>
            <a:t>Used for- Plotting graphs on yearly basis for the share price of all three companies and sectoral index. </a:t>
          </a:r>
          <a:endParaRPr lang="en-IN" sz="1100" b="1" baseline="0"/>
        </a:p>
        <a:p>
          <a:r>
            <a:rPr lang="en-IN" sz="1100" b="1" baseline="0"/>
            <a:t>   </a:t>
          </a:r>
          <a:r>
            <a:rPr lang="en-IN" sz="1100" baseline="0"/>
            <a:t> </a:t>
          </a:r>
        </a:p>
        <a:p>
          <a:r>
            <a:rPr lang="en-IN" sz="1100" baseline="0"/>
            <a:t>4) </a:t>
          </a:r>
          <a:r>
            <a:rPr lang="en-IN" sz="1100" b="1" baseline="0"/>
            <a:t>Financial Results of given companies</a:t>
          </a:r>
          <a:r>
            <a:rPr lang="en-IN" sz="1100" baseline="0"/>
            <a:t> </a:t>
          </a:r>
        </a:p>
        <a:p>
          <a:r>
            <a:rPr lang="en-IN" sz="1100" baseline="0"/>
            <a:t>     Used For- Tallying the finances and finding major changes in debt yoy.</a:t>
          </a:r>
        </a:p>
        <a:p>
          <a:endParaRPr lang="en-IN" sz="1100" baseline="0"/>
        </a:p>
        <a:p>
          <a:r>
            <a:rPr lang="en-IN" sz="1100" b="1" baseline="0"/>
            <a:t>5) Financial Reports of companies </a:t>
          </a:r>
        </a:p>
        <a:p>
          <a:r>
            <a:rPr lang="en-IN" sz="1100" b="1" baseline="0"/>
            <a:t>      </a:t>
          </a:r>
          <a:r>
            <a:rPr lang="en-IN" sz="1100" b="0" baseline="0"/>
            <a:t>Used For- Employee data, Data on Subsidiaries, Shareholding pattern and major shareholders.</a:t>
          </a:r>
          <a:endParaRPr lang="en-IN" sz="1100" b="1" baseline="0"/>
        </a:p>
        <a:p>
          <a:endParaRPr lang="en-IN" sz="1100" b="1" baseline="0"/>
        </a:p>
        <a:p>
          <a:endParaRPr lang="en-IN" sz="1100"/>
        </a:p>
      </xdr:txBody>
    </xdr:sp>
    <xdr:clientData/>
  </xdr:oneCellAnchor>
</xdr:wsDr>
</file>

<file path=xl/drawings/drawing14.xml><?xml version="1.0" encoding="utf-8"?>
<xdr:wsDr xmlns:xdr="http://schemas.openxmlformats.org/drawingml/2006/spreadsheetDrawing" xmlns:a="http://schemas.openxmlformats.org/drawingml/2006/main">
  <xdr:twoCellAnchor>
    <xdr:from>
      <xdr:col>6</xdr:col>
      <xdr:colOff>160020</xdr:colOff>
      <xdr:row>4</xdr:row>
      <xdr:rowOff>53340</xdr:rowOff>
    </xdr:from>
    <xdr:to>
      <xdr:col>17</xdr:col>
      <xdr:colOff>137160</xdr:colOff>
      <xdr:row>43</xdr:row>
      <xdr:rowOff>22860</xdr:rowOff>
    </xdr:to>
    <xdr:sp macro="" textlink="">
      <xdr:nvSpPr>
        <xdr:cNvPr id="2" name="TextBox 1">
          <a:extLst>
            <a:ext uri="{FF2B5EF4-FFF2-40B4-BE49-F238E27FC236}">
              <a16:creationId xmlns:a16="http://schemas.microsoft.com/office/drawing/2014/main" id="{D712D7BB-C1DD-23C4-A862-54564E2AC5BE}"/>
            </a:ext>
          </a:extLst>
        </xdr:cNvPr>
        <xdr:cNvSpPr txBox="1"/>
      </xdr:nvSpPr>
      <xdr:spPr>
        <a:xfrm>
          <a:off x="3817620" y="784860"/>
          <a:ext cx="6682740" cy="71018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rgbClr val="FF0000"/>
              </a:solidFill>
            </a:rPr>
            <a:t>Briefly describe the products or services your company is selling and the market in which it is operating. Calculate sales per rupee of asset deployed in the company over the last five years.</a:t>
          </a:r>
        </a:p>
        <a:p>
          <a:r>
            <a:rPr lang="en-IN" sz="1100"/>
            <a:t> </a:t>
          </a:r>
        </a:p>
        <a:p>
          <a:r>
            <a:rPr lang="en-IN" sz="1100">
              <a:solidFill>
                <a:srgbClr val="FF0000"/>
              </a:solidFill>
            </a:rPr>
            <a:t>Calculate sales per employee over the last five years.</a:t>
          </a:r>
        </a:p>
        <a:p>
          <a:endParaRPr lang="en-IN" sz="1100"/>
        </a:p>
        <a:p>
          <a:r>
            <a:rPr lang="en-IN" sz="1100"/>
            <a:t> </a:t>
          </a:r>
          <a:r>
            <a:rPr lang="en-IN" sz="1100">
              <a:solidFill>
                <a:srgbClr val="FF0000"/>
              </a:solidFill>
            </a:rPr>
            <a:t>Do these two calculations for your two competitors.</a:t>
          </a:r>
        </a:p>
        <a:p>
          <a:endParaRPr lang="en-IN" sz="1100"/>
        </a:p>
        <a:p>
          <a:r>
            <a:rPr lang="en-IN" sz="1100">
              <a:solidFill>
                <a:srgbClr val="FF0000"/>
              </a:solidFill>
            </a:rPr>
            <a:t> Give your comments.Briefly mention business acquisitions your company has made during the last five years and its impact on sales, profit and cash from operations post-acquistion.</a:t>
          </a:r>
        </a:p>
        <a:p>
          <a:r>
            <a:rPr lang="en-IN" sz="1100">
              <a:solidFill>
                <a:srgbClr val="FF0000"/>
              </a:solidFill>
            </a:rPr>
            <a:t>Know the shareholding pattern, major shareholders, Mutual Fund holdings with changes in the last six months therein, Foreign Institutional holdings, promoters’ holdings and pledge of those shares and free float of your company. </a:t>
          </a:r>
        </a:p>
        <a:p>
          <a:r>
            <a:rPr lang="en-IN" sz="1100">
              <a:solidFill>
                <a:srgbClr val="FF0000"/>
              </a:solidFill>
            </a:rPr>
            <a:t>(Major shareholder: Anyone holding more than 5% of equity shares of the company)Find out the reportable (business) segments as mentioned in the annual report.</a:t>
          </a:r>
        </a:p>
        <a:p>
          <a:r>
            <a:rPr lang="en-IN" sz="1100">
              <a:solidFill>
                <a:srgbClr val="FF0000"/>
              </a:solidFill>
            </a:rPr>
            <a:t> Calculate trend in sales, asset additions, profit of different segments over the last five years. Find out segment sales growth rates and compare with respective industry growth rates, if available.</a:t>
          </a:r>
        </a:p>
        <a:p>
          <a:r>
            <a:rPr lang="en-IN" sz="1100">
              <a:solidFill>
                <a:srgbClr val="FF0000"/>
              </a:solidFill>
            </a:rPr>
            <a:t> Know the group structure (subsidiaries and the holding therein). Who are the associates? Has the company got JVs?</a:t>
          </a:r>
        </a:p>
        <a:p>
          <a:endParaRPr lang="en-IN" sz="1100"/>
        </a:p>
        <a:p>
          <a:r>
            <a:rPr lang="en-IN" sz="1100">
              <a:solidFill>
                <a:srgbClr val="FF0000"/>
              </a:solidFill>
            </a:rPr>
            <a:t> Describe very briefly business of subsidiaries.Know investments made by your company in the last five years ending on 31 March 2023 and changes therein.Know the major change in financing of your company in the last five years.</a:t>
          </a:r>
        </a:p>
        <a:p>
          <a:endParaRPr lang="en-IN" sz="1100">
            <a:solidFill>
              <a:srgbClr val="FF0000"/>
            </a:solidFill>
          </a:endParaRPr>
        </a:p>
        <a:p>
          <a:r>
            <a:rPr lang="en-IN" sz="1100">
              <a:solidFill>
                <a:srgbClr val="FF0000"/>
              </a:solidFill>
            </a:rPr>
            <a:t>Calculate your company’s share price return compared to sectoral index return, if any, and market index return on a weekly basis for the last one year ending on the date of course commencement.</a:t>
          </a:r>
        </a:p>
        <a:p>
          <a:r>
            <a:rPr lang="en-IN" sz="1100"/>
            <a:t> </a:t>
          </a:r>
          <a:r>
            <a:rPr lang="en-IN" sz="1100">
              <a:solidFill>
                <a:srgbClr val="FF0000"/>
              </a:solidFill>
            </a:rPr>
            <a:t>Compare this return with return from shares of your two competitors.</a:t>
          </a:r>
          <a:r>
            <a:rPr lang="en-IN" sz="1100"/>
            <a:t> </a:t>
          </a:r>
        </a:p>
        <a:p>
          <a:r>
            <a:rPr lang="en-IN" sz="1100">
              <a:solidFill>
                <a:srgbClr val="FF0000"/>
              </a:solidFill>
            </a:rPr>
            <a:t>Find out which share from these three companies is more volatile (standard deviation).</a:t>
          </a:r>
        </a:p>
        <a:p>
          <a:r>
            <a:rPr lang="en-IN" sz="1100">
              <a:solidFill>
                <a:srgbClr val="FF0000"/>
              </a:solidFill>
            </a:rPr>
            <a:t>Track major announcements of your company for the last one year and price reaction.</a:t>
          </a: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aaksh\Downloads\expense_analysis%20(1).xlsx" TargetMode="External"/><Relationship Id="rId1" Type="http://schemas.openxmlformats.org/officeDocument/2006/relationships/externalLinkPath" Target="file:///C:\Users\aaksh\Downloads\expense_analysis%20(1).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harsh\Downloads\finance%20project.xlsx" TargetMode="External"/><Relationship Id="rId1" Type="http://schemas.openxmlformats.org/officeDocument/2006/relationships/externalLinkPath" Target="file:///C:\Users\harsh\Downloads\finance%20projec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xpenses Analysis"/>
    </sheetNames>
    <sheetDataSet>
      <sheetData sheetId="0">
        <row r="5">
          <cell r="C5">
            <v>7449.54</v>
          </cell>
          <cell r="D5">
            <v>3437.37</v>
          </cell>
          <cell r="E5">
            <v>2329.77</v>
          </cell>
          <cell r="F5">
            <v>2426.56</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roup Details "/>
      <sheetName val="About Company"/>
      <sheetName val="Shareholding pattern"/>
      <sheetName val="Company returns to sectoral ind"/>
      <sheetName val="Income Statement Analysis"/>
      <sheetName val="Balance sheet analysis"/>
      <sheetName val="Cash Flow Statement"/>
      <sheetName val="Employee data"/>
      <sheetName val="Data On Subsidiaries"/>
      <sheetName val="Investments &amp; Announcements"/>
      <sheetName val="Changes in financing "/>
      <sheetName val="Sources "/>
      <sheetName val="M&amp;A"/>
      <sheetName val="Questions "/>
    </sheetNames>
    <sheetDataSet>
      <sheetData sheetId="0" refreshError="1"/>
      <sheetData sheetId="1" refreshError="1"/>
      <sheetData sheetId="2" refreshError="1"/>
      <sheetData sheetId="3" refreshError="1"/>
      <sheetData sheetId="4" refreshError="1">
        <row r="16">
          <cell r="C16">
            <v>-8292.48</v>
          </cell>
          <cell r="D16">
            <v>-5814.39</v>
          </cell>
        </row>
      </sheetData>
      <sheetData sheetId="5" refreshError="1">
        <row r="17">
          <cell r="B17">
            <v>1763.76</v>
          </cell>
          <cell r="C17">
            <v>1374.03</v>
          </cell>
          <cell r="D17">
            <v>1153.3399999999999</v>
          </cell>
          <cell r="E17">
            <v>1222.21</v>
          </cell>
          <cell r="F17">
            <v>1391.29</v>
          </cell>
          <cell r="K17">
            <v>765.01</v>
          </cell>
          <cell r="L17">
            <v>764.39</v>
          </cell>
          <cell r="M17">
            <v>480.79</v>
          </cell>
          <cell r="N17">
            <v>353.59</v>
          </cell>
          <cell r="O17">
            <v>267.29000000000002</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shat Agrawal" refreshedDate="45489.479614004631" createdVersion="8" refreshedVersion="8" minRefreshableVersion="3" recordCount="21" xr:uid="{149364E9-A5C4-48E1-AEFC-874770119CDA}">
  <cacheSource type="worksheet">
    <worksheetSource ref="A6:F27" sheet="Income Statement Analysis"/>
  </cacheSource>
  <cacheFields count="6">
    <cacheField name="Income Statement" numFmtId="49">
      <sharedItems count="21">
        <s v="Total operating revenue"/>
        <s v="Net sales revenue"/>
        <s v="      Administrative expenses"/>
        <s v="      Changes in inventories of finished goods and work in progress"/>
        <s v="      Raw materials and consumables used"/>
        <s v="      Employee benefit expense"/>
        <s v="            Wages and salaries"/>
        <s v="      Depreciation, amortization and impairment charges"/>
        <s v="      Net other operating result"/>
        <s v="            Other operating expenses"/>
        <s v="Operating profit (EBIT)"/>
        <s v="EBITDA"/>
        <s v="Financial result"/>
        <s v="      Finance Expenses"/>
        <s v="            Interest expense"/>
        <s v="Net - other non-operating result"/>
        <s v="Profit before income tax"/>
        <s v="Income tax"/>
        <s v="Profit after income tax"/>
        <s v="      Other Extraordinary Items"/>
        <s v="Net Profit (Loss) for the Period"/>
      </sharedItems>
    </cacheField>
    <cacheField name="2024" numFmtId="0">
      <sharedItems containsSemiMixedTypes="0" containsString="0" containsNumber="1" minValue="-10982.85" maxValue="20844.96"/>
    </cacheField>
    <cacheField name="2023" numFmtId="0">
      <sharedItems containsSemiMixedTypes="0" containsString="0" containsNumber="1" minValue="-8292.48" maxValue="15553.41"/>
    </cacheField>
    <cacheField name="2022" numFmtId="0">
      <sharedItems containsSemiMixedTypes="0" containsString="0" containsNumber="1" minValue="-5814.39" maxValue="11137.96"/>
    </cacheField>
    <cacheField name="2021" numFmtId="0">
      <sharedItems containsSemiMixedTypes="0" containsString="0" containsNumber="1" minValue="-4174.38" maxValue="7949.42"/>
    </cacheField>
    <cacheField name="2020" numFmtId="0">
      <sharedItems containsSemiMixedTypes="0" containsString="0" containsNumber="1" minValue="-4267.54" maxValue="8901.07"/>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shat Agrawal" refreshedDate="45489.527164467596" createdVersion="8" refreshedVersion="8" minRefreshableVersion="3" recordCount="19" xr:uid="{44277832-E56D-4EDB-A6F2-2D08DAC64DB8}">
  <cacheSource type="worksheet">
    <worksheetSource ref="I6:N25" sheet="Income Statement Analysis"/>
  </cacheSource>
  <cacheFields count="6">
    <cacheField name="Income Statement" numFmtId="49">
      <sharedItems count="19">
        <s v="Total operating revenue"/>
        <s v="Net sales revenue"/>
        <s v="      Administrative expenses"/>
        <s v="      Raw materials and consumables used"/>
        <s v="      Employee benefit expense"/>
        <s v="            Wages and salaries"/>
        <s v="      Other costs by nature"/>
        <s v="      Depreciation, amortization and impairment charges"/>
        <s v="Operating profit (EBIT)"/>
        <s v="EBITDA"/>
        <s v="Financial result"/>
        <s v="      Finance Expenses"/>
        <s v="            Interest expense"/>
        <s v="Net - other non-operating result"/>
        <s v="Profit before income tax"/>
        <s v="Income tax"/>
        <s v="Profit after income tax"/>
        <s v="      Other Extraordinary Items"/>
        <s v="Net Profit (Loss) for the Period"/>
      </sharedItems>
    </cacheField>
    <cacheField name="2024" numFmtId="0">
      <sharedItems containsSemiMixedTypes="0" containsString="0" containsNumber="1" minValue="-5599.26" maxValue="8649.8700000000008"/>
    </cacheField>
    <cacheField name="2023" numFmtId="0">
      <sharedItems containsSemiMixedTypes="0" containsString="0" containsNumber="1" minValue="-3347.01" maxValue="7956.08"/>
    </cacheField>
    <cacheField name="2022" numFmtId="0">
      <sharedItems containsSemiMixedTypes="0" containsString="0" containsNumber="1" minValue="-3192.75" maxValue="7208.04"/>
    </cacheField>
    <cacheField name="2021" numFmtId="0">
      <sharedItems containsSemiMixedTypes="0" containsString="0" containsNumber="1" minValue="-2247.89" maxValue="5787.57"/>
    </cacheField>
    <cacheField name="2020" numFmtId="0">
      <sharedItems containsSemiMixedTypes="0" containsString="0" containsNumber="1" minValue="-2161.0500000000002" maxValue="5602.57"/>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shat Agrawal" refreshedDate="45489.622428587965" createdVersion="8" refreshedVersion="8" minRefreshableVersion="3" recordCount="20" xr:uid="{0B009C9D-AAF3-4639-90C5-EC6C6128536A}">
  <cacheSource type="worksheet">
    <worksheetSource ref="Q6:V26" sheet="Income Statement Analysis"/>
  </cacheSource>
  <cacheFields count="6">
    <cacheField name="Income Statement" numFmtId="49">
      <sharedItems count="20">
        <s v="Total operating revenue"/>
        <s v="Net sales revenue"/>
        <s v="      Administrative expenses"/>
        <s v="      Raw materials and consumables used"/>
        <s v="      Employee benefit expense"/>
        <s v="            Wages and salaries"/>
        <s v="      Depreciation, amortization and impairment charges"/>
        <s v="      Net other operating result"/>
        <s v="            Other operating expenses"/>
        <s v="Operating profit (EBIT)"/>
        <s v="EBITDA"/>
        <s v="Financial result"/>
        <s v="      Finance Expenses"/>
        <s v="            Interest expense"/>
        <s v="Net - other non-operating result"/>
        <s v="Profit before income tax"/>
        <s v="Income tax"/>
        <s v="Profit after income tax"/>
        <s v="      Other Extraordinary Items"/>
        <s v="Net Profit (Loss) for the Period"/>
      </sharedItems>
    </cacheField>
    <cacheField name="2024" numFmtId="0">
      <sharedItems containsSemiMixedTypes="0" containsString="0" containsNumber="1" minValue="-1660.15" maxValue="4429.49"/>
    </cacheField>
    <cacheField name="2023" numFmtId="0">
      <sharedItems containsSemiMixedTypes="0" containsString="0" containsNumber="1" minValue="-1494.74" maxValue="4062.36"/>
    </cacheField>
    <cacheField name="2022" numFmtId="0">
      <sharedItems containsSemiMixedTypes="0" containsString="0" containsNumber="1" minValue="-1270.44" maxValue="3605.82"/>
    </cacheField>
    <cacheField name="2021" numFmtId="0">
      <sharedItems containsSemiMixedTypes="0" containsString="0" containsNumber="1" minValue="-1068.56" maxValue="2903.63"/>
    </cacheField>
    <cacheField name="2020" numFmtId="0">
      <sharedItems containsSemiMixedTypes="0" containsString="0" containsNumber="1" minValue="-889.1" maxValue="2451.6799999999998"/>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shat Agrawal" refreshedDate="45491.715083680552" createdVersion="8" refreshedVersion="8" minRefreshableVersion="3" recordCount="34" xr:uid="{D4356879-1976-43D2-9F2F-78EF6D4663CF}">
  <cacheSource type="worksheet">
    <worksheetSource name="Table3"/>
  </cacheSource>
  <cacheFields count="6">
    <cacheField name="Balance Sheet" numFmtId="49">
      <sharedItems count="34">
        <s v="Total assets"/>
        <s v="      Non-current assets"/>
        <s v="            Property, plant and equipment"/>
        <s v="                  Other property, plant and equipment"/>
        <s v="            Construction in progress"/>
        <s v="            Intangible assets and goodwill"/>
        <s v="            Long-term financial assets"/>
        <s v="                  Other non-current financial assets"/>
        <s v="            Deferred assets"/>
        <s v="      Current assets"/>
        <s v="            Inventories"/>
        <s v="                  Other inventories"/>
        <s v="            Trade and other receivables"/>
        <s v="                  Current trade receivables"/>
        <s v="            Prepayments, accrued income and other deferred current assets"/>
        <s v="            Cash and Cash Equivalents"/>
        <s v="                  Cash at banks and on hand"/>
        <s v="      Net current assets"/>
        <s v="Total equity and liabilities"/>
        <s v="      Total equity"/>
        <s v="            Equity attributable to owners of the parent"/>
        <s v="                  Issued capital"/>
        <s v="                        Ordinary shares"/>
        <s v="                  Other reserves"/>
        <s v="            Minority interest"/>
        <s v="      Total liabilities"/>
        <s v="            Non-current liabilities"/>
        <s v="                  Non-current loans and borrowings"/>
        <s v="                  Deferred revenue, accrued expenses and other deferred non-current liabilities"/>
        <s v="            Current liabilities"/>
        <s v="                  Current loans and borrowings"/>
        <s v="                  Trade and other payables"/>
        <s v="                  Provisions for other liabilities and charges"/>
        <s v="                  Other current liabilities"/>
      </sharedItems>
    </cacheField>
    <cacheField name="2024" numFmtId="0">
      <sharedItems containsSemiMixedTypes="0" containsString="0" containsNumber="1" minValue="0" maxValue="18097.38"/>
    </cacheField>
    <cacheField name="2023" numFmtId="0">
      <sharedItems containsSemiMixedTypes="0" containsString="0" containsNumber="1" minValue="0" maxValue="16550.12"/>
    </cacheField>
    <cacheField name="2022" numFmtId="0">
      <sharedItems containsSemiMixedTypes="0" containsString="0" containsNumber="1" minValue="0" maxValue="14457.99"/>
    </cacheField>
    <cacheField name="2021" numFmtId="0">
      <sharedItems containsSemiMixedTypes="0" containsString="0" containsNumber="1" minValue="0" maxValue="13539.88"/>
    </cacheField>
    <cacheField name="2020" numFmtId="0">
      <sharedItems containsSemiMixedTypes="0" containsString="0" containsNumber="1" minValue="0" maxValue="13811.89"/>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shat Agrawal" refreshedDate="45493.00828923611" createdVersion="8" refreshedVersion="8" minRefreshableVersion="3" recordCount="34" xr:uid="{F0652FFB-F39B-4A8A-8384-9BB36802C693}">
  <cacheSource type="worksheet">
    <worksheetSource name="Table4"/>
  </cacheSource>
  <cacheFields count="6">
    <cacheField name="Balance Sheet" numFmtId="49">
      <sharedItems count="34">
        <s v="Total assets"/>
        <s v="      Non-current assets"/>
        <s v="            Property, plant and equipment"/>
        <s v="                  Other property, plant and equipment"/>
        <s v="            Construction in progress"/>
        <s v="            Intangible assets and goodwill"/>
        <s v="            Long-term financial assets"/>
        <s v="                  Other non-current financial assets"/>
        <s v="            Deferred assets"/>
        <s v="      Current assets"/>
        <s v="            Inventories"/>
        <s v="                  Other inventories"/>
        <s v="            Trade and other receivables"/>
        <s v="                  Current trade receivables"/>
        <s v="            Prepayments, accrued income and other deferred current assets"/>
        <s v="            Cash and Cash Equivalents"/>
        <s v="                  Cash at banks and on hand"/>
        <s v="      Net current assets"/>
        <s v="Total equity and liabilities"/>
        <s v="      Total equity"/>
        <s v="            Equity attributable to owners of the parent"/>
        <s v="                  Issued capital"/>
        <s v="                        Ordinary shares"/>
        <s v="                  Other reserves"/>
        <s v="            Minority interest"/>
        <s v="      Total liabilities"/>
        <s v="            Non-current liabilities"/>
        <s v="                  Non-current loans and borrowings"/>
        <s v="                  Deferred revenue, accrued expenses and other deferred non-current liabilities"/>
        <s v="            Current liabilities"/>
        <s v="                  Current loans and borrowings"/>
        <s v="                  Trade and other payables"/>
        <s v="                  Provisions for other liabilities and charges"/>
        <s v="                  Other current liabilities"/>
      </sharedItems>
    </cacheField>
    <cacheField name="2024" numFmtId="0">
      <sharedItems containsSemiMixedTypes="0" containsString="0" containsNumber="1" minValue="0" maxValue="15610.21"/>
    </cacheField>
    <cacheField name="2023" numFmtId="0">
      <sharedItems containsSemiMixedTypes="0" containsString="0" containsNumber="1" minValue="0" maxValue="12632.12"/>
    </cacheField>
    <cacheField name="2022" numFmtId="0">
      <sharedItems containsSemiMixedTypes="0" containsString="0" containsNumber="1" minValue="-0.22" maxValue="10644.88"/>
    </cacheField>
    <cacheField name="2021" numFmtId="0">
      <sharedItems containsSemiMixedTypes="0" containsString="0" containsNumber="1" minValue="-0.47" maxValue="9575.25"/>
    </cacheField>
    <cacheField name="2020" numFmtId="0">
      <sharedItems containsSemiMixedTypes="0" containsString="0" containsNumber="1" minValue="0" maxValue="8490.2999999999993"/>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shat Agrawal" refreshedDate="45493.009852083334" createdVersion="8" refreshedVersion="8" minRefreshableVersion="3" recordCount="33" xr:uid="{6455A393-FC80-4A68-B729-D2173D2D88D9}">
  <cacheSource type="worksheet">
    <worksheetSource name="Table5"/>
  </cacheSource>
  <cacheFields count="6">
    <cacheField name="Balance Sheet" numFmtId="49">
      <sharedItems count="33">
        <s v="Total assets"/>
        <s v="      Non-current assets"/>
        <s v="            Property, plant and equipment"/>
        <s v="                  Other property, plant and equipment"/>
        <s v="            Construction in progress"/>
        <s v="            Intangible assets and goodwill"/>
        <s v="            Long-term financial assets"/>
        <s v="                  Other non-current financial assets"/>
        <s v="            Deferred assets"/>
        <s v="      Current assets"/>
        <s v="            Inventories"/>
        <s v="                  Other inventories"/>
        <s v="            Trade and other receivables"/>
        <s v="                  Current trade receivables"/>
        <s v="            Prepayments, accrued income and other deferred current assets"/>
        <s v="            Cash and Cash Equivalents"/>
        <s v="                  Cash at banks and on hand"/>
        <s v="      Net current assets"/>
        <s v="Total equity and liabilities"/>
        <s v="      Total equity"/>
        <s v="            Equity attributable to owners of the parent"/>
        <s v="                  Issued capital"/>
        <s v="                        Ordinary shares"/>
        <s v="                  Other reserves"/>
        <s v="            Minority interest"/>
        <s v="      Total liabilities"/>
        <s v="            Non-current liabilities"/>
        <s v="                  Non-current loans and borrowings"/>
        <s v="            Current liabilities"/>
        <s v="                  Current loans and borrowings"/>
        <s v="                  Trade and other payables"/>
        <s v="                  Provisions for other liabilities and charges"/>
        <s v="                  Other current liabilities"/>
      </sharedItems>
    </cacheField>
    <cacheField name="2024" numFmtId="0">
      <sharedItems containsSemiMixedTypes="0" containsString="0" containsNumber="1" minValue="-56.47" maxValue="5803.79"/>
    </cacheField>
    <cacheField name="2023" numFmtId="0">
      <sharedItems containsSemiMixedTypes="0" containsString="0" containsNumber="1" minValue="-31.37" maxValue="4342.01"/>
    </cacheField>
    <cacheField name="2022" numFmtId="0">
      <sharedItems containsSemiMixedTypes="0" containsString="0" containsNumber="1" minValue="10.1" maxValue="5270.32"/>
    </cacheField>
    <cacheField name="2021" numFmtId="0">
      <sharedItems containsSemiMixedTypes="0" containsString="0" containsNumber="1" minValue="0.71" maxValue="4007.18"/>
    </cacheField>
    <cacheField name="2020" numFmtId="0">
      <sharedItems containsSemiMixedTypes="0" containsString="0" containsNumber="1" minValue="2.87" maxValue="3503.33"/>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
  <r>
    <x v="0"/>
    <n v="20844.96"/>
    <n v="15553.41"/>
    <n v="11137.96"/>
    <n v="7949.42"/>
    <n v="8901.07"/>
  </r>
  <r>
    <x v="1"/>
    <n v="20844.96"/>
    <n v="15553.41"/>
    <n v="11137.96"/>
    <n v="7949.42"/>
    <n v="8901.07"/>
  </r>
  <r>
    <x v="2"/>
    <n v="-10982.85"/>
    <n v="-331.79"/>
    <n v="-257"/>
    <n v="-4174.38"/>
    <n v="-4267.54"/>
  </r>
  <r>
    <x v="3"/>
    <n v="23.54"/>
    <n v="-69.349999999999994"/>
    <n v="-105.49"/>
    <n v="-48.9"/>
    <n v="-30.42"/>
  </r>
  <r>
    <x v="4"/>
    <n v="-7449.54"/>
    <n v="-4855.1099999999997"/>
    <n v="-3484.62"/>
    <n v="-2426.56"/>
    <n v="-3032.17"/>
  </r>
  <r>
    <x v="5"/>
    <n v="-667.23"/>
    <n v="-545.69000000000005"/>
    <n v="-452.66"/>
    <n v="-380.5"/>
    <n v="-483.69"/>
  </r>
  <r>
    <x v="6"/>
    <n v="-667.23"/>
    <n v="-545.69000000000005"/>
    <n v="-452.66"/>
    <n v="-380.5"/>
    <n v="-483.69"/>
  </r>
  <r>
    <x v="7"/>
    <n v="-211.92"/>
    <n v="-202.61"/>
    <n v="-186.74"/>
    <n v="-181.25"/>
    <n v="-199.22"/>
  </r>
  <r>
    <x v="8"/>
    <n v="0"/>
    <n v="-8292.48"/>
    <n v="-5814.39"/>
    <n v="0"/>
    <n v="0"/>
  </r>
  <r>
    <x v="9"/>
    <n v="0"/>
    <n v="-8292.48"/>
    <n v="-5814.39"/>
    <n v="0"/>
    <n v="0"/>
  </r>
  <r>
    <x v="10"/>
    <n v="1768.88"/>
    <n v="1458.99"/>
    <n v="1023.8"/>
    <n v="919.08"/>
    <n v="1087.25"/>
  </r>
  <r>
    <x v="11"/>
    <n v="1980.8"/>
    <n v="1661.6"/>
    <n v="1210.54"/>
    <n v="1100.33"/>
    <n v="1286.47"/>
  </r>
  <r>
    <x v="12"/>
    <n v="-594.75"/>
    <n v="-515.22"/>
    <n v="-478.07"/>
    <n v="-479.91"/>
    <n v="-553.85"/>
  </r>
  <r>
    <x v="13"/>
    <n v="-594.75"/>
    <n v="-515.22"/>
    <n v="-478.07"/>
    <n v="-479.91"/>
    <n v="-553.85"/>
  </r>
  <r>
    <x v="14"/>
    <n v="-594.75"/>
    <n v="-515.22"/>
    <n v="-478.07"/>
    <n v="-479.91"/>
    <n v="-553.85"/>
  </r>
  <r>
    <x v="15"/>
    <n v="125.95"/>
    <n v="147.59"/>
    <n v="70.72"/>
    <n v="115.91"/>
    <n v="112.98"/>
  </r>
  <r>
    <x v="16"/>
    <n v="1088.1600000000001"/>
    <n v="888.75"/>
    <n v="429.71"/>
    <n v="373.83"/>
    <n v="447.16"/>
  </r>
  <r>
    <x v="17"/>
    <n v="-320.5"/>
    <n v="-238.64"/>
    <n v="-140.65"/>
    <n v="-79.48"/>
    <n v="-72.8"/>
  </r>
  <r>
    <x v="18"/>
    <n v="767.66"/>
    <n v="650.11"/>
    <n v="289.06"/>
    <n v="294.35000000000002"/>
    <n v="374.36"/>
  </r>
  <r>
    <x v="19"/>
    <n v="-67.53"/>
    <n v="-24.84"/>
    <n v="202.17"/>
    <n v="-13.89"/>
    <n v="-16.59"/>
  </r>
  <r>
    <x v="20"/>
    <n v="710.69"/>
    <n v="609.20000000000005"/>
    <n v="482.41"/>
    <n v="283.04000000000002"/>
    <n v="336.5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
  <r>
    <x v="0"/>
    <n v="8649.8700000000008"/>
    <n v="7956.08"/>
    <n v="7208.04"/>
    <n v="5787.57"/>
    <n v="5602.57"/>
  </r>
  <r>
    <x v="1"/>
    <n v="8649.8700000000008"/>
    <n v="7956.08"/>
    <n v="7208.04"/>
    <n v="5787.57"/>
    <n v="5602.57"/>
  </r>
  <r>
    <x v="2"/>
    <n v="-656.79"/>
    <n v="-2469.23"/>
    <n v="-1974.75"/>
    <n v="-1722.63"/>
    <n v="-1736.48"/>
  </r>
  <r>
    <x v="3"/>
    <n v="-5599.26"/>
    <n v="-3347.01"/>
    <n v="-3192.75"/>
    <n v="-2247.89"/>
    <n v="-2161.0500000000002"/>
  </r>
  <r>
    <x v="4"/>
    <n v="-389.29"/>
    <n v="-374.72"/>
    <n v="-378.66"/>
    <n v="-307.27999999999997"/>
    <n v="-293.24"/>
  </r>
  <r>
    <x v="5"/>
    <n v="-389.29"/>
    <n v="-374.72"/>
    <n v="-378.66"/>
    <n v="-307.27999999999997"/>
    <n v="-293.24"/>
  </r>
  <r>
    <x v="6"/>
    <n v="0"/>
    <n v="-165.08"/>
    <n v="-127.41"/>
    <n v="-91.9"/>
    <n v="-84.63"/>
  </r>
  <r>
    <x v="7"/>
    <n v="-176.81"/>
    <n v="-253.31"/>
    <n v="-390.19"/>
    <n v="-363.25"/>
    <n v="-350.73"/>
  </r>
  <r>
    <x v="8"/>
    <n v="2004.53"/>
    <n v="1600.04"/>
    <n v="1534.47"/>
    <n v="1417.87"/>
    <n v="1327.17"/>
  </r>
  <r>
    <x v="9"/>
    <n v="2181.34"/>
    <n v="1853.35"/>
    <n v="1924.66"/>
    <n v="1781.12"/>
    <n v="1677.9"/>
  </r>
  <r>
    <x v="10"/>
    <n v="-660.49"/>
    <n v="-469.9"/>
    <n v="-425.32"/>
    <n v="-426.07"/>
    <n v="-439.3"/>
  </r>
  <r>
    <x v="11"/>
    <n v="-660.49"/>
    <n v="-469.9"/>
    <n v="-425.32"/>
    <n v="-426.07"/>
    <n v="-439.3"/>
  </r>
  <r>
    <x v="12"/>
    <n v="-660.49"/>
    <n v="-469.9"/>
    <n v="-425.32"/>
    <n v="-426.07"/>
    <n v="-439.3"/>
  </r>
  <r>
    <x v="13"/>
    <n v="81.510000000000005"/>
    <n v="80.63"/>
    <n v="88.99"/>
    <n v="111.32"/>
    <n v="175.63"/>
  </r>
  <r>
    <x v="14"/>
    <n v="1248.74"/>
    <n v="957.46"/>
    <n v="807.94"/>
    <n v="739.88"/>
    <n v="712.78"/>
  </r>
  <r>
    <x v="15"/>
    <n v="-339.32"/>
    <n v="-299.01"/>
    <n v="-225.66"/>
    <n v="-247.24"/>
    <n v="-169.38"/>
  </r>
  <r>
    <x v="16"/>
    <n v="909.42"/>
    <n v="658.45"/>
    <n v="582.28"/>
    <n v="492.64"/>
    <n v="543.4"/>
  </r>
  <r>
    <x v="17"/>
    <n v="0"/>
    <n v="3.53"/>
    <n v="-5.24"/>
    <n v="-4.5"/>
    <n v="-3.91"/>
  </r>
  <r>
    <x v="18"/>
    <n v="909.42"/>
    <n v="658.45"/>
    <n v="580.17999999999995"/>
    <n v="497.38"/>
    <n v="549.88"/>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n v="4429.49"/>
    <n v="4062.36"/>
    <n v="3605.82"/>
    <n v="2903.63"/>
    <n v="2451.6799999999998"/>
  </r>
  <r>
    <x v="1"/>
    <n v="4429.49"/>
    <n v="4062.36"/>
    <n v="3605.82"/>
    <n v="2903.63"/>
    <n v="2451.6799999999998"/>
  </r>
  <r>
    <x v="2"/>
    <n v="-1547.39"/>
    <n v="-104.85"/>
    <n v="-209.96"/>
    <n v="-76.05"/>
    <n v="-59.95"/>
  </r>
  <r>
    <x v="3"/>
    <n v="-1660.15"/>
    <n v="-1494.74"/>
    <n v="-1180.72"/>
    <n v="-926.45"/>
    <n v="-753.28"/>
  </r>
  <r>
    <x v="4"/>
    <n v="-174.19"/>
    <n v="-174.21"/>
    <n v="-146.05000000000001"/>
    <n v="-133.13"/>
    <n v="-126.92"/>
  </r>
  <r>
    <x v="5"/>
    <n v="-174.19"/>
    <n v="-174.21"/>
    <n v="-146.05000000000001"/>
    <n v="-133.13"/>
    <n v="-126.92"/>
  </r>
  <r>
    <x v="6"/>
    <n v="-156.83000000000001"/>
    <n v="-180.7"/>
    <n v="-164.92"/>
    <n v="-189.9"/>
    <n v="-254.13"/>
  </r>
  <r>
    <x v="7"/>
    <n v="0"/>
    <n v="-1371.25"/>
    <n v="-1270.44"/>
    <n v="-1068.56"/>
    <n v="-889.1"/>
  </r>
  <r>
    <x v="8"/>
    <n v="0"/>
    <n v="-1371.25"/>
    <n v="-1270.44"/>
    <n v="-1068.56"/>
    <n v="-889.1"/>
  </r>
  <r>
    <x v="9"/>
    <n v="1047.76"/>
    <n v="917.31"/>
    <n v="798.65"/>
    <n v="699.44"/>
    <n v="622.42999999999995"/>
  </r>
  <r>
    <x v="10"/>
    <n v="1204.5899999999999"/>
    <n v="1098.01"/>
    <n v="963.57"/>
    <n v="889.34"/>
    <n v="876.56"/>
  </r>
  <r>
    <x v="11"/>
    <n v="-105.67"/>
    <n v="-153.08000000000001"/>
    <n v="-148.11000000000001"/>
    <n v="-134.05000000000001"/>
    <n v="-110.23"/>
  </r>
  <r>
    <x v="12"/>
    <n v="-105.67"/>
    <n v="-153.08000000000001"/>
    <n v="-148.11000000000001"/>
    <n v="-134.05000000000001"/>
    <n v="-110.23"/>
  </r>
  <r>
    <x v="13"/>
    <n v="-105.67"/>
    <n v="-153.08000000000001"/>
    <n v="-148.11000000000001"/>
    <n v="-134.05000000000001"/>
    <n v="-110.23"/>
  </r>
  <r>
    <x v="14"/>
    <n v="144.69"/>
    <n v="36.68"/>
    <n v="44.87"/>
    <n v="51.62"/>
    <n v="65.69"/>
  </r>
  <r>
    <x v="15"/>
    <n v="929.94"/>
    <n v="620.22"/>
    <n v="530.5"/>
    <n v="427.11"/>
    <n v="323.77"/>
  </r>
  <r>
    <x v="16"/>
    <n v="-196.16"/>
    <n v="-241.84"/>
    <n v="-196.99"/>
    <n v="-136.96"/>
    <n v="-68.53"/>
  </r>
  <r>
    <x v="17"/>
    <n v="733.78"/>
    <n v="378.38"/>
    <n v="333.51"/>
    <n v="290.14999999999998"/>
    <n v="255.24"/>
  </r>
  <r>
    <x v="18"/>
    <n v="6.58"/>
    <n v="62.65"/>
    <n v="9.91"/>
    <n v="77.819999999999993"/>
    <n v="-22.14"/>
  </r>
  <r>
    <x v="19"/>
    <n v="777.4"/>
    <n v="458.01"/>
    <n v="381.84"/>
    <n v="407.38"/>
    <n v="265.51"/>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
  <r>
    <x v="0"/>
    <n v="18097.38"/>
    <n v="16550.12"/>
    <n v="14457.99"/>
    <n v="13539.88"/>
    <n v="13811.89"/>
  </r>
  <r>
    <x v="1"/>
    <n v="1999.84"/>
    <n v="1938.24"/>
    <n v="1859.98"/>
    <n v="1936.09"/>
    <n v="1910.75"/>
  </r>
  <r>
    <x v="2"/>
    <n v="1605.45"/>
    <n v="1501.5"/>
    <n v="1441.2"/>
    <n v="1438.22"/>
    <n v="1359.72"/>
  </r>
  <r>
    <x v="3"/>
    <n v="1605.45"/>
    <n v="1501.5"/>
    <n v="1441.2"/>
    <n v="1438.22"/>
    <n v="1359.72"/>
  </r>
  <r>
    <x v="4"/>
    <n v="0"/>
    <n v="21.98"/>
    <n v="7.35"/>
    <n v="0"/>
    <n v="0"/>
  </r>
  <r>
    <x v="5"/>
    <n v="0.63"/>
    <n v="1.37"/>
    <n v="1.35"/>
    <n v="0.63"/>
    <n v="0.63"/>
  </r>
  <r>
    <x v="6"/>
    <n v="154.9"/>
    <n v="352.04"/>
    <n v="345.82"/>
    <n v="439.63"/>
    <n v="302.91000000000003"/>
  </r>
  <r>
    <x v="7"/>
    <n v="154.9"/>
    <n v="352.04"/>
    <n v="345.82"/>
    <n v="439.63"/>
    <n v="302.91000000000003"/>
  </r>
  <r>
    <x v="8"/>
    <n v="238.86"/>
    <n v="61.35"/>
    <n v="64.260000000000005"/>
    <n v="57.61"/>
    <n v="247.49"/>
  </r>
  <r>
    <x v="9"/>
    <n v="6406.23"/>
    <n v="5633.7"/>
    <n v="4666.09"/>
    <n v="4501.47"/>
    <n v="4547.8"/>
  </r>
  <r>
    <x v="10"/>
    <n v="1763.76"/>
    <n v="1374.03"/>
    <n v="1153.3399999999999"/>
    <n v="1222.21"/>
    <n v="1391.29"/>
  </r>
  <r>
    <x v="11"/>
    <n v="1763.76"/>
    <n v="1374.03"/>
    <n v="1153.3399999999999"/>
    <n v="1222.21"/>
    <n v="1391.29"/>
  </r>
  <r>
    <x v="12"/>
    <n v="3117.21"/>
    <n v="3175.51"/>
    <n v="2545.16"/>
    <n v="2739.62"/>
    <n v="2728.28"/>
  </r>
  <r>
    <x v="13"/>
    <n v="3117.21"/>
    <n v="3175.51"/>
    <n v="2545.16"/>
    <n v="2739.62"/>
    <n v="2728.28"/>
  </r>
  <r>
    <x v="14"/>
    <n v="375.71"/>
    <n v="374.89"/>
    <n v="367.06"/>
    <n v="35.06"/>
    <n v="39.49"/>
  </r>
  <r>
    <x v="15"/>
    <n v="1149.55"/>
    <n v="709.27"/>
    <n v="600.53"/>
    <n v="504.58"/>
    <n v="388.74"/>
  </r>
  <r>
    <x v="16"/>
    <n v="1149.55"/>
    <n v="709.27"/>
    <n v="600.53"/>
    <n v="504.58"/>
    <n v="388.74"/>
  </r>
  <r>
    <x v="17"/>
    <n v="9691.31"/>
    <n v="8978.18"/>
    <n v="7931.92"/>
    <n v="7102.32"/>
    <n v="7353.34"/>
  </r>
  <r>
    <x v="18"/>
    <n v="18097.38"/>
    <n v="16550.12"/>
    <n v="14457.99"/>
    <n v="13539.88"/>
    <n v="13811.89"/>
  </r>
  <r>
    <x v="19"/>
    <n v="6811.88"/>
    <n v="6485.46"/>
    <n v="5896.15"/>
    <n v="5469.41"/>
    <n v="5159.29"/>
  </r>
  <r>
    <x v="20"/>
    <n v="6639.7"/>
    <n v="6166.83"/>
    <n v="5602.74"/>
    <n v="5171.3"/>
    <n v="4906.45"/>
  </r>
  <r>
    <x v="21"/>
    <n v="125.57"/>
    <n v="125.57"/>
    <n v="121.97"/>
    <n v="121.97"/>
    <n v="121.97"/>
  </r>
  <r>
    <x v="22"/>
    <n v="125.57"/>
    <n v="125.57"/>
    <n v="121.97"/>
    <n v="121.97"/>
    <n v="121.97"/>
  </r>
  <r>
    <x v="23"/>
    <n v="6514.13"/>
    <n v="6041.26"/>
    <n v="5480.77"/>
    <n v="5049.33"/>
    <n v="4784.4799999999996"/>
  </r>
  <r>
    <x v="24"/>
    <n v="172.18"/>
    <n v="318.63"/>
    <n v="293.41000000000003"/>
    <n v="298.11"/>
    <n v="252.84"/>
  </r>
  <r>
    <x v="25"/>
    <n v="11285.5"/>
    <n v="10064.66"/>
    <n v="8561.84"/>
    <n v="8070.47"/>
    <n v="8652.6"/>
  </r>
  <r>
    <x v="26"/>
    <n v="72.099999999999994"/>
    <n v="89.09"/>
    <n v="120.18"/>
    <n v="169.61"/>
    <n v="239.82"/>
  </r>
  <r>
    <x v="27"/>
    <n v="69.680000000000007"/>
    <n v="89.09"/>
    <n v="120.18"/>
    <n v="169.61"/>
    <n v="239.82"/>
  </r>
  <r>
    <x v="28"/>
    <n v="2.42"/>
    <n v="0"/>
    <n v="0"/>
    <n v="0"/>
    <n v="0"/>
  </r>
  <r>
    <x v="29"/>
    <n v="11213.4"/>
    <n v="9975.57"/>
    <n v="8441.66"/>
    <n v="7900.86"/>
    <n v="8412.7800000000007"/>
  </r>
  <r>
    <x v="30"/>
    <n v="910.34"/>
    <n v="884.73"/>
    <n v="1182.25"/>
    <n v="1579.43"/>
    <n v="1632.8"/>
  </r>
  <r>
    <x v="31"/>
    <n v="6709.89"/>
    <n v="5306.02"/>
    <n v="4397.8"/>
    <n v="3828.52"/>
    <n v="4120.05"/>
  </r>
  <r>
    <x v="32"/>
    <n v="201.61"/>
    <n v="156.01"/>
    <n v="137.09"/>
    <n v="52.45"/>
    <n v="160.4"/>
  </r>
  <r>
    <x v="33"/>
    <n v="3391.56"/>
    <n v="3628.81"/>
    <n v="2724.52"/>
    <n v="2440.46"/>
    <n v="2499.5300000000002"/>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
  <r>
    <x v="0"/>
    <n v="15610.21"/>
    <n v="12632.12"/>
    <n v="10644.88"/>
    <n v="9575.25"/>
    <n v="8490.2999999999993"/>
  </r>
  <r>
    <x v="1"/>
    <n v="1670.59"/>
    <n v="1602.23"/>
    <n v="1911.36"/>
    <n v="2420.48"/>
    <n v="2580.84"/>
  </r>
  <r>
    <x v="2"/>
    <n v="1159.18"/>
    <n v="534.64"/>
    <n v="591.04999999999995"/>
    <n v="657.45"/>
    <n v="591.08000000000004"/>
  </r>
  <r>
    <x v="3"/>
    <n v="1159.18"/>
    <n v="534.64"/>
    <n v="591.04999999999995"/>
    <n v="657.46"/>
    <n v="591.09"/>
  </r>
  <r>
    <x v="4"/>
    <n v="0"/>
    <n v="0"/>
    <n v="0"/>
    <n v="3.42"/>
    <n v="0"/>
  </r>
  <r>
    <x v="5"/>
    <n v="0"/>
    <n v="756.08"/>
    <n v="890.54"/>
    <n v="1139.5"/>
    <n v="1387.01"/>
  </r>
  <r>
    <x v="6"/>
    <n v="511.41"/>
    <n v="311.51"/>
    <n v="423.73"/>
    <n v="578.6"/>
    <n v="444.39"/>
  </r>
  <r>
    <x v="7"/>
    <n v="511.41"/>
    <n v="311.51"/>
    <n v="423.73"/>
    <n v="578.6"/>
    <n v="444.39"/>
  </r>
  <r>
    <x v="8"/>
    <n v="0"/>
    <n v="0"/>
    <n v="6.04"/>
    <n v="41.51"/>
    <n v="158.36000000000001"/>
  </r>
  <r>
    <x v="9"/>
    <n v="3776.66"/>
    <n v="2569.52"/>
    <n v="2163.71"/>
    <n v="1970.62"/>
    <n v="1728.99"/>
  </r>
  <r>
    <x v="10"/>
    <n v="765.01"/>
    <n v="764.39"/>
    <n v="480.79"/>
    <n v="353.59"/>
    <n v="267.29000000000002"/>
  </r>
  <r>
    <x v="11"/>
    <n v="765.01"/>
    <n v="764.39"/>
    <n v="480.79"/>
    <n v="353.59"/>
    <n v="267.29000000000002"/>
  </r>
  <r>
    <x v="12"/>
    <n v="1632.94"/>
    <n v="1098.78"/>
    <n v="665.75"/>
    <n v="392.79"/>
    <n v="284.06"/>
  </r>
  <r>
    <x v="13"/>
    <n v="1632.94"/>
    <n v="1098.78"/>
    <n v="665.75"/>
    <n v="392.79"/>
    <n v="284.06"/>
  </r>
  <r>
    <x v="14"/>
    <n v="0"/>
    <n v="0"/>
    <n v="269.87"/>
    <n v="279.72000000000003"/>
    <n v="256.52"/>
  </r>
  <r>
    <x v="15"/>
    <n v="1378.7"/>
    <n v="706.35"/>
    <n v="747.3"/>
    <n v="944.52"/>
    <n v="921.12"/>
  </r>
  <r>
    <x v="16"/>
    <n v="1378.7"/>
    <n v="706.35"/>
    <n v="747.3"/>
    <n v="944.52"/>
    <n v="921.12"/>
  </r>
  <r>
    <x v="17"/>
    <n v="10162.959999999999"/>
    <n v="8460.3799999999992"/>
    <n v="6569.8"/>
    <n v="5184.16"/>
    <n v="4180.46"/>
  </r>
  <r>
    <x v="18"/>
    <n v="15610.21"/>
    <n v="12632.12"/>
    <n v="10644.88"/>
    <n v="9575.25"/>
    <n v="8490.2999999999993"/>
  </r>
  <r>
    <x v="19"/>
    <n v="5184.82"/>
    <n v="4285.05"/>
    <n v="3627.87"/>
    <n v="3052.69"/>
    <n v="2554.2600000000002"/>
  </r>
  <r>
    <x v="20"/>
    <n v="5184.82"/>
    <n v="4285.05"/>
    <n v="3628.09"/>
    <n v="3053.16"/>
    <n v="2554.2600000000002"/>
  </r>
  <r>
    <x v="21"/>
    <n v="51.31"/>
    <n v="51.31"/>
    <n v="51.31"/>
    <n v="51.31"/>
    <n v="51.31"/>
  </r>
  <r>
    <x v="22"/>
    <n v="51.31"/>
    <n v="51.31"/>
    <n v="51.31"/>
    <n v="51.31"/>
    <n v="51.31"/>
  </r>
  <r>
    <x v="23"/>
    <n v="5133.51"/>
    <n v="4233.74"/>
    <n v="3576.78"/>
    <n v="3001.85"/>
    <n v="2502.9499999999998"/>
  </r>
  <r>
    <x v="24"/>
    <n v="0"/>
    <n v="0"/>
    <n v="-0.22"/>
    <n v="-0.47"/>
    <n v="0"/>
  </r>
  <r>
    <x v="25"/>
    <n v="10425.39"/>
    <n v="8347.08"/>
    <n v="7017.01"/>
    <n v="6522.56"/>
    <n v="5936.04"/>
  </r>
  <r>
    <x v="26"/>
    <n v="7264.83"/>
    <n v="5580.44"/>
    <n v="4336.6000000000004"/>
    <n v="3734.89"/>
    <n v="3246.02"/>
  </r>
  <r>
    <x v="27"/>
    <n v="7264.17"/>
    <n v="5559.26"/>
    <n v="4336.6000000000004"/>
    <n v="3734.89"/>
    <n v="3246.02"/>
  </r>
  <r>
    <x v="28"/>
    <n v="0.66"/>
    <n v="21.18"/>
    <n v="0"/>
    <n v="0"/>
    <n v="0"/>
  </r>
  <r>
    <x v="29"/>
    <n v="3160.56"/>
    <n v="2766.64"/>
    <n v="2680.41"/>
    <n v="2787.67"/>
    <n v="2690.02"/>
  </r>
  <r>
    <x v="30"/>
    <n v="752.29"/>
    <n v="712.07"/>
    <n v="442.24"/>
    <n v="20.18"/>
    <n v="16.29"/>
  </r>
  <r>
    <x v="31"/>
    <n v="953"/>
    <n v="688.22"/>
    <n v="514.27"/>
    <n v="726.1"/>
    <n v="475.76"/>
  </r>
  <r>
    <x v="32"/>
    <n v="366.25"/>
    <n v="350.9"/>
    <n v="347.99"/>
    <n v="325.95"/>
    <n v="263.18"/>
  </r>
  <r>
    <x v="33"/>
    <n v="1089.03"/>
    <n v="1015.45"/>
    <n v="1375.91"/>
    <n v="1715.44"/>
    <n v="1934.79"/>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
  <r>
    <x v="0"/>
    <n v="5803.79"/>
    <n v="4342.01"/>
    <n v="5270.32"/>
    <n v="4007.18"/>
    <n v="3503.33"/>
  </r>
  <r>
    <x v="1"/>
    <n v="1055.93"/>
    <n v="1088.27"/>
    <n v="1102.03"/>
    <n v="988.65"/>
    <n v="1511.8"/>
  </r>
  <r>
    <x v="2"/>
    <n v="803.99"/>
    <n v="587.66999999999996"/>
    <n v="557.63"/>
    <n v="414.24"/>
    <n v="456.04"/>
  </r>
  <r>
    <x v="3"/>
    <n v="803.99"/>
    <n v="587.67999999999995"/>
    <n v="557.63"/>
    <n v="414.24"/>
    <n v="456.04"/>
  </r>
  <r>
    <x v="4"/>
    <n v="0"/>
    <n v="2.5099999999999998"/>
    <n v="20.62"/>
    <n v="2.38"/>
    <n v="10.15"/>
  </r>
  <r>
    <x v="5"/>
    <n v="0"/>
    <n v="302.81"/>
    <n v="332.27"/>
    <n v="361.76"/>
    <n v="818.78"/>
  </r>
  <r>
    <x v="6"/>
    <n v="115.19"/>
    <n v="72.349999999999994"/>
    <n v="73.25"/>
    <n v="61.67"/>
    <n v="65.84"/>
  </r>
  <r>
    <x v="7"/>
    <n v="115.19"/>
    <n v="72.349999999999994"/>
    <n v="73.25"/>
    <n v="61.67"/>
    <n v="65.84"/>
  </r>
  <r>
    <x v="8"/>
    <n v="136.75"/>
    <n v="122.93"/>
    <n v="118.26"/>
    <n v="148.6"/>
    <n v="160.99"/>
  </r>
  <r>
    <x v="9"/>
    <n v="1307.5899999999999"/>
    <n v="1077.43"/>
    <n v="1095.1199999999999"/>
    <n v="636.27"/>
    <n v="383.55"/>
  </r>
  <r>
    <x v="10"/>
    <n v="220.87"/>
    <n v="234.23"/>
    <n v="227.41"/>
    <n v="147.99"/>
    <n v="123.16"/>
  </r>
  <r>
    <x v="11"/>
    <n v="220.87"/>
    <n v="234.23"/>
    <n v="227.41"/>
    <n v="147.99"/>
    <n v="123.16"/>
  </r>
  <r>
    <x v="12"/>
    <n v="673.98"/>
    <n v="622.9"/>
    <n v="598.41"/>
    <n v="332.87"/>
    <n v="174.65"/>
  </r>
  <r>
    <x v="13"/>
    <n v="673.98"/>
    <n v="622.9"/>
    <n v="598.41"/>
    <n v="332.87"/>
    <n v="174.65"/>
  </r>
  <r>
    <x v="14"/>
    <n v="1.84"/>
    <n v="0.11"/>
    <n v="10.1"/>
    <n v="7.57"/>
    <n v="2.87"/>
  </r>
  <r>
    <x v="15"/>
    <n v="410.89"/>
    <n v="220.2"/>
    <n v="259.2"/>
    <n v="147.84"/>
    <n v="82.87"/>
  </r>
  <r>
    <x v="16"/>
    <n v="410.89"/>
    <n v="220.2"/>
    <n v="259.2"/>
    <n v="147.84"/>
    <n v="82.87"/>
  </r>
  <r>
    <x v="17"/>
    <n v="3440.27"/>
    <n v="2176.29"/>
    <n v="3073.17"/>
    <n v="2382.2600000000002"/>
    <n v="1607.98"/>
  </r>
  <r>
    <x v="18"/>
    <n v="5803.79"/>
    <n v="4342.01"/>
    <n v="5270.32"/>
    <n v="4007.18"/>
    <n v="3503.33"/>
  </r>
  <r>
    <x v="19"/>
    <n v="3497.68"/>
    <n v="2739.33"/>
    <n v="2550.65"/>
    <n v="1967.97"/>
    <n v="1585.36"/>
  </r>
  <r>
    <x v="20"/>
    <n v="3554.15"/>
    <n v="2770.7"/>
    <n v="2319.21"/>
    <n v="1959.32"/>
    <n v="1552.16"/>
  </r>
  <r>
    <x v="21"/>
    <n v="56.25"/>
    <n v="56.25"/>
    <n v="56.25"/>
    <n v="56.25"/>
    <n v="28.12"/>
  </r>
  <r>
    <x v="22"/>
    <n v="56.25"/>
    <n v="56.25"/>
    <n v="56.25"/>
    <n v="56.25"/>
    <n v="28.12"/>
  </r>
  <r>
    <x v="23"/>
    <n v="3497.9"/>
    <n v="2714.45"/>
    <n v="2262.96"/>
    <n v="1903.07"/>
    <n v="1524.04"/>
  </r>
  <r>
    <x v="24"/>
    <n v="-56.47"/>
    <n v="-31.37"/>
    <n v="231.44"/>
    <n v="8.65"/>
    <n v="33.200000000000003"/>
  </r>
  <r>
    <x v="25"/>
    <n v="2306.11"/>
    <n v="1602.68"/>
    <n v="2719.67"/>
    <n v="2039.21"/>
    <n v="1917.96"/>
  </r>
  <r>
    <x v="26"/>
    <n v="1161.79"/>
    <n v="500.12"/>
    <n v="1380.98"/>
    <n v="736.72"/>
    <n v="800.22"/>
  </r>
  <r>
    <x v="27"/>
    <n v="1161.79"/>
    <n v="500.12"/>
    <n v="1380.98"/>
    <n v="736.72"/>
    <n v="800.22"/>
  </r>
  <r>
    <x v="28"/>
    <n v="1144.32"/>
    <n v="1102.56"/>
    <n v="1338.69"/>
    <n v="1302.49"/>
    <n v="1117.74"/>
  </r>
  <r>
    <x v="29"/>
    <n v="96.43"/>
    <n v="154.78"/>
    <n v="84.64"/>
    <n v="0.71"/>
    <n v="33.64"/>
  </r>
  <r>
    <x v="30"/>
    <n v="281.19"/>
    <n v="387.7"/>
    <n v="307.07"/>
    <n v="250.72"/>
    <n v="262.97000000000003"/>
  </r>
  <r>
    <x v="31"/>
    <n v="82.21"/>
    <n v="75.8"/>
    <n v="94.01"/>
    <n v="63.12"/>
    <n v="73.95"/>
  </r>
  <r>
    <x v="32"/>
    <n v="684.49"/>
    <n v="484.28"/>
    <n v="852.97"/>
    <n v="987.94"/>
    <n v="747.1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A378378-1131-4474-80DB-D9C840BB810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3:F35" firstHeaderRow="0" firstDataRow="1" firstDataCol="1"/>
  <pivotFields count="6">
    <pivotField axis="axisRow" showAll="0">
      <items count="22">
        <item h="1" x="14"/>
        <item h="1" x="9"/>
        <item h="1" x="6"/>
        <item h="1" x="2"/>
        <item h="1" x="3"/>
        <item h="1" x="7"/>
        <item h="1" x="5"/>
        <item h="1" x="13"/>
        <item h="1" x="8"/>
        <item h="1" x="19"/>
        <item h="1" x="4"/>
        <item h="1" x="11"/>
        <item h="1" x="12"/>
        <item h="1" x="17"/>
        <item h="1" x="15"/>
        <item h="1" x="20"/>
        <item h="1" x="1"/>
        <item h="1" x="10"/>
        <item h="1" x="18"/>
        <item h="1" x="16"/>
        <item x="0"/>
        <item t="default"/>
      </items>
    </pivotField>
    <pivotField dataField="1" showAll="0"/>
    <pivotField dataField="1" showAll="0"/>
    <pivotField dataField="1" showAll="0"/>
    <pivotField dataField="1" showAll="0"/>
    <pivotField dataField="1" showAll="0"/>
  </pivotFields>
  <rowFields count="1">
    <field x="0"/>
  </rowFields>
  <rowItems count="2">
    <i>
      <x v="20"/>
    </i>
    <i t="grand">
      <x/>
    </i>
  </rowItems>
  <colFields count="1">
    <field x="-2"/>
  </colFields>
  <colItems count="5">
    <i>
      <x/>
    </i>
    <i i="1">
      <x v="1"/>
    </i>
    <i i="2">
      <x v="2"/>
    </i>
    <i i="3">
      <x v="3"/>
    </i>
    <i i="4">
      <x v="4"/>
    </i>
  </colItems>
  <dataFields count="5">
    <dataField name="2020 revenue" fld="5" baseField="0" baseItem="0"/>
    <dataField name=" 2021 revenue" fld="4" baseField="0" baseItem="0"/>
    <dataField name="2022 revenue" fld="3" baseField="0" baseItem="0"/>
    <dataField name=" 2023 revenue" fld="2" baseField="0" baseItem="0"/>
    <dataField name="2024 revenue" fld="1" baseField="0" baseItem="20"/>
  </dataFields>
  <chartFormats count="5">
    <chartFormat chart="0" format="10" series="1">
      <pivotArea type="data" outline="0" fieldPosition="0">
        <references count="1">
          <reference field="4294967294" count="1" selected="0">
            <x v="4"/>
          </reference>
        </references>
      </pivotArea>
    </chartFormat>
    <chartFormat chart="0" format="11" series="1">
      <pivotArea type="data" outline="0" fieldPosition="0">
        <references count="1">
          <reference field="4294967294" count="1" selected="0">
            <x v="3"/>
          </reference>
        </references>
      </pivotArea>
    </chartFormat>
    <chartFormat chart="0" format="12" series="1">
      <pivotArea type="data" outline="0" fieldPosition="0">
        <references count="1">
          <reference field="4294967294" count="1" selected="0">
            <x v="2"/>
          </reference>
        </references>
      </pivotArea>
    </chartFormat>
    <chartFormat chart="0" format="13" series="1">
      <pivotArea type="data" outline="0" fieldPosition="0">
        <references count="1">
          <reference field="4294967294" count="1" selected="0">
            <x v="1"/>
          </reference>
        </references>
      </pivotArea>
    </chartFormat>
    <chartFormat chart="0" format="1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0F4BDAB-C423-4070-A0DA-11F0DB122498}"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Q62:V64" firstHeaderRow="0" firstDataRow="1" firstDataCol="1"/>
  <pivotFields count="6">
    <pivotField axis="axisRow" showAll="0">
      <items count="21">
        <item h="1" x="13"/>
        <item h="1" x="8"/>
        <item h="1" x="5"/>
        <item h="1" x="2"/>
        <item h="1" x="6"/>
        <item h="1" x="4"/>
        <item h="1" x="12"/>
        <item h="1" x="7"/>
        <item h="1" x="18"/>
        <item h="1" x="3"/>
        <item x="10"/>
        <item h="1" x="11"/>
        <item h="1" x="16"/>
        <item h="1" x="14"/>
        <item h="1" x="19"/>
        <item h="1" x="1"/>
        <item h="1" x="9"/>
        <item h="1" x="17"/>
        <item h="1" x="15"/>
        <item h="1" x="0"/>
        <item t="default"/>
      </items>
    </pivotField>
    <pivotField dataField="1" showAll="0"/>
    <pivotField dataField="1" showAll="0"/>
    <pivotField dataField="1" showAll="0"/>
    <pivotField dataField="1" showAll="0"/>
    <pivotField dataField="1" showAll="0"/>
  </pivotFields>
  <rowFields count="1">
    <field x="0"/>
  </rowFields>
  <rowItems count="2">
    <i>
      <x v="10"/>
    </i>
    <i t="grand">
      <x/>
    </i>
  </rowItems>
  <colFields count="1">
    <field x="-2"/>
  </colFields>
  <colItems count="5">
    <i>
      <x/>
    </i>
    <i i="1">
      <x v="1"/>
    </i>
    <i i="2">
      <x v="2"/>
    </i>
    <i i="3">
      <x v="3"/>
    </i>
    <i i="4">
      <x v="4"/>
    </i>
  </colItems>
  <dataFields count="5">
    <dataField name="Sum of 2020" fld="5" baseField="0" baseItem="0"/>
    <dataField name="Sum of 2021" fld="4" baseField="0" baseItem="0"/>
    <dataField name="Sum of 2022" fld="3" baseField="0" baseItem="0"/>
    <dataField name="Sum of 2023" fld="2" baseField="0" baseItem="0"/>
    <dataField name="Sum of 2024" fld="1" baseField="0" baseItem="0"/>
  </dataFields>
  <chartFormats count="5">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1" format="3" series="1">
      <pivotArea type="data" outline="0" fieldPosition="0">
        <references count="1">
          <reference field="4294967294" count="1" selected="0">
            <x v="3"/>
          </reference>
        </references>
      </pivotArea>
    </chartFormat>
    <chartFormat chart="1" format="4"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6CFC34A-1DF8-427B-BE54-B7792A9F5AEE}"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Q33:V35" firstHeaderRow="0" firstDataRow="1" firstDataCol="1"/>
  <pivotFields count="6">
    <pivotField axis="axisRow" showAll="0">
      <items count="21">
        <item h="1" x="13"/>
        <item h="1" x="8"/>
        <item h="1" x="5"/>
        <item h="1" x="2"/>
        <item h="1" x="6"/>
        <item h="1" x="4"/>
        <item h="1" x="12"/>
        <item h="1" x="7"/>
        <item h="1" x="18"/>
        <item h="1" x="3"/>
        <item h="1" x="10"/>
        <item h="1" x="11"/>
        <item h="1" x="16"/>
        <item h="1" x="14"/>
        <item h="1" x="19"/>
        <item h="1" x="1"/>
        <item h="1" x="9"/>
        <item h="1" x="17"/>
        <item h="1" x="15"/>
        <item x="0"/>
        <item t="default"/>
      </items>
    </pivotField>
    <pivotField dataField="1" showAll="0"/>
    <pivotField dataField="1" showAll="0"/>
    <pivotField dataField="1" showAll="0"/>
    <pivotField dataField="1" showAll="0"/>
    <pivotField dataField="1" showAll="0"/>
  </pivotFields>
  <rowFields count="1">
    <field x="0"/>
  </rowFields>
  <rowItems count="2">
    <i>
      <x v="19"/>
    </i>
    <i t="grand">
      <x/>
    </i>
  </rowItems>
  <colFields count="1">
    <field x="-2"/>
  </colFields>
  <colItems count="5">
    <i>
      <x/>
    </i>
    <i i="1">
      <x v="1"/>
    </i>
    <i i="2">
      <x v="2"/>
    </i>
    <i i="3">
      <x v="3"/>
    </i>
    <i i="4">
      <x v="4"/>
    </i>
  </colItems>
  <dataFields count="5">
    <dataField name="Sum of 2020" fld="5" baseField="0" baseItem="0"/>
    <dataField name="Sum of 2021" fld="4" baseField="0" baseItem="0"/>
    <dataField name="Sum of 2022" fld="3" baseField="0" baseItem="0"/>
    <dataField name="Sum of 2023" fld="2" baseField="0" baseItem="0"/>
    <dataField name="Sum of 2024" fld="1" baseField="0" baseItem="0"/>
  </dataFields>
  <chartFormats count="5">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1" format="3" series="1">
      <pivotArea type="data" outline="0" fieldPosition="0">
        <references count="1">
          <reference field="4294967294" count="1" selected="0">
            <x v="3"/>
          </reference>
        </references>
      </pivotArea>
    </chartFormat>
    <chartFormat chart="1" format="4"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7FB8CD2-FBD5-42E8-AADC-4C2F49F7EE17}"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I94:N96" firstHeaderRow="0" firstDataRow="1" firstDataCol="1"/>
  <pivotFields count="6">
    <pivotField axis="axisRow" showAll="0">
      <items count="20">
        <item h="1" x="12"/>
        <item h="1" x="5"/>
        <item h="1" x="2"/>
        <item h="1" x="7"/>
        <item h="1" x="4"/>
        <item h="1" x="11"/>
        <item h="1" x="6"/>
        <item h="1" x="17"/>
        <item h="1" x="3"/>
        <item h="1" x="9"/>
        <item h="1" x="10"/>
        <item h="1" x="15"/>
        <item h="1" x="13"/>
        <item x="18"/>
        <item h="1" x="1"/>
        <item h="1" x="8"/>
        <item h="1" x="16"/>
        <item h="1" x="14"/>
        <item h="1" x="0"/>
        <item t="default"/>
      </items>
    </pivotField>
    <pivotField dataField="1" showAll="0"/>
    <pivotField dataField="1" showAll="0"/>
    <pivotField dataField="1" showAll="0"/>
    <pivotField dataField="1" showAll="0"/>
    <pivotField dataField="1" showAll="0"/>
  </pivotFields>
  <rowFields count="1">
    <field x="0"/>
  </rowFields>
  <rowItems count="2">
    <i>
      <x v="13"/>
    </i>
    <i t="grand">
      <x/>
    </i>
  </rowItems>
  <colFields count="1">
    <field x="-2"/>
  </colFields>
  <colItems count="5">
    <i>
      <x/>
    </i>
    <i i="1">
      <x v="1"/>
    </i>
    <i i="2">
      <x v="2"/>
    </i>
    <i i="3">
      <x v="3"/>
    </i>
    <i i="4">
      <x v="4"/>
    </i>
  </colItems>
  <dataFields count="5">
    <dataField name="Sum of 2020" fld="5" baseField="0" baseItem="0"/>
    <dataField name="Sum of 2021" fld="4" baseField="0" baseItem="0"/>
    <dataField name="Sum of 2022" fld="3" baseField="0" baseItem="0"/>
    <dataField name="Sum of 2023" fld="2" baseField="0" baseItem="0"/>
    <dataField name="Sum of 2024" fld="1" baseField="0" baseItem="0"/>
  </dataFields>
  <chartFormats count="5">
    <chartFormat chart="3" format="0" series="1">
      <pivotArea type="data" outline="0" fieldPosition="0">
        <references count="1">
          <reference field="4294967294" count="1" selected="0">
            <x v="4"/>
          </reference>
        </references>
      </pivotArea>
    </chartFormat>
    <chartFormat chart="3" format="1" series="1">
      <pivotArea type="data" outline="0" fieldPosition="0">
        <references count="1">
          <reference field="4294967294" count="1" selected="0">
            <x v="3"/>
          </reference>
        </references>
      </pivotArea>
    </chartFormat>
    <chartFormat chart="3" format="2" series="1">
      <pivotArea type="data" outline="0" fieldPosition="0">
        <references count="1">
          <reference field="4294967294" count="1" selected="0">
            <x v="2"/>
          </reference>
        </references>
      </pivotArea>
    </chartFormat>
    <chartFormat chart="3" format="3"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BA9F637-1D67-4DB1-AAF5-516BB0318B8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62:F64" firstHeaderRow="0" firstDataRow="1" firstDataCol="1"/>
  <pivotFields count="6">
    <pivotField axis="axisRow" showAll="0">
      <items count="22">
        <item h="1" x="14"/>
        <item h="1" x="9"/>
        <item h="1" x="6"/>
        <item h="1" x="2"/>
        <item h="1" x="3"/>
        <item h="1" x="7"/>
        <item h="1" x="5"/>
        <item h="1" x="13"/>
        <item h="1" x="8"/>
        <item h="1" x="19"/>
        <item h="1" x="4"/>
        <item x="11"/>
        <item h="1" x="12"/>
        <item h="1" x="17"/>
        <item h="1" x="15"/>
        <item h="1" x="20"/>
        <item h="1" x="1"/>
        <item h="1" x="10"/>
        <item h="1" x="18"/>
        <item h="1" x="16"/>
        <item h="1" x="0"/>
        <item t="default"/>
      </items>
    </pivotField>
    <pivotField dataField="1" showAll="0"/>
    <pivotField dataField="1" showAll="0"/>
    <pivotField dataField="1" showAll="0"/>
    <pivotField dataField="1" showAll="0"/>
    <pivotField dataField="1" showAll="0"/>
  </pivotFields>
  <rowFields count="1">
    <field x="0"/>
  </rowFields>
  <rowItems count="2">
    <i>
      <x v="11"/>
    </i>
    <i t="grand">
      <x/>
    </i>
  </rowItems>
  <colFields count="1">
    <field x="-2"/>
  </colFields>
  <colItems count="5">
    <i>
      <x/>
    </i>
    <i i="1">
      <x v="1"/>
    </i>
    <i i="2">
      <x v="2"/>
    </i>
    <i i="3">
      <x v="3"/>
    </i>
    <i i="4">
      <x v="4"/>
    </i>
  </colItems>
  <dataFields count="5">
    <dataField name="Sum of 2020" fld="5" baseField="0" baseItem="0"/>
    <dataField name="Sum of 2021" fld="4" baseField="0" baseItem="0"/>
    <dataField name="Sum of 2022" fld="3" baseField="0" baseItem="0"/>
    <dataField name="Sum of 2023" fld="2" baseField="0" baseItem="0"/>
    <dataField name="Sum of 2024" fld="1" baseField="0" baseItem="0"/>
  </dataFields>
  <chartFormats count="5">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 chart="2" format="3" series="1">
      <pivotArea type="data" outline="0" fieldPosition="0">
        <references count="1">
          <reference field="4294967294" count="1" selected="0">
            <x v="3"/>
          </reference>
        </references>
      </pivotArea>
    </chartFormat>
    <chartFormat chart="2" format="4"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6216201-44FD-478E-82D9-BD5235109AC4}"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I62:N64" firstHeaderRow="0" firstDataRow="1" firstDataCol="1"/>
  <pivotFields count="6">
    <pivotField axis="axisRow" showAll="0">
      <items count="20">
        <item h="1" x="12"/>
        <item h="1" x="5"/>
        <item h="1" x="2"/>
        <item h="1" x="7"/>
        <item h="1" x="4"/>
        <item h="1" x="11"/>
        <item h="1" x="6"/>
        <item h="1" x="17"/>
        <item h="1" x="3"/>
        <item x="9"/>
        <item h="1" x="10"/>
        <item h="1" x="15"/>
        <item h="1" x="13"/>
        <item h="1" x="18"/>
        <item h="1" x="1"/>
        <item h="1" x="8"/>
        <item h="1" x="16"/>
        <item h="1" x="14"/>
        <item h="1" x="0"/>
        <item t="default"/>
      </items>
    </pivotField>
    <pivotField dataField="1" showAll="0"/>
    <pivotField dataField="1" showAll="0"/>
    <pivotField dataField="1" showAll="0"/>
    <pivotField dataField="1" showAll="0"/>
    <pivotField dataField="1" showAll="0"/>
  </pivotFields>
  <rowFields count="1">
    <field x="0"/>
  </rowFields>
  <rowItems count="2">
    <i>
      <x v="9"/>
    </i>
    <i t="grand">
      <x/>
    </i>
  </rowItems>
  <colFields count="1">
    <field x="-2"/>
  </colFields>
  <colItems count="5">
    <i>
      <x/>
    </i>
    <i i="1">
      <x v="1"/>
    </i>
    <i i="2">
      <x v="2"/>
    </i>
    <i i="3">
      <x v="3"/>
    </i>
    <i i="4">
      <x v="4"/>
    </i>
  </colItems>
  <dataFields count="5">
    <dataField name="Sum of 2020" fld="5" baseField="0" baseItem="0"/>
    <dataField name="Sum of 2021" fld="4" baseField="0" baseItem="0"/>
    <dataField name="Sum of 2022" fld="3" baseField="0" baseItem="0"/>
    <dataField name="Sum of 2023" fld="2" baseField="0" baseItem="0"/>
    <dataField name="Sum of 2024" fld="1" baseField="0" baseItem="0"/>
  </dataFields>
  <chartFormats count="5">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2"/>
          </reference>
        </references>
      </pivotArea>
    </chartFormat>
    <chartFormat chart="4" format="3" series="1">
      <pivotArea type="data" outline="0" fieldPosition="0">
        <references count="1">
          <reference field="4294967294" count="1" selected="0">
            <x v="3"/>
          </reference>
        </references>
      </pivotArea>
    </chartFormat>
    <chartFormat chart="4" format="4"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474C9FF-DE00-49EB-861C-CECE05407AD2}"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I33:N35" firstHeaderRow="0" firstDataRow="1" firstDataCol="1"/>
  <pivotFields count="6">
    <pivotField axis="axisRow" showAll="0">
      <items count="20">
        <item h="1" x="12"/>
        <item h="1" x="5"/>
        <item h="1" x="2"/>
        <item h="1" x="7"/>
        <item h="1" x="4"/>
        <item h="1" x="11"/>
        <item h="1" x="6"/>
        <item h="1" x="17"/>
        <item h="1" x="3"/>
        <item h="1" x="9"/>
        <item h="1" x="10"/>
        <item h="1" x="15"/>
        <item h="1" x="13"/>
        <item h="1" x="18"/>
        <item h="1" x="1"/>
        <item h="1" x="8"/>
        <item h="1" x="16"/>
        <item h="1" x="14"/>
        <item x="0"/>
        <item t="default"/>
      </items>
    </pivotField>
    <pivotField dataField="1" showAll="0"/>
    <pivotField dataField="1" showAll="0"/>
    <pivotField dataField="1" showAll="0"/>
    <pivotField dataField="1" showAll="0"/>
    <pivotField dataField="1" showAll="0"/>
  </pivotFields>
  <rowFields count="1">
    <field x="0"/>
  </rowFields>
  <rowItems count="2">
    <i>
      <x v="18"/>
    </i>
    <i t="grand">
      <x/>
    </i>
  </rowItems>
  <colFields count="1">
    <field x="-2"/>
  </colFields>
  <colItems count="5">
    <i>
      <x/>
    </i>
    <i i="1">
      <x v="1"/>
    </i>
    <i i="2">
      <x v="2"/>
    </i>
    <i i="3">
      <x v="3"/>
    </i>
    <i i="4">
      <x v="4"/>
    </i>
  </colItems>
  <dataFields count="5">
    <dataField name="Sum of 2020" fld="5" baseField="0" baseItem="0"/>
    <dataField name="Sum of 2021" fld="4" baseField="0" baseItem="0"/>
    <dataField name="Sum of 2022" fld="3" baseField="0" baseItem="0"/>
    <dataField name="Sum of 2023" fld="2" baseField="0" baseItem="0"/>
    <dataField name="Sum of 2024" fld="1" baseField="0" baseItem="0"/>
  </dataFields>
  <chartFormats count="5">
    <chartFormat chart="0" format="0" series="1">
      <pivotArea type="data" outline="0" fieldPosition="0">
        <references count="1">
          <reference field="4294967294" count="1" selected="0">
            <x v="4"/>
          </reference>
        </references>
      </pivotArea>
    </chartFormat>
    <chartFormat chart="0" format="1" series="1">
      <pivotArea type="data" outline="0" fieldPosition="0">
        <references count="1">
          <reference field="4294967294" count="1" selected="0">
            <x v="3"/>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1"/>
          </reference>
        </references>
      </pivotArea>
    </chartFormat>
    <chartFormat chart="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661184B-D4FF-4661-A287-9F7EF8BCE97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94:F96" firstHeaderRow="0" firstDataRow="1" firstDataCol="1"/>
  <pivotFields count="6">
    <pivotField axis="axisRow" showAll="0">
      <items count="22">
        <item h="1" x="14"/>
        <item h="1" x="9"/>
        <item h="1" x="6"/>
        <item h="1" x="2"/>
        <item h="1" x="3"/>
        <item h="1" x="7"/>
        <item h="1" x="5"/>
        <item h="1" x="13"/>
        <item h="1" x="8"/>
        <item h="1" x="19"/>
        <item h="1" x="4"/>
        <item h="1" x="11"/>
        <item h="1" x="12"/>
        <item h="1" x="17"/>
        <item h="1" x="15"/>
        <item x="20"/>
        <item h="1" x="1"/>
        <item h="1" x="10"/>
        <item h="1" x="18"/>
        <item h="1" x="16"/>
        <item h="1" x="0"/>
        <item t="default"/>
      </items>
    </pivotField>
    <pivotField dataField="1" showAll="0"/>
    <pivotField dataField="1" showAll="0"/>
    <pivotField dataField="1" showAll="0"/>
    <pivotField dataField="1" showAll="0"/>
    <pivotField dataField="1" showAll="0"/>
  </pivotFields>
  <rowFields count="1">
    <field x="0"/>
  </rowFields>
  <rowItems count="2">
    <i>
      <x v="15"/>
    </i>
    <i t="grand">
      <x/>
    </i>
  </rowItems>
  <colFields count="1">
    <field x="-2"/>
  </colFields>
  <colItems count="5">
    <i>
      <x/>
    </i>
    <i i="1">
      <x v="1"/>
    </i>
    <i i="2">
      <x v="2"/>
    </i>
    <i i="3">
      <x v="3"/>
    </i>
    <i i="4">
      <x v="4"/>
    </i>
  </colItems>
  <dataFields count="5">
    <dataField name="Sum of 2020" fld="5" baseField="0" baseItem="0"/>
    <dataField name="Sum of 2021" fld="4" baseField="0" baseItem="0"/>
    <dataField name="Sum of 2022" fld="3" baseField="0" baseItem="0"/>
    <dataField name="Sum of 2023" fld="2" baseField="0" baseItem="0"/>
    <dataField name="Sum of 2024" fld="1" baseField="0" baseItem="0"/>
  </dataFields>
  <chartFormats count="5">
    <chartFormat chart="0" format="0" series="1">
      <pivotArea type="data" outline="0" fieldPosition="0">
        <references count="1">
          <reference field="4294967294" count="1" selected="0">
            <x v="4"/>
          </reference>
        </references>
      </pivotArea>
    </chartFormat>
    <chartFormat chart="0" format="1" series="1">
      <pivotArea type="data" outline="0" fieldPosition="0">
        <references count="1">
          <reference field="4294967294" count="1" selected="0">
            <x v="3"/>
          </reference>
        </references>
      </pivotArea>
    </chartFormat>
    <chartFormat chart="0" format="2" series="1">
      <pivotArea type="data" outline="0" fieldPosition="0">
        <references count="1">
          <reference field="4294967294" count="1" selected="0">
            <x v="1"/>
          </reference>
        </references>
      </pivotArea>
    </chartFormat>
    <chartFormat chart="0" format="3" series="1">
      <pivotArea type="data" outline="0" fieldPosition="0">
        <references count="1">
          <reference field="4294967294" count="1" selected="0">
            <x v="2"/>
          </reference>
        </references>
      </pivotArea>
    </chartFormat>
    <chartFormat chart="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A5FB6F4-42B4-4A23-91A9-AE26C9790C71}"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Q94:V96" firstHeaderRow="0" firstDataRow="1" firstDataCol="1"/>
  <pivotFields count="6">
    <pivotField axis="axisRow" showAll="0">
      <items count="21">
        <item h="1" x="13"/>
        <item h="1" x="8"/>
        <item h="1" x="5"/>
        <item h="1" x="2"/>
        <item h="1" x="6"/>
        <item h="1" x="4"/>
        <item h="1" x="12"/>
        <item h="1" x="7"/>
        <item h="1" x="18"/>
        <item h="1" x="3"/>
        <item h="1" x="10"/>
        <item h="1" x="11"/>
        <item h="1" x="16"/>
        <item h="1" x="14"/>
        <item x="19"/>
        <item h="1" x="1"/>
        <item h="1" x="9"/>
        <item h="1" x="17"/>
        <item h="1" x="15"/>
        <item h="1" x="0"/>
        <item t="default"/>
      </items>
    </pivotField>
    <pivotField dataField="1" showAll="0"/>
    <pivotField dataField="1" showAll="0"/>
    <pivotField dataField="1" showAll="0"/>
    <pivotField dataField="1" showAll="0"/>
    <pivotField dataField="1" showAll="0"/>
  </pivotFields>
  <rowFields count="1">
    <field x="0"/>
  </rowFields>
  <rowItems count="2">
    <i>
      <x v="14"/>
    </i>
    <i t="grand">
      <x/>
    </i>
  </rowItems>
  <colFields count="1">
    <field x="-2"/>
  </colFields>
  <colItems count="5">
    <i>
      <x/>
    </i>
    <i i="1">
      <x v="1"/>
    </i>
    <i i="2">
      <x v="2"/>
    </i>
    <i i="3">
      <x v="3"/>
    </i>
    <i i="4">
      <x v="4"/>
    </i>
  </colItems>
  <dataFields count="5">
    <dataField name="Sum of 2020" fld="5" baseField="0" baseItem="0"/>
    <dataField name="Sum of 2021" fld="4" baseField="0" baseItem="0"/>
    <dataField name="Sum of 2022" fld="3" baseField="0" baseItem="0"/>
    <dataField name="Sum of 2023" fld="2" baseField="0" baseItem="0"/>
    <dataField name="Sum of 2024" fld="1" baseField="0" baseItem="0"/>
  </dataFields>
  <chartFormats count="5">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 chart="2" format="3" series="1">
      <pivotArea type="data" outline="0" fieldPosition="0">
        <references count="1">
          <reference field="4294967294" count="1" selected="0">
            <x v="3"/>
          </reference>
        </references>
      </pivotArea>
    </chartFormat>
    <chartFormat chart="2" format="4"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8E3B2B4-1CBD-419F-977E-57E6459C0B46}"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I44:N46" firstHeaderRow="0" firstDataRow="1" firstDataCol="1"/>
  <pivotFields count="6">
    <pivotField axis="axisRow" showAll="0">
      <items count="35">
        <item h="1" x="22"/>
        <item h="1" x="16"/>
        <item h="1" x="30"/>
        <item h="1" x="13"/>
        <item h="1" x="28"/>
        <item h="1" x="21"/>
        <item h="1" x="27"/>
        <item h="1" x="33"/>
        <item h="1" x="11"/>
        <item h="1" x="7"/>
        <item h="1" x="3"/>
        <item h="1" x="23"/>
        <item h="1" x="32"/>
        <item h="1" x="31"/>
        <item h="1" x="15"/>
        <item h="1" x="4"/>
        <item h="1" x="29"/>
        <item h="1" x="8"/>
        <item h="1" x="20"/>
        <item h="1" x="5"/>
        <item h="1" x="10"/>
        <item h="1" x="6"/>
        <item h="1" x="24"/>
        <item h="1" x="26"/>
        <item h="1" x="14"/>
        <item h="1" x="2"/>
        <item h="1" x="12"/>
        <item h="1" x="9"/>
        <item h="1" x="17"/>
        <item h="1" x="1"/>
        <item h="1" x="19"/>
        <item x="25"/>
        <item h="1" x="0"/>
        <item h="1" x="18"/>
        <item t="default"/>
      </items>
    </pivotField>
    <pivotField dataField="1" showAll="0"/>
    <pivotField dataField="1" showAll="0"/>
    <pivotField dataField="1" showAll="0"/>
    <pivotField dataField="1" showAll="0"/>
    <pivotField dataField="1" showAll="0"/>
  </pivotFields>
  <rowFields count="1">
    <field x="0"/>
  </rowFields>
  <rowItems count="2">
    <i>
      <x v="31"/>
    </i>
    <i t="grand">
      <x/>
    </i>
  </rowItems>
  <colFields count="1">
    <field x="-2"/>
  </colFields>
  <colItems count="5">
    <i>
      <x/>
    </i>
    <i i="1">
      <x v="1"/>
    </i>
    <i i="2">
      <x v="2"/>
    </i>
    <i i="3">
      <x v="3"/>
    </i>
    <i i="4">
      <x v="4"/>
    </i>
  </colItems>
  <dataFields count="5">
    <dataField name="Sum of 2020" fld="5" baseField="0" baseItem="0"/>
    <dataField name="Sum of 2021" fld="4" baseField="0" baseItem="0"/>
    <dataField name="Sum of 2022" fld="3" baseField="0" baseItem="0"/>
    <dataField name="Sum of 2023" fld="2" baseField="0" baseItem="0"/>
    <dataField name="Sum of 2024" fld="1" baseField="0" baseItem="0"/>
  </dataFields>
  <chartFormats count="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0601A6F-CE67-441E-A1AB-8858C171B5E0}"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4:F46" firstHeaderRow="0" firstDataRow="1" firstDataCol="1"/>
  <pivotFields count="6">
    <pivotField axis="axisRow" showAll="0">
      <items count="35">
        <item h="1" x="22"/>
        <item h="1" x="16"/>
        <item h="1" x="30"/>
        <item h="1" x="13"/>
        <item h="1" x="28"/>
        <item h="1" x="21"/>
        <item h="1" x="27"/>
        <item h="1" x="33"/>
        <item h="1" x="11"/>
        <item h="1" x="7"/>
        <item h="1" x="3"/>
        <item h="1" x="23"/>
        <item h="1" x="32"/>
        <item h="1" x="31"/>
        <item h="1" x="15"/>
        <item h="1" x="4"/>
        <item h="1" x="29"/>
        <item h="1" x="8"/>
        <item h="1" x="20"/>
        <item h="1" x="5"/>
        <item h="1" x="10"/>
        <item h="1" x="6"/>
        <item h="1" x="24"/>
        <item h="1" x="26"/>
        <item h="1" x="14"/>
        <item h="1" x="2"/>
        <item h="1" x="12"/>
        <item h="1" x="9"/>
        <item h="1" x="17"/>
        <item h="1" x="1"/>
        <item h="1" x="19"/>
        <item x="25"/>
        <item h="1" x="0"/>
        <item h="1" x="18"/>
        <item t="default"/>
      </items>
    </pivotField>
    <pivotField dataField="1" showAll="0"/>
    <pivotField dataField="1" showAll="0"/>
    <pivotField dataField="1" showAll="0"/>
    <pivotField dataField="1" showAll="0"/>
    <pivotField dataField="1" showAll="0"/>
  </pivotFields>
  <rowFields count="1">
    <field x="0"/>
  </rowFields>
  <rowItems count="2">
    <i>
      <x v="31"/>
    </i>
    <i t="grand">
      <x/>
    </i>
  </rowItems>
  <colFields count="1">
    <field x="-2"/>
  </colFields>
  <colItems count="5">
    <i>
      <x/>
    </i>
    <i i="1">
      <x v="1"/>
    </i>
    <i i="2">
      <x v="2"/>
    </i>
    <i i="3">
      <x v="3"/>
    </i>
    <i i="4">
      <x v="4"/>
    </i>
  </colItems>
  <dataFields count="5">
    <dataField name="Sum of 2020" fld="5" baseField="0" baseItem="31"/>
    <dataField name="Sum of 2021" fld="4" baseField="0" baseItem="0"/>
    <dataField name="Sum of 2022" fld="3" baseField="0" baseItem="0"/>
    <dataField name="Sum of 2023" fld="2" baseField="0" baseItem="0"/>
    <dataField name="Sum of 2024"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7D6C34C-83FD-4801-8425-3FD88C49D44D}" name="PivotTable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Q44:V46" firstHeaderRow="0" firstDataRow="1" firstDataCol="1"/>
  <pivotFields count="6">
    <pivotField axis="axisRow" showAll="0">
      <items count="34">
        <item h="1" x="22"/>
        <item h="1" x="16"/>
        <item h="1" x="29"/>
        <item h="1" x="13"/>
        <item h="1" x="21"/>
        <item h="1" x="27"/>
        <item h="1" x="32"/>
        <item h="1" x="11"/>
        <item h="1" x="7"/>
        <item h="1" x="3"/>
        <item h="1" x="23"/>
        <item h="1" x="31"/>
        <item h="1" x="30"/>
        <item h="1" x="15"/>
        <item h="1" x="4"/>
        <item h="1" x="28"/>
        <item h="1" x="8"/>
        <item h="1" x="20"/>
        <item h="1" x="5"/>
        <item h="1" x="10"/>
        <item h="1" x="6"/>
        <item h="1" x="24"/>
        <item h="1" x="26"/>
        <item h="1" x="14"/>
        <item h="1" x="2"/>
        <item h="1" x="12"/>
        <item h="1" x="9"/>
        <item h="1" x="17"/>
        <item h="1" x="1"/>
        <item h="1" x="19"/>
        <item x="25"/>
        <item h="1" x="0"/>
        <item h="1" x="18"/>
        <item t="default"/>
      </items>
    </pivotField>
    <pivotField dataField="1" showAll="0"/>
    <pivotField dataField="1" showAll="0"/>
    <pivotField dataField="1" showAll="0"/>
    <pivotField dataField="1" showAll="0"/>
    <pivotField dataField="1" showAll="0"/>
  </pivotFields>
  <rowFields count="1">
    <field x="0"/>
  </rowFields>
  <rowItems count="2">
    <i>
      <x v="30"/>
    </i>
    <i t="grand">
      <x/>
    </i>
  </rowItems>
  <colFields count="1">
    <field x="-2"/>
  </colFields>
  <colItems count="5">
    <i>
      <x/>
    </i>
    <i i="1">
      <x v="1"/>
    </i>
    <i i="2">
      <x v="2"/>
    </i>
    <i i="3">
      <x v="3"/>
    </i>
    <i i="4">
      <x v="4"/>
    </i>
  </colItems>
  <dataFields count="5">
    <dataField name="Sum of 2020" fld="5" baseField="0" baseItem="0"/>
    <dataField name="Sum of 2021" fld="4" baseField="0" baseItem="0"/>
    <dataField name="Sum of 2022" fld="3" baseField="0" baseItem="0"/>
    <dataField name="Sum of 2023" fld="2" baseField="0" baseItem="0"/>
    <dataField name="Sum of 2024" fld="1" baseField="0" baseItem="0"/>
  </dataFields>
  <chartFormats count="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93A03B0-D3A8-4646-8339-CB40CF16D047}" name="Table1" displayName="Table1" ref="A28:C34" totalsRowCount="1" headerRowDxfId="64" dataDxfId="63">
  <autoFilter ref="A28:C33" xr:uid="{D93A03B0-D3A8-4646-8339-CB40CF16D047}"/>
  <sortState xmlns:xlrd2="http://schemas.microsoft.com/office/spreadsheetml/2017/richdata2" ref="A29:B33">
    <sortCondition ref="B28:B33"/>
  </sortState>
  <tableColumns count="3">
    <tableColumn id="1" xr3:uid="{452BD5A3-BE7B-438E-B274-B90EABC8FE27}" name="Type of Shareholder" dataDxfId="62" totalsRowDxfId="61"/>
    <tableColumn id="2" xr3:uid="{FC89AA7B-66C4-42FA-A516-32568DB6CF7C}" name="%of shares held  FY24(31/04)" dataDxfId="60" totalsRowDxfId="59"/>
    <tableColumn id="3" xr3:uid="{59E15CD8-8CAD-4FC1-A7C7-D3CB89F3B193}" name="%of shares held FY23(31/04)" dataDxfId="58" totalsRowDxfId="5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2EFED63-B31B-4171-BDB8-6847340E60EC}" name="Table13" displayName="Table13" ref="M28:O34" totalsRowShown="0" headerRowDxfId="56" dataDxfId="55">
  <autoFilter ref="M28:O34" xr:uid="{12EFED63-B31B-4171-BDB8-6847340E60EC}"/>
  <sortState xmlns:xlrd2="http://schemas.microsoft.com/office/spreadsheetml/2017/richdata2" ref="M29:N33">
    <sortCondition ref="N28:N33"/>
  </sortState>
  <tableColumns count="3">
    <tableColumn id="1" xr3:uid="{9E3B5AD0-A45A-402D-A9EF-C6F2CB523600}" name="Type of Shareholder" dataDxfId="54"/>
    <tableColumn id="2" xr3:uid="{1124F0AD-5605-410A-9743-C27ECACCC108}" name="%of shares held  FY24(31/04)" dataDxfId="53"/>
    <tableColumn id="3" xr3:uid="{C1D4FD87-9B98-4EF8-912D-1774ADFA2213}" name="%of shares held FY23(31/04)" dataDxfId="5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CB46CA0-DF27-4C87-86FC-307DA4E52BBE}" name="Table6" displayName="Table6" ref="Y28:AA33" totalsRowShown="0" headerRowDxfId="51" headerRowBorderDxfId="50" tableBorderDxfId="49">
  <autoFilter ref="Y28:AA33" xr:uid="{3CB46CA0-DF27-4C87-86FC-307DA4E52BBE}"/>
  <tableColumns count="3">
    <tableColumn id="1" xr3:uid="{374AE3EF-584D-4570-A161-03A6B23AD30D}" name="Type of Shareholder" dataDxfId="48"/>
    <tableColumn id="2" xr3:uid="{1F9F4F8E-F4AC-4494-B0F0-4A4C9AFBF340}" name="%of shares held  FY24(31/04)" dataDxfId="47"/>
    <tableColumn id="3" xr3:uid="{7D55E633-20C9-4411-AF1D-B192D37E4421}" name="%of shares held FY23(31/04)" dataDxfId="46"/>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762B6B4-24CE-4C7B-ACCA-33C231237032}" name="Table3" displayName="Table3" ref="A6:F40" totalsRowShown="0" headerRowDxfId="45" dataDxfId="43" headerRowBorderDxfId="44">
  <autoFilter ref="A6:F40" xr:uid="{F762B6B4-24CE-4C7B-ACCA-33C231237032}"/>
  <tableColumns count="6">
    <tableColumn id="1" xr3:uid="{336EDC8E-C621-4408-86BF-781E0FA97EBF}" name="Balance Sheet" dataDxfId="42"/>
    <tableColumn id="2" xr3:uid="{C640CA4A-A59D-4915-B7A1-65D3C102EE48}" name="2024" dataDxfId="41"/>
    <tableColumn id="3" xr3:uid="{AD19C470-C89D-49E3-A291-390934A2298B}" name="2023" dataDxfId="40"/>
    <tableColumn id="4" xr3:uid="{AFFEEE7D-9983-432B-9130-DBF9CA9A07F2}" name="2022" dataDxfId="39"/>
    <tableColumn id="5" xr3:uid="{C36583A6-FF15-41C7-A970-7F869F065E0E}" name="2021" dataDxfId="38"/>
    <tableColumn id="6" xr3:uid="{D6CDD113-9D4B-41C0-83A4-F78D05F9A9A2}" name="2020" dataDxfId="37"/>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A51DE33-6B7E-46B0-ABFD-BBCE286BE3C8}" name="Table4" displayName="Table4" ref="J6:O40" totalsRowShown="0" headerRowDxfId="36" headerRowBorderDxfId="35">
  <autoFilter ref="J6:O40" xr:uid="{BA51DE33-6B7E-46B0-ABFD-BBCE286BE3C8}"/>
  <tableColumns count="6">
    <tableColumn id="1" xr3:uid="{9090EED3-F83D-4945-8B3B-A01D877D79B5}" name="Balance Sheet" dataDxfId="34"/>
    <tableColumn id="2" xr3:uid="{7E459B80-3C2F-4124-BA38-931FDDD5FA4B}" name="2024"/>
    <tableColumn id="3" xr3:uid="{7EC3560A-5B0F-4D7E-814E-50564E189D6E}" name="2023"/>
    <tableColumn id="4" xr3:uid="{9F80169C-331D-4E4D-BE28-96CF34CA16A6}" name="2022"/>
    <tableColumn id="5" xr3:uid="{26222DFA-8608-4A4D-B860-0BF8AF865E41}" name="2021"/>
    <tableColumn id="6" xr3:uid="{CBD96C7B-A063-4A01-93D5-0A1440CBDA2F}" name="2020"/>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4792F79-16F0-438E-BD2B-DA4ADB919150}" name="Table5" displayName="Table5" ref="R6:W39" totalsRowShown="0" headerRowDxfId="33" headerRowBorderDxfId="32">
  <autoFilter ref="R6:W39" xr:uid="{54792F79-16F0-438E-BD2B-DA4ADB919150}"/>
  <tableColumns count="6">
    <tableColumn id="1" xr3:uid="{66F779CA-DABB-4CD3-9EEA-531CAEE86F7E}" name="Balance Sheet" dataDxfId="31"/>
    <tableColumn id="2" xr3:uid="{CF60FB2D-2BB1-4282-84A1-3012F16A9717}" name="2024"/>
    <tableColumn id="3" xr3:uid="{5AF243F0-A27E-473B-B5F6-651C9FED2CB6}" name="2023"/>
    <tableColumn id="4" xr3:uid="{BBAC14DE-98F6-42B2-BAFB-292930343C5C}" name="2022"/>
    <tableColumn id="5" xr3:uid="{791C4937-4DB7-4FD9-B763-F2D4CC2FBCD6}" name="2021"/>
    <tableColumn id="6" xr3:uid="{49F0E4A1-7065-4096-B19F-C0A0FC4E1330}" name="2020"/>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AF92D83-32A8-48AF-9140-52D729B0350A}" name="Table38" displayName="Table38" ref="A43:F77" totalsRowShown="0" headerRowDxfId="30" dataDxfId="28" headerRowBorderDxfId="29">
  <autoFilter ref="A43:F77" xr:uid="{68F8A5EA-B3B6-48BE-AFE0-B71DA60D3CCA}"/>
  <tableColumns count="6">
    <tableColumn id="1" xr3:uid="{5422A768-49C5-40B1-8852-0E60D0745FCB}" name="Balance Sheet" dataDxfId="27"/>
    <tableColumn id="2" xr3:uid="{45971D9C-4B67-4978-8EAF-25B7EF431F96}" name="2024" dataDxfId="26"/>
    <tableColumn id="3" xr3:uid="{236E7F26-3AF7-454D-9FA9-6B4A3BC5E431}" name="2023" dataDxfId="25"/>
    <tableColumn id="4" xr3:uid="{6711D817-20DF-4DFC-8DC1-D4834D300915}" name="2022" dataDxfId="24"/>
    <tableColumn id="5" xr3:uid="{A910770E-CB98-4DE5-9BE5-F32ED71A52E0}" name="2021" dataDxfId="23"/>
    <tableColumn id="6" xr3:uid="{6F2C1211-0D1D-4B5A-9451-D0F2A58946BA}" name="2020" dataDxfId="22"/>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0E72F89-793D-43BD-96E2-3DB04DF67F11}" name="Table49" displayName="Table49" ref="I43:N77" totalsRowShown="0" headerRowDxfId="21" dataDxfId="19" headerRowBorderDxfId="20">
  <autoFilter ref="I43:N77" xr:uid="{30702D71-60DE-435E-BDDC-E191F9098642}"/>
  <tableColumns count="6">
    <tableColumn id="1" xr3:uid="{1CE52704-2A9F-45F8-8DF9-7A35EAA70071}" name="Balance Sheet" dataDxfId="18"/>
    <tableColumn id="2" xr3:uid="{59CF8736-D17C-46D1-853B-772AA9BB33DF}" name="2024" dataDxfId="17"/>
    <tableColumn id="3" xr3:uid="{04F0A053-A54B-4840-8D7E-9AA318DAF1DE}" name="2023" dataDxfId="16"/>
    <tableColumn id="4" xr3:uid="{215DB596-20C9-4B39-BE02-9855EA9672A2}" name="2022" dataDxfId="15"/>
    <tableColumn id="5" xr3:uid="{7B2663A8-16D8-4264-B59E-4354CCAD4C1D}" name="2021" dataDxfId="14"/>
    <tableColumn id="6" xr3:uid="{DD856A3B-85D8-443D-AEDC-692F193FFFC0}" name="2020" dataDxfId="13"/>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50D84D2-F59F-4413-A60E-0C28DFEB1739}" name="Table510" displayName="Table510" ref="Q43:V76" totalsRowShown="0" headerRowDxfId="12" dataDxfId="10" headerRowBorderDxfId="11">
  <autoFilter ref="Q43:V76" xr:uid="{95C4C982-5523-46F5-9604-4FA71E40C24C}"/>
  <tableColumns count="6">
    <tableColumn id="1" xr3:uid="{7474E34B-2DDC-4C7E-9D11-C26F9DE72281}" name="Balance Sheet" dataDxfId="9"/>
    <tableColumn id="2" xr3:uid="{AE89E7A0-2101-46AA-8043-D0C81A20BA21}" name="2024" dataDxfId="8"/>
    <tableColumn id="3" xr3:uid="{D1DB1F4D-CC4C-4FA9-A95F-5FA906B17551}" name="2023" dataDxfId="7"/>
    <tableColumn id="4" xr3:uid="{55E81353-E39B-4562-8279-3834802977F5}" name="2022" dataDxfId="6"/>
    <tableColumn id="5" xr3:uid="{EBBA0F51-9600-4984-AF0E-1EC49148FD4D}" name="2021" dataDxfId="5"/>
    <tableColumn id="6" xr3:uid="{6F4E62EF-0C1E-4BCF-8B56-9F2469AC9CDB}" name="2020" dataDxfId="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3.xml"/><Relationship Id="rId4"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2.xml"/><Relationship Id="rId7" Type="http://schemas.openxmlformats.org/officeDocument/2006/relationships/table" Target="../tables/table6.xml"/><Relationship Id="rId2" Type="http://schemas.openxmlformats.org/officeDocument/2006/relationships/pivotTable" Target="../pivotTables/pivotTable11.xml"/><Relationship Id="rId1" Type="http://schemas.openxmlformats.org/officeDocument/2006/relationships/pivotTable" Target="../pivotTables/pivotTable10.xml"/><Relationship Id="rId6" Type="http://schemas.openxmlformats.org/officeDocument/2006/relationships/table" Target="../tables/table5.xml"/><Relationship Id="rId5" Type="http://schemas.openxmlformats.org/officeDocument/2006/relationships/table" Target="../tables/table4.xml"/><Relationship Id="rId4"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table" Target="../tables/table7.xml"/><Relationship Id="rId1" Type="http://schemas.openxmlformats.org/officeDocument/2006/relationships/drawing" Target="../drawings/drawing11.xml"/><Relationship Id="rId4" Type="http://schemas.openxmlformats.org/officeDocument/2006/relationships/table" Target="../tables/table9.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41A940-984A-4081-8800-43FCEB5DF004}">
  <dimension ref="AE1:BE1"/>
  <sheetViews>
    <sheetView zoomScale="85" workbookViewId="0">
      <selection sqref="A1:AD1048576"/>
    </sheetView>
  </sheetViews>
  <sheetFormatPr defaultRowHeight="14.4" x14ac:dyDescent="0.3"/>
  <cols>
    <col min="1" max="30" width="8.88671875" style="238"/>
    <col min="58" max="16384" width="8.88671875" style="238"/>
  </cols>
  <sheetData/>
  <mergeCells count="2">
    <mergeCell ref="BF1:XFD1048576"/>
    <mergeCell ref="A1:AD104857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1834F-429D-4FCA-B0DC-ACA8DA8418E1}">
  <dimension ref="A1:X10"/>
  <sheetViews>
    <sheetView topLeftCell="A6" zoomScale="87" zoomScaleNormal="100" workbookViewId="0">
      <selection sqref="A1:AD1048576"/>
    </sheetView>
  </sheetViews>
  <sheetFormatPr defaultRowHeight="14.4" x14ac:dyDescent="0.3"/>
  <cols>
    <col min="1" max="1" width="9.5546875" style="238" customWidth="1"/>
    <col min="2" max="16384" width="8.88671875" style="238"/>
  </cols>
  <sheetData>
    <row r="1" spans="1:24" customFormat="1" ht="18.600000000000001" customHeight="1" x14ac:dyDescent="0.3">
      <c r="A1" s="239" t="s">
        <v>216</v>
      </c>
      <c r="B1" s="240"/>
      <c r="C1" s="240"/>
      <c r="D1" s="240"/>
      <c r="E1" s="240"/>
      <c r="F1" s="240"/>
      <c r="G1" s="240"/>
      <c r="H1" s="240"/>
      <c r="I1" s="240"/>
      <c r="J1" s="240"/>
      <c r="K1" s="240"/>
      <c r="L1" s="240"/>
      <c r="M1" s="240"/>
      <c r="N1" s="240"/>
      <c r="O1" s="240"/>
      <c r="P1" s="240"/>
      <c r="Q1" s="240"/>
      <c r="R1" s="240"/>
      <c r="S1" s="240"/>
      <c r="T1" s="240"/>
      <c r="U1" s="240"/>
      <c r="V1" s="240"/>
      <c r="W1" s="240"/>
      <c r="X1" s="240"/>
    </row>
    <row r="2" spans="1:24" customFormat="1" x14ac:dyDescent="0.3">
      <c r="A2" s="240"/>
      <c r="B2" s="240"/>
      <c r="C2" s="240"/>
      <c r="D2" s="240"/>
      <c r="E2" s="240"/>
      <c r="F2" s="240"/>
      <c r="G2" s="240"/>
      <c r="H2" s="240"/>
      <c r="I2" s="240"/>
      <c r="J2" s="240"/>
      <c r="K2" s="240"/>
      <c r="L2" s="240"/>
      <c r="M2" s="240"/>
      <c r="N2" s="240"/>
      <c r="O2" s="240"/>
      <c r="P2" s="240"/>
      <c r="Q2" s="240"/>
      <c r="R2" s="240"/>
      <c r="S2" s="240"/>
      <c r="T2" s="240"/>
      <c r="U2" s="240"/>
      <c r="V2" s="240"/>
      <c r="W2" s="240"/>
      <c r="X2" s="240"/>
    </row>
    <row r="3" spans="1:24" customFormat="1" x14ac:dyDescent="0.3">
      <c r="A3" s="240"/>
      <c r="B3" s="240"/>
      <c r="C3" s="240"/>
      <c r="D3" s="240"/>
      <c r="E3" s="240"/>
      <c r="F3" s="240"/>
      <c r="G3" s="240"/>
      <c r="H3" s="240"/>
      <c r="I3" s="240"/>
      <c r="J3" s="240"/>
      <c r="K3" s="240"/>
      <c r="L3" s="240"/>
      <c r="M3" s="240"/>
      <c r="N3" s="240"/>
      <c r="O3" s="240"/>
      <c r="P3" s="240"/>
      <c r="Q3" s="240"/>
      <c r="R3" s="240"/>
      <c r="S3" s="240"/>
      <c r="T3" s="240"/>
      <c r="U3" s="240"/>
      <c r="V3" s="240"/>
      <c r="W3" s="240"/>
      <c r="X3" s="240"/>
    </row>
    <row r="4" spans="1:24" customFormat="1" x14ac:dyDescent="0.3">
      <c r="A4" s="240"/>
      <c r="B4" s="240"/>
      <c r="C4" s="240"/>
      <c r="D4" s="240"/>
      <c r="E4" s="240"/>
      <c r="F4" s="240"/>
      <c r="G4" s="240"/>
      <c r="H4" s="240"/>
      <c r="I4" s="240"/>
      <c r="J4" s="240"/>
      <c r="K4" s="240"/>
      <c r="L4" s="240"/>
      <c r="M4" s="240"/>
      <c r="N4" s="240"/>
      <c r="O4" s="240"/>
      <c r="P4" s="240"/>
      <c r="Q4" s="240"/>
      <c r="R4" s="240"/>
      <c r="S4" s="240"/>
      <c r="T4" s="240"/>
      <c r="U4" s="240"/>
      <c r="V4" s="240"/>
      <c r="W4" s="240"/>
      <c r="X4" s="240"/>
    </row>
    <row r="5" spans="1:24" customFormat="1" x14ac:dyDescent="0.3">
      <c r="A5" s="240"/>
      <c r="B5" s="240"/>
      <c r="C5" s="240"/>
      <c r="D5" s="240"/>
      <c r="E5" s="240"/>
      <c r="F5" s="240"/>
      <c r="G5" s="240"/>
      <c r="H5" s="240"/>
      <c r="I5" s="240"/>
      <c r="J5" s="240"/>
      <c r="K5" s="240"/>
      <c r="L5" s="240"/>
      <c r="M5" s="240"/>
      <c r="N5" s="240"/>
      <c r="O5" s="240"/>
      <c r="P5" s="240"/>
      <c r="Q5" s="240"/>
      <c r="R5" s="240"/>
      <c r="S5" s="240"/>
      <c r="T5" s="240"/>
      <c r="U5" s="240"/>
      <c r="V5" s="240"/>
      <c r="W5" s="240"/>
      <c r="X5" s="240"/>
    </row>
    <row r="6" spans="1:24" customFormat="1" x14ac:dyDescent="0.3">
      <c r="A6" s="240"/>
      <c r="B6" s="240"/>
      <c r="C6" s="240"/>
      <c r="D6" s="240"/>
      <c r="E6" s="240"/>
      <c r="F6" s="240"/>
      <c r="G6" s="240"/>
      <c r="H6" s="240"/>
      <c r="I6" s="240"/>
      <c r="J6" s="240"/>
      <c r="K6" s="240"/>
      <c r="L6" s="240"/>
      <c r="M6" s="240"/>
      <c r="N6" s="240"/>
      <c r="O6" s="240"/>
      <c r="P6" s="240"/>
      <c r="Q6" s="240"/>
      <c r="R6" s="240"/>
      <c r="S6" s="240"/>
      <c r="T6" s="240"/>
      <c r="U6" s="240"/>
      <c r="V6" s="240"/>
      <c r="W6" s="240"/>
      <c r="X6" s="240"/>
    </row>
    <row r="7" spans="1:24" customFormat="1" x14ac:dyDescent="0.3">
      <c r="A7" s="240"/>
      <c r="B7" s="240"/>
      <c r="C7" s="240"/>
      <c r="D7" s="240"/>
      <c r="E7" s="240"/>
      <c r="F7" s="240"/>
      <c r="G7" s="240"/>
      <c r="H7" s="240"/>
      <c r="I7" s="240"/>
      <c r="J7" s="240"/>
      <c r="K7" s="240"/>
      <c r="L7" s="240"/>
      <c r="M7" s="240"/>
      <c r="N7" s="240"/>
      <c r="O7" s="240"/>
      <c r="P7" s="240"/>
      <c r="Q7" s="240"/>
      <c r="R7" s="240"/>
      <c r="S7" s="240"/>
      <c r="T7" s="240"/>
      <c r="U7" s="240"/>
      <c r="V7" s="240"/>
      <c r="W7" s="240"/>
      <c r="X7" s="240"/>
    </row>
    <row r="8" spans="1:24" customFormat="1" x14ac:dyDescent="0.3">
      <c r="A8" s="240"/>
      <c r="B8" s="240"/>
      <c r="C8" s="240"/>
      <c r="D8" s="240"/>
      <c r="E8" s="240"/>
      <c r="F8" s="240"/>
      <c r="G8" s="240"/>
      <c r="H8" s="240"/>
      <c r="I8" s="240"/>
      <c r="J8" s="240"/>
      <c r="K8" s="240"/>
      <c r="L8" s="240"/>
      <c r="M8" s="240"/>
      <c r="N8" s="240"/>
      <c r="O8" s="240"/>
      <c r="P8" s="240"/>
      <c r="Q8" s="240"/>
      <c r="R8" s="240"/>
      <c r="S8" s="240"/>
      <c r="T8" s="240"/>
      <c r="U8" s="240"/>
      <c r="V8" s="240"/>
      <c r="W8" s="240"/>
      <c r="X8" s="240"/>
    </row>
    <row r="9" spans="1:24" customFormat="1" x14ac:dyDescent="0.3">
      <c r="A9" s="240"/>
      <c r="B9" s="240"/>
      <c r="C9" s="240"/>
      <c r="D9" s="240"/>
      <c r="E9" s="240"/>
      <c r="F9" s="240"/>
      <c r="G9" s="240"/>
      <c r="H9" s="240"/>
      <c r="I9" s="240"/>
      <c r="J9" s="240"/>
      <c r="K9" s="240"/>
      <c r="L9" s="240"/>
      <c r="M9" s="240"/>
      <c r="N9" s="240"/>
      <c r="O9" s="240"/>
      <c r="P9" s="240"/>
      <c r="Q9" s="240"/>
      <c r="R9" s="240"/>
      <c r="S9" s="240"/>
      <c r="T9" s="240"/>
      <c r="U9" s="240"/>
      <c r="V9" s="240"/>
      <c r="W9" s="240"/>
      <c r="X9" s="240"/>
    </row>
    <row r="10" spans="1:24" customFormat="1" x14ac:dyDescent="0.3">
      <c r="A10" s="240"/>
      <c r="B10" s="240"/>
      <c r="C10" s="240"/>
      <c r="D10" s="240"/>
      <c r="E10" s="240"/>
      <c r="F10" s="240"/>
      <c r="G10" s="240"/>
      <c r="H10" s="240"/>
      <c r="I10" s="240"/>
      <c r="J10" s="240"/>
      <c r="K10" s="240"/>
      <c r="L10" s="240"/>
      <c r="M10" s="240"/>
      <c r="N10" s="240"/>
      <c r="O10" s="240"/>
      <c r="P10" s="240"/>
      <c r="Q10" s="240"/>
      <c r="R10" s="240"/>
      <c r="S10" s="240"/>
      <c r="T10" s="240"/>
      <c r="U10" s="240"/>
      <c r="V10" s="240"/>
      <c r="W10" s="240"/>
      <c r="X10" s="240"/>
    </row>
  </sheetData>
  <mergeCells count="2">
    <mergeCell ref="A1:X10"/>
    <mergeCell ref="A11:XFD1048576"/>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C0935-AB42-49AA-B180-BEE455061674}">
  <dimension ref="A26:AG60"/>
  <sheetViews>
    <sheetView topLeftCell="N17" zoomScale="56" zoomScaleNormal="85" workbookViewId="0">
      <selection sqref="A1:AD1048576"/>
    </sheetView>
  </sheetViews>
  <sheetFormatPr defaultRowHeight="14.4" x14ac:dyDescent="0.3"/>
  <cols>
    <col min="1" max="1" width="64.109375" customWidth="1"/>
    <col min="2" max="2" width="37.6640625" bestFit="1" customWidth="1"/>
    <col min="3" max="3" width="34.6640625" bestFit="1" customWidth="1"/>
    <col min="11" max="11" width="8.88671875" style="1"/>
    <col min="13" max="13" width="67.109375" bestFit="1" customWidth="1"/>
    <col min="14" max="14" width="38.6640625" bestFit="1" customWidth="1"/>
    <col min="15" max="15" width="35.6640625" bestFit="1" customWidth="1"/>
    <col min="23" max="23" width="8.88671875" style="1"/>
    <col min="25" max="25" width="67.109375" bestFit="1" customWidth="1"/>
    <col min="26" max="26" width="38.6640625" bestFit="1" customWidth="1"/>
    <col min="27" max="27" width="35.6640625" bestFit="1" customWidth="1"/>
  </cols>
  <sheetData>
    <row r="26" spans="1:33" ht="28.8" x14ac:dyDescent="0.55000000000000004">
      <c r="A26" s="2" t="s">
        <v>200</v>
      </c>
      <c r="B26" s="2"/>
      <c r="G26" s="1"/>
      <c r="K26"/>
      <c r="M26" s="2" t="s">
        <v>200</v>
      </c>
      <c r="N26" s="2"/>
      <c r="S26" s="1"/>
      <c r="W26"/>
      <c r="Y26" s="2" t="s">
        <v>200</v>
      </c>
      <c r="Z26" s="2"/>
    </row>
    <row r="27" spans="1:33" ht="28.8" x14ac:dyDescent="0.55000000000000004">
      <c r="A27" s="2"/>
      <c r="B27" s="2"/>
      <c r="K27"/>
      <c r="W27"/>
    </row>
    <row r="28" spans="1:33" ht="18" x14ac:dyDescent="0.35">
      <c r="A28" s="3" t="s">
        <v>5</v>
      </c>
      <c r="B28" s="3" t="s">
        <v>202</v>
      </c>
      <c r="C28" s="3" t="s">
        <v>203</v>
      </c>
      <c r="F28" s="46" t="s">
        <v>204</v>
      </c>
      <c r="G28" s="46"/>
      <c r="H28" s="46"/>
      <c r="I28" s="46"/>
      <c r="M28" s="3" t="s">
        <v>5</v>
      </c>
      <c r="N28" s="3" t="s">
        <v>202</v>
      </c>
      <c r="O28" s="3" t="s">
        <v>203</v>
      </c>
      <c r="R28" s="242" t="s">
        <v>204</v>
      </c>
      <c r="S28" s="242"/>
      <c r="T28" s="242"/>
      <c r="U28" s="242"/>
      <c r="Y28" s="3" t="s">
        <v>5</v>
      </c>
      <c r="Z28" s="3" t="s">
        <v>202</v>
      </c>
      <c r="AA28" s="3" t="s">
        <v>203</v>
      </c>
      <c r="AD28" s="242" t="s">
        <v>204</v>
      </c>
      <c r="AE28" s="242"/>
      <c r="AF28" s="242"/>
      <c r="AG28" s="242"/>
    </row>
    <row r="29" spans="1:33" ht="18" x14ac:dyDescent="0.35">
      <c r="A29" s="3" t="s">
        <v>3</v>
      </c>
      <c r="B29" s="3">
        <v>0</v>
      </c>
      <c r="C29" s="3">
        <v>0</v>
      </c>
      <c r="F29" s="246">
        <v>16550.099999999999</v>
      </c>
      <c r="G29" s="245"/>
      <c r="H29" s="245"/>
      <c r="I29" s="245"/>
      <c r="M29" s="3" t="s">
        <v>3</v>
      </c>
      <c r="N29" s="3">
        <v>0</v>
      </c>
      <c r="O29" s="3">
        <v>0</v>
      </c>
      <c r="R29" s="246">
        <v>5778.75</v>
      </c>
      <c r="S29" s="238"/>
      <c r="T29" s="238"/>
      <c r="U29" s="238"/>
      <c r="Y29" s="44" t="s">
        <v>3</v>
      </c>
      <c r="Z29" s="4">
        <v>0</v>
      </c>
      <c r="AA29" s="3">
        <v>0</v>
      </c>
      <c r="AD29" s="246">
        <v>5009.21</v>
      </c>
      <c r="AE29" s="238"/>
      <c r="AF29" s="238"/>
      <c r="AG29" s="238"/>
    </row>
    <row r="30" spans="1:33" ht="18" x14ac:dyDescent="0.35">
      <c r="A30" s="3" t="s">
        <v>1</v>
      </c>
      <c r="B30" s="3">
        <v>11.4</v>
      </c>
      <c r="C30" s="3">
        <v>10.63</v>
      </c>
      <c r="M30" s="3" t="s">
        <v>1</v>
      </c>
      <c r="N30" s="3">
        <v>26.955400000000001</v>
      </c>
      <c r="O30" s="3">
        <v>29.39</v>
      </c>
      <c r="Y30" s="45" t="s">
        <v>1</v>
      </c>
      <c r="Z30" s="5">
        <v>30.4681</v>
      </c>
      <c r="AA30" s="3">
        <v>34.369999999999997</v>
      </c>
    </row>
    <row r="31" spans="1:33" ht="18" x14ac:dyDescent="0.35">
      <c r="A31" s="3" t="s">
        <v>0</v>
      </c>
      <c r="B31" s="3">
        <v>22</v>
      </c>
      <c r="C31" s="3">
        <v>22</v>
      </c>
      <c r="F31" s="244" t="s">
        <v>205</v>
      </c>
      <c r="G31" s="244"/>
      <c r="H31" s="244"/>
      <c r="I31" s="244"/>
      <c r="M31" s="3" t="s">
        <v>0</v>
      </c>
      <c r="N31" s="3">
        <v>56.069800000000001</v>
      </c>
      <c r="O31" s="3">
        <v>56.07</v>
      </c>
      <c r="R31" s="244" t="s">
        <v>205</v>
      </c>
      <c r="S31" s="244"/>
      <c r="T31" s="244"/>
      <c r="U31" s="244"/>
      <c r="Y31" s="44" t="s">
        <v>0</v>
      </c>
      <c r="Z31" s="4">
        <v>51.094099999999997</v>
      </c>
      <c r="AA31" s="3">
        <v>51.09</v>
      </c>
      <c r="AD31" s="244" t="s">
        <v>205</v>
      </c>
      <c r="AE31" s="244"/>
      <c r="AF31" s="244"/>
      <c r="AG31" s="244"/>
    </row>
    <row r="32" spans="1:33" ht="18" x14ac:dyDescent="0.35">
      <c r="A32" s="3" t="s">
        <v>2</v>
      </c>
      <c r="B32" s="3">
        <v>23.65</v>
      </c>
      <c r="C32" s="3">
        <v>27.33</v>
      </c>
      <c r="F32" s="245">
        <v>21218.080000000002</v>
      </c>
      <c r="G32" s="245"/>
      <c r="H32" s="245"/>
      <c r="I32" s="245"/>
      <c r="M32" s="3" t="s">
        <v>2</v>
      </c>
      <c r="N32" s="3">
        <v>11.848000000000001</v>
      </c>
      <c r="O32" s="3">
        <v>9.52</v>
      </c>
      <c r="R32" s="245">
        <v>13133.52</v>
      </c>
      <c r="S32" s="245"/>
      <c r="T32" s="245"/>
      <c r="U32" s="245"/>
      <c r="Y32" s="45" t="s">
        <v>2</v>
      </c>
      <c r="Z32" s="5">
        <v>7.1307</v>
      </c>
      <c r="AA32" s="3">
        <v>5.93</v>
      </c>
      <c r="AD32" s="245">
        <v>10222.879999999999</v>
      </c>
      <c r="AE32" s="245"/>
      <c r="AF32" s="245"/>
      <c r="AG32" s="245"/>
    </row>
    <row r="33" spans="1:33" ht="18" x14ac:dyDescent="0.35">
      <c r="A33" s="3" t="s">
        <v>4</v>
      </c>
      <c r="B33" s="3">
        <v>42.95</v>
      </c>
      <c r="C33" s="3">
        <v>40.03</v>
      </c>
      <c r="M33" s="3" t="s">
        <v>4</v>
      </c>
      <c r="N33" s="3">
        <v>5.1268000000000002</v>
      </c>
      <c r="O33" s="3">
        <v>7.11</v>
      </c>
      <c r="Y33" s="44" t="s">
        <v>4</v>
      </c>
      <c r="Z33" s="4">
        <v>11.3071</v>
      </c>
      <c r="AA33" s="3">
        <v>8.6</v>
      </c>
    </row>
    <row r="34" spans="1:33" ht="18" x14ac:dyDescent="0.35">
      <c r="A34" s="3"/>
      <c r="B34" s="3"/>
      <c r="C34" s="3"/>
      <c r="F34" s="241" t="s">
        <v>304</v>
      </c>
      <c r="G34" s="242"/>
      <c r="H34" s="242"/>
      <c r="I34" s="242"/>
      <c r="M34" s="3"/>
      <c r="N34" s="3"/>
      <c r="O34" s="3"/>
      <c r="R34" s="241" t="s">
        <v>304</v>
      </c>
      <c r="S34" s="242"/>
      <c r="T34" s="242"/>
      <c r="U34" s="242"/>
      <c r="AD34" s="241" t="s">
        <v>304</v>
      </c>
      <c r="AE34" s="242"/>
      <c r="AF34" s="242"/>
      <c r="AG34" s="242"/>
    </row>
    <row r="35" spans="1:33" x14ac:dyDescent="0.3">
      <c r="F35" s="243">
        <f>F29/F32</f>
        <v>0.77999988688891719</v>
      </c>
      <c r="G35" s="243"/>
      <c r="H35" s="243"/>
      <c r="I35" s="243"/>
      <c r="R35" s="243">
        <f>R29/R32</f>
        <v>0.44000009136925972</v>
      </c>
      <c r="S35" s="243"/>
      <c r="T35" s="243"/>
      <c r="U35" s="243"/>
      <c r="AD35" s="243">
        <f>AD29/AD32</f>
        <v>0.48999988261624911</v>
      </c>
      <c r="AE35" s="243"/>
      <c r="AF35" s="243"/>
      <c r="AG35" s="243"/>
    </row>
    <row r="53" spans="1:26" ht="21" x14ac:dyDescent="0.4">
      <c r="A53" s="99" t="s">
        <v>16</v>
      </c>
      <c r="B53" s="99" t="s">
        <v>201</v>
      </c>
      <c r="M53" s="100" t="s">
        <v>17</v>
      </c>
      <c r="N53" s="99" t="s">
        <v>201</v>
      </c>
      <c r="Y53" s="100" t="s">
        <v>18</v>
      </c>
      <c r="Z53" s="99" t="s">
        <v>201</v>
      </c>
    </row>
    <row r="54" spans="1:26" ht="18" x14ac:dyDescent="0.35">
      <c r="Y54" s="3"/>
      <c r="Z54" s="3"/>
    </row>
    <row r="55" spans="1:26" ht="18" x14ac:dyDescent="0.35">
      <c r="A55" s="101" t="s">
        <v>10</v>
      </c>
      <c r="B55" s="101">
        <v>3.35</v>
      </c>
      <c r="M55" s="101" t="s">
        <v>11</v>
      </c>
      <c r="N55" s="101">
        <v>8.7204999999999995</v>
      </c>
      <c r="Y55" s="101" t="s">
        <v>19</v>
      </c>
      <c r="Z55" s="101">
        <v>32.506700000000002</v>
      </c>
    </row>
    <row r="56" spans="1:26" ht="18" x14ac:dyDescent="0.35">
      <c r="A56" s="101" t="s">
        <v>6</v>
      </c>
      <c r="B56" s="101">
        <v>3.55</v>
      </c>
      <c r="M56" s="101" t="s">
        <v>12</v>
      </c>
      <c r="N56" s="101">
        <v>7.0159000000000002</v>
      </c>
      <c r="Y56" s="101" t="s">
        <v>20</v>
      </c>
      <c r="Z56" s="101">
        <v>13.4262</v>
      </c>
    </row>
    <row r="57" spans="1:26" ht="18" x14ac:dyDescent="0.35">
      <c r="A57" s="101" t="s">
        <v>9</v>
      </c>
      <c r="B57" s="101">
        <v>10.61</v>
      </c>
      <c r="M57" s="101" t="s">
        <v>13</v>
      </c>
      <c r="N57" s="101">
        <v>6.5464000000000002</v>
      </c>
      <c r="Y57" s="101" t="s">
        <v>21</v>
      </c>
      <c r="Z57" s="101">
        <v>8.5129999999999999</v>
      </c>
    </row>
    <row r="58" spans="1:26" ht="18" x14ac:dyDescent="0.35">
      <c r="A58" s="101" t="s">
        <v>8</v>
      </c>
      <c r="B58" s="101">
        <v>13.06</v>
      </c>
      <c r="M58" s="101" t="s">
        <v>14</v>
      </c>
      <c r="N58" s="101">
        <v>5.9832999999999998</v>
      </c>
      <c r="Y58" s="101" t="s">
        <v>22</v>
      </c>
      <c r="Z58" s="101">
        <v>6.8209</v>
      </c>
    </row>
    <row r="59" spans="1:26" ht="18" x14ac:dyDescent="0.35">
      <c r="A59" s="101" t="s">
        <v>7</v>
      </c>
      <c r="B59" s="101">
        <v>21.69</v>
      </c>
      <c r="M59" s="101" t="s">
        <v>15</v>
      </c>
      <c r="N59" s="101">
        <v>9.4427000000000003</v>
      </c>
    </row>
    <row r="60" spans="1:26" ht="18" x14ac:dyDescent="0.35">
      <c r="A60" s="3"/>
      <c r="B60" s="3"/>
    </row>
  </sheetData>
  <sortState xmlns:xlrd2="http://schemas.microsoft.com/office/spreadsheetml/2017/richdata2" ref="A55:B65">
    <sortCondition ref="B55:B65"/>
  </sortState>
  <mergeCells count="17">
    <mergeCell ref="F29:I29"/>
    <mergeCell ref="R28:U28"/>
    <mergeCell ref="R29:U29"/>
    <mergeCell ref="AD28:AG28"/>
    <mergeCell ref="AD29:AG29"/>
    <mergeCell ref="F31:I31"/>
    <mergeCell ref="F32:I32"/>
    <mergeCell ref="R31:U31"/>
    <mergeCell ref="AD31:AG31"/>
    <mergeCell ref="AD32:AG32"/>
    <mergeCell ref="R32:U32"/>
    <mergeCell ref="AD34:AG34"/>
    <mergeCell ref="AD35:AG35"/>
    <mergeCell ref="R34:U34"/>
    <mergeCell ref="R35:U35"/>
    <mergeCell ref="F34:I34"/>
    <mergeCell ref="F35:I35"/>
  </mergeCells>
  <pageMargins left="0.7" right="0.7" top="0.75" bottom="0.75" header="0.3" footer="0.3"/>
  <drawing r:id="rId1"/>
  <tableParts count="3">
    <tablePart r:id="rId2"/>
    <tablePart r:id="rId3"/>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C311D-294A-4BB8-84A4-D1D0728FBA86}">
  <dimension ref="A1:W126"/>
  <sheetViews>
    <sheetView topLeftCell="A99" zoomScale="71" zoomScaleNormal="55" workbookViewId="0">
      <selection sqref="A1:AD1048576"/>
    </sheetView>
  </sheetViews>
  <sheetFormatPr defaultRowHeight="14.4" x14ac:dyDescent="0.3"/>
  <cols>
    <col min="1" max="1" width="15.6640625" bestFit="1" customWidth="1"/>
    <col min="2" max="2" width="14.33203125" bestFit="1" customWidth="1"/>
    <col min="3" max="3" width="16.5546875" bestFit="1" customWidth="1"/>
    <col min="4" max="4" width="20.21875" bestFit="1" customWidth="1"/>
    <col min="5" max="5" width="11.44140625" bestFit="1" customWidth="1"/>
    <col min="6" max="6" width="14.33203125" bestFit="1" customWidth="1"/>
    <col min="7" max="7" width="11.44140625" bestFit="1" customWidth="1"/>
    <col min="8" max="8" width="14.5546875" bestFit="1" customWidth="1"/>
    <col min="9" max="9" width="12.21875" bestFit="1" customWidth="1"/>
    <col min="16" max="16" width="16.21875" bestFit="1" customWidth="1"/>
  </cols>
  <sheetData>
    <row r="1" spans="1:22" x14ac:dyDescent="0.3">
      <c r="G1" s="1"/>
      <c r="O1" s="1"/>
    </row>
    <row r="2" spans="1:22" x14ac:dyDescent="0.3">
      <c r="G2" s="1"/>
      <c r="O2" s="1"/>
    </row>
    <row r="3" spans="1:22" x14ac:dyDescent="0.3">
      <c r="A3" s="255" t="s">
        <v>66</v>
      </c>
      <c r="B3" s="255"/>
      <c r="C3" s="255"/>
      <c r="D3" s="255"/>
      <c r="E3" s="255"/>
      <c r="F3" s="255"/>
      <c r="G3" s="1"/>
      <c r="I3" s="255" t="s">
        <v>67</v>
      </c>
      <c r="J3" s="255"/>
      <c r="K3" s="255"/>
      <c r="L3" s="255"/>
      <c r="M3" s="255"/>
      <c r="N3" s="255"/>
      <c r="O3" s="1"/>
      <c r="Q3" s="255" t="s">
        <v>68</v>
      </c>
      <c r="R3" s="255"/>
      <c r="S3" s="255"/>
      <c r="T3" s="255"/>
      <c r="U3" s="255"/>
      <c r="V3" s="255"/>
    </row>
    <row r="4" spans="1:22" x14ac:dyDescent="0.3">
      <c r="A4" s="255"/>
      <c r="B4" s="255"/>
      <c r="C4" s="255"/>
      <c r="D4" s="255"/>
      <c r="E4" s="255"/>
      <c r="F4" s="255"/>
      <c r="G4" s="1"/>
      <c r="I4" s="255"/>
      <c r="J4" s="255"/>
      <c r="K4" s="255"/>
      <c r="L4" s="255"/>
      <c r="M4" s="255"/>
      <c r="N4" s="255"/>
      <c r="O4" s="1"/>
      <c r="Q4" s="255"/>
      <c r="R4" s="255"/>
      <c r="S4" s="255"/>
      <c r="T4" s="255"/>
      <c r="U4" s="255"/>
      <c r="V4" s="255"/>
    </row>
    <row r="5" spans="1:22" x14ac:dyDescent="0.3">
      <c r="G5" s="1"/>
      <c r="O5" s="1"/>
    </row>
    <row r="6" spans="1:22" x14ac:dyDescent="0.3">
      <c r="G6" s="1"/>
      <c r="O6" s="1"/>
    </row>
    <row r="7" spans="1:22" x14ac:dyDescent="0.3">
      <c r="G7" s="1"/>
      <c r="O7" s="1"/>
    </row>
    <row r="8" spans="1:22" x14ac:dyDescent="0.3">
      <c r="G8" s="1"/>
      <c r="O8" s="1"/>
    </row>
    <row r="9" spans="1:22" x14ac:dyDescent="0.3">
      <c r="G9" s="1"/>
      <c r="O9" s="1"/>
    </row>
    <row r="10" spans="1:22" x14ac:dyDescent="0.3">
      <c r="G10" s="1"/>
      <c r="O10" s="1"/>
    </row>
    <row r="11" spans="1:22" x14ac:dyDescent="0.3">
      <c r="G11" s="1"/>
      <c r="O11" s="1"/>
    </row>
    <row r="12" spans="1:22" x14ac:dyDescent="0.3">
      <c r="G12" s="1"/>
      <c r="O12" s="1"/>
    </row>
    <row r="13" spans="1:22" x14ac:dyDescent="0.3">
      <c r="G13" s="1"/>
      <c r="O13" s="1"/>
    </row>
    <row r="14" spans="1:22" x14ac:dyDescent="0.3">
      <c r="G14" s="1"/>
      <c r="O14" s="1"/>
    </row>
    <row r="15" spans="1:22" x14ac:dyDescent="0.3">
      <c r="G15" s="1"/>
      <c r="O15" s="1"/>
    </row>
    <row r="16" spans="1:22" x14ac:dyDescent="0.3">
      <c r="G16" s="1"/>
      <c r="O16" s="1"/>
    </row>
    <row r="17" spans="1:23" x14ac:dyDescent="0.3">
      <c r="G17" s="1"/>
      <c r="O17" s="1"/>
    </row>
    <row r="18" spans="1:23" x14ac:dyDescent="0.3">
      <c r="G18" s="1"/>
      <c r="O18" s="1"/>
    </row>
    <row r="19" spans="1:23" x14ac:dyDescent="0.3">
      <c r="G19" s="1"/>
      <c r="O19" s="1"/>
    </row>
    <row r="20" spans="1:23" x14ac:dyDescent="0.3">
      <c r="A20" s="238" t="s">
        <v>121</v>
      </c>
      <c r="B20" s="238"/>
      <c r="C20" s="238"/>
      <c r="D20" s="238"/>
      <c r="E20" s="238"/>
      <c r="F20" s="238"/>
      <c r="G20" s="256"/>
      <c r="H20" s="257" t="s">
        <v>121</v>
      </c>
      <c r="I20" s="238"/>
      <c r="J20" s="238"/>
      <c r="K20" s="238"/>
      <c r="L20" s="238"/>
      <c r="M20" s="238"/>
      <c r="N20" s="238"/>
      <c r="O20" s="256"/>
      <c r="P20" s="257" t="s">
        <v>121</v>
      </c>
      <c r="Q20" s="238"/>
      <c r="R20" s="238"/>
      <c r="S20" s="238"/>
      <c r="T20" s="238"/>
      <c r="U20" s="238"/>
      <c r="V20" s="238"/>
      <c r="W20" s="238"/>
    </row>
    <row r="21" spans="1:23" x14ac:dyDescent="0.3">
      <c r="G21" s="1"/>
      <c r="O21" s="1"/>
    </row>
    <row r="22" spans="1:23" x14ac:dyDescent="0.3">
      <c r="A22" t="s">
        <v>122</v>
      </c>
      <c r="B22" s="18">
        <v>0.34799999999999998</v>
      </c>
      <c r="G22" s="1"/>
      <c r="H22" t="s">
        <v>122</v>
      </c>
      <c r="I22" s="18">
        <v>0.34799999999999998</v>
      </c>
      <c r="O22" s="1"/>
      <c r="P22" t="s">
        <v>122</v>
      </c>
      <c r="Q22" s="18">
        <v>0.34799999999999998</v>
      </c>
    </row>
    <row r="23" spans="1:23" x14ac:dyDescent="0.3">
      <c r="A23" t="s">
        <v>123</v>
      </c>
      <c r="B23" s="18">
        <v>1.1976</v>
      </c>
      <c r="G23" s="1"/>
      <c r="H23" t="s">
        <v>124</v>
      </c>
      <c r="I23" s="18">
        <v>0.47739999999999999</v>
      </c>
      <c r="O23" s="1"/>
      <c r="P23" t="s">
        <v>125</v>
      </c>
      <c r="Q23" s="18">
        <v>0.40210000000000001</v>
      </c>
    </row>
    <row r="24" spans="1:23" x14ac:dyDescent="0.3">
      <c r="G24" s="1"/>
      <c r="O24" s="1"/>
    </row>
    <row r="25" spans="1:23" x14ac:dyDescent="0.3">
      <c r="G25" s="1"/>
      <c r="O25" s="1"/>
    </row>
    <row r="26" spans="1:23" x14ac:dyDescent="0.3">
      <c r="G26" s="1"/>
      <c r="O26" s="1"/>
    </row>
    <row r="27" spans="1:23" x14ac:dyDescent="0.3">
      <c r="G27" s="1"/>
      <c r="O27" s="1"/>
    </row>
    <row r="49" spans="1:16" x14ac:dyDescent="0.3">
      <c r="G49" s="253" t="s">
        <v>126</v>
      </c>
      <c r="H49" s="253"/>
      <c r="I49" s="253"/>
      <c r="J49" s="253"/>
      <c r="K49" s="253"/>
      <c r="L49" s="253"/>
      <c r="M49" s="253"/>
      <c r="N49" s="253"/>
      <c r="O49" s="253"/>
      <c r="P49" s="253"/>
    </row>
    <row r="50" spans="1:16" x14ac:dyDescent="0.3">
      <c r="G50" s="253"/>
      <c r="H50" s="253"/>
      <c r="I50" s="253"/>
      <c r="J50" s="253"/>
      <c r="K50" s="253"/>
      <c r="L50" s="253"/>
      <c r="M50" s="253"/>
      <c r="N50" s="253"/>
      <c r="O50" s="253"/>
      <c r="P50" s="253"/>
    </row>
    <row r="51" spans="1:16" x14ac:dyDescent="0.3">
      <c r="I51" s="254" t="s">
        <v>127</v>
      </c>
      <c r="J51" s="238"/>
      <c r="K51" s="238"/>
      <c r="L51" s="238"/>
      <c r="M51" s="238"/>
      <c r="N51" s="238"/>
    </row>
    <row r="52" spans="1:16" x14ac:dyDescent="0.3">
      <c r="I52" s="238"/>
      <c r="J52" s="238"/>
      <c r="K52" s="238"/>
      <c r="L52" s="238"/>
      <c r="M52" s="238"/>
      <c r="N52" s="238"/>
    </row>
    <row r="53" spans="1:16" ht="14.4" customHeight="1" x14ac:dyDescent="0.3">
      <c r="I53" s="254" t="s">
        <v>128</v>
      </c>
      <c r="J53" s="254"/>
      <c r="K53" s="254"/>
      <c r="L53" s="254"/>
      <c r="M53" s="254"/>
      <c r="N53" s="254"/>
    </row>
    <row r="54" spans="1:16" ht="14.4" customHeight="1" x14ac:dyDescent="0.3">
      <c r="I54" s="254"/>
      <c r="J54" s="254"/>
      <c r="K54" s="254"/>
      <c r="L54" s="254"/>
      <c r="M54" s="254"/>
      <c r="N54" s="254"/>
    </row>
    <row r="55" spans="1:16" x14ac:dyDescent="0.3">
      <c r="I55" s="254" t="s">
        <v>129</v>
      </c>
      <c r="J55" s="238"/>
      <c r="K55" s="238"/>
      <c r="L55" s="238"/>
      <c r="M55" s="238"/>
      <c r="N55" s="238"/>
    </row>
    <row r="56" spans="1:16" x14ac:dyDescent="0.3">
      <c r="I56" s="238"/>
      <c r="J56" s="238"/>
      <c r="K56" s="238"/>
      <c r="L56" s="238"/>
      <c r="M56" s="238"/>
      <c r="N56" s="238"/>
    </row>
    <row r="57" spans="1:16" x14ac:dyDescent="0.3">
      <c r="I57" s="254" t="s">
        <v>130</v>
      </c>
      <c r="J57" s="238"/>
      <c r="K57" s="238"/>
      <c r="L57" s="238"/>
      <c r="M57" s="238"/>
      <c r="N57" s="238"/>
    </row>
    <row r="58" spans="1:16" x14ac:dyDescent="0.3">
      <c r="I58" s="238"/>
      <c r="J58" s="238"/>
      <c r="K58" s="238"/>
      <c r="L58" s="238"/>
      <c r="M58" s="238"/>
      <c r="N58" s="238"/>
    </row>
    <row r="61" spans="1:16" ht="14.4" customHeight="1" x14ac:dyDescent="0.3">
      <c r="A61" s="249" t="s">
        <v>206</v>
      </c>
      <c r="B61" s="249"/>
      <c r="C61" s="249"/>
      <c r="D61" s="249"/>
      <c r="E61" s="249"/>
      <c r="F61" s="249"/>
      <c r="G61" s="249"/>
      <c r="H61" s="249"/>
      <c r="I61" s="249"/>
    </row>
    <row r="62" spans="1:16" ht="14.4" customHeight="1" x14ac:dyDescent="0.3">
      <c r="A62" s="249"/>
      <c r="B62" s="249"/>
      <c r="C62" s="249"/>
      <c r="D62" s="249"/>
      <c r="E62" s="249"/>
      <c r="F62" s="249"/>
      <c r="G62" s="249"/>
      <c r="H62" s="249"/>
      <c r="I62" s="249"/>
    </row>
    <row r="63" spans="1:16" ht="15" thickBot="1" x14ac:dyDescent="0.35"/>
    <row r="64" spans="1:16" ht="15" thickBot="1" x14ac:dyDescent="0.35">
      <c r="A64" s="250" t="s">
        <v>207</v>
      </c>
      <c r="B64" s="247" t="s">
        <v>123</v>
      </c>
      <c r="C64" s="248"/>
      <c r="D64" s="252" t="s">
        <v>212</v>
      </c>
      <c r="E64" s="252"/>
      <c r="F64" s="247" t="s">
        <v>208</v>
      </c>
      <c r="G64" s="248"/>
      <c r="H64" s="247" t="s">
        <v>125</v>
      </c>
      <c r="I64" s="248"/>
    </row>
    <row r="65" spans="1:9" ht="16.2" thickBot="1" x14ac:dyDescent="0.35">
      <c r="A65" s="251"/>
      <c r="B65" s="49" t="s">
        <v>209</v>
      </c>
      <c r="C65" s="48" t="s">
        <v>210</v>
      </c>
      <c r="D65" s="50" t="s">
        <v>209</v>
      </c>
      <c r="E65" s="51" t="s">
        <v>211</v>
      </c>
      <c r="F65" s="48" t="s">
        <v>209</v>
      </c>
      <c r="G65" s="52" t="s">
        <v>211</v>
      </c>
      <c r="H65" s="48" t="s">
        <v>209</v>
      </c>
      <c r="I65" s="52" t="s">
        <v>211</v>
      </c>
    </row>
    <row r="66" spans="1:9" ht="15.6" x14ac:dyDescent="0.3">
      <c r="A66" s="59">
        <v>45497</v>
      </c>
      <c r="B66">
        <v>337</v>
      </c>
      <c r="C66" s="53">
        <f>(B66-B67)/B67*100</f>
        <v>2.2451456310679543</v>
      </c>
      <c r="D66">
        <v>512.15</v>
      </c>
      <c r="E66" s="60">
        <f>(D66-D67)/D67*100</f>
        <v>-3.5408230530181877</v>
      </c>
      <c r="F66">
        <v>24615.9</v>
      </c>
      <c r="G66" s="54">
        <f>(F66-F67)/F67*100</f>
        <v>0.69932644574851133</v>
      </c>
      <c r="H66" s="64">
        <v>368</v>
      </c>
      <c r="I66" s="67">
        <f>(H66-H67)/H67*100</f>
        <v>2.3359288097886477</v>
      </c>
    </row>
    <row r="67" spans="1:9" ht="15.6" x14ac:dyDescent="0.3">
      <c r="A67" s="59">
        <v>45491</v>
      </c>
      <c r="B67">
        <v>329.6</v>
      </c>
      <c r="C67" s="55">
        <f t="shared" ref="C67:C117" si="0">(B67-B68)/B68*100</f>
        <v>-0.46806583119430911</v>
      </c>
      <c r="D67">
        <v>530.95000000000005</v>
      </c>
      <c r="E67" s="61">
        <f t="shared" ref="E67:E117" si="1">(D67-D68)/D68*100</f>
        <v>0.53967051694755208</v>
      </c>
      <c r="F67">
        <v>24444.95</v>
      </c>
      <c r="G67" s="56">
        <f t="shared" ref="G67:G117" si="2">(F67-F68)/F68*100</f>
        <v>0.38581577758613911</v>
      </c>
      <c r="H67" s="64">
        <v>359.6</v>
      </c>
      <c r="I67" s="68">
        <f t="shared" ref="I67:I117" si="3">(H67-H68)/H68*100</f>
        <v>-3.5407725321888379</v>
      </c>
    </row>
    <row r="68" spans="1:9" ht="15.6" x14ac:dyDescent="0.3">
      <c r="A68" s="59">
        <v>45484</v>
      </c>
      <c r="B68">
        <v>331.15</v>
      </c>
      <c r="C68" s="55">
        <f t="shared" si="0"/>
        <v>-3.313868613138693</v>
      </c>
      <c r="D68">
        <v>528.1</v>
      </c>
      <c r="E68" s="62">
        <f t="shared" si="1"/>
        <v>7.7755102040816375</v>
      </c>
      <c r="F68">
        <v>24351</v>
      </c>
      <c r="G68" s="56">
        <f t="shared" si="2"/>
        <v>0.50456585667853271</v>
      </c>
      <c r="H68" s="64">
        <v>372.8</v>
      </c>
      <c r="I68" s="68">
        <f t="shared" si="3"/>
        <v>1.8718404153572954</v>
      </c>
    </row>
    <row r="69" spans="1:9" ht="15.6" x14ac:dyDescent="0.3">
      <c r="A69" s="59">
        <v>45477</v>
      </c>
      <c r="B69">
        <v>342.5</v>
      </c>
      <c r="C69" s="55">
        <f t="shared" si="0"/>
        <v>4.1666666666666625</v>
      </c>
      <c r="D69">
        <v>490</v>
      </c>
      <c r="E69" s="62">
        <f t="shared" si="1"/>
        <v>0.4098360655737705</v>
      </c>
      <c r="F69">
        <v>24228.75</v>
      </c>
      <c r="G69" s="56">
        <f t="shared" si="2"/>
        <v>2.1314667981840549</v>
      </c>
      <c r="H69" s="64">
        <v>365.95</v>
      </c>
      <c r="I69" s="68">
        <f t="shared" si="3"/>
        <v>3.6979314253329592</v>
      </c>
    </row>
    <row r="70" spans="1:9" ht="15.6" x14ac:dyDescent="0.3">
      <c r="A70" s="59">
        <v>45470</v>
      </c>
      <c r="B70">
        <v>328.8</v>
      </c>
      <c r="C70" s="57">
        <f t="shared" si="0"/>
        <v>3.8534428300694845</v>
      </c>
      <c r="D70">
        <v>488</v>
      </c>
      <c r="E70" s="61">
        <f t="shared" si="1"/>
        <v>4.3627031650983694</v>
      </c>
      <c r="F70">
        <v>23723.1</v>
      </c>
      <c r="G70" s="58">
        <f t="shared" si="2"/>
        <v>0.39462798113403175</v>
      </c>
      <c r="H70" s="64">
        <v>352.9</v>
      </c>
      <c r="I70" s="68">
        <f t="shared" si="3"/>
        <v>-2.3519645821804094</v>
      </c>
    </row>
    <row r="71" spans="1:9" ht="15.6" x14ac:dyDescent="0.3">
      <c r="A71" s="59">
        <v>45463</v>
      </c>
      <c r="B71">
        <v>316.60000000000002</v>
      </c>
      <c r="C71" s="55">
        <f t="shared" si="0"/>
        <v>-5.6052474657125684</v>
      </c>
      <c r="D71">
        <v>467.6</v>
      </c>
      <c r="E71" s="62">
        <f t="shared" si="1"/>
        <v>-3.3884297520661111</v>
      </c>
      <c r="F71">
        <v>23629.85</v>
      </c>
      <c r="G71" s="56">
        <f t="shared" si="2"/>
        <v>1.2509694531213051</v>
      </c>
      <c r="H71" s="64">
        <v>361.4</v>
      </c>
      <c r="I71" s="68">
        <f t="shared" si="3"/>
        <v>-4.2775791285922482</v>
      </c>
    </row>
    <row r="72" spans="1:9" ht="15.6" x14ac:dyDescent="0.3">
      <c r="A72" s="59">
        <v>45456</v>
      </c>
      <c r="B72">
        <v>335.4</v>
      </c>
      <c r="C72" s="55">
        <f t="shared" si="0"/>
        <v>13.329954384186514</v>
      </c>
      <c r="D72">
        <v>484</v>
      </c>
      <c r="E72" s="62">
        <f t="shared" si="1"/>
        <v>0.83333333333333337</v>
      </c>
      <c r="F72">
        <v>23337.9</v>
      </c>
      <c r="G72" s="58">
        <f t="shared" si="2"/>
        <v>8.0406018229652446E-2</v>
      </c>
      <c r="H72" s="64">
        <v>377.55</v>
      </c>
      <c r="I72" s="68">
        <f t="shared" si="3"/>
        <v>9.4982598607888633</v>
      </c>
    </row>
    <row r="73" spans="1:9" ht="15.6" x14ac:dyDescent="0.3">
      <c r="A73" s="59">
        <v>45449</v>
      </c>
      <c r="B73">
        <v>295.95</v>
      </c>
      <c r="C73" s="55">
        <f t="shared" si="0"/>
        <v>3.5876793839691987</v>
      </c>
      <c r="D73">
        <v>480</v>
      </c>
      <c r="E73" s="62">
        <f t="shared" si="1"/>
        <v>-8.2217973231357551</v>
      </c>
      <c r="F73">
        <v>23319.15</v>
      </c>
      <c r="G73" s="58">
        <f t="shared" si="2"/>
        <v>1.2162012591719706</v>
      </c>
      <c r="H73" s="64">
        <v>344.8</v>
      </c>
      <c r="I73" s="68">
        <f t="shared" si="3"/>
        <v>19.307958477508656</v>
      </c>
    </row>
    <row r="74" spans="1:9" ht="15.6" x14ac:dyDescent="0.3">
      <c r="A74" s="59">
        <v>45442</v>
      </c>
      <c r="B74">
        <v>285.7</v>
      </c>
      <c r="C74" s="55">
        <f t="shared" si="0"/>
        <v>-1.1418685121107306</v>
      </c>
      <c r="D74">
        <v>523</v>
      </c>
      <c r="E74" s="62">
        <f t="shared" si="1"/>
        <v>-0.2479496471485704</v>
      </c>
      <c r="F74">
        <v>23038.95</v>
      </c>
      <c r="G74" s="56">
        <f t="shared" si="2"/>
        <v>2.3368875997485978</v>
      </c>
      <c r="H74" s="64">
        <v>289</v>
      </c>
      <c r="I74" s="68">
        <f t="shared" si="3"/>
        <v>4.3321299638989164</v>
      </c>
    </row>
    <row r="75" spans="1:9" ht="15.6" x14ac:dyDescent="0.3">
      <c r="A75" s="59">
        <v>45435</v>
      </c>
      <c r="B75">
        <v>289</v>
      </c>
      <c r="C75" s="55">
        <f t="shared" si="0"/>
        <v>12.890625</v>
      </c>
      <c r="D75">
        <v>524.29999999999995</v>
      </c>
      <c r="E75" s="61">
        <f t="shared" si="1"/>
        <v>22.514312419675189</v>
      </c>
      <c r="F75">
        <v>22512.85</v>
      </c>
      <c r="G75" s="58">
        <f t="shared" si="2"/>
        <v>0.10271345835324334</v>
      </c>
      <c r="H75" s="64">
        <v>277</v>
      </c>
      <c r="I75" s="68">
        <f t="shared" si="3"/>
        <v>9.2702169625246551</v>
      </c>
    </row>
    <row r="76" spans="1:9" ht="15.6" x14ac:dyDescent="0.3">
      <c r="A76" s="59">
        <v>45428</v>
      </c>
      <c r="B76">
        <v>256</v>
      </c>
      <c r="C76" s="55">
        <f t="shared" si="0"/>
        <v>4.5111247193304802</v>
      </c>
      <c r="D76">
        <v>427.95</v>
      </c>
      <c r="E76" s="62">
        <f t="shared" si="1"/>
        <v>0.67043048694424034</v>
      </c>
      <c r="F76">
        <v>22489.75</v>
      </c>
      <c r="G76" s="56">
        <f t="shared" si="2"/>
        <v>1.4897893838046751E-2</v>
      </c>
      <c r="H76" s="64">
        <v>253.5</v>
      </c>
      <c r="I76" s="68">
        <f t="shared" si="3"/>
        <v>2.9859841560024352</v>
      </c>
    </row>
    <row r="77" spans="1:9" ht="15.6" x14ac:dyDescent="0.3">
      <c r="A77" s="59">
        <v>45421</v>
      </c>
      <c r="B77">
        <v>244.95</v>
      </c>
      <c r="C77" s="57">
        <f t="shared" si="0"/>
        <v>0.67817509247841234</v>
      </c>
      <c r="D77">
        <v>425.1</v>
      </c>
      <c r="E77" s="63">
        <f t="shared" si="1"/>
        <v>-5.5543212619417908</v>
      </c>
      <c r="F77">
        <v>22486.400000000001</v>
      </c>
      <c r="G77" s="58">
        <f t="shared" si="2"/>
        <v>4.8274680708601934E-2</v>
      </c>
      <c r="H77" s="64">
        <v>246.15</v>
      </c>
      <c r="I77" s="68">
        <f t="shared" si="3"/>
        <v>-7.6706676669167351</v>
      </c>
    </row>
    <row r="78" spans="1:9" ht="15.6" x14ac:dyDescent="0.3">
      <c r="A78" s="59">
        <v>45414</v>
      </c>
      <c r="B78">
        <v>243.3</v>
      </c>
      <c r="C78" s="55">
        <f t="shared" si="0"/>
        <v>-2.7966440271673991</v>
      </c>
      <c r="D78">
        <v>450.1</v>
      </c>
      <c r="E78" s="62">
        <f t="shared" si="1"/>
        <v>1.4195583596214536</v>
      </c>
      <c r="F78">
        <v>22475.55</v>
      </c>
      <c r="G78" s="56">
        <f t="shared" si="2"/>
        <v>0.12696545871283754</v>
      </c>
      <c r="H78" s="64">
        <v>266.60000000000002</v>
      </c>
      <c r="I78" s="68">
        <f t="shared" si="3"/>
        <v>1.8140156578193618</v>
      </c>
    </row>
    <row r="79" spans="1:9" ht="15.6" x14ac:dyDescent="0.3">
      <c r="A79" s="59">
        <v>45407</v>
      </c>
      <c r="B79">
        <v>250.3</v>
      </c>
      <c r="C79" s="55">
        <f t="shared" si="0"/>
        <v>1.7479674796748015</v>
      </c>
      <c r="D79">
        <v>443.8</v>
      </c>
      <c r="E79" s="61">
        <f t="shared" si="1"/>
        <v>-0.88218872138469873</v>
      </c>
      <c r="F79">
        <v>22447.05</v>
      </c>
      <c r="G79" s="58">
        <f t="shared" si="2"/>
        <v>0.48345833864913684</v>
      </c>
      <c r="H79" s="64">
        <v>261.85000000000002</v>
      </c>
      <c r="I79" s="68">
        <f t="shared" si="3"/>
        <v>-0.43726235741444003</v>
      </c>
    </row>
    <row r="80" spans="1:9" ht="15.6" x14ac:dyDescent="0.3">
      <c r="A80" s="59">
        <v>45400</v>
      </c>
      <c r="B80">
        <v>246</v>
      </c>
      <c r="C80" s="55">
        <f t="shared" si="0"/>
        <v>-7.2398190045248834</v>
      </c>
      <c r="D80">
        <v>447.75</v>
      </c>
      <c r="E80" s="62">
        <f t="shared" si="1"/>
        <v>-0.89641434262948461</v>
      </c>
      <c r="F80">
        <v>22339.05</v>
      </c>
      <c r="G80" s="56">
        <f t="shared" si="2"/>
        <v>5.1729929459183838E-2</v>
      </c>
      <c r="H80" s="64">
        <v>263</v>
      </c>
      <c r="I80" s="68">
        <f t="shared" si="3"/>
        <v>-1.6086793864571685</v>
      </c>
    </row>
    <row r="81" spans="1:9" ht="15.6" x14ac:dyDescent="0.3">
      <c r="A81" s="59">
        <v>45392</v>
      </c>
      <c r="B81">
        <v>265.2</v>
      </c>
      <c r="C81" s="55">
        <f t="shared" si="0"/>
        <v>2.1768445386245334</v>
      </c>
      <c r="D81">
        <v>451.8</v>
      </c>
      <c r="E81" s="62">
        <f t="shared" si="1"/>
        <v>4.3900184842883547</v>
      </c>
      <c r="F81">
        <v>22327.5</v>
      </c>
      <c r="G81" s="56">
        <f t="shared" si="2"/>
        <v>0.73950080311863353</v>
      </c>
      <c r="H81" s="64">
        <v>267.3</v>
      </c>
      <c r="I81" s="68">
        <f t="shared" si="3"/>
        <v>2.2179732313575569</v>
      </c>
    </row>
    <row r="82" spans="1:9" ht="15.6" x14ac:dyDescent="0.3">
      <c r="A82" s="59">
        <v>45385</v>
      </c>
      <c r="B82">
        <v>259.55</v>
      </c>
      <c r="C82" s="55">
        <f t="shared" si="0"/>
        <v>6.1988543371522118</v>
      </c>
      <c r="D82">
        <v>432.8</v>
      </c>
      <c r="E82" s="62">
        <f t="shared" si="1"/>
        <v>-2.1478634411033237</v>
      </c>
      <c r="F82">
        <v>22163.599999999999</v>
      </c>
      <c r="G82" s="56">
        <f t="shared" si="2"/>
        <v>0.229277932790349</v>
      </c>
      <c r="H82" s="64">
        <v>261.5</v>
      </c>
      <c r="I82" s="68">
        <f t="shared" si="3"/>
        <v>3.4210005932370993</v>
      </c>
    </row>
    <row r="83" spans="1:9" ht="15.6" x14ac:dyDescent="0.3">
      <c r="A83" s="59">
        <v>45378</v>
      </c>
      <c r="B83">
        <v>244.4</v>
      </c>
      <c r="C83" s="55">
        <f t="shared" si="0"/>
        <v>13.384365576432378</v>
      </c>
      <c r="D83">
        <v>442.3</v>
      </c>
      <c r="E83" s="61">
        <f t="shared" si="1"/>
        <v>9.236848604593737</v>
      </c>
      <c r="F83">
        <v>22112.9</v>
      </c>
      <c r="G83" s="58">
        <f t="shared" si="2"/>
        <v>0.14197372919927354</v>
      </c>
      <c r="H83" s="64">
        <v>252.85</v>
      </c>
      <c r="I83" s="68">
        <f t="shared" si="3"/>
        <v>4.4834710743801631</v>
      </c>
    </row>
    <row r="84" spans="1:9" ht="15.6" x14ac:dyDescent="0.3">
      <c r="A84" s="59">
        <v>45371</v>
      </c>
      <c r="B84">
        <v>215.55</v>
      </c>
      <c r="C84" s="57">
        <f t="shared" si="0"/>
        <v>-9.811715481171543</v>
      </c>
      <c r="D84">
        <v>404.9</v>
      </c>
      <c r="E84" s="61">
        <f t="shared" si="1"/>
        <v>-1.3040828762949477</v>
      </c>
      <c r="F84">
        <v>22081.55</v>
      </c>
      <c r="G84" s="58">
        <f t="shared" si="2"/>
        <v>0.27815243207404078</v>
      </c>
      <c r="H84" s="64">
        <v>242</v>
      </c>
      <c r="I84" s="68">
        <f t="shared" si="3"/>
        <v>-10.37037037037037</v>
      </c>
    </row>
    <row r="85" spans="1:9" ht="15.6" x14ac:dyDescent="0.3">
      <c r="A85" s="59">
        <v>45364</v>
      </c>
      <c r="B85">
        <v>239</v>
      </c>
      <c r="C85" s="55">
        <f t="shared" si="0"/>
        <v>-8.7437953417334775</v>
      </c>
      <c r="D85">
        <v>410.25</v>
      </c>
      <c r="E85" s="61">
        <f t="shared" si="1"/>
        <v>-11.584051724137931</v>
      </c>
      <c r="F85">
        <v>22020.3</v>
      </c>
      <c r="G85" s="58">
        <f t="shared" si="2"/>
        <v>0.17172711992011847</v>
      </c>
      <c r="H85" s="64">
        <v>270</v>
      </c>
      <c r="I85" s="68">
        <f t="shared" si="3"/>
        <v>-4.1873669268985134</v>
      </c>
    </row>
    <row r="86" spans="1:9" ht="15.6" x14ac:dyDescent="0.3">
      <c r="A86" s="59">
        <v>45357</v>
      </c>
      <c r="B86">
        <v>261.89999999999998</v>
      </c>
      <c r="C86" s="55">
        <f t="shared" si="0"/>
        <v>0.73076923076922196</v>
      </c>
      <c r="D86">
        <v>464</v>
      </c>
      <c r="E86" s="62">
        <f t="shared" si="1"/>
        <v>1.3100436681222707</v>
      </c>
      <c r="F86">
        <v>21982.55</v>
      </c>
      <c r="G86" s="56">
        <f t="shared" si="2"/>
        <v>0.21586308763995107</v>
      </c>
      <c r="H86" s="64">
        <v>281.8</v>
      </c>
      <c r="I86" s="68">
        <f t="shared" si="3"/>
        <v>-7.0921985815598804E-2</v>
      </c>
    </row>
    <row r="87" spans="1:9" ht="15.6" x14ac:dyDescent="0.3">
      <c r="A87" s="59">
        <v>45350</v>
      </c>
      <c r="B87">
        <v>260</v>
      </c>
      <c r="C87" s="57">
        <f t="shared" si="0"/>
        <v>14.436619718309865</v>
      </c>
      <c r="D87">
        <v>458</v>
      </c>
      <c r="E87" s="61">
        <f t="shared" si="1"/>
        <v>11.666463488967457</v>
      </c>
      <c r="F87">
        <v>21935.200000000001</v>
      </c>
      <c r="G87" s="58">
        <f t="shared" si="2"/>
        <v>0.41796565631594751</v>
      </c>
      <c r="H87" s="64">
        <v>282</v>
      </c>
      <c r="I87" s="68">
        <f t="shared" si="3"/>
        <v>4.0398450470392877</v>
      </c>
    </row>
    <row r="88" spans="1:9" ht="15.6" x14ac:dyDescent="0.3">
      <c r="A88" s="59">
        <v>45343</v>
      </c>
      <c r="B88">
        <v>227.2</v>
      </c>
      <c r="C88" s="57">
        <f t="shared" si="0"/>
        <v>5.2582812138058816</v>
      </c>
      <c r="D88">
        <v>410.15</v>
      </c>
      <c r="E88" s="62">
        <f t="shared" si="1"/>
        <v>3.3123425692695156</v>
      </c>
      <c r="F88">
        <v>21843.9</v>
      </c>
      <c r="G88" s="56">
        <f t="shared" si="2"/>
        <v>0.14280638617323105</v>
      </c>
      <c r="H88" s="64">
        <v>271.05</v>
      </c>
      <c r="I88" s="68">
        <f t="shared" si="3"/>
        <v>4.875217643644814</v>
      </c>
    </row>
    <row r="89" spans="1:9" ht="15.6" x14ac:dyDescent="0.3">
      <c r="A89" s="59">
        <v>45336</v>
      </c>
      <c r="B89">
        <v>215.85</v>
      </c>
      <c r="C89" s="55">
        <f t="shared" si="0"/>
        <v>-2.0422055820285911</v>
      </c>
      <c r="D89">
        <v>397</v>
      </c>
      <c r="E89" s="61">
        <f t="shared" si="1"/>
        <v>-10.786516853932584</v>
      </c>
      <c r="F89">
        <v>21812.75</v>
      </c>
      <c r="G89" s="56">
        <f t="shared" si="2"/>
        <v>0.18003495066261924</v>
      </c>
      <c r="H89" s="64">
        <v>258.45</v>
      </c>
      <c r="I89" s="68">
        <f t="shared" si="3"/>
        <v>-10.74080469694354</v>
      </c>
    </row>
    <row r="90" spans="1:9" ht="15.6" x14ac:dyDescent="0.3">
      <c r="A90" s="59">
        <v>45329</v>
      </c>
      <c r="B90">
        <v>220.35</v>
      </c>
      <c r="C90" s="57">
        <f t="shared" si="0"/>
        <v>3.9631988676574692</v>
      </c>
      <c r="D90">
        <v>445</v>
      </c>
      <c r="E90" s="62">
        <f t="shared" si="1"/>
        <v>-0.857747577141589</v>
      </c>
      <c r="F90">
        <v>21773.55</v>
      </c>
      <c r="G90" s="56">
        <f t="shared" si="2"/>
        <v>0.16515124679989701</v>
      </c>
      <c r="H90" s="64">
        <v>289.55</v>
      </c>
      <c r="I90" s="68">
        <f t="shared" si="3"/>
        <v>6.5305371596762321</v>
      </c>
    </row>
    <row r="91" spans="1:9" ht="15.6" x14ac:dyDescent="0.3">
      <c r="A91" s="59">
        <v>45322</v>
      </c>
      <c r="B91">
        <v>211.95</v>
      </c>
      <c r="C91" s="55">
        <f t="shared" si="0"/>
        <v>9.7049689440993792</v>
      </c>
      <c r="D91">
        <v>448.85</v>
      </c>
      <c r="E91" s="62">
        <f t="shared" si="1"/>
        <v>16.071890354279812</v>
      </c>
      <c r="F91">
        <v>21737.65</v>
      </c>
      <c r="G91" s="58">
        <f t="shared" si="2"/>
        <v>4.9017351682245386E-2</v>
      </c>
      <c r="H91" s="64">
        <v>271.8</v>
      </c>
      <c r="I91" s="68">
        <f t="shared" si="3"/>
        <v>3.7800687285223504</v>
      </c>
    </row>
    <row r="92" spans="1:9" ht="15.6" x14ac:dyDescent="0.3">
      <c r="A92" s="59">
        <v>45315</v>
      </c>
      <c r="B92">
        <v>193.2</v>
      </c>
      <c r="C92" s="57">
        <f t="shared" si="0"/>
        <v>-2.2761760242792111</v>
      </c>
      <c r="D92">
        <v>386.7</v>
      </c>
      <c r="E92" s="61">
        <f t="shared" si="1"/>
        <v>-6.5038684719535862</v>
      </c>
      <c r="F92">
        <v>21727</v>
      </c>
      <c r="G92" s="56">
        <f t="shared" si="2"/>
        <v>9.7900325950496983E-2</v>
      </c>
      <c r="H92" s="64">
        <v>261.89999999999998</v>
      </c>
      <c r="I92" s="68">
        <f t="shared" si="3"/>
        <v>1.590380139643121</v>
      </c>
    </row>
    <row r="93" spans="1:9" ht="15.6" x14ac:dyDescent="0.3">
      <c r="A93" s="59">
        <v>45308</v>
      </c>
      <c r="B93">
        <v>197.7</v>
      </c>
      <c r="C93" s="55">
        <f t="shared" si="0"/>
        <v>11.50592216582063</v>
      </c>
      <c r="D93">
        <v>413.6</v>
      </c>
      <c r="E93" s="62">
        <f t="shared" si="1"/>
        <v>17.700626067159948</v>
      </c>
      <c r="F93">
        <v>21705.75</v>
      </c>
      <c r="G93" s="56">
        <f t="shared" si="2"/>
        <v>1.1706114306489122</v>
      </c>
      <c r="H93" s="64">
        <v>257.8</v>
      </c>
      <c r="I93" s="68">
        <f t="shared" si="3"/>
        <v>-0.54012345679011464</v>
      </c>
    </row>
    <row r="94" spans="1:9" ht="15.6" x14ac:dyDescent="0.3">
      <c r="A94" s="59">
        <v>45301</v>
      </c>
      <c r="B94">
        <v>177.3</v>
      </c>
      <c r="C94" s="57">
        <f t="shared" si="0"/>
        <v>6.1676646706586897</v>
      </c>
      <c r="D94">
        <v>351.4</v>
      </c>
      <c r="E94" s="62">
        <f t="shared" si="1"/>
        <v>0.42869391254644185</v>
      </c>
      <c r="F94">
        <v>21454.6</v>
      </c>
      <c r="G94" s="58">
        <f t="shared" si="2"/>
        <v>0.18865986121357703</v>
      </c>
      <c r="H94" s="64">
        <v>259.2</v>
      </c>
      <c r="I94" s="68">
        <f t="shared" si="3"/>
        <v>-1.3698630136986387</v>
      </c>
    </row>
    <row r="95" spans="1:9" ht="15.6" x14ac:dyDescent="0.3">
      <c r="A95" s="59">
        <v>45294</v>
      </c>
      <c r="B95">
        <v>167</v>
      </c>
      <c r="C95" s="55">
        <f t="shared" si="0"/>
        <v>-0.74294205052005935</v>
      </c>
      <c r="D95">
        <v>349.9</v>
      </c>
      <c r="E95" s="62">
        <f t="shared" si="1"/>
        <v>-1.0043853444617377</v>
      </c>
      <c r="F95">
        <v>21414.2</v>
      </c>
      <c r="G95" s="56">
        <f t="shared" si="2"/>
        <v>1.4391011065635859</v>
      </c>
      <c r="H95" s="64">
        <v>262.8</v>
      </c>
      <c r="I95" s="68">
        <f t="shared" si="3"/>
        <v>-1.5730337078651642</v>
      </c>
    </row>
    <row r="96" spans="1:9" ht="15.6" x14ac:dyDescent="0.3">
      <c r="A96" s="59">
        <v>45287</v>
      </c>
      <c r="B96">
        <v>168.25</v>
      </c>
      <c r="C96" s="57">
        <f t="shared" si="0"/>
        <v>0.14880952380952381</v>
      </c>
      <c r="D96">
        <v>353.45</v>
      </c>
      <c r="E96" s="61">
        <f t="shared" si="1"/>
        <v>0.48329779673062928</v>
      </c>
      <c r="F96">
        <v>21110.400000000001</v>
      </c>
      <c r="G96" s="58">
        <f t="shared" si="2"/>
        <v>0.3634600253399895</v>
      </c>
      <c r="H96" s="64">
        <v>267</v>
      </c>
      <c r="I96" s="68">
        <f t="shared" si="3"/>
        <v>-0.37313432835820892</v>
      </c>
    </row>
    <row r="97" spans="1:9" ht="15.6" x14ac:dyDescent="0.3">
      <c r="A97" s="59">
        <v>45280</v>
      </c>
      <c r="B97">
        <v>168</v>
      </c>
      <c r="C97" s="55">
        <f t="shared" si="0"/>
        <v>-3.9725635895970215</v>
      </c>
      <c r="D97">
        <v>351.75</v>
      </c>
      <c r="E97" s="61">
        <f t="shared" si="1"/>
        <v>6.5909090909090899</v>
      </c>
      <c r="F97">
        <v>21033.95</v>
      </c>
      <c r="G97" s="58">
        <f t="shared" si="2"/>
        <v>0.39712182141451136</v>
      </c>
      <c r="H97" s="64">
        <v>268</v>
      </c>
      <c r="I97" s="68">
        <f t="shared" si="3"/>
        <v>-1.3617960986381996</v>
      </c>
    </row>
    <row r="98" spans="1:9" ht="15.6" x14ac:dyDescent="0.3">
      <c r="A98" s="59">
        <v>45273</v>
      </c>
      <c r="B98">
        <v>174.95</v>
      </c>
      <c r="C98" s="57">
        <f t="shared" si="0"/>
        <v>2.3099415204678295</v>
      </c>
      <c r="D98">
        <v>330</v>
      </c>
      <c r="E98" s="61">
        <f t="shared" si="1"/>
        <v>-6.396255850234013</v>
      </c>
      <c r="F98">
        <v>20950.75</v>
      </c>
      <c r="G98" s="58">
        <f t="shared" si="2"/>
        <v>4.0878479924681814</v>
      </c>
      <c r="H98" s="64">
        <v>271.7</v>
      </c>
      <c r="I98" s="68">
        <f t="shared" si="3"/>
        <v>0.49935269095615525</v>
      </c>
    </row>
    <row r="99" spans="1:9" ht="15.6" x14ac:dyDescent="0.3">
      <c r="A99" s="59">
        <v>45266</v>
      </c>
      <c r="B99">
        <v>171</v>
      </c>
      <c r="C99" s="55">
        <f t="shared" si="0"/>
        <v>2.8262176788935589</v>
      </c>
      <c r="D99">
        <v>352.55</v>
      </c>
      <c r="E99" s="61">
        <f t="shared" si="1"/>
        <v>4.9412114898050374</v>
      </c>
      <c r="F99">
        <v>20127.95</v>
      </c>
      <c r="G99" s="56">
        <f t="shared" si="2"/>
        <v>9.6725265435018665E-2</v>
      </c>
      <c r="H99" s="64">
        <v>270.35000000000002</v>
      </c>
      <c r="I99" s="68">
        <f t="shared" si="3"/>
        <v>-7.048306687295856</v>
      </c>
    </row>
    <row r="100" spans="1:9" ht="15.6" x14ac:dyDescent="0.3">
      <c r="A100" s="59">
        <v>45259</v>
      </c>
      <c r="B100">
        <v>166.3</v>
      </c>
      <c r="C100" s="55">
        <f t="shared" si="0"/>
        <v>-1.2470308788598541</v>
      </c>
      <c r="D100">
        <v>335.95</v>
      </c>
      <c r="E100" s="62">
        <f t="shared" si="1"/>
        <v>2.8785790843668586</v>
      </c>
      <c r="F100">
        <v>20108.5</v>
      </c>
      <c r="G100" s="56">
        <f t="shared" si="2"/>
        <v>1.6402143145976549</v>
      </c>
      <c r="H100" s="64">
        <v>290.85000000000002</v>
      </c>
      <c r="I100" s="68">
        <f t="shared" si="3"/>
        <v>-3.0338389731621827</v>
      </c>
    </row>
    <row r="101" spans="1:9" ht="15.6" x14ac:dyDescent="0.3">
      <c r="A101" s="59">
        <v>45252</v>
      </c>
      <c r="B101">
        <v>168.4</v>
      </c>
      <c r="C101" s="55">
        <f t="shared" si="0"/>
        <v>0.47732696897375382</v>
      </c>
      <c r="D101">
        <v>326.55</v>
      </c>
      <c r="E101" s="61">
        <f t="shared" si="1"/>
        <v>1.7289719626168258</v>
      </c>
      <c r="F101">
        <v>19784</v>
      </c>
      <c r="G101" s="58">
        <f t="shared" si="2"/>
        <v>0.18001412769103028</v>
      </c>
      <c r="H101" s="64">
        <v>299.95</v>
      </c>
      <c r="I101" s="68">
        <f t="shared" si="3"/>
        <v>11.484854116335244</v>
      </c>
    </row>
    <row r="102" spans="1:9" ht="15.6" x14ac:dyDescent="0.3">
      <c r="A102" s="59">
        <v>45245</v>
      </c>
      <c r="B102">
        <v>167.6</v>
      </c>
      <c r="C102" s="57">
        <f t="shared" si="0"/>
        <v>11.957247828991321</v>
      </c>
      <c r="D102">
        <v>321</v>
      </c>
      <c r="E102" s="61">
        <f t="shared" si="1"/>
        <v>-1.4732965009208139</v>
      </c>
      <c r="F102">
        <v>19748.45</v>
      </c>
      <c r="G102" s="56">
        <f t="shared" si="2"/>
        <v>1.8232602425453642E-2</v>
      </c>
      <c r="H102" s="64">
        <v>269.05</v>
      </c>
      <c r="I102" s="68">
        <f t="shared" si="3"/>
        <v>0.56064287049149686</v>
      </c>
    </row>
    <row r="103" spans="1:9" ht="15.6" x14ac:dyDescent="0.3">
      <c r="A103" s="59">
        <v>45238</v>
      </c>
      <c r="B103">
        <v>149.69999999999999</v>
      </c>
      <c r="C103" s="57">
        <f t="shared" si="0"/>
        <v>2.9573590096285991</v>
      </c>
      <c r="D103">
        <v>325.8</v>
      </c>
      <c r="E103" s="61">
        <f t="shared" si="1"/>
        <v>-2.3673958645489894</v>
      </c>
      <c r="F103">
        <v>19744.849999999999</v>
      </c>
      <c r="G103" s="56">
        <f t="shared" si="2"/>
        <v>3.8505870878661135E-2</v>
      </c>
      <c r="H103" s="64">
        <v>267.55</v>
      </c>
      <c r="I103" s="68">
        <f t="shared" si="3"/>
        <v>1.3638946770221718</v>
      </c>
    </row>
    <row r="104" spans="1:9" ht="15.6" x14ac:dyDescent="0.3">
      <c r="A104" s="59">
        <v>45231</v>
      </c>
      <c r="B104">
        <v>145.4</v>
      </c>
      <c r="C104" s="55">
        <f t="shared" si="0"/>
        <v>-1.756756756756753</v>
      </c>
      <c r="D104">
        <v>333.7</v>
      </c>
      <c r="E104" s="62">
        <f t="shared" si="1"/>
        <v>-2.994186046511631</v>
      </c>
      <c r="F104">
        <v>19737.25</v>
      </c>
      <c r="G104" s="56">
        <f t="shared" si="2"/>
        <v>0.31792098481806214</v>
      </c>
      <c r="H104" s="64">
        <v>263.95</v>
      </c>
      <c r="I104" s="68">
        <f t="shared" si="3"/>
        <v>-0.39622641509434392</v>
      </c>
    </row>
    <row r="105" spans="1:9" ht="15.6" x14ac:dyDescent="0.3">
      <c r="A105" s="59">
        <v>45224</v>
      </c>
      <c r="B105">
        <v>148</v>
      </c>
      <c r="C105" s="55">
        <f t="shared" si="0"/>
        <v>-9.5354523227383829</v>
      </c>
      <c r="D105">
        <v>344</v>
      </c>
      <c r="E105" s="62">
        <f t="shared" si="1"/>
        <v>-6.6739012479652802</v>
      </c>
      <c r="F105">
        <v>19674.7</v>
      </c>
      <c r="G105" s="56">
        <f t="shared" si="2"/>
        <v>7.6043693332828372E-2</v>
      </c>
      <c r="H105" s="64">
        <v>265</v>
      </c>
      <c r="I105" s="68">
        <f t="shared" si="3"/>
        <v>-4.8132183908045896</v>
      </c>
    </row>
    <row r="106" spans="1:9" ht="15.6" x14ac:dyDescent="0.3">
      <c r="A106" s="59">
        <v>45217</v>
      </c>
      <c r="B106">
        <v>163.6</v>
      </c>
      <c r="C106" s="57">
        <f t="shared" si="0"/>
        <v>3.1851151056448956</v>
      </c>
      <c r="D106">
        <v>368.6</v>
      </c>
      <c r="E106" s="61">
        <f t="shared" si="1"/>
        <v>-1.8114011720830996</v>
      </c>
      <c r="F106">
        <v>19659.75</v>
      </c>
      <c r="G106" s="56">
        <f t="shared" si="2"/>
        <v>0.27645233110012585</v>
      </c>
      <c r="H106" s="64">
        <v>278.39999999999998</v>
      </c>
      <c r="I106" s="68">
        <f t="shared" si="3"/>
        <v>-1.8508725542041249</v>
      </c>
    </row>
    <row r="107" spans="1:9" ht="15.6" x14ac:dyDescent="0.3">
      <c r="A107" s="59">
        <v>45210</v>
      </c>
      <c r="B107">
        <v>158.55000000000001</v>
      </c>
      <c r="C107" s="57">
        <f t="shared" si="0"/>
        <v>-1.6134036611852274</v>
      </c>
      <c r="D107">
        <v>375.4</v>
      </c>
      <c r="E107" s="61">
        <f t="shared" si="1"/>
        <v>-0.15957446808511241</v>
      </c>
      <c r="F107">
        <v>19605.55</v>
      </c>
      <c r="G107" s="58">
        <f t="shared" si="2"/>
        <v>3.5206506570594487E-2</v>
      </c>
      <c r="H107" s="64">
        <v>283.64999999999998</v>
      </c>
      <c r="I107" s="68">
        <f t="shared" si="3"/>
        <v>0.58510638297871531</v>
      </c>
    </row>
    <row r="108" spans="1:9" ht="15.6" x14ac:dyDescent="0.3">
      <c r="A108" s="59">
        <v>45203</v>
      </c>
      <c r="B108">
        <v>161.15</v>
      </c>
      <c r="C108" s="57">
        <f t="shared" si="0"/>
        <v>0.75023444826509356</v>
      </c>
      <c r="D108">
        <v>376</v>
      </c>
      <c r="E108" s="61">
        <f t="shared" si="1"/>
        <v>1.3477088948787064</v>
      </c>
      <c r="F108">
        <v>19598.650000000001</v>
      </c>
      <c r="G108" s="58">
        <f t="shared" si="2"/>
        <v>8.9116090944378931E-2</v>
      </c>
      <c r="H108" s="64">
        <v>282</v>
      </c>
      <c r="I108" s="68">
        <f t="shared" si="3"/>
        <v>-1.7727353306155422E-2</v>
      </c>
    </row>
    <row r="109" spans="1:9" ht="15.6" x14ac:dyDescent="0.3">
      <c r="A109" s="59">
        <v>45196</v>
      </c>
      <c r="B109">
        <v>159.94999999999999</v>
      </c>
      <c r="C109" s="57">
        <f t="shared" si="0"/>
        <v>6.3851014299966717</v>
      </c>
      <c r="D109">
        <v>371</v>
      </c>
      <c r="E109" s="62">
        <f t="shared" si="1"/>
        <v>0.76045627376426173</v>
      </c>
      <c r="F109">
        <v>19581.2</v>
      </c>
      <c r="G109" s="58">
        <f t="shared" si="2"/>
        <v>0.19982448195310787</v>
      </c>
      <c r="H109" s="64">
        <v>282.05</v>
      </c>
      <c r="I109" s="68">
        <f t="shared" si="3"/>
        <v>2.582287688670676</v>
      </c>
    </row>
    <row r="110" spans="1:9" ht="15.6" x14ac:dyDescent="0.3">
      <c r="A110" s="59">
        <v>45189</v>
      </c>
      <c r="B110">
        <v>150.35</v>
      </c>
      <c r="C110" s="57">
        <f t="shared" si="0"/>
        <v>-9.5367027677496967</v>
      </c>
      <c r="D110">
        <v>368.2</v>
      </c>
      <c r="E110" s="62">
        <f t="shared" si="1"/>
        <v>0.62858704564088863</v>
      </c>
      <c r="F110">
        <v>19542.150000000001</v>
      </c>
      <c r="G110" s="58">
        <f t="shared" si="2"/>
        <v>1.3818198567517139E-2</v>
      </c>
      <c r="H110" s="64">
        <v>274.95</v>
      </c>
      <c r="I110" s="68">
        <f t="shared" si="3"/>
        <v>-3.3397785199507828</v>
      </c>
    </row>
    <row r="111" spans="1:9" ht="15.6" x14ac:dyDescent="0.3">
      <c r="A111" s="59">
        <v>45181</v>
      </c>
      <c r="B111">
        <v>166.2</v>
      </c>
      <c r="C111" s="57">
        <f t="shared" si="0"/>
        <v>-6.0132291040302301E-2</v>
      </c>
      <c r="D111">
        <v>365.9</v>
      </c>
      <c r="E111" s="62">
        <f t="shared" si="1"/>
        <v>6.9883040935672449</v>
      </c>
      <c r="F111">
        <v>19539.45</v>
      </c>
      <c r="G111" s="56">
        <f t="shared" si="2"/>
        <v>0.38892813563676437</v>
      </c>
      <c r="H111" s="64">
        <v>284.45</v>
      </c>
      <c r="I111" s="68">
        <f t="shared" si="3"/>
        <v>2.2649649469710629</v>
      </c>
    </row>
    <row r="112" spans="1:9" ht="15.6" x14ac:dyDescent="0.3">
      <c r="A112" s="59">
        <v>45174</v>
      </c>
      <c r="B112">
        <v>166.3</v>
      </c>
      <c r="C112" s="55">
        <f t="shared" si="0"/>
        <v>8.870703764320794</v>
      </c>
      <c r="D112">
        <v>342</v>
      </c>
      <c r="E112" s="62">
        <f t="shared" si="1"/>
        <v>7.3951954780970359</v>
      </c>
      <c r="F112">
        <v>19463.75</v>
      </c>
      <c r="G112" s="56">
        <f t="shared" si="2"/>
        <v>0.45521288427941781</v>
      </c>
      <c r="H112" s="64">
        <v>278.14999999999998</v>
      </c>
      <c r="I112" s="68">
        <f t="shared" si="3"/>
        <v>3.5940409683426355</v>
      </c>
    </row>
    <row r="113" spans="1:9" ht="15.6" x14ac:dyDescent="0.3">
      <c r="A113" s="59">
        <v>45166</v>
      </c>
      <c r="B113">
        <v>152.75</v>
      </c>
      <c r="C113" s="57">
        <f t="shared" si="0"/>
        <v>0.36136662286465926</v>
      </c>
      <c r="D113">
        <v>318.45</v>
      </c>
      <c r="E113" s="61">
        <f t="shared" si="1"/>
        <v>-1.7735965453423812</v>
      </c>
      <c r="F113">
        <v>19375.55</v>
      </c>
      <c r="G113" s="58">
        <f t="shared" si="2"/>
        <v>0.1224689112410479</v>
      </c>
      <c r="H113" s="64">
        <v>268.5</v>
      </c>
      <c r="I113" s="68">
        <f t="shared" si="3"/>
        <v>9.0133982947624798</v>
      </c>
    </row>
    <row r="114" spans="1:9" ht="15.6" x14ac:dyDescent="0.3">
      <c r="A114" s="59">
        <v>45159</v>
      </c>
      <c r="B114">
        <v>152.19999999999999</v>
      </c>
      <c r="C114" s="57">
        <f t="shared" si="0"/>
        <v>-1.6795865633075082</v>
      </c>
      <c r="D114">
        <v>324.2</v>
      </c>
      <c r="E114" s="62">
        <f t="shared" si="1"/>
        <v>-7.3714285714285745</v>
      </c>
      <c r="F114">
        <v>19351.849999999999</v>
      </c>
      <c r="G114" s="58">
        <f t="shared" si="2"/>
        <v>0.25956195681737948</v>
      </c>
      <c r="H114" s="64">
        <v>246.3</v>
      </c>
      <c r="I114" s="68">
        <f t="shared" si="3"/>
        <v>-3.3738721067085109</v>
      </c>
    </row>
    <row r="115" spans="1:9" ht="15.6" x14ac:dyDescent="0.3">
      <c r="A115" s="59">
        <v>45152</v>
      </c>
      <c r="B115">
        <v>154.80000000000001</v>
      </c>
      <c r="C115" s="55">
        <f t="shared" si="0"/>
        <v>0.84690553745929087</v>
      </c>
      <c r="D115">
        <v>350</v>
      </c>
      <c r="E115" s="61">
        <f t="shared" si="1"/>
        <v>-0.84985835694051004</v>
      </c>
      <c r="F115">
        <v>19301.75</v>
      </c>
      <c r="G115" s="56">
        <f t="shared" si="2"/>
        <v>2.2541896835835629E-2</v>
      </c>
      <c r="H115" s="64">
        <v>254.9</v>
      </c>
      <c r="I115" s="68">
        <f t="shared" si="3"/>
        <v>4.3816543816543891</v>
      </c>
    </row>
    <row r="116" spans="1:9" ht="15.6" x14ac:dyDescent="0.3">
      <c r="A116" s="59">
        <v>45145</v>
      </c>
      <c r="B116">
        <v>153.5</v>
      </c>
      <c r="C116" s="55">
        <f t="shared" si="0"/>
        <v>1.6893010930771855</v>
      </c>
      <c r="D116">
        <v>353</v>
      </c>
      <c r="E116" s="61">
        <f t="shared" si="1"/>
        <v>2.6461180575748831</v>
      </c>
      <c r="F116">
        <v>19297.400000000001</v>
      </c>
      <c r="G116" s="56">
        <f t="shared" si="2"/>
        <v>0.29312405800115099</v>
      </c>
      <c r="H116" s="64">
        <v>244.2</v>
      </c>
      <c r="I116" s="68">
        <f t="shared" si="3"/>
        <v>-0.3265306122449026</v>
      </c>
    </row>
    <row r="117" spans="1:9" ht="15.6" x14ac:dyDescent="0.3">
      <c r="A117" s="59">
        <v>45138</v>
      </c>
      <c r="B117">
        <v>150.94999999999999</v>
      </c>
      <c r="C117" s="55">
        <f t="shared" si="0"/>
        <v>7.5525472034200183</v>
      </c>
      <c r="D117">
        <v>343.9</v>
      </c>
      <c r="E117" s="61">
        <f t="shared" si="1"/>
        <v>-2.5641025641025674</v>
      </c>
      <c r="F117">
        <v>19241</v>
      </c>
      <c r="G117" s="56">
        <f t="shared" si="2"/>
        <v>0.98460117354382171</v>
      </c>
      <c r="H117" s="64">
        <v>245</v>
      </c>
      <c r="I117" s="68">
        <f t="shared" si="3"/>
        <v>1.1143210895583939</v>
      </c>
    </row>
    <row r="118" spans="1:9" ht="15.6" x14ac:dyDescent="0.3">
      <c r="A118" s="65">
        <v>45131</v>
      </c>
      <c r="B118" s="16">
        <v>140.35</v>
      </c>
      <c r="C118" s="55">
        <v>0</v>
      </c>
      <c r="D118" s="16">
        <v>352.95</v>
      </c>
      <c r="E118" s="61">
        <v>0</v>
      </c>
      <c r="F118" s="16">
        <v>19053.400000000001</v>
      </c>
      <c r="G118" s="56">
        <v>0</v>
      </c>
      <c r="H118" s="66">
        <v>242.3</v>
      </c>
      <c r="I118" s="69">
        <v>0</v>
      </c>
    </row>
    <row r="122" spans="1:9" x14ac:dyDescent="0.3">
      <c r="A122" s="70"/>
      <c r="B122" s="72" t="s">
        <v>213</v>
      </c>
      <c r="C122" s="72" t="s">
        <v>214</v>
      </c>
      <c r="D122" s="72" t="s">
        <v>376</v>
      </c>
    </row>
    <row r="123" spans="1:9" x14ac:dyDescent="0.3">
      <c r="A123" s="73" t="s">
        <v>123</v>
      </c>
      <c r="B123" s="70">
        <f>AVERAGE(B66:B118)</f>
        <v>215.97452830188681</v>
      </c>
      <c r="C123" s="70">
        <f>_xlfn.STDEV.P(B66:B118)</f>
        <v>62.475268784400917</v>
      </c>
      <c r="D123" s="113">
        <f>C123/B123</f>
        <v>0.28927146768471546</v>
      </c>
    </row>
    <row r="124" spans="1:9" x14ac:dyDescent="0.3">
      <c r="A124" s="73" t="s">
        <v>124</v>
      </c>
      <c r="B124" s="70">
        <f>AVERAGE(D66:D118)</f>
        <v>405.16603773584916</v>
      </c>
      <c r="C124" s="70">
        <f>_xlfn.STDEV.P(D66:D118)</f>
        <v>63.188619089307359</v>
      </c>
      <c r="D124" s="113">
        <f t="shared" ref="D124:D126" si="4">C124/B124</f>
        <v>0.15595734391366639</v>
      </c>
    </row>
    <row r="125" spans="1:9" x14ac:dyDescent="0.3">
      <c r="A125" s="73" t="s">
        <v>215</v>
      </c>
      <c r="B125" s="71">
        <f>AVERAGE(H66:H118)</f>
        <v>282.04433962264153</v>
      </c>
      <c r="C125" s="70">
        <f>_xlfn.STDEV.P(H66:H118)</f>
        <v>36.58540880968004</v>
      </c>
      <c r="D125" s="113">
        <f t="shared" si="4"/>
        <v>0.12971509677743978</v>
      </c>
    </row>
    <row r="126" spans="1:9" x14ac:dyDescent="0.3">
      <c r="A126" s="73" t="s">
        <v>208</v>
      </c>
      <c r="B126" s="70">
        <f>AVERAGE(F66:F118)</f>
        <v>21361.612264150939</v>
      </c>
      <c r="C126" s="70">
        <f>_xlfn.STDEV.P(F66:F118)</f>
        <v>1601.9224006570821</v>
      </c>
      <c r="D126" s="113">
        <f t="shared" si="4"/>
        <v>7.4990706733565643E-2</v>
      </c>
    </row>
  </sheetData>
  <mergeCells count="17">
    <mergeCell ref="A3:F4"/>
    <mergeCell ref="I3:N4"/>
    <mergeCell ref="Q3:V4"/>
    <mergeCell ref="A20:G20"/>
    <mergeCell ref="H20:O20"/>
    <mergeCell ref="P20:W20"/>
    <mergeCell ref="G49:P50"/>
    <mergeCell ref="I51:N52"/>
    <mergeCell ref="I53:N54"/>
    <mergeCell ref="I55:N56"/>
    <mergeCell ref="I57:N58"/>
    <mergeCell ref="H64:I64"/>
    <mergeCell ref="A61:I62"/>
    <mergeCell ref="A64:A65"/>
    <mergeCell ref="B64:C64"/>
    <mergeCell ref="D64:E64"/>
    <mergeCell ref="F64:G64"/>
  </mergeCells>
  <conditionalFormatting sqref="I66:I118">
    <cfRule type="cellIs" dxfId="3" priority="1" operator="lessThan">
      <formula>0</formula>
    </cfRule>
    <cfRule type="cellIs" dxfId="2" priority="2" operator="greaterThan">
      <formula>0</formula>
    </cfRule>
  </conditionalFormatting>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9C4B4-ABD5-4191-98F9-3DBD9050619F}">
  <dimension ref="A3:V116"/>
  <sheetViews>
    <sheetView zoomScale="47" zoomScaleNormal="68" workbookViewId="0">
      <selection sqref="A1:AD1048576"/>
    </sheetView>
  </sheetViews>
  <sheetFormatPr defaultRowHeight="14.4" x14ac:dyDescent="0.3"/>
  <cols>
    <col min="1" max="1" width="47.109375" customWidth="1"/>
    <col min="2" max="6" width="11.21875" bestFit="1" customWidth="1"/>
    <col min="7" max="7" width="8.88671875" style="1"/>
    <col min="8" max="8" width="19.44140625" customWidth="1"/>
    <col min="9" max="9" width="39.5546875" customWidth="1"/>
    <col min="10" max="14" width="11" bestFit="1" customWidth="1"/>
    <col min="15" max="15" width="8.88671875" style="1"/>
    <col min="17" max="17" width="42.44140625" customWidth="1"/>
    <col min="18" max="22" width="11.109375" bestFit="1" customWidth="1"/>
  </cols>
  <sheetData>
    <row r="3" spans="1:22" x14ac:dyDescent="0.3">
      <c r="A3" s="255" t="s">
        <v>66</v>
      </c>
      <c r="B3" s="255"/>
      <c r="C3" s="255"/>
      <c r="D3" s="255"/>
      <c r="E3" s="255"/>
      <c r="F3" s="255"/>
      <c r="I3" s="255" t="s">
        <v>67</v>
      </c>
      <c r="J3" s="255"/>
      <c r="K3" s="255"/>
      <c r="L3" s="255"/>
      <c r="M3" s="255"/>
      <c r="N3" s="255"/>
      <c r="Q3" s="255" t="s">
        <v>68</v>
      </c>
      <c r="R3" s="255"/>
      <c r="S3" s="255"/>
      <c r="T3" s="255"/>
      <c r="U3" s="255"/>
      <c r="V3" s="255"/>
    </row>
    <row r="4" spans="1:22" x14ac:dyDescent="0.3">
      <c r="A4" s="255"/>
      <c r="B4" s="255"/>
      <c r="C4" s="255"/>
      <c r="D4" s="255"/>
      <c r="E4" s="255"/>
      <c r="F4" s="255"/>
      <c r="I4" s="255"/>
      <c r="J4" s="255"/>
      <c r="K4" s="255"/>
      <c r="L4" s="255"/>
      <c r="M4" s="255"/>
      <c r="N4" s="255"/>
      <c r="Q4" s="255"/>
      <c r="R4" s="255"/>
      <c r="S4" s="255"/>
      <c r="T4" s="255"/>
      <c r="U4" s="255"/>
      <c r="V4" s="255"/>
    </row>
    <row r="6" spans="1:22" x14ac:dyDescent="0.3">
      <c r="A6" s="8" t="s">
        <v>112</v>
      </c>
      <c r="B6" s="8">
        <v>2024</v>
      </c>
      <c r="C6" s="8">
        <v>2023</v>
      </c>
      <c r="D6" s="8">
        <v>2022</v>
      </c>
      <c r="E6" s="8">
        <v>2021</v>
      </c>
      <c r="F6" s="8">
        <v>2020</v>
      </c>
      <c r="I6" s="8" t="s">
        <v>112</v>
      </c>
      <c r="J6" s="8">
        <v>2024</v>
      </c>
      <c r="K6" s="8">
        <v>2023</v>
      </c>
      <c r="L6" s="8">
        <v>2022</v>
      </c>
      <c r="M6" s="8">
        <v>2021</v>
      </c>
      <c r="N6" s="8">
        <v>2020</v>
      </c>
      <c r="Q6" s="8" t="s">
        <v>112</v>
      </c>
      <c r="R6" s="8">
        <v>2024</v>
      </c>
      <c r="S6" s="8">
        <v>2023</v>
      </c>
      <c r="T6" s="8">
        <v>2022</v>
      </c>
      <c r="U6" s="8">
        <v>2021</v>
      </c>
      <c r="V6" s="8">
        <v>2020</v>
      </c>
    </row>
    <row r="7" spans="1:22" x14ac:dyDescent="0.3">
      <c r="A7" s="6" t="s">
        <v>23</v>
      </c>
      <c r="B7" s="9">
        <v>20844.96</v>
      </c>
      <c r="C7" s="9">
        <v>15553.41</v>
      </c>
      <c r="D7" s="9">
        <v>11137.96</v>
      </c>
      <c r="E7" s="9">
        <v>7949.42</v>
      </c>
      <c r="F7" s="9">
        <v>8901.07</v>
      </c>
      <c r="I7" s="6" t="s">
        <v>23</v>
      </c>
      <c r="J7" s="9">
        <v>8649.8700000000008</v>
      </c>
      <c r="K7" s="9">
        <v>7956.08</v>
      </c>
      <c r="L7" s="9">
        <v>7208.04</v>
      </c>
      <c r="M7" s="9">
        <v>5787.57</v>
      </c>
      <c r="N7" s="9">
        <v>5602.57</v>
      </c>
      <c r="Q7" s="6" t="s">
        <v>23</v>
      </c>
      <c r="R7" s="9">
        <v>4429.49</v>
      </c>
      <c r="S7" s="9">
        <v>4062.36</v>
      </c>
      <c r="T7" s="9">
        <v>3605.82</v>
      </c>
      <c r="U7" s="9">
        <v>2903.63</v>
      </c>
      <c r="V7" s="9">
        <v>2451.6799999999998</v>
      </c>
    </row>
    <row r="8" spans="1:22" x14ac:dyDescent="0.3">
      <c r="A8" s="7" t="s">
        <v>24</v>
      </c>
      <c r="B8" s="10">
        <v>20844.96</v>
      </c>
      <c r="C8" s="10">
        <v>15553.41</v>
      </c>
      <c r="D8" s="10">
        <v>11137.96</v>
      </c>
      <c r="E8" s="10">
        <v>7949.42</v>
      </c>
      <c r="F8" s="10">
        <v>8901.07</v>
      </c>
      <c r="I8" s="7" t="s">
        <v>24</v>
      </c>
      <c r="J8" s="10">
        <v>8649.8700000000008</v>
      </c>
      <c r="K8" s="10">
        <v>7956.08</v>
      </c>
      <c r="L8" s="10">
        <v>7208.04</v>
      </c>
      <c r="M8" s="10">
        <v>5787.57</v>
      </c>
      <c r="N8" s="10">
        <v>5602.57</v>
      </c>
      <c r="Q8" s="7" t="s">
        <v>24</v>
      </c>
      <c r="R8" s="10">
        <v>4429.49</v>
      </c>
      <c r="S8" s="10">
        <v>4062.36</v>
      </c>
      <c r="T8" s="10">
        <v>3605.82</v>
      </c>
      <c r="U8" s="10">
        <v>2903.63</v>
      </c>
      <c r="V8" s="10">
        <v>2451.6799999999998</v>
      </c>
    </row>
    <row r="9" spans="1:22" x14ac:dyDescent="0.3">
      <c r="A9" s="6" t="s">
        <v>25</v>
      </c>
      <c r="B9" s="9">
        <v>-10982.85</v>
      </c>
      <c r="C9" s="11">
        <v>-331.79</v>
      </c>
      <c r="D9" s="11">
        <v>-257</v>
      </c>
      <c r="E9" s="9">
        <v>-4174.38</v>
      </c>
      <c r="F9" s="9">
        <v>-4267.54</v>
      </c>
      <c r="I9" s="6" t="s">
        <v>25</v>
      </c>
      <c r="J9" s="11">
        <v>-656.79</v>
      </c>
      <c r="K9" s="9">
        <v>-2469.23</v>
      </c>
      <c r="L9" s="9">
        <v>-1974.75</v>
      </c>
      <c r="M9" s="9">
        <v>-1722.63</v>
      </c>
      <c r="N9" s="9">
        <v>-1736.48</v>
      </c>
      <c r="Q9" s="6" t="s">
        <v>25</v>
      </c>
      <c r="R9" s="9">
        <v>-1547.39</v>
      </c>
      <c r="S9" s="11">
        <v>-104.85</v>
      </c>
      <c r="T9" s="11">
        <v>-209.96</v>
      </c>
      <c r="U9" s="11">
        <v>-76.05</v>
      </c>
      <c r="V9" s="11">
        <v>-59.95</v>
      </c>
    </row>
    <row r="10" spans="1:22" x14ac:dyDescent="0.3">
      <c r="A10" s="7" t="s">
        <v>43</v>
      </c>
      <c r="B10" s="12">
        <v>23.54</v>
      </c>
      <c r="C10" s="12">
        <v>-69.349999999999994</v>
      </c>
      <c r="D10" s="12">
        <v>-105.49</v>
      </c>
      <c r="E10" s="12">
        <v>-48.9</v>
      </c>
      <c r="F10" s="12">
        <v>-30.42</v>
      </c>
      <c r="I10" s="7" t="s">
        <v>26</v>
      </c>
      <c r="J10" s="10">
        <v>-5599.26</v>
      </c>
      <c r="K10" s="10">
        <v>-3347.01</v>
      </c>
      <c r="L10" s="10">
        <v>-3192.75</v>
      </c>
      <c r="M10" s="10">
        <v>-2247.89</v>
      </c>
      <c r="N10" s="10">
        <v>-2161.0500000000002</v>
      </c>
      <c r="Q10" s="7" t="s">
        <v>26</v>
      </c>
      <c r="R10" s="10">
        <v>-1660.15</v>
      </c>
      <c r="S10" s="10">
        <v>-1494.74</v>
      </c>
      <c r="T10" s="10">
        <v>-1180.72</v>
      </c>
      <c r="U10" s="12">
        <v>-926.45</v>
      </c>
      <c r="V10" s="12">
        <v>-753.28</v>
      </c>
    </row>
    <row r="11" spans="1:22" x14ac:dyDescent="0.3">
      <c r="A11" s="6" t="s">
        <v>26</v>
      </c>
      <c r="B11" s="9">
        <v>-7449.54</v>
      </c>
      <c r="C11" s="9">
        <v>-4855.1099999999997</v>
      </c>
      <c r="D11" s="9">
        <v>-3484.62</v>
      </c>
      <c r="E11" s="9">
        <v>-2426.56</v>
      </c>
      <c r="F11" s="9">
        <v>-3032.17</v>
      </c>
      <c r="I11" s="6" t="s">
        <v>27</v>
      </c>
      <c r="J11" s="11">
        <v>-389.29</v>
      </c>
      <c r="K11" s="11">
        <v>-374.72</v>
      </c>
      <c r="L11" s="11">
        <v>-378.66</v>
      </c>
      <c r="M11" s="11">
        <v>-307.27999999999997</v>
      </c>
      <c r="N11" s="11">
        <v>-293.24</v>
      </c>
      <c r="Q11" s="6" t="s">
        <v>27</v>
      </c>
      <c r="R11" s="11">
        <v>-174.19</v>
      </c>
      <c r="S11" s="11">
        <v>-174.21</v>
      </c>
      <c r="T11" s="11">
        <v>-146.05000000000001</v>
      </c>
      <c r="U11" s="11">
        <v>-133.13</v>
      </c>
      <c r="V11" s="11">
        <v>-126.92</v>
      </c>
    </row>
    <row r="12" spans="1:22" x14ac:dyDescent="0.3">
      <c r="A12" s="7" t="s">
        <v>27</v>
      </c>
      <c r="B12" s="12">
        <v>-667.23</v>
      </c>
      <c r="C12" s="12">
        <v>-545.69000000000005</v>
      </c>
      <c r="D12" s="12">
        <v>-452.66</v>
      </c>
      <c r="E12" s="12">
        <v>-380.5</v>
      </c>
      <c r="F12" s="12">
        <v>-483.69</v>
      </c>
      <c r="I12" s="7" t="s">
        <v>28</v>
      </c>
      <c r="J12" s="12">
        <v>-389.29</v>
      </c>
      <c r="K12" s="12">
        <v>-374.72</v>
      </c>
      <c r="L12" s="12">
        <v>-378.66</v>
      </c>
      <c r="M12" s="12">
        <v>-307.27999999999997</v>
      </c>
      <c r="N12" s="12">
        <v>-293.24</v>
      </c>
      <c r="Q12" s="7" t="s">
        <v>28</v>
      </c>
      <c r="R12" s="12">
        <v>-174.19</v>
      </c>
      <c r="S12" s="12">
        <v>-174.21</v>
      </c>
      <c r="T12" s="12">
        <v>-146.05000000000001</v>
      </c>
      <c r="U12" s="12">
        <v>-133.13</v>
      </c>
      <c r="V12" s="12">
        <v>-126.92</v>
      </c>
    </row>
    <row r="13" spans="1:22" x14ac:dyDescent="0.3">
      <c r="A13" s="6" t="s">
        <v>28</v>
      </c>
      <c r="B13" s="11">
        <v>-667.23</v>
      </c>
      <c r="C13" s="11">
        <v>-545.69000000000005</v>
      </c>
      <c r="D13" s="11">
        <v>-452.66</v>
      </c>
      <c r="E13" s="11">
        <v>-380.5</v>
      </c>
      <c r="F13" s="11">
        <v>-483.69</v>
      </c>
      <c r="I13" s="6" t="s">
        <v>44</v>
      </c>
      <c r="J13" s="11">
        <v>0</v>
      </c>
      <c r="K13" s="11">
        <v>-165.08</v>
      </c>
      <c r="L13" s="11">
        <v>-127.41</v>
      </c>
      <c r="M13" s="11">
        <v>-91.9</v>
      </c>
      <c r="N13" s="11">
        <v>-84.63</v>
      </c>
      <c r="Q13" s="6" t="s">
        <v>29</v>
      </c>
      <c r="R13" s="11">
        <v>-156.83000000000001</v>
      </c>
      <c r="S13" s="11">
        <v>-180.7</v>
      </c>
      <c r="T13" s="11">
        <v>-164.92</v>
      </c>
      <c r="U13" s="11">
        <v>-189.9</v>
      </c>
      <c r="V13" s="11">
        <v>-254.13</v>
      </c>
    </row>
    <row r="14" spans="1:22" x14ac:dyDescent="0.3">
      <c r="A14" s="7" t="s">
        <v>29</v>
      </c>
      <c r="B14" s="12">
        <v>-211.92</v>
      </c>
      <c r="C14" s="12">
        <v>-202.61</v>
      </c>
      <c r="D14" s="12">
        <v>-186.74</v>
      </c>
      <c r="E14" s="12">
        <v>-181.25</v>
      </c>
      <c r="F14" s="12">
        <v>-199.22</v>
      </c>
      <c r="I14" s="7" t="s">
        <v>29</v>
      </c>
      <c r="J14" s="12">
        <v>-176.81</v>
      </c>
      <c r="K14" s="12">
        <v>-253.31</v>
      </c>
      <c r="L14" s="12">
        <v>-390.19</v>
      </c>
      <c r="M14" s="12">
        <v>-363.25</v>
      </c>
      <c r="N14" s="12">
        <v>-350.73</v>
      </c>
      <c r="Q14" s="7" t="s">
        <v>30</v>
      </c>
      <c r="R14" s="12">
        <v>0</v>
      </c>
      <c r="S14" s="10">
        <v>-1371.25</v>
      </c>
      <c r="T14" s="10">
        <v>-1270.44</v>
      </c>
      <c r="U14" s="10">
        <v>-1068.56</v>
      </c>
      <c r="V14" s="12">
        <v>-889.1</v>
      </c>
    </row>
    <row r="15" spans="1:22" x14ac:dyDescent="0.3">
      <c r="A15" s="6" t="s">
        <v>30</v>
      </c>
      <c r="B15" s="11">
        <v>0</v>
      </c>
      <c r="C15" s="9">
        <v>-8292.48</v>
      </c>
      <c r="D15" s="9">
        <v>-5814.39</v>
      </c>
      <c r="E15" s="11">
        <v>0</v>
      </c>
      <c r="F15" s="11">
        <v>0</v>
      </c>
      <c r="I15" s="6" t="s">
        <v>32</v>
      </c>
      <c r="J15" s="9">
        <v>2004.53</v>
      </c>
      <c r="K15" s="9">
        <v>1600.04</v>
      </c>
      <c r="L15" s="9">
        <v>1534.47</v>
      </c>
      <c r="M15" s="9">
        <v>1417.87</v>
      </c>
      <c r="N15" s="9">
        <v>1327.17</v>
      </c>
      <c r="Q15" s="6" t="s">
        <v>31</v>
      </c>
      <c r="R15" s="11">
        <v>0</v>
      </c>
      <c r="S15" s="9">
        <v>-1371.25</v>
      </c>
      <c r="T15" s="9">
        <v>-1270.44</v>
      </c>
      <c r="U15" s="9">
        <v>-1068.56</v>
      </c>
      <c r="V15" s="11">
        <v>-889.1</v>
      </c>
    </row>
    <row r="16" spans="1:22" x14ac:dyDescent="0.3">
      <c r="A16" s="7" t="s">
        <v>31</v>
      </c>
      <c r="B16" s="12">
        <v>0</v>
      </c>
      <c r="C16" s="10">
        <v>-8292.48</v>
      </c>
      <c r="D16" s="10">
        <v>-5814.39</v>
      </c>
      <c r="E16" s="12">
        <v>0</v>
      </c>
      <c r="F16" s="12">
        <v>0</v>
      </c>
      <c r="I16" s="7" t="s">
        <v>33</v>
      </c>
      <c r="J16" s="10">
        <v>2181.34</v>
      </c>
      <c r="K16" s="10">
        <v>1853.35</v>
      </c>
      <c r="L16" s="10">
        <v>1924.66</v>
      </c>
      <c r="M16" s="10">
        <v>1781.12</v>
      </c>
      <c r="N16" s="10">
        <v>1677.9</v>
      </c>
      <c r="Q16" s="7" t="s">
        <v>32</v>
      </c>
      <c r="R16" s="10">
        <v>1047.76</v>
      </c>
      <c r="S16" s="12">
        <v>917.31</v>
      </c>
      <c r="T16" s="12">
        <v>798.65</v>
      </c>
      <c r="U16" s="12">
        <v>699.44</v>
      </c>
      <c r="V16" s="12">
        <v>622.42999999999995</v>
      </c>
    </row>
    <row r="17" spans="1:22" x14ac:dyDescent="0.3">
      <c r="A17" s="6" t="s">
        <v>32</v>
      </c>
      <c r="B17" s="9">
        <v>1768.88</v>
      </c>
      <c r="C17" s="9">
        <v>1458.99</v>
      </c>
      <c r="D17" s="9">
        <v>1023.8</v>
      </c>
      <c r="E17" s="11">
        <v>919.08</v>
      </c>
      <c r="F17" s="9">
        <v>1087.25</v>
      </c>
      <c r="I17" s="6" t="s">
        <v>34</v>
      </c>
      <c r="J17" s="11">
        <v>-660.49</v>
      </c>
      <c r="K17" s="11">
        <v>-469.9</v>
      </c>
      <c r="L17" s="11">
        <v>-425.32</v>
      </c>
      <c r="M17" s="11">
        <v>-426.07</v>
      </c>
      <c r="N17" s="11">
        <v>-439.3</v>
      </c>
      <c r="Q17" s="6" t="s">
        <v>33</v>
      </c>
      <c r="R17" s="9">
        <v>1204.5899999999999</v>
      </c>
      <c r="S17" s="9">
        <v>1098.01</v>
      </c>
      <c r="T17" s="11">
        <v>963.57</v>
      </c>
      <c r="U17" s="11">
        <v>889.34</v>
      </c>
      <c r="V17" s="11">
        <v>876.56</v>
      </c>
    </row>
    <row r="18" spans="1:22" x14ac:dyDescent="0.3">
      <c r="A18" s="7" t="s">
        <v>33</v>
      </c>
      <c r="B18" s="10">
        <v>1980.8</v>
      </c>
      <c r="C18" s="10">
        <v>1661.6</v>
      </c>
      <c r="D18" s="10">
        <v>1210.54</v>
      </c>
      <c r="E18" s="10">
        <v>1100.33</v>
      </c>
      <c r="F18" s="10">
        <v>1286.47</v>
      </c>
      <c r="I18" s="7" t="s">
        <v>35</v>
      </c>
      <c r="J18" s="12">
        <v>-660.49</v>
      </c>
      <c r="K18" s="12">
        <v>-469.9</v>
      </c>
      <c r="L18" s="12">
        <v>-425.32</v>
      </c>
      <c r="M18" s="12">
        <v>-426.07</v>
      </c>
      <c r="N18" s="12">
        <v>-439.3</v>
      </c>
      <c r="Q18" s="7" t="s">
        <v>34</v>
      </c>
      <c r="R18" s="12">
        <v>-105.67</v>
      </c>
      <c r="S18" s="12">
        <v>-153.08000000000001</v>
      </c>
      <c r="T18" s="12">
        <v>-148.11000000000001</v>
      </c>
      <c r="U18" s="12">
        <v>-134.05000000000001</v>
      </c>
      <c r="V18" s="12">
        <v>-110.23</v>
      </c>
    </row>
    <row r="19" spans="1:22" x14ac:dyDescent="0.3">
      <c r="A19" s="6" t="s">
        <v>34</v>
      </c>
      <c r="B19" s="11">
        <v>-594.75</v>
      </c>
      <c r="C19" s="11">
        <v>-515.22</v>
      </c>
      <c r="D19" s="11">
        <v>-478.07</v>
      </c>
      <c r="E19" s="11">
        <v>-479.91</v>
      </c>
      <c r="F19" s="11">
        <v>-553.85</v>
      </c>
      <c r="I19" s="6" t="s">
        <v>36</v>
      </c>
      <c r="J19" s="11">
        <v>-660.49</v>
      </c>
      <c r="K19" s="11">
        <v>-469.9</v>
      </c>
      <c r="L19" s="11">
        <v>-425.32</v>
      </c>
      <c r="M19" s="11">
        <v>-426.07</v>
      </c>
      <c r="N19" s="11">
        <v>-439.3</v>
      </c>
      <c r="Q19" s="6" t="s">
        <v>35</v>
      </c>
      <c r="R19" s="11">
        <v>-105.67</v>
      </c>
      <c r="S19" s="11">
        <v>-153.08000000000001</v>
      </c>
      <c r="T19" s="11">
        <v>-148.11000000000001</v>
      </c>
      <c r="U19" s="11">
        <v>-134.05000000000001</v>
      </c>
      <c r="V19" s="11">
        <v>-110.23</v>
      </c>
    </row>
    <row r="20" spans="1:22" x14ac:dyDescent="0.3">
      <c r="A20" s="7" t="s">
        <v>35</v>
      </c>
      <c r="B20" s="12">
        <v>-594.75</v>
      </c>
      <c r="C20" s="12">
        <v>-515.22</v>
      </c>
      <c r="D20" s="12">
        <v>-478.07</v>
      </c>
      <c r="E20" s="12">
        <v>-479.91</v>
      </c>
      <c r="F20" s="12">
        <v>-553.85</v>
      </c>
      <c r="I20" s="7" t="s">
        <v>37</v>
      </c>
      <c r="J20" s="12">
        <v>81.510000000000005</v>
      </c>
      <c r="K20" s="12">
        <v>80.63</v>
      </c>
      <c r="L20" s="12">
        <v>88.99</v>
      </c>
      <c r="M20" s="12">
        <v>111.32</v>
      </c>
      <c r="N20" s="12">
        <v>175.63</v>
      </c>
      <c r="Q20" s="7" t="s">
        <v>36</v>
      </c>
      <c r="R20" s="12">
        <v>-105.67</v>
      </c>
      <c r="S20" s="12">
        <v>-153.08000000000001</v>
      </c>
      <c r="T20" s="12">
        <v>-148.11000000000001</v>
      </c>
      <c r="U20" s="12">
        <v>-134.05000000000001</v>
      </c>
      <c r="V20" s="12">
        <v>-110.23</v>
      </c>
    </row>
    <row r="21" spans="1:22" x14ac:dyDescent="0.3">
      <c r="A21" s="6" t="s">
        <v>36</v>
      </c>
      <c r="B21" s="11">
        <v>-594.75</v>
      </c>
      <c r="C21" s="11">
        <v>-515.22</v>
      </c>
      <c r="D21" s="11">
        <v>-478.07</v>
      </c>
      <c r="E21" s="11">
        <v>-479.91</v>
      </c>
      <c r="F21" s="11">
        <v>-553.85</v>
      </c>
      <c r="I21" s="6" t="s">
        <v>38</v>
      </c>
      <c r="J21" s="9">
        <v>1248.74</v>
      </c>
      <c r="K21" s="11">
        <v>957.46</v>
      </c>
      <c r="L21" s="11">
        <v>807.94</v>
      </c>
      <c r="M21" s="11">
        <v>739.88</v>
      </c>
      <c r="N21" s="11">
        <v>712.78</v>
      </c>
      <c r="Q21" s="6" t="s">
        <v>37</v>
      </c>
      <c r="R21" s="11">
        <v>144.69</v>
      </c>
      <c r="S21" s="11">
        <v>36.68</v>
      </c>
      <c r="T21" s="11">
        <v>44.87</v>
      </c>
      <c r="U21" s="11">
        <v>51.62</v>
      </c>
      <c r="V21" s="11">
        <v>65.69</v>
      </c>
    </row>
    <row r="22" spans="1:22" x14ac:dyDescent="0.3">
      <c r="A22" s="7" t="s">
        <v>37</v>
      </c>
      <c r="B22" s="12">
        <v>125.95</v>
      </c>
      <c r="C22" s="12">
        <v>147.59</v>
      </c>
      <c r="D22" s="12">
        <v>70.72</v>
      </c>
      <c r="E22" s="12">
        <v>115.91</v>
      </c>
      <c r="F22" s="12">
        <v>112.98</v>
      </c>
      <c r="I22" s="7" t="s">
        <v>39</v>
      </c>
      <c r="J22" s="12">
        <v>-339.32</v>
      </c>
      <c r="K22" s="12">
        <v>-299.01</v>
      </c>
      <c r="L22" s="12">
        <v>-225.66</v>
      </c>
      <c r="M22" s="12">
        <v>-247.24</v>
      </c>
      <c r="N22" s="12">
        <v>-169.38</v>
      </c>
      <c r="Q22" s="7" t="s">
        <v>38</v>
      </c>
      <c r="R22" s="12">
        <v>929.94</v>
      </c>
      <c r="S22" s="12">
        <v>620.22</v>
      </c>
      <c r="T22" s="12">
        <v>530.5</v>
      </c>
      <c r="U22" s="12">
        <v>427.11</v>
      </c>
      <c r="V22" s="12">
        <v>323.77</v>
      </c>
    </row>
    <row r="23" spans="1:22" x14ac:dyDescent="0.3">
      <c r="A23" s="6" t="s">
        <v>38</v>
      </c>
      <c r="B23" s="9">
        <v>1088.1600000000001</v>
      </c>
      <c r="C23" s="11">
        <v>888.75</v>
      </c>
      <c r="D23" s="11">
        <v>429.71</v>
      </c>
      <c r="E23" s="11">
        <v>373.83</v>
      </c>
      <c r="F23" s="11">
        <v>447.16</v>
      </c>
      <c r="I23" s="6" t="s">
        <v>40</v>
      </c>
      <c r="J23" s="11">
        <v>909.42</v>
      </c>
      <c r="K23" s="11">
        <v>658.45</v>
      </c>
      <c r="L23" s="11">
        <v>582.28</v>
      </c>
      <c r="M23" s="11">
        <v>492.64</v>
      </c>
      <c r="N23" s="11">
        <v>543.4</v>
      </c>
      <c r="Q23" s="6" t="s">
        <v>39</v>
      </c>
      <c r="R23" s="11">
        <v>-196.16</v>
      </c>
      <c r="S23" s="11">
        <v>-241.84</v>
      </c>
      <c r="T23" s="11">
        <v>-196.99</v>
      </c>
      <c r="U23" s="11">
        <v>-136.96</v>
      </c>
      <c r="V23" s="11">
        <v>-68.53</v>
      </c>
    </row>
    <row r="24" spans="1:22" x14ac:dyDescent="0.3">
      <c r="A24" s="7" t="s">
        <v>39</v>
      </c>
      <c r="B24" s="12">
        <v>-320.5</v>
      </c>
      <c r="C24" s="12">
        <v>-238.64</v>
      </c>
      <c r="D24" s="12">
        <v>-140.65</v>
      </c>
      <c r="E24" s="12">
        <v>-79.48</v>
      </c>
      <c r="F24" s="12">
        <v>-72.8</v>
      </c>
      <c r="I24" s="7" t="s">
        <v>41</v>
      </c>
      <c r="J24" s="12">
        <v>0</v>
      </c>
      <c r="K24" s="12">
        <v>3.53</v>
      </c>
      <c r="L24" s="12">
        <v>-5.24</v>
      </c>
      <c r="M24" s="12">
        <v>-4.5</v>
      </c>
      <c r="N24" s="12">
        <v>-3.91</v>
      </c>
      <c r="Q24" s="7" t="s">
        <v>40</v>
      </c>
      <c r="R24" s="12">
        <v>733.78</v>
      </c>
      <c r="S24" s="12">
        <v>378.38</v>
      </c>
      <c r="T24" s="12">
        <v>333.51</v>
      </c>
      <c r="U24" s="12">
        <v>290.14999999999998</v>
      </c>
      <c r="V24" s="12">
        <v>255.24</v>
      </c>
    </row>
    <row r="25" spans="1:22" x14ac:dyDescent="0.3">
      <c r="A25" s="6" t="s">
        <v>40</v>
      </c>
      <c r="B25" s="11">
        <v>767.66</v>
      </c>
      <c r="C25" s="11">
        <v>650.11</v>
      </c>
      <c r="D25" s="11">
        <v>289.06</v>
      </c>
      <c r="E25" s="11">
        <v>294.35000000000002</v>
      </c>
      <c r="F25" s="11">
        <v>374.36</v>
      </c>
      <c r="I25" s="6" t="s">
        <v>42</v>
      </c>
      <c r="J25" s="11">
        <v>909.42</v>
      </c>
      <c r="K25" s="11">
        <v>658.45</v>
      </c>
      <c r="L25" s="11">
        <v>580.17999999999995</v>
      </c>
      <c r="M25" s="11">
        <v>497.38</v>
      </c>
      <c r="N25" s="11">
        <v>549.88</v>
      </c>
      <c r="Q25" s="6" t="s">
        <v>41</v>
      </c>
      <c r="R25" s="11">
        <v>6.58</v>
      </c>
      <c r="S25" s="11">
        <v>62.65</v>
      </c>
      <c r="T25" s="11">
        <v>9.91</v>
      </c>
      <c r="U25" s="11">
        <v>77.819999999999993</v>
      </c>
      <c r="V25" s="11">
        <v>-22.14</v>
      </c>
    </row>
    <row r="26" spans="1:22" x14ac:dyDescent="0.3">
      <c r="A26" s="7" t="s">
        <v>41</v>
      </c>
      <c r="B26" s="12">
        <v>-67.53</v>
      </c>
      <c r="C26" s="12">
        <v>-24.84</v>
      </c>
      <c r="D26" s="12">
        <v>202.17</v>
      </c>
      <c r="E26" s="12">
        <v>-13.89</v>
      </c>
      <c r="F26" s="12">
        <v>-16.59</v>
      </c>
      <c r="Q26" s="7" t="s">
        <v>42</v>
      </c>
      <c r="R26" s="12">
        <v>777.4</v>
      </c>
      <c r="S26" s="12">
        <v>458.01</v>
      </c>
      <c r="T26" s="12">
        <v>381.84</v>
      </c>
      <c r="U26" s="12">
        <v>407.38</v>
      </c>
      <c r="V26" s="12">
        <v>265.51</v>
      </c>
    </row>
    <row r="27" spans="1:22" x14ac:dyDescent="0.3">
      <c r="A27" s="6" t="s">
        <v>42</v>
      </c>
      <c r="B27" s="11">
        <v>710.69</v>
      </c>
      <c r="C27" s="11">
        <v>609.20000000000005</v>
      </c>
      <c r="D27" s="11">
        <v>482.41</v>
      </c>
      <c r="E27" s="11">
        <v>283.04000000000002</v>
      </c>
      <c r="F27" s="11">
        <v>336.53</v>
      </c>
    </row>
    <row r="30" spans="1:22" x14ac:dyDescent="0.3">
      <c r="A30" s="259" t="s">
        <v>62</v>
      </c>
      <c r="B30" s="259"/>
      <c r="C30" s="259"/>
      <c r="D30" s="259"/>
      <c r="E30" s="259"/>
      <c r="F30" s="259"/>
      <c r="I30" s="259" t="s">
        <v>62</v>
      </c>
      <c r="J30" s="259"/>
      <c r="K30" s="259"/>
      <c r="L30" s="259"/>
      <c r="M30" s="259"/>
      <c r="N30" s="259"/>
      <c r="Q30" s="259" t="s">
        <v>62</v>
      </c>
      <c r="R30" s="259"/>
      <c r="S30" s="259"/>
      <c r="T30" s="259"/>
      <c r="U30" s="259"/>
      <c r="V30" s="259"/>
    </row>
    <row r="31" spans="1:22" x14ac:dyDescent="0.3">
      <c r="A31" s="259"/>
      <c r="B31" s="259"/>
      <c r="C31" s="259"/>
      <c r="D31" s="259"/>
      <c r="E31" s="259"/>
      <c r="F31" s="259"/>
      <c r="I31" s="259"/>
      <c r="J31" s="259"/>
      <c r="K31" s="259"/>
      <c r="L31" s="259"/>
      <c r="M31" s="259"/>
      <c r="N31" s="259"/>
      <c r="Q31" s="259"/>
      <c r="R31" s="259"/>
      <c r="S31" s="259"/>
      <c r="T31" s="259"/>
      <c r="U31" s="259"/>
      <c r="V31" s="259"/>
    </row>
    <row r="33" spans="1:22" x14ac:dyDescent="0.3">
      <c r="A33" s="13" t="s">
        <v>50</v>
      </c>
      <c r="B33" t="s">
        <v>56</v>
      </c>
      <c r="C33" t="s">
        <v>55</v>
      </c>
      <c r="D33" t="s">
        <v>54</v>
      </c>
      <c r="E33" t="s">
        <v>53</v>
      </c>
      <c r="F33" t="s">
        <v>52</v>
      </c>
      <c r="I33" s="13" t="s">
        <v>50</v>
      </c>
      <c r="J33" t="s">
        <v>49</v>
      </c>
      <c r="K33" t="s">
        <v>48</v>
      </c>
      <c r="L33" t="s">
        <v>47</v>
      </c>
      <c r="M33" t="s">
        <v>46</v>
      </c>
      <c r="N33" t="s">
        <v>45</v>
      </c>
      <c r="Q33" s="13" t="s">
        <v>50</v>
      </c>
      <c r="R33" t="s">
        <v>49</v>
      </c>
      <c r="S33" t="s">
        <v>48</v>
      </c>
      <c r="T33" t="s">
        <v>47</v>
      </c>
      <c r="U33" t="s">
        <v>46</v>
      </c>
      <c r="V33" t="s">
        <v>45</v>
      </c>
    </row>
    <row r="34" spans="1:22" x14ac:dyDescent="0.3">
      <c r="A34" s="14" t="s">
        <v>23</v>
      </c>
      <c r="B34">
        <v>8901.07</v>
      </c>
      <c r="C34">
        <v>7949.42</v>
      </c>
      <c r="D34">
        <v>11137.96</v>
      </c>
      <c r="E34">
        <v>15553.41</v>
      </c>
      <c r="F34">
        <v>20844.96</v>
      </c>
      <c r="I34" s="14" t="s">
        <v>23</v>
      </c>
      <c r="J34">
        <v>5602.57</v>
      </c>
      <c r="K34">
        <v>5787.57</v>
      </c>
      <c r="L34">
        <v>7208.04</v>
      </c>
      <c r="M34">
        <v>7956.08</v>
      </c>
      <c r="N34">
        <v>8649.8700000000008</v>
      </c>
      <c r="Q34" s="14" t="s">
        <v>23</v>
      </c>
      <c r="R34">
        <v>2451.6799999999998</v>
      </c>
      <c r="S34">
        <v>2903.63</v>
      </c>
      <c r="T34">
        <v>3605.82</v>
      </c>
      <c r="U34">
        <v>4062.36</v>
      </c>
      <c r="V34">
        <v>4429.49</v>
      </c>
    </row>
    <row r="35" spans="1:22" x14ac:dyDescent="0.3">
      <c r="A35" s="14" t="s">
        <v>51</v>
      </c>
      <c r="B35">
        <v>8901.07</v>
      </c>
      <c r="C35">
        <v>7949.42</v>
      </c>
      <c r="D35">
        <v>11137.96</v>
      </c>
      <c r="E35">
        <v>15553.41</v>
      </c>
      <c r="F35">
        <v>20844.96</v>
      </c>
      <c r="I35" s="14" t="s">
        <v>51</v>
      </c>
      <c r="J35">
        <v>5602.57</v>
      </c>
      <c r="K35">
        <v>5787.57</v>
      </c>
      <c r="L35">
        <v>7208.04</v>
      </c>
      <c r="M35">
        <v>7956.08</v>
      </c>
      <c r="N35">
        <v>8649.8700000000008</v>
      </c>
      <c r="Q35" s="14" t="s">
        <v>51</v>
      </c>
      <c r="R35">
        <v>2451.6799999999998</v>
      </c>
      <c r="S35">
        <v>2903.63</v>
      </c>
      <c r="T35">
        <v>3605.82</v>
      </c>
      <c r="U35">
        <v>4062.36</v>
      </c>
      <c r="V35">
        <v>4429.49</v>
      </c>
    </row>
    <row r="54" spans="1:22" ht="18" x14ac:dyDescent="0.35">
      <c r="A54" s="15" t="s">
        <v>58</v>
      </c>
      <c r="B54">
        <v>2021</v>
      </c>
      <c r="C54">
        <v>2022</v>
      </c>
      <c r="D54">
        <v>2023</v>
      </c>
      <c r="E54">
        <v>2024</v>
      </c>
      <c r="I54" s="15" t="s">
        <v>58</v>
      </c>
      <c r="J54">
        <v>2021</v>
      </c>
      <c r="K54">
        <v>2022</v>
      </c>
      <c r="L54">
        <v>2023</v>
      </c>
      <c r="M54">
        <v>2024</v>
      </c>
      <c r="Q54" t="s">
        <v>58</v>
      </c>
      <c r="R54">
        <v>2021</v>
      </c>
      <c r="S54">
        <v>2022</v>
      </c>
      <c r="T54">
        <v>2023</v>
      </c>
      <c r="U54">
        <v>2024</v>
      </c>
    </row>
    <row r="55" spans="1:22" ht="18" x14ac:dyDescent="0.35">
      <c r="A55" s="15" t="s">
        <v>57</v>
      </c>
      <c r="B55">
        <f>((GETPIVOTDATA(" 2021 revenue",$A$33,"Income Statement","Total operating revenue")/GETPIVOTDATA("2020 revenue",$A$33,"Income Statement","Total operating revenue"))*100)-100</f>
        <v>-10.691411257298284</v>
      </c>
      <c r="C55">
        <f>(((GETPIVOTDATA("2022 revenue",$A$33)/GETPIVOTDATA(" 2021 revenue",$A$33))*100)-100)</f>
        <v>40.110347673163574</v>
      </c>
      <c r="D55">
        <f>(((GETPIVOTDATA(" 2023 revenue",$A$33)/GETPIVOTDATA("2022 revenue",$A$33))*100)-100)</f>
        <v>39.643256036114337</v>
      </c>
      <c r="E55">
        <f>(((GETPIVOTDATA("2024 revenue",$A$33)/GETPIVOTDATA(" 2023 revenue",$A$33))*100)-100)</f>
        <v>34.021799721090105</v>
      </c>
      <c r="I55" s="15" t="s">
        <v>57</v>
      </c>
      <c r="J55" s="18">
        <f>((GETPIVOTDATA("Sum of 2021",$I$33)/GETPIVOTDATA("Sum of 2020",$I$33))-1)</f>
        <v>3.3020560207190686E-2</v>
      </c>
      <c r="K55" s="18">
        <f>((GETPIVOTDATA("Sum of 2022",$I$33)/GETPIVOTDATA("Sum of 2021",$I$33))-1)</f>
        <v>0.2454346124539315</v>
      </c>
      <c r="L55" s="18">
        <f>((GETPIVOTDATA("Sum of 2023",$I$33)/GETPIVOTDATA("Sum of 2022",$I$33))-1)</f>
        <v>0.10377855838757832</v>
      </c>
      <c r="M55" s="18">
        <f>((GETPIVOTDATA("Sum of 2024",$I$33)/GETPIVOTDATA("Sum of 2023",$I$33))-1)</f>
        <v>8.7202491679319483E-2</v>
      </c>
      <c r="Q55" s="15" t="s">
        <v>57</v>
      </c>
      <c r="R55" s="18">
        <f>((GETPIVOTDATA("Sum of 2021",$Q$33,"Income Statement","Total operating revenue")/GETPIVOTDATA("Sum of 2020",$Q$33,"Income Statement","Total operating revenue"))-1)</f>
        <v>0.18434298113946368</v>
      </c>
      <c r="S55" s="18">
        <f>((GETPIVOTDATA("Sum of 2022",$Q$33,"Income Statement","Total operating revenue")/GETPIVOTDATA("Sum of 2021",$Q$33,"Income Statement","Total operating revenue"))-1)</f>
        <v>0.24183177608717354</v>
      </c>
      <c r="T55" s="18">
        <f>((GETPIVOTDATA("Sum of 2023",$Q$33,"Income Statement","Total operating revenue")/GETPIVOTDATA("Sum of 2022",$Q$33,"Income Statement","Total operating revenue"))-1)</f>
        <v>0.1266119773033596</v>
      </c>
      <c r="U55" s="18">
        <f>((GETPIVOTDATA("Sum of 2024",$Q$33,"Income Statement","Total operating revenue")/GETPIVOTDATA("Sum of 2023",$Q$33,"Income Statement","Total operating revenue"))-1)</f>
        <v>9.0373575950924989E-2</v>
      </c>
    </row>
    <row r="57" spans="1:22" s="16" customFormat="1" x14ac:dyDescent="0.3">
      <c r="G57" s="17"/>
      <c r="O57" s="17"/>
    </row>
    <row r="59" spans="1:22" x14ac:dyDescent="0.3">
      <c r="A59" s="260" t="s">
        <v>33</v>
      </c>
      <c r="B59" s="261"/>
      <c r="C59" s="261"/>
      <c r="D59" s="261"/>
      <c r="E59" s="261"/>
      <c r="F59" s="261"/>
      <c r="I59" s="260" t="s">
        <v>33</v>
      </c>
      <c r="J59" s="261"/>
      <c r="K59" s="261"/>
      <c r="L59" s="261"/>
      <c r="M59" s="261"/>
      <c r="N59" s="261"/>
      <c r="Q59" s="260" t="s">
        <v>33</v>
      </c>
      <c r="R59" s="261"/>
      <c r="S59" s="261"/>
      <c r="T59" s="261"/>
      <c r="U59" s="261"/>
      <c r="V59" s="261"/>
    </row>
    <row r="60" spans="1:22" x14ac:dyDescent="0.3">
      <c r="A60" s="261"/>
      <c r="B60" s="261"/>
      <c r="C60" s="261"/>
      <c r="D60" s="261"/>
      <c r="E60" s="261"/>
      <c r="F60" s="261"/>
      <c r="I60" s="261"/>
      <c r="J60" s="261"/>
      <c r="K60" s="261"/>
      <c r="L60" s="261"/>
      <c r="M60" s="261"/>
      <c r="N60" s="261"/>
      <c r="Q60" s="261"/>
      <c r="R60" s="261"/>
      <c r="S60" s="261"/>
      <c r="T60" s="261"/>
      <c r="U60" s="261"/>
      <c r="V60" s="261"/>
    </row>
    <row r="62" spans="1:22" x14ac:dyDescent="0.3">
      <c r="A62" s="13" t="s">
        <v>50</v>
      </c>
      <c r="B62" t="s">
        <v>49</v>
      </c>
      <c r="C62" t="s">
        <v>48</v>
      </c>
      <c r="D62" t="s">
        <v>47</v>
      </c>
      <c r="E62" t="s">
        <v>46</v>
      </c>
      <c r="F62" t="s">
        <v>45</v>
      </c>
      <c r="I62" s="13" t="s">
        <v>50</v>
      </c>
      <c r="J62" t="s">
        <v>49</v>
      </c>
      <c r="K62" t="s">
        <v>48</v>
      </c>
      <c r="L62" t="s">
        <v>47</v>
      </c>
      <c r="M62" t="s">
        <v>46</v>
      </c>
      <c r="N62" t="s">
        <v>45</v>
      </c>
      <c r="Q62" s="13" t="s">
        <v>50</v>
      </c>
      <c r="R62" t="s">
        <v>49</v>
      </c>
      <c r="S62" t="s">
        <v>48</v>
      </c>
      <c r="T62" t="s">
        <v>47</v>
      </c>
      <c r="U62" t="s">
        <v>46</v>
      </c>
      <c r="V62" t="s">
        <v>45</v>
      </c>
    </row>
    <row r="63" spans="1:22" x14ac:dyDescent="0.3">
      <c r="A63" s="14" t="s">
        <v>33</v>
      </c>
      <c r="B63">
        <v>1286.47</v>
      </c>
      <c r="C63">
        <v>1100.33</v>
      </c>
      <c r="D63">
        <v>1210.54</v>
      </c>
      <c r="E63">
        <v>1661.6</v>
      </c>
      <c r="F63">
        <v>1980.8</v>
      </c>
      <c r="I63" s="14" t="s">
        <v>33</v>
      </c>
      <c r="J63">
        <v>1677.9</v>
      </c>
      <c r="K63">
        <v>1781.12</v>
      </c>
      <c r="L63">
        <v>1924.66</v>
      </c>
      <c r="M63">
        <v>1853.35</v>
      </c>
      <c r="N63">
        <v>2181.34</v>
      </c>
      <c r="Q63" s="14" t="s">
        <v>33</v>
      </c>
      <c r="R63">
        <v>876.56</v>
      </c>
      <c r="S63">
        <v>889.34</v>
      </c>
      <c r="T63">
        <v>963.57</v>
      </c>
      <c r="U63">
        <v>1098.01</v>
      </c>
      <c r="V63">
        <v>1204.5899999999999</v>
      </c>
    </row>
    <row r="64" spans="1:22" x14ac:dyDescent="0.3">
      <c r="A64" s="14" t="s">
        <v>51</v>
      </c>
      <c r="B64">
        <v>1286.47</v>
      </c>
      <c r="C64">
        <v>1100.33</v>
      </c>
      <c r="D64">
        <v>1210.54</v>
      </c>
      <c r="E64">
        <v>1661.6</v>
      </c>
      <c r="F64">
        <v>1980.8</v>
      </c>
      <c r="I64" s="14" t="s">
        <v>51</v>
      </c>
      <c r="J64">
        <v>1677.9</v>
      </c>
      <c r="K64">
        <v>1781.12</v>
      </c>
      <c r="L64">
        <v>1924.66</v>
      </c>
      <c r="M64">
        <v>1853.35</v>
      </c>
      <c r="N64">
        <v>2181.34</v>
      </c>
      <c r="Q64" s="14" t="s">
        <v>51</v>
      </c>
      <c r="R64">
        <v>876.56</v>
      </c>
      <c r="S64">
        <v>889.34</v>
      </c>
      <c r="T64">
        <v>963.57</v>
      </c>
      <c r="U64">
        <v>1098.01</v>
      </c>
      <c r="V64">
        <v>1204.5899999999999</v>
      </c>
    </row>
    <row r="84" spans="1:22" ht="18" x14ac:dyDescent="0.35">
      <c r="A84" s="258" t="s">
        <v>61</v>
      </c>
      <c r="B84" s="258"/>
      <c r="C84" s="258"/>
      <c r="D84" s="258"/>
      <c r="E84" s="258"/>
      <c r="I84" s="258" t="s">
        <v>61</v>
      </c>
      <c r="J84" s="258"/>
      <c r="K84" s="258"/>
      <c r="L84" s="258"/>
      <c r="M84" s="258"/>
      <c r="Q84" s="258" t="s">
        <v>61</v>
      </c>
      <c r="R84" s="258"/>
      <c r="S84" s="258"/>
      <c r="T84" s="258"/>
      <c r="U84" s="258"/>
    </row>
    <row r="85" spans="1:22" x14ac:dyDescent="0.3">
      <c r="A85" t="s">
        <v>59</v>
      </c>
      <c r="B85">
        <v>2021</v>
      </c>
      <c r="C85">
        <v>2022</v>
      </c>
      <c r="D85">
        <v>2023</v>
      </c>
      <c r="E85">
        <v>2024</v>
      </c>
      <c r="I85" t="s">
        <v>59</v>
      </c>
      <c r="J85">
        <v>2021</v>
      </c>
      <c r="K85">
        <v>2022</v>
      </c>
      <c r="L85">
        <v>2023</v>
      </c>
      <c r="M85">
        <v>2024</v>
      </c>
      <c r="Q85" t="s">
        <v>59</v>
      </c>
      <c r="R85">
        <v>2021</v>
      </c>
      <c r="S85">
        <v>2022</v>
      </c>
      <c r="T85">
        <v>2023</v>
      </c>
      <c r="U85">
        <v>2024</v>
      </c>
    </row>
    <row r="86" spans="1:22" x14ac:dyDescent="0.3">
      <c r="A86" t="s">
        <v>60</v>
      </c>
      <c r="B86" s="18">
        <f>((E18/F18)-1)</f>
        <v>-0.14469050968930497</v>
      </c>
      <c r="C86" s="18">
        <f>((D18/E18)-1)</f>
        <v>0.1001608608326594</v>
      </c>
      <c r="D86" s="18">
        <f>((C18/D18)-1)</f>
        <v>0.3726105704892031</v>
      </c>
      <c r="E86" s="18">
        <f>((B18/C18)-1)</f>
        <v>0.19210399614829088</v>
      </c>
      <c r="I86" t="s">
        <v>60</v>
      </c>
      <c r="J86" s="18">
        <f>((GETPIVOTDATA("Sum of 2021",$I$62)/GETPIVOTDATA("Sum of 2020",$I$62))-1)</f>
        <v>6.1517372906609413E-2</v>
      </c>
      <c r="K86" s="18">
        <f>((GETPIVOTDATA("Sum of 2022",$I$62)/GETPIVOTDATA("Sum of 2021",$I$62))-1)</f>
        <v>8.0589741286381633E-2</v>
      </c>
      <c r="L86" s="18">
        <f>((GETPIVOTDATA("Sum of 2023",$I$62)/GETPIVOTDATA("Sum of 2022",$I$62))-1)</f>
        <v>-3.7050699863872105E-2</v>
      </c>
      <c r="M86" s="18">
        <f>((GETPIVOTDATA("Sum of 2024",$I$62)/GETPIVOTDATA("Sum of 2023",$I$62))-1)</f>
        <v>0.17697143011303873</v>
      </c>
      <c r="Q86" t="s">
        <v>60</v>
      </c>
      <c r="R86" s="18">
        <f>((GETPIVOTDATA("Sum of 2021",$Q$62,"Income Statement","EBITDA")/GETPIVOTDATA("Sum of 2020",$Q$62,"Income Statement","EBITDA"))-1)</f>
        <v>1.4579720726476397E-2</v>
      </c>
      <c r="S86" s="18">
        <f>((GETPIVOTDATA("Sum of 2022",$Q$62,"Income Statement","EBITDA")/GETPIVOTDATA("Sum of 2021",$Q$62,"Income Statement","EBITDA"))-1)</f>
        <v>8.3466390806665736E-2</v>
      </c>
      <c r="T86" s="18">
        <f>((GETPIVOTDATA("Sum of 2023",$Q$62,"Income Statement","EBITDA")/GETPIVOTDATA("Sum of 2022",$Q$62,"Income Statement","EBITDA"))-1)</f>
        <v>0.13952281619394546</v>
      </c>
      <c r="U86" s="18">
        <f>((GETPIVOTDATA("Sum of 2024",$Q$62,"Income Statement","EBITDA")/GETPIVOTDATA("Sum of 2023",$Q$62,"Income Statement","EBITDA"))-1)</f>
        <v>9.7066511233959485E-2</v>
      </c>
    </row>
    <row r="89" spans="1:22" s="16" customFormat="1" x14ac:dyDescent="0.3">
      <c r="G89" s="17"/>
      <c r="O89" s="17"/>
    </row>
    <row r="92" spans="1:22" x14ac:dyDescent="0.3">
      <c r="A92" s="262" t="s">
        <v>63</v>
      </c>
      <c r="B92" s="262"/>
      <c r="C92" s="262"/>
      <c r="D92" s="262"/>
      <c r="E92" s="262"/>
      <c r="F92" s="262"/>
      <c r="I92" s="262" t="s">
        <v>63</v>
      </c>
      <c r="J92" s="262"/>
      <c r="K92" s="262"/>
      <c r="L92" s="262"/>
      <c r="M92" s="262"/>
      <c r="N92" s="262"/>
      <c r="Q92" s="262" t="s">
        <v>63</v>
      </c>
      <c r="R92" s="262"/>
      <c r="S92" s="262"/>
      <c r="T92" s="262"/>
      <c r="U92" s="262"/>
      <c r="V92" s="262"/>
    </row>
    <row r="93" spans="1:22" x14ac:dyDescent="0.3">
      <c r="A93" s="262"/>
      <c r="B93" s="262"/>
      <c r="C93" s="262"/>
      <c r="D93" s="262"/>
      <c r="E93" s="262"/>
      <c r="F93" s="262"/>
      <c r="I93" s="262"/>
      <c r="J93" s="262"/>
      <c r="K93" s="262"/>
      <c r="L93" s="262"/>
      <c r="M93" s="262"/>
      <c r="N93" s="262"/>
      <c r="Q93" s="262"/>
      <c r="R93" s="262"/>
      <c r="S93" s="262"/>
      <c r="T93" s="262"/>
      <c r="U93" s="262"/>
      <c r="V93" s="262"/>
    </row>
    <row r="94" spans="1:22" x14ac:dyDescent="0.3">
      <c r="A94" s="13" t="s">
        <v>50</v>
      </c>
      <c r="B94" t="s">
        <v>49</v>
      </c>
      <c r="C94" t="s">
        <v>48</v>
      </c>
      <c r="D94" t="s">
        <v>47</v>
      </c>
      <c r="E94" t="s">
        <v>46</v>
      </c>
      <c r="F94" t="s">
        <v>45</v>
      </c>
      <c r="I94" s="13" t="s">
        <v>50</v>
      </c>
      <c r="J94" t="s">
        <v>49</v>
      </c>
      <c r="K94" t="s">
        <v>48</v>
      </c>
      <c r="L94" t="s">
        <v>47</v>
      </c>
      <c r="M94" t="s">
        <v>46</v>
      </c>
      <c r="N94" t="s">
        <v>45</v>
      </c>
      <c r="Q94" s="13" t="s">
        <v>50</v>
      </c>
      <c r="R94" t="s">
        <v>49</v>
      </c>
      <c r="S94" t="s">
        <v>48</v>
      </c>
      <c r="T94" t="s">
        <v>47</v>
      </c>
      <c r="U94" t="s">
        <v>46</v>
      </c>
      <c r="V94" t="s">
        <v>45</v>
      </c>
    </row>
    <row r="95" spans="1:22" x14ac:dyDescent="0.3">
      <c r="A95" s="14" t="s">
        <v>42</v>
      </c>
      <c r="B95">
        <v>336.53</v>
      </c>
      <c r="C95">
        <v>283.04000000000002</v>
      </c>
      <c r="D95">
        <v>482.41</v>
      </c>
      <c r="E95">
        <v>609.20000000000005</v>
      </c>
      <c r="F95">
        <v>710.69</v>
      </c>
      <c r="I95" s="14" t="s">
        <v>42</v>
      </c>
      <c r="J95">
        <v>549.88</v>
      </c>
      <c r="K95">
        <v>497.38</v>
      </c>
      <c r="L95">
        <v>580.17999999999995</v>
      </c>
      <c r="M95">
        <v>658.45</v>
      </c>
      <c r="N95">
        <v>909.42</v>
      </c>
      <c r="Q95" s="14" t="s">
        <v>42</v>
      </c>
      <c r="R95">
        <v>265.51</v>
      </c>
      <c r="S95">
        <v>407.38</v>
      </c>
      <c r="T95">
        <v>381.84</v>
      </c>
      <c r="U95">
        <v>458.01</v>
      </c>
      <c r="V95">
        <v>777.4</v>
      </c>
    </row>
    <row r="96" spans="1:22" x14ac:dyDescent="0.3">
      <c r="A96" s="14" t="s">
        <v>51</v>
      </c>
      <c r="B96">
        <v>336.53</v>
      </c>
      <c r="C96">
        <v>283.04000000000002</v>
      </c>
      <c r="D96">
        <v>482.41</v>
      </c>
      <c r="E96">
        <v>609.20000000000005</v>
      </c>
      <c r="F96">
        <v>710.69</v>
      </c>
      <c r="I96" s="14" t="s">
        <v>51</v>
      </c>
      <c r="J96">
        <v>549.88</v>
      </c>
      <c r="K96">
        <v>497.38</v>
      </c>
      <c r="L96">
        <v>580.17999999999995</v>
      </c>
      <c r="M96">
        <v>658.45</v>
      </c>
      <c r="N96">
        <v>909.42</v>
      </c>
      <c r="Q96" s="14" t="s">
        <v>51</v>
      </c>
      <c r="R96">
        <v>265.51</v>
      </c>
      <c r="S96">
        <v>407.38</v>
      </c>
      <c r="T96">
        <v>381.84</v>
      </c>
      <c r="U96">
        <v>458.01</v>
      </c>
      <c r="V96">
        <v>777.4</v>
      </c>
    </row>
    <row r="114" spans="1:22" ht="21" x14ac:dyDescent="0.4">
      <c r="A114" s="262" t="s">
        <v>64</v>
      </c>
      <c r="B114" s="262"/>
      <c r="C114" s="262"/>
      <c r="D114" s="262"/>
      <c r="E114" s="262"/>
      <c r="F114" s="262"/>
      <c r="Q114" s="262" t="s">
        <v>64</v>
      </c>
      <c r="R114" s="262"/>
      <c r="S114" s="262"/>
      <c r="T114" s="262"/>
      <c r="U114" s="262"/>
      <c r="V114" s="262"/>
    </row>
    <row r="115" spans="1:22" x14ac:dyDescent="0.3">
      <c r="A115" t="s">
        <v>58</v>
      </c>
      <c r="B115">
        <v>2021</v>
      </c>
      <c r="C115">
        <v>2022</v>
      </c>
      <c r="D115">
        <v>2023</v>
      </c>
      <c r="E115">
        <v>2024</v>
      </c>
      <c r="I115" t="s">
        <v>58</v>
      </c>
      <c r="J115">
        <v>2021</v>
      </c>
      <c r="K115">
        <v>2022</v>
      </c>
      <c r="L115">
        <v>2023</v>
      </c>
      <c r="M115">
        <v>2024</v>
      </c>
      <c r="Q115" t="s">
        <v>58</v>
      </c>
      <c r="R115">
        <v>2021</v>
      </c>
      <c r="S115">
        <v>2022</v>
      </c>
      <c r="T115">
        <v>2023</v>
      </c>
      <c r="U115">
        <v>2024</v>
      </c>
    </row>
    <row r="116" spans="1:22" x14ac:dyDescent="0.3">
      <c r="A116" t="s">
        <v>65</v>
      </c>
      <c r="B116" s="18">
        <f>((GETPIVOTDATA("Sum of 2021",$A$94)/GETPIVOTDATA("Sum of 2020",$A$94))-1)</f>
        <v>-0.15894571063501017</v>
      </c>
      <c r="C116" s="18">
        <f>((GETPIVOTDATA("Sum of 2022",$A$94)/GETPIVOTDATA("Sum of 2021",$A$94))-1)</f>
        <v>0.70438807235726397</v>
      </c>
      <c r="D116" s="18">
        <f>((GETPIVOTDATA("Sum of 2023",$A$94)/GETPIVOTDATA("Sum of 2022",$A$94))-1)</f>
        <v>0.26282622665367628</v>
      </c>
      <c r="E116" s="18">
        <f>((GETPIVOTDATA("Sum of 2024",$A$94)/GETPIVOTDATA("Sum of 2023",$A$94))-1)</f>
        <v>0.16659553512803682</v>
      </c>
      <c r="I116" t="s">
        <v>65</v>
      </c>
      <c r="J116" s="18">
        <f>((GETPIVOTDATA("Sum of 2021",$I$94,"Income Statement","Net Profit (Loss) for the Period")/GETPIVOTDATA("Sum of 2020",$I$94,"Income Statement","Net Profit (Loss) for the Period"))-1)</f>
        <v>-9.5475376445769977E-2</v>
      </c>
      <c r="K116" s="18">
        <f>((GETPIVOTDATA("Sum of 2022",$I$94)/GETPIVOTDATA("Sum of 2021",$I$94))-1)</f>
        <v>0.16647231493023429</v>
      </c>
      <c r="L116" s="18">
        <f>((GETPIVOTDATA("Sum of 2023",$I$94)/GETPIVOTDATA("Sum of 2022",$I$94))-1)</f>
        <v>0.13490640835602763</v>
      </c>
      <c r="M116" s="18">
        <f>((GETPIVOTDATA("Sum of 2024",$I$94)/GETPIVOTDATA("Sum of 2023",$I$94))-1)</f>
        <v>0.38115270711519456</v>
      </c>
      <c r="Q116" t="s">
        <v>65</v>
      </c>
      <c r="R116" s="18">
        <f>((GETPIVOTDATA("Sum of 2021",$Q$94,"Income Statement","Net Profit (Loss) for the Period")/GETPIVOTDATA("Sum of 2020",$Q$94,"Income Statement","Net Profit (Loss) for the Period"))-1)</f>
        <v>0.53433015705623155</v>
      </c>
      <c r="S116" s="18">
        <f>((GETPIVOTDATA("Sum of 2022",$Q$94,"Income Statement","Net Profit (Loss) for the Period")/GETPIVOTDATA("Sum of 2021",$Q$94,"Income Statement","Net Profit (Loss) for the Period"))-1)</f>
        <v>-6.2693308458932728E-2</v>
      </c>
      <c r="T116" s="18">
        <f>((GETPIVOTDATA("Sum of 2023",$Q$94,"Income Statement","Net Profit (Loss) for the Period")/GETPIVOTDATA("Sum of 2022",$Q$94,"Income Statement","Net Profit (Loss) for the Period"))-1)</f>
        <v>0.1994814582023885</v>
      </c>
      <c r="U116" s="18">
        <f>((GETPIVOTDATA("Sum of 2024",$Q$94,"Income Statement","Net Profit (Loss) for the Period")/GETPIVOTDATA("Sum of 2023",$Q$94,"Income Statement","Net Profit (Loss) for the Period"))-1)</f>
        <v>0.69734285277614028</v>
      </c>
    </row>
  </sheetData>
  <mergeCells count="17">
    <mergeCell ref="A92:F93"/>
    <mergeCell ref="A114:F114"/>
    <mergeCell ref="I92:N93"/>
    <mergeCell ref="Q92:V93"/>
    <mergeCell ref="Q114:V114"/>
    <mergeCell ref="A3:F4"/>
    <mergeCell ref="I3:N4"/>
    <mergeCell ref="Q3:V4"/>
    <mergeCell ref="I30:N31"/>
    <mergeCell ref="I59:N60"/>
    <mergeCell ref="Q30:V31"/>
    <mergeCell ref="Q59:V60"/>
    <mergeCell ref="I84:M84"/>
    <mergeCell ref="Q84:U84"/>
    <mergeCell ref="A84:E84"/>
    <mergeCell ref="A30:F31"/>
    <mergeCell ref="A59:F60"/>
  </mergeCells>
  <conditionalFormatting sqref="B55:E55">
    <cfRule type="iconSet" priority="16">
      <iconSet iconSet="3Arrows">
        <cfvo type="percent" val="0"/>
        <cfvo type="percent" val="33"/>
        <cfvo type="percent" val="67"/>
      </iconSet>
    </cfRule>
  </conditionalFormatting>
  <conditionalFormatting sqref="B86:E86">
    <cfRule type="iconSet" priority="14">
      <iconSet iconSet="3Arrows">
        <cfvo type="percent" val="0"/>
        <cfvo type="percent" val="1"/>
        <cfvo type="percent" val="1"/>
      </iconSet>
    </cfRule>
  </conditionalFormatting>
  <conditionalFormatting sqref="B116:E116">
    <cfRule type="iconSet" priority="13">
      <iconSet iconSet="3Arrows">
        <cfvo type="percent" val="0"/>
        <cfvo type="percent" val="1"/>
        <cfvo type="percent" val="1"/>
      </iconSet>
    </cfRule>
  </conditionalFormatting>
  <conditionalFormatting sqref="J55:M55">
    <cfRule type="iconSet" priority="12">
      <iconSet iconSet="3Arrows">
        <cfvo type="percent" val="0"/>
        <cfvo type="percent" val="1"/>
        <cfvo type="percent" val="1"/>
      </iconSet>
    </cfRule>
  </conditionalFormatting>
  <conditionalFormatting sqref="J86:M86">
    <cfRule type="iconSet" priority="10">
      <iconSet iconSet="3Arrows">
        <cfvo type="percent" val="0"/>
        <cfvo type="percent" val="1"/>
        <cfvo type="percent" val="1"/>
      </iconSet>
    </cfRule>
    <cfRule type="iconSet" priority="11">
      <iconSet iconSet="3Arrows">
        <cfvo type="percent" val="0"/>
        <cfvo type="percent" val="33"/>
        <cfvo type="percent" val="67"/>
      </iconSet>
    </cfRule>
  </conditionalFormatting>
  <conditionalFormatting sqref="J116:M116">
    <cfRule type="iconSet" priority="8">
      <iconSet iconSet="3Arrows">
        <cfvo type="percent" val="0"/>
        <cfvo type="percent" val="1"/>
        <cfvo type="percent" val="1"/>
      </iconSet>
    </cfRule>
  </conditionalFormatting>
  <conditionalFormatting sqref="R86">
    <cfRule type="iconSet" priority="2">
      <iconSet iconSet="3Arrows">
        <cfvo type="percent" val="0"/>
        <cfvo type="percent" val="1"/>
        <cfvo type="percent" val="1"/>
      </iconSet>
    </cfRule>
  </conditionalFormatting>
  <conditionalFormatting sqref="R55:U55">
    <cfRule type="iconSet" priority="7">
      <iconSet iconSet="3Arrows">
        <cfvo type="percent" val="0"/>
        <cfvo type="percent" val="1"/>
        <cfvo type="percent" val="1"/>
      </iconSet>
    </cfRule>
  </conditionalFormatting>
  <conditionalFormatting sqref="R86:U86">
    <cfRule type="iconSet" priority="3">
      <iconSet iconSet="3Arrows">
        <cfvo type="percent" val="0"/>
        <cfvo type="percent" val="1"/>
        <cfvo type="percent" val="1"/>
      </iconSet>
    </cfRule>
    <cfRule type="iconSet" priority="4">
      <iconSet iconSet="3Arrows">
        <cfvo type="percent" val="0"/>
        <cfvo type="percent" val="33"/>
        <cfvo type="percent" val="67"/>
      </iconSet>
    </cfRule>
  </conditionalFormatting>
  <conditionalFormatting sqref="R116:U116">
    <cfRule type="iconSet" priority="1">
      <iconSet iconSet="3Arrows">
        <cfvo type="percent" val="0"/>
        <cfvo type="percent" val="1"/>
        <cfvo type="percent" val="1"/>
      </iconSet>
    </cfRule>
  </conditionalFormatting>
  <conditionalFormatting sqref="U55">
    <cfRule type="iconSet" priority="5">
      <iconSet iconSet="3Arrows">
        <cfvo type="percent" val="0"/>
        <cfvo type="percent" val="33"/>
        <cfvo type="percent" val="67"/>
      </iconSet>
    </cfRule>
    <cfRule type="iconSet" priority="6">
      <iconSet>
        <cfvo type="percent" val="0"/>
        <cfvo type="percent" val="1"/>
        <cfvo type="percent" val="1"/>
      </iconSet>
    </cfRule>
  </conditionalFormatting>
  <pageMargins left="0.7" right="0.7" top="0.75" bottom="0.75" header="0.3" footer="0.3"/>
  <drawing r:id="rId10"/>
  <extLst>
    <ext xmlns:x14="http://schemas.microsoft.com/office/spreadsheetml/2009/9/main" uri="{05C60535-1F16-4fd2-B633-F4F36F0B64E0}">
      <x14:sparklineGroups xmlns:xm="http://schemas.microsoft.com/office/excel/2006/main">
        <x14:sparklineGroup displayEmptyCellsAs="span" xr2:uid="{93FB27B3-606A-4E83-8375-5F98814E950A}">
          <x14:colorSeries rgb="FF376092"/>
          <x14:colorNegative rgb="FFD00000"/>
          <x14:colorAxis rgb="FF000000"/>
          <x14:colorMarkers rgb="FFD00000"/>
          <x14:colorFirst rgb="FFD00000"/>
          <x14:colorLast rgb="FFD00000"/>
          <x14:colorHigh rgb="FFD00000"/>
          <x14:colorLow rgb="FFD00000"/>
          <x14:sparklines>
            <x14:sparkline>
              <xm:f>'Income Statement Analysis'!R55:U55</xm:f>
              <xm:sqref>V55</xm:sqref>
            </x14:sparkline>
          </x14:sparklines>
        </x14:sparklineGroup>
        <x14:sparklineGroup displayEmptyCellsAs="span" xr2:uid="{20E64B7B-BBFB-4C96-863B-B6FCCE46B301}">
          <x14:colorSeries rgb="FF376092"/>
          <x14:colorNegative rgb="FFD00000"/>
          <x14:colorAxis rgb="FF000000"/>
          <x14:colorMarkers rgb="FFD00000"/>
          <x14:colorFirst rgb="FFD00000"/>
          <x14:colorLast rgb="FFD00000"/>
          <x14:colorHigh rgb="FFD00000"/>
          <x14:colorLow rgb="FFD00000"/>
          <x14:sparklines>
            <x14:sparkline>
              <xm:f>'Income Statement Analysis'!R86:U86</xm:f>
              <xm:sqref>V86</xm:sqref>
            </x14:sparkline>
          </x14:sparklines>
        </x14:sparklineGroup>
        <x14:sparklineGroup displayEmptyCellsAs="span" xr2:uid="{449C2170-36B6-4D8C-B6EF-92F3DC164C95}">
          <x14:colorSeries rgb="FF376092"/>
          <x14:colorNegative rgb="FFD00000"/>
          <x14:colorAxis rgb="FF000000"/>
          <x14:colorMarkers rgb="FFD00000"/>
          <x14:colorFirst rgb="FFD00000"/>
          <x14:colorLast rgb="FFD00000"/>
          <x14:colorHigh rgb="FFD00000"/>
          <x14:colorLow rgb="FFD00000"/>
          <x14:sparklines>
            <x14:sparkline>
              <xm:f>'Income Statement Analysis'!R116:U116</xm:f>
              <xm:sqref>V116</xm:sqref>
            </x14:sparkline>
          </x14:sparklines>
        </x14:sparklineGroup>
        <x14:sparklineGroup displayEmptyCellsAs="span" xr2:uid="{4CC22E74-8B32-40DA-80A5-CE16E57F30EB}">
          <x14:colorSeries rgb="FF376092"/>
          <x14:colorNegative rgb="FFD00000"/>
          <x14:colorAxis rgb="FF000000"/>
          <x14:colorMarkers rgb="FFD00000"/>
          <x14:colorFirst rgb="FFD00000"/>
          <x14:colorLast rgb="FFD00000"/>
          <x14:colorHigh rgb="FFD00000"/>
          <x14:colorLow rgb="FFD00000"/>
          <x14:sparklines>
            <x14:sparkline>
              <xm:f>'Income Statement Analysis'!J86:M86</xm:f>
              <xm:sqref>N86</xm:sqref>
            </x14:sparkline>
          </x14:sparklines>
        </x14:sparklineGroup>
        <x14:sparklineGroup displayEmptyCellsAs="span" xr2:uid="{867CAB8A-6DCE-42B0-B7F9-4B1A45CDCA56}">
          <x14:colorSeries rgb="FF376092"/>
          <x14:colorNegative rgb="FFD00000"/>
          <x14:colorAxis rgb="FF000000"/>
          <x14:colorMarkers rgb="FFD00000"/>
          <x14:colorFirst rgb="FFD00000"/>
          <x14:colorLast rgb="FFD00000"/>
          <x14:colorHigh rgb="FFD00000"/>
          <x14:colorLow rgb="FFD00000"/>
          <x14:sparklines>
            <x14:sparkline>
              <xm:f>'Income Statement Analysis'!J55:M55</xm:f>
              <xm:sqref>N55</xm:sqref>
            </x14:sparkline>
          </x14:sparklines>
        </x14:sparklineGroup>
        <x14:sparklineGroup displayEmptyCellsAs="span" xr2:uid="{ABEC5CF8-00F7-49EA-88E0-63E5268EA599}">
          <x14:colorSeries rgb="FF376092"/>
          <x14:colorNegative rgb="FFD00000"/>
          <x14:colorAxis rgb="FF000000"/>
          <x14:colorMarkers rgb="FFD00000"/>
          <x14:colorFirst rgb="FFD00000"/>
          <x14:colorLast rgb="FFD00000"/>
          <x14:colorHigh rgb="FFD00000"/>
          <x14:colorLow rgb="FFD00000"/>
          <x14:sparklines>
            <x14:sparkline>
              <xm:f>'Income Statement Analysis'!B116:E116</xm:f>
              <xm:sqref>F116</xm:sqref>
            </x14:sparkline>
          </x14:sparklines>
        </x14:sparklineGroup>
        <x14:sparklineGroup displayEmptyCellsAs="span" xr2:uid="{23044A1A-1657-42FB-81E5-4C1D479705FE}">
          <x14:colorSeries rgb="FF376092"/>
          <x14:colorNegative rgb="FFD00000"/>
          <x14:colorAxis rgb="FF000000"/>
          <x14:colorMarkers rgb="FFD00000"/>
          <x14:colorFirst rgb="FFD00000"/>
          <x14:colorLast rgb="FFD00000"/>
          <x14:colorHigh rgb="FFD00000"/>
          <x14:colorLow rgb="FFD00000"/>
          <x14:sparklines>
            <x14:sparkline>
              <xm:f>'Income Statement Analysis'!B86:E86</xm:f>
              <xm:sqref>F86</xm:sqref>
            </x14:sparkline>
          </x14:sparklines>
        </x14:sparklineGroup>
        <x14:sparklineGroup displayEmptyCellsAs="span" xr2:uid="{B6B52846-2DEB-4221-9868-C103B30583C3}">
          <x14:colorSeries rgb="FF376092"/>
          <x14:colorNegative rgb="FFD00000"/>
          <x14:colorAxis rgb="FF000000"/>
          <x14:colorMarkers rgb="FFD00000"/>
          <x14:colorFirst rgb="FFD00000"/>
          <x14:colorLast rgb="FFD00000"/>
          <x14:colorHigh rgb="FFD00000"/>
          <x14:colorLow rgb="FFD00000"/>
          <x14:sparklines>
            <x14:sparkline>
              <xm:f>'Income Statement Analysis'!B55:E55</xm:f>
              <xm:sqref>F55</xm:sqref>
            </x14:sparkline>
          </x14:sparklines>
        </x14:sparklineGroup>
        <x14:sparklineGroup displayEmptyCellsAs="span" xr2:uid="{E3055E30-DC86-4BC9-9011-16CEC42A345E}">
          <x14:colorSeries rgb="FF376092"/>
          <x14:colorNegative rgb="FFD00000"/>
          <x14:colorAxis rgb="FF000000"/>
          <x14:colorMarkers rgb="FFD00000"/>
          <x14:colorFirst rgb="FFD00000"/>
          <x14:colorLast rgb="FFD00000"/>
          <x14:colorHigh rgb="FFD00000"/>
          <x14:colorLow rgb="FFD00000"/>
          <x14:sparklines>
            <x14:sparkline>
              <xm:f>'Income Statement Analysis'!J116:M116</xm:f>
              <xm:sqref>N116</xm:sqref>
            </x14:sparkline>
          </x14:sparklines>
        </x14:sparklineGroup>
      </x14:sparklineGroup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C75380-19A8-4CFF-ACA0-699FEC2D2C95}">
  <dimension ref="A1:X74"/>
  <sheetViews>
    <sheetView topLeftCell="A24" zoomScale="84" zoomScaleNormal="100" workbookViewId="0">
      <selection activeCell="S26" sqref="S26:W26"/>
    </sheetView>
  </sheetViews>
  <sheetFormatPr defaultRowHeight="14.4" x14ac:dyDescent="0.3"/>
  <cols>
    <col min="1" max="1" width="38.6640625" customWidth="1"/>
    <col min="2" max="6" width="18.109375" bestFit="1" customWidth="1"/>
    <col min="8" max="8" width="8.88671875" style="1"/>
    <col min="9" max="9" width="27" bestFit="1" customWidth="1"/>
    <col min="10" max="10" width="64.21875" customWidth="1"/>
    <col min="11" max="14" width="11.21875" bestFit="1" customWidth="1"/>
    <col min="16" max="16" width="8.88671875" style="1"/>
    <col min="17" max="17" width="27" bestFit="1" customWidth="1"/>
    <col min="18" max="18" width="62.21875" bestFit="1" customWidth="1"/>
    <col min="19" max="22" width="11.21875" bestFit="1" customWidth="1"/>
  </cols>
  <sheetData>
    <row r="1" spans="1:24" x14ac:dyDescent="0.3">
      <c r="A1" s="262" t="s">
        <v>66</v>
      </c>
      <c r="B1" s="262"/>
      <c r="C1" s="262"/>
      <c r="D1" s="262"/>
      <c r="E1" s="262"/>
      <c r="F1" s="262"/>
      <c r="G1" s="262"/>
      <c r="H1" s="268"/>
      <c r="I1" s="267" t="s">
        <v>105</v>
      </c>
      <c r="J1" s="238"/>
      <c r="K1" s="238"/>
      <c r="L1" s="238"/>
      <c r="M1" s="238"/>
      <c r="N1" s="238"/>
      <c r="O1" s="238"/>
      <c r="P1" s="256"/>
      <c r="Q1" s="267" t="s">
        <v>104</v>
      </c>
      <c r="R1" s="262"/>
      <c r="S1" s="262"/>
      <c r="T1" s="262"/>
      <c r="U1" s="262"/>
      <c r="V1" s="262"/>
      <c r="W1" s="262"/>
      <c r="X1" s="262"/>
    </row>
    <row r="2" spans="1:24" x14ac:dyDescent="0.3">
      <c r="A2" s="262"/>
      <c r="B2" s="262"/>
      <c r="C2" s="262"/>
      <c r="D2" s="262"/>
      <c r="E2" s="262"/>
      <c r="F2" s="262"/>
      <c r="G2" s="262"/>
      <c r="H2" s="268"/>
      <c r="I2" s="257"/>
      <c r="J2" s="238"/>
      <c r="K2" s="238"/>
      <c r="L2" s="238"/>
      <c r="M2" s="238"/>
      <c r="N2" s="238"/>
      <c r="O2" s="238"/>
      <c r="P2" s="256"/>
      <c r="Q2" s="267"/>
      <c r="R2" s="262"/>
      <c r="S2" s="262"/>
      <c r="T2" s="262"/>
      <c r="U2" s="262"/>
      <c r="V2" s="262"/>
      <c r="W2" s="262"/>
      <c r="X2" s="262"/>
    </row>
    <row r="6" spans="1:24" x14ac:dyDescent="0.3">
      <c r="A6" s="19" t="s">
        <v>69</v>
      </c>
      <c r="B6" s="19" t="s">
        <v>106</v>
      </c>
      <c r="C6" s="19" t="s">
        <v>107</v>
      </c>
      <c r="D6" s="19" t="s">
        <v>108</v>
      </c>
      <c r="E6" s="19" t="s">
        <v>109</v>
      </c>
      <c r="F6" s="19" t="s">
        <v>110</v>
      </c>
      <c r="J6" s="19" t="s">
        <v>69</v>
      </c>
      <c r="K6" s="19" t="s">
        <v>106</v>
      </c>
      <c r="L6" s="19" t="s">
        <v>107</v>
      </c>
      <c r="M6" s="19" t="s">
        <v>108</v>
      </c>
      <c r="N6" s="19" t="s">
        <v>109</v>
      </c>
      <c r="O6" s="19" t="s">
        <v>110</v>
      </c>
      <c r="R6" s="19" t="s">
        <v>69</v>
      </c>
      <c r="S6" s="19" t="s">
        <v>106</v>
      </c>
      <c r="T6" s="19" t="s">
        <v>107</v>
      </c>
      <c r="U6" s="19" t="s">
        <v>108</v>
      </c>
      <c r="V6" s="19" t="s">
        <v>109</v>
      </c>
      <c r="W6" s="19" t="s">
        <v>110</v>
      </c>
    </row>
    <row r="7" spans="1:24" x14ac:dyDescent="0.3">
      <c r="A7" s="20" t="s">
        <v>70</v>
      </c>
      <c r="B7" s="21">
        <v>18097.38</v>
      </c>
      <c r="C7" s="21">
        <v>16550.12</v>
      </c>
      <c r="D7" s="21">
        <v>14457.99</v>
      </c>
      <c r="E7" s="21">
        <v>13539.88</v>
      </c>
      <c r="F7" s="21">
        <v>13811.89</v>
      </c>
      <c r="J7" s="20" t="s">
        <v>70</v>
      </c>
      <c r="K7" s="21">
        <v>15610.21</v>
      </c>
      <c r="L7" s="21">
        <v>12632.12</v>
      </c>
      <c r="M7" s="21">
        <v>10644.88</v>
      </c>
      <c r="N7" s="21">
        <v>9575.25</v>
      </c>
      <c r="O7" s="21">
        <v>8490.2999999999993</v>
      </c>
      <c r="R7" s="22" t="s">
        <v>70</v>
      </c>
      <c r="S7" s="23">
        <v>5803.79</v>
      </c>
      <c r="T7" s="23">
        <v>4342.01</v>
      </c>
      <c r="U7" s="23">
        <v>5270.32</v>
      </c>
      <c r="V7" s="23">
        <v>4007.18</v>
      </c>
      <c r="W7" s="23">
        <v>3503.33</v>
      </c>
    </row>
    <row r="8" spans="1:24" x14ac:dyDescent="0.3">
      <c r="A8" s="22" t="s">
        <v>71</v>
      </c>
      <c r="B8" s="23">
        <v>1999.84</v>
      </c>
      <c r="C8" s="23">
        <v>1938.24</v>
      </c>
      <c r="D8" s="23">
        <v>1859.98</v>
      </c>
      <c r="E8" s="23">
        <v>1936.09</v>
      </c>
      <c r="F8" s="23">
        <v>1910.75</v>
      </c>
      <c r="J8" s="22" t="s">
        <v>71</v>
      </c>
      <c r="K8" s="23">
        <v>1670.59</v>
      </c>
      <c r="L8" s="23">
        <v>1602.23</v>
      </c>
      <c r="M8" s="23">
        <v>1911.36</v>
      </c>
      <c r="N8" s="23">
        <v>2420.48</v>
      </c>
      <c r="O8" s="23">
        <v>2580.84</v>
      </c>
      <c r="R8" s="20" t="s">
        <v>71</v>
      </c>
      <c r="S8" s="21">
        <v>1055.93</v>
      </c>
      <c r="T8" s="21">
        <v>1088.27</v>
      </c>
      <c r="U8" s="21">
        <v>1102.03</v>
      </c>
      <c r="V8" s="24">
        <v>988.65</v>
      </c>
      <c r="W8" s="21">
        <v>1511.8</v>
      </c>
    </row>
    <row r="9" spans="1:24" x14ac:dyDescent="0.3">
      <c r="A9" s="20" t="s">
        <v>72</v>
      </c>
      <c r="B9" s="21">
        <v>1605.45</v>
      </c>
      <c r="C9" s="21">
        <v>1501.5</v>
      </c>
      <c r="D9" s="21">
        <v>1441.2</v>
      </c>
      <c r="E9" s="21">
        <v>1438.22</v>
      </c>
      <c r="F9" s="21">
        <v>1359.72</v>
      </c>
      <c r="J9" s="20" t="s">
        <v>72</v>
      </c>
      <c r="K9" s="21">
        <v>1159.18</v>
      </c>
      <c r="L9" s="24">
        <v>534.64</v>
      </c>
      <c r="M9" s="24">
        <v>591.04999999999995</v>
      </c>
      <c r="N9" s="24">
        <v>657.45</v>
      </c>
      <c r="O9" s="24">
        <v>591.08000000000004</v>
      </c>
      <c r="R9" s="22" t="s">
        <v>72</v>
      </c>
      <c r="S9" s="25">
        <v>803.99</v>
      </c>
      <c r="T9" s="25">
        <v>587.66999999999996</v>
      </c>
      <c r="U9" s="25">
        <v>557.63</v>
      </c>
      <c r="V9" s="25">
        <v>414.24</v>
      </c>
      <c r="W9" s="25">
        <v>456.04</v>
      </c>
    </row>
    <row r="10" spans="1:24" x14ac:dyDescent="0.3">
      <c r="A10" s="22" t="s">
        <v>73</v>
      </c>
      <c r="B10" s="23">
        <v>1605.45</v>
      </c>
      <c r="C10" s="23">
        <v>1501.5</v>
      </c>
      <c r="D10" s="23">
        <v>1441.2</v>
      </c>
      <c r="E10" s="23">
        <v>1438.22</v>
      </c>
      <c r="F10" s="23">
        <v>1359.72</v>
      </c>
      <c r="J10" s="22" t="s">
        <v>73</v>
      </c>
      <c r="K10" s="23">
        <v>1159.18</v>
      </c>
      <c r="L10" s="25">
        <v>534.64</v>
      </c>
      <c r="M10" s="25">
        <v>591.04999999999995</v>
      </c>
      <c r="N10" s="25">
        <v>657.46</v>
      </c>
      <c r="O10" s="25">
        <v>591.09</v>
      </c>
      <c r="R10" s="20" t="s">
        <v>73</v>
      </c>
      <c r="S10" s="24">
        <v>803.99</v>
      </c>
      <c r="T10" s="24">
        <v>587.67999999999995</v>
      </c>
      <c r="U10" s="24">
        <v>557.63</v>
      </c>
      <c r="V10" s="24">
        <v>414.24</v>
      </c>
      <c r="W10" s="24">
        <v>456.04</v>
      </c>
    </row>
    <row r="11" spans="1:24" x14ac:dyDescent="0.3">
      <c r="A11" s="20" t="s">
        <v>74</v>
      </c>
      <c r="B11" s="24">
        <v>0</v>
      </c>
      <c r="C11" s="24">
        <v>21.98</v>
      </c>
      <c r="D11" s="24">
        <v>7.35</v>
      </c>
      <c r="E11" s="24">
        <v>0</v>
      </c>
      <c r="F11" s="24">
        <v>0</v>
      </c>
      <c r="J11" s="20" t="s">
        <v>74</v>
      </c>
      <c r="K11" s="24">
        <v>0</v>
      </c>
      <c r="L11" s="24">
        <v>0</v>
      </c>
      <c r="M11" s="24">
        <v>0</v>
      </c>
      <c r="N11" s="24">
        <v>3.42</v>
      </c>
      <c r="O11" s="24">
        <v>0</v>
      </c>
      <c r="R11" s="22" t="s">
        <v>74</v>
      </c>
      <c r="S11" s="25">
        <v>0</v>
      </c>
      <c r="T11" s="25">
        <v>2.5099999999999998</v>
      </c>
      <c r="U11" s="25">
        <v>20.62</v>
      </c>
      <c r="V11" s="25">
        <v>2.38</v>
      </c>
      <c r="W11" s="25">
        <v>10.15</v>
      </c>
    </row>
    <row r="12" spans="1:24" x14ac:dyDescent="0.3">
      <c r="A12" s="22" t="s">
        <v>75</v>
      </c>
      <c r="B12" s="25">
        <v>0.63</v>
      </c>
      <c r="C12" s="25">
        <v>1.37</v>
      </c>
      <c r="D12" s="25">
        <v>1.35</v>
      </c>
      <c r="E12" s="25">
        <v>0.63</v>
      </c>
      <c r="F12" s="25">
        <v>0.63</v>
      </c>
      <c r="J12" s="22" t="s">
        <v>75</v>
      </c>
      <c r="K12" s="25">
        <v>0</v>
      </c>
      <c r="L12" s="25">
        <v>756.08</v>
      </c>
      <c r="M12" s="25">
        <v>890.54</v>
      </c>
      <c r="N12" s="23">
        <v>1139.5</v>
      </c>
      <c r="O12" s="23">
        <v>1387.01</v>
      </c>
      <c r="R12" s="20" t="s">
        <v>75</v>
      </c>
      <c r="S12" s="24">
        <v>0</v>
      </c>
      <c r="T12" s="24">
        <v>302.81</v>
      </c>
      <c r="U12" s="24">
        <v>332.27</v>
      </c>
      <c r="V12" s="24">
        <v>361.76</v>
      </c>
      <c r="W12" s="24">
        <v>818.78</v>
      </c>
    </row>
    <row r="13" spans="1:24" x14ac:dyDescent="0.3">
      <c r="A13" s="20" t="s">
        <v>76</v>
      </c>
      <c r="B13" s="24">
        <v>154.9</v>
      </c>
      <c r="C13" s="24">
        <v>352.04</v>
      </c>
      <c r="D13" s="24">
        <v>345.82</v>
      </c>
      <c r="E13" s="24">
        <v>439.63</v>
      </c>
      <c r="F13" s="24">
        <v>302.91000000000003</v>
      </c>
      <c r="J13" s="20" t="s">
        <v>76</v>
      </c>
      <c r="K13" s="24">
        <v>511.41</v>
      </c>
      <c r="L13" s="24">
        <v>311.51</v>
      </c>
      <c r="M13" s="24">
        <v>423.73</v>
      </c>
      <c r="N13" s="24">
        <v>578.6</v>
      </c>
      <c r="O13" s="24">
        <v>444.39</v>
      </c>
      <c r="R13" s="22" t="s">
        <v>76</v>
      </c>
      <c r="S13" s="25">
        <v>115.19</v>
      </c>
      <c r="T13" s="25">
        <v>72.349999999999994</v>
      </c>
      <c r="U13" s="25">
        <v>73.25</v>
      </c>
      <c r="V13" s="25">
        <v>61.67</v>
      </c>
      <c r="W13" s="25">
        <v>65.84</v>
      </c>
    </row>
    <row r="14" spans="1:24" x14ac:dyDescent="0.3">
      <c r="A14" s="22" t="s">
        <v>77</v>
      </c>
      <c r="B14" s="25">
        <v>154.9</v>
      </c>
      <c r="C14" s="25">
        <v>352.04</v>
      </c>
      <c r="D14" s="25">
        <v>345.82</v>
      </c>
      <c r="E14" s="25">
        <v>439.63</v>
      </c>
      <c r="F14" s="25">
        <v>302.91000000000003</v>
      </c>
      <c r="J14" s="22" t="s">
        <v>77</v>
      </c>
      <c r="K14" s="25">
        <v>511.41</v>
      </c>
      <c r="L14" s="25">
        <v>311.51</v>
      </c>
      <c r="M14" s="25">
        <v>423.73</v>
      </c>
      <c r="N14" s="25">
        <v>578.6</v>
      </c>
      <c r="O14" s="25">
        <v>444.39</v>
      </c>
      <c r="R14" s="20" t="s">
        <v>77</v>
      </c>
      <c r="S14" s="24">
        <v>115.19</v>
      </c>
      <c r="T14" s="24">
        <v>72.349999999999994</v>
      </c>
      <c r="U14" s="24">
        <v>73.25</v>
      </c>
      <c r="V14" s="24">
        <v>61.67</v>
      </c>
      <c r="W14" s="24">
        <v>65.84</v>
      </c>
    </row>
    <row r="15" spans="1:24" x14ac:dyDescent="0.3">
      <c r="A15" s="20" t="s">
        <v>78</v>
      </c>
      <c r="B15" s="24">
        <v>238.86</v>
      </c>
      <c r="C15" s="24">
        <v>61.35</v>
      </c>
      <c r="D15" s="24">
        <v>64.260000000000005</v>
      </c>
      <c r="E15" s="24">
        <v>57.61</v>
      </c>
      <c r="F15" s="24">
        <v>247.49</v>
      </c>
      <c r="J15" s="20" t="s">
        <v>78</v>
      </c>
      <c r="K15" s="24">
        <v>0</v>
      </c>
      <c r="L15" s="24">
        <v>0</v>
      </c>
      <c r="M15" s="24">
        <v>6.04</v>
      </c>
      <c r="N15" s="24">
        <v>41.51</v>
      </c>
      <c r="O15" s="24">
        <v>158.36000000000001</v>
      </c>
      <c r="R15" s="22" t="s">
        <v>78</v>
      </c>
      <c r="S15" s="25">
        <v>136.75</v>
      </c>
      <c r="T15" s="25">
        <v>122.93</v>
      </c>
      <c r="U15" s="25">
        <v>118.26</v>
      </c>
      <c r="V15" s="25">
        <v>148.6</v>
      </c>
      <c r="W15" s="25">
        <v>160.99</v>
      </c>
    </row>
    <row r="16" spans="1:24" x14ac:dyDescent="0.3">
      <c r="A16" s="22" t="s">
        <v>79</v>
      </c>
      <c r="B16" s="23">
        <v>6406.23</v>
      </c>
      <c r="C16" s="23">
        <v>5633.7</v>
      </c>
      <c r="D16" s="23">
        <v>4666.09</v>
      </c>
      <c r="E16" s="23">
        <v>4501.47</v>
      </c>
      <c r="F16" s="23">
        <v>4547.8</v>
      </c>
      <c r="J16" s="22" t="s">
        <v>79</v>
      </c>
      <c r="K16" s="23">
        <v>3776.66</v>
      </c>
      <c r="L16" s="23">
        <v>2569.52</v>
      </c>
      <c r="M16" s="23">
        <v>2163.71</v>
      </c>
      <c r="N16" s="23">
        <v>1970.62</v>
      </c>
      <c r="O16" s="23">
        <v>1728.99</v>
      </c>
      <c r="R16" s="20" t="s">
        <v>79</v>
      </c>
      <c r="S16" s="21">
        <v>1307.5899999999999</v>
      </c>
      <c r="T16" s="21">
        <v>1077.43</v>
      </c>
      <c r="U16" s="21">
        <v>1095.1199999999999</v>
      </c>
      <c r="V16" s="24">
        <v>636.27</v>
      </c>
      <c r="W16" s="24">
        <v>383.55</v>
      </c>
    </row>
    <row r="17" spans="1:23" x14ac:dyDescent="0.3">
      <c r="A17" s="20" t="s">
        <v>80</v>
      </c>
      <c r="B17" s="21">
        <v>1763.76</v>
      </c>
      <c r="C17" s="21">
        <v>1374.03</v>
      </c>
      <c r="D17" s="21">
        <v>1153.3399999999999</v>
      </c>
      <c r="E17" s="21">
        <v>1222.21</v>
      </c>
      <c r="F17" s="21">
        <v>1391.29</v>
      </c>
      <c r="J17" s="20" t="s">
        <v>80</v>
      </c>
      <c r="K17" s="24">
        <v>765.01</v>
      </c>
      <c r="L17" s="24">
        <v>764.39</v>
      </c>
      <c r="M17" s="24">
        <v>480.79</v>
      </c>
      <c r="N17" s="24">
        <v>353.59</v>
      </c>
      <c r="O17" s="24">
        <v>267.29000000000002</v>
      </c>
      <c r="R17" s="22" t="s">
        <v>80</v>
      </c>
      <c r="S17" s="25">
        <v>220.87</v>
      </c>
      <c r="T17" s="25">
        <v>234.23</v>
      </c>
      <c r="U17" s="25">
        <v>227.41</v>
      </c>
      <c r="V17" s="25">
        <v>147.99</v>
      </c>
      <c r="W17" s="25">
        <v>123.16</v>
      </c>
    </row>
    <row r="18" spans="1:23" x14ac:dyDescent="0.3">
      <c r="A18" s="22" t="s">
        <v>81</v>
      </c>
      <c r="B18" s="23">
        <v>1763.76</v>
      </c>
      <c r="C18" s="23">
        <v>1374.03</v>
      </c>
      <c r="D18" s="23">
        <v>1153.3399999999999</v>
      </c>
      <c r="E18" s="23">
        <v>1222.21</v>
      </c>
      <c r="F18" s="23">
        <v>1391.29</v>
      </c>
      <c r="J18" s="22" t="s">
        <v>81</v>
      </c>
      <c r="K18" s="25">
        <v>765.01</v>
      </c>
      <c r="L18" s="25">
        <v>764.39</v>
      </c>
      <c r="M18" s="25">
        <v>480.79</v>
      </c>
      <c r="N18" s="25">
        <v>353.59</v>
      </c>
      <c r="O18" s="25">
        <v>267.29000000000002</v>
      </c>
      <c r="R18" s="20" t="s">
        <v>81</v>
      </c>
      <c r="S18" s="24">
        <v>220.87</v>
      </c>
      <c r="T18" s="24">
        <v>234.23</v>
      </c>
      <c r="U18" s="24">
        <v>227.41</v>
      </c>
      <c r="V18" s="24">
        <v>147.99</v>
      </c>
      <c r="W18" s="24">
        <v>123.16</v>
      </c>
    </row>
    <row r="19" spans="1:23" x14ac:dyDescent="0.3">
      <c r="A19" s="20" t="s">
        <v>82</v>
      </c>
      <c r="B19" s="21">
        <v>3117.21</v>
      </c>
      <c r="C19" s="21">
        <v>3175.51</v>
      </c>
      <c r="D19" s="21">
        <v>2545.16</v>
      </c>
      <c r="E19" s="21">
        <v>2739.62</v>
      </c>
      <c r="F19" s="21">
        <v>2728.28</v>
      </c>
      <c r="J19" s="20" t="s">
        <v>82</v>
      </c>
      <c r="K19" s="21">
        <v>1632.94</v>
      </c>
      <c r="L19" s="21">
        <v>1098.78</v>
      </c>
      <c r="M19" s="24">
        <v>665.75</v>
      </c>
      <c r="N19" s="24">
        <v>392.79</v>
      </c>
      <c r="O19" s="24">
        <v>284.06</v>
      </c>
      <c r="R19" s="22" t="s">
        <v>82</v>
      </c>
      <c r="S19" s="25">
        <v>673.98</v>
      </c>
      <c r="T19" s="25">
        <v>622.9</v>
      </c>
      <c r="U19" s="25">
        <v>598.41</v>
      </c>
      <c r="V19" s="25">
        <v>332.87</v>
      </c>
      <c r="W19" s="25">
        <v>174.65</v>
      </c>
    </row>
    <row r="20" spans="1:23" x14ac:dyDescent="0.3">
      <c r="A20" s="22" t="s">
        <v>83</v>
      </c>
      <c r="B20" s="23">
        <v>3117.21</v>
      </c>
      <c r="C20" s="23">
        <v>3175.51</v>
      </c>
      <c r="D20" s="23">
        <v>2545.16</v>
      </c>
      <c r="E20" s="23">
        <v>2739.62</v>
      </c>
      <c r="F20" s="23">
        <v>2728.28</v>
      </c>
      <c r="J20" s="22" t="s">
        <v>83</v>
      </c>
      <c r="K20" s="23">
        <v>1632.94</v>
      </c>
      <c r="L20" s="23">
        <v>1098.78</v>
      </c>
      <c r="M20" s="25">
        <v>665.75</v>
      </c>
      <c r="N20" s="25">
        <v>392.79</v>
      </c>
      <c r="O20" s="25">
        <v>284.06</v>
      </c>
      <c r="R20" s="20" t="s">
        <v>83</v>
      </c>
      <c r="S20" s="24">
        <v>673.98</v>
      </c>
      <c r="T20" s="24">
        <v>622.9</v>
      </c>
      <c r="U20" s="24">
        <v>598.41</v>
      </c>
      <c r="V20" s="24">
        <v>332.87</v>
      </c>
      <c r="W20" s="24">
        <v>174.65</v>
      </c>
    </row>
    <row r="21" spans="1:23" x14ac:dyDescent="0.3">
      <c r="A21" s="20" t="s">
        <v>84</v>
      </c>
      <c r="B21" s="24">
        <v>375.71</v>
      </c>
      <c r="C21" s="24">
        <v>374.89</v>
      </c>
      <c r="D21" s="24">
        <v>367.06</v>
      </c>
      <c r="E21" s="24">
        <v>35.06</v>
      </c>
      <c r="F21" s="24">
        <v>39.49</v>
      </c>
      <c r="J21" s="20" t="s">
        <v>84</v>
      </c>
      <c r="K21" s="24">
        <v>0</v>
      </c>
      <c r="L21" s="24">
        <v>0</v>
      </c>
      <c r="M21" s="24">
        <v>269.87</v>
      </c>
      <c r="N21" s="24">
        <v>279.72000000000003</v>
      </c>
      <c r="O21" s="24">
        <v>256.52</v>
      </c>
      <c r="R21" s="22" t="s">
        <v>84</v>
      </c>
      <c r="S21" s="25">
        <v>1.84</v>
      </c>
      <c r="T21" s="25">
        <v>0.11</v>
      </c>
      <c r="U21" s="25">
        <v>10.1</v>
      </c>
      <c r="V21" s="25">
        <v>7.57</v>
      </c>
      <c r="W21" s="25">
        <v>2.87</v>
      </c>
    </row>
    <row r="22" spans="1:23" x14ac:dyDescent="0.3">
      <c r="A22" s="22" t="s">
        <v>85</v>
      </c>
      <c r="B22" s="23">
        <v>1149.55</v>
      </c>
      <c r="C22" s="25">
        <v>709.27</v>
      </c>
      <c r="D22" s="25">
        <v>600.53</v>
      </c>
      <c r="E22" s="25">
        <v>504.58</v>
      </c>
      <c r="F22" s="25">
        <v>388.74</v>
      </c>
      <c r="J22" s="22" t="s">
        <v>85</v>
      </c>
      <c r="K22" s="23">
        <v>1378.7</v>
      </c>
      <c r="L22" s="25">
        <v>706.35</v>
      </c>
      <c r="M22" s="25">
        <v>747.3</v>
      </c>
      <c r="N22" s="25">
        <v>944.52</v>
      </c>
      <c r="O22" s="25">
        <v>921.12</v>
      </c>
      <c r="R22" s="20" t="s">
        <v>85</v>
      </c>
      <c r="S22" s="24">
        <v>410.89</v>
      </c>
      <c r="T22" s="24">
        <v>220.2</v>
      </c>
      <c r="U22" s="24">
        <v>259.2</v>
      </c>
      <c r="V22" s="24">
        <v>147.84</v>
      </c>
      <c r="W22" s="24">
        <v>82.87</v>
      </c>
    </row>
    <row r="23" spans="1:23" x14ac:dyDescent="0.3">
      <c r="A23" s="20" t="s">
        <v>86</v>
      </c>
      <c r="B23" s="21">
        <v>1149.55</v>
      </c>
      <c r="C23" s="24">
        <v>709.27</v>
      </c>
      <c r="D23" s="24">
        <v>600.53</v>
      </c>
      <c r="E23" s="24">
        <v>504.58</v>
      </c>
      <c r="F23" s="24">
        <v>388.74</v>
      </c>
      <c r="J23" s="20" t="s">
        <v>86</v>
      </c>
      <c r="K23" s="21">
        <v>1378.7</v>
      </c>
      <c r="L23" s="24">
        <v>706.35</v>
      </c>
      <c r="M23" s="24">
        <v>747.3</v>
      </c>
      <c r="N23" s="24">
        <v>944.52</v>
      </c>
      <c r="O23" s="24">
        <v>921.12</v>
      </c>
      <c r="R23" s="22" t="s">
        <v>86</v>
      </c>
      <c r="S23" s="25">
        <v>410.89</v>
      </c>
      <c r="T23" s="25">
        <v>220.2</v>
      </c>
      <c r="U23" s="25">
        <v>259.2</v>
      </c>
      <c r="V23" s="25">
        <v>147.84</v>
      </c>
      <c r="W23" s="25">
        <v>82.87</v>
      </c>
    </row>
    <row r="24" spans="1:23" x14ac:dyDescent="0.3">
      <c r="A24" s="22" t="s">
        <v>87</v>
      </c>
      <c r="B24" s="23">
        <v>9691.31</v>
      </c>
      <c r="C24" s="23">
        <v>8978.18</v>
      </c>
      <c r="D24" s="23">
        <v>7931.92</v>
      </c>
      <c r="E24" s="23">
        <v>7102.32</v>
      </c>
      <c r="F24" s="23">
        <v>7353.34</v>
      </c>
      <c r="J24" s="22" t="s">
        <v>87</v>
      </c>
      <c r="K24" s="23">
        <v>10162.959999999999</v>
      </c>
      <c r="L24" s="23">
        <v>8460.3799999999992</v>
      </c>
      <c r="M24" s="23">
        <v>6569.8</v>
      </c>
      <c r="N24" s="23">
        <v>5184.16</v>
      </c>
      <c r="O24" s="23">
        <v>4180.46</v>
      </c>
      <c r="R24" s="20" t="s">
        <v>87</v>
      </c>
      <c r="S24" s="21">
        <v>3440.27</v>
      </c>
      <c r="T24" s="21">
        <v>2176.29</v>
      </c>
      <c r="U24" s="21">
        <v>3073.17</v>
      </c>
      <c r="V24" s="21">
        <v>2382.2600000000002</v>
      </c>
      <c r="W24" s="21">
        <v>1607.98</v>
      </c>
    </row>
    <row r="25" spans="1:23" x14ac:dyDescent="0.3">
      <c r="A25" s="20" t="s">
        <v>88</v>
      </c>
      <c r="B25" s="21">
        <v>18097.38</v>
      </c>
      <c r="C25" s="21">
        <v>16550.12</v>
      </c>
      <c r="D25" s="21">
        <v>14457.99</v>
      </c>
      <c r="E25" s="21">
        <v>13539.88</v>
      </c>
      <c r="F25" s="21">
        <v>13811.89</v>
      </c>
      <c r="J25" s="20" t="s">
        <v>88</v>
      </c>
      <c r="K25" s="21">
        <v>15610.21</v>
      </c>
      <c r="L25" s="21">
        <v>12632.12</v>
      </c>
      <c r="M25" s="21">
        <v>10644.88</v>
      </c>
      <c r="N25" s="21">
        <v>9575.25</v>
      </c>
      <c r="O25" s="21">
        <v>8490.2999999999993</v>
      </c>
      <c r="R25" s="22" t="s">
        <v>88</v>
      </c>
      <c r="S25" s="23">
        <v>5803.79</v>
      </c>
      <c r="T25" s="23">
        <v>4342.01</v>
      </c>
      <c r="U25" s="23">
        <v>5270.32</v>
      </c>
      <c r="V25" s="23">
        <v>4007.18</v>
      </c>
      <c r="W25" s="23">
        <v>3503.33</v>
      </c>
    </row>
    <row r="26" spans="1:23" x14ac:dyDescent="0.3">
      <c r="A26" s="22" t="s">
        <v>89</v>
      </c>
      <c r="B26" s="23">
        <v>6811.88</v>
      </c>
      <c r="C26" s="23">
        <v>6485.46</v>
      </c>
      <c r="D26" s="23">
        <v>5896.15</v>
      </c>
      <c r="E26" s="23">
        <v>5469.41</v>
      </c>
      <c r="F26" s="23">
        <v>5159.29</v>
      </c>
      <c r="J26" s="22" t="s">
        <v>89</v>
      </c>
      <c r="K26" s="23">
        <v>5184.82</v>
      </c>
      <c r="L26" s="23">
        <v>4285.05</v>
      </c>
      <c r="M26" s="23">
        <v>3627.87</v>
      </c>
      <c r="N26" s="23">
        <v>3052.69</v>
      </c>
      <c r="O26" s="23">
        <v>2554.2600000000002</v>
      </c>
      <c r="R26" s="20" t="s">
        <v>89</v>
      </c>
      <c r="S26" s="21">
        <v>3497.68</v>
      </c>
      <c r="T26" s="21">
        <v>2739.33</v>
      </c>
      <c r="U26" s="21">
        <v>2550.65</v>
      </c>
      <c r="V26" s="21">
        <v>1967.97</v>
      </c>
      <c r="W26" s="21">
        <v>1585.36</v>
      </c>
    </row>
    <row r="27" spans="1:23" x14ac:dyDescent="0.3">
      <c r="A27" s="20" t="s">
        <v>90</v>
      </c>
      <c r="B27" s="21">
        <v>6639.7</v>
      </c>
      <c r="C27" s="21">
        <v>6166.83</v>
      </c>
      <c r="D27" s="21">
        <v>5602.74</v>
      </c>
      <c r="E27" s="21">
        <v>5171.3</v>
      </c>
      <c r="F27" s="21">
        <v>4906.45</v>
      </c>
      <c r="J27" s="20" t="s">
        <v>90</v>
      </c>
      <c r="K27" s="21">
        <v>5184.82</v>
      </c>
      <c r="L27" s="21">
        <v>4285.05</v>
      </c>
      <c r="M27" s="21">
        <v>3628.09</v>
      </c>
      <c r="N27" s="21">
        <v>3053.16</v>
      </c>
      <c r="O27" s="21">
        <v>2554.2600000000002</v>
      </c>
      <c r="R27" s="22" t="s">
        <v>90</v>
      </c>
      <c r="S27" s="23">
        <v>3554.15</v>
      </c>
      <c r="T27" s="23">
        <v>2770.7</v>
      </c>
      <c r="U27" s="23">
        <v>2319.21</v>
      </c>
      <c r="V27" s="23">
        <v>1959.32</v>
      </c>
      <c r="W27" s="23">
        <v>1552.16</v>
      </c>
    </row>
    <row r="28" spans="1:23" x14ac:dyDescent="0.3">
      <c r="A28" s="22" t="s">
        <v>91</v>
      </c>
      <c r="B28" s="25">
        <v>125.57</v>
      </c>
      <c r="C28" s="25">
        <v>125.57</v>
      </c>
      <c r="D28" s="25">
        <v>121.97</v>
      </c>
      <c r="E28" s="25">
        <v>121.97</v>
      </c>
      <c r="F28" s="25">
        <v>121.97</v>
      </c>
      <c r="J28" s="22" t="s">
        <v>91</v>
      </c>
      <c r="K28" s="25">
        <v>51.31</v>
      </c>
      <c r="L28" s="25">
        <v>51.31</v>
      </c>
      <c r="M28" s="25">
        <v>51.31</v>
      </c>
      <c r="N28" s="25">
        <v>51.31</v>
      </c>
      <c r="O28" s="25">
        <v>51.31</v>
      </c>
      <c r="R28" s="20" t="s">
        <v>91</v>
      </c>
      <c r="S28" s="24">
        <v>56.25</v>
      </c>
      <c r="T28" s="24">
        <v>56.25</v>
      </c>
      <c r="U28" s="24">
        <v>56.25</v>
      </c>
      <c r="V28" s="24">
        <v>56.25</v>
      </c>
      <c r="W28" s="24">
        <v>28.12</v>
      </c>
    </row>
    <row r="29" spans="1:23" x14ac:dyDescent="0.3">
      <c r="A29" s="20" t="s">
        <v>92</v>
      </c>
      <c r="B29" s="24">
        <v>125.57</v>
      </c>
      <c r="C29" s="24">
        <v>125.57</v>
      </c>
      <c r="D29" s="24">
        <v>121.97</v>
      </c>
      <c r="E29" s="24">
        <v>121.97</v>
      </c>
      <c r="F29" s="24">
        <v>121.97</v>
      </c>
      <c r="J29" s="20" t="s">
        <v>92</v>
      </c>
      <c r="K29" s="24">
        <v>51.31</v>
      </c>
      <c r="L29" s="24">
        <v>51.31</v>
      </c>
      <c r="M29" s="24">
        <v>51.31</v>
      </c>
      <c r="N29" s="24">
        <v>51.31</v>
      </c>
      <c r="O29" s="24">
        <v>51.31</v>
      </c>
      <c r="R29" s="22" t="s">
        <v>92</v>
      </c>
      <c r="S29" s="25">
        <v>56.25</v>
      </c>
      <c r="T29" s="25">
        <v>56.25</v>
      </c>
      <c r="U29" s="25">
        <v>56.25</v>
      </c>
      <c r="V29" s="25">
        <v>56.25</v>
      </c>
      <c r="W29" s="25">
        <v>28.12</v>
      </c>
    </row>
    <row r="30" spans="1:23" x14ac:dyDescent="0.3">
      <c r="A30" s="22" t="s">
        <v>93</v>
      </c>
      <c r="B30" s="23">
        <v>6514.13</v>
      </c>
      <c r="C30" s="23">
        <v>6041.26</v>
      </c>
      <c r="D30" s="23">
        <v>5480.77</v>
      </c>
      <c r="E30" s="23">
        <v>5049.33</v>
      </c>
      <c r="F30" s="23">
        <v>4784.4799999999996</v>
      </c>
      <c r="J30" s="22" t="s">
        <v>93</v>
      </c>
      <c r="K30" s="23">
        <v>5133.51</v>
      </c>
      <c r="L30" s="23">
        <v>4233.74</v>
      </c>
      <c r="M30" s="23">
        <v>3576.78</v>
      </c>
      <c r="N30" s="23">
        <v>3001.85</v>
      </c>
      <c r="O30" s="23">
        <v>2502.9499999999998</v>
      </c>
      <c r="R30" s="20" t="s">
        <v>93</v>
      </c>
      <c r="S30" s="21">
        <v>3497.9</v>
      </c>
      <c r="T30" s="21">
        <v>2714.45</v>
      </c>
      <c r="U30" s="21">
        <v>2262.96</v>
      </c>
      <c r="V30" s="21">
        <v>1903.07</v>
      </c>
      <c r="W30" s="21">
        <v>1524.04</v>
      </c>
    </row>
    <row r="31" spans="1:23" x14ac:dyDescent="0.3">
      <c r="A31" s="20" t="s">
        <v>94</v>
      </c>
      <c r="B31" s="24">
        <v>172.18</v>
      </c>
      <c r="C31" s="24">
        <v>318.63</v>
      </c>
      <c r="D31" s="24">
        <v>293.41000000000003</v>
      </c>
      <c r="E31" s="24">
        <v>298.11</v>
      </c>
      <c r="F31" s="24">
        <v>252.84</v>
      </c>
      <c r="J31" s="20" t="s">
        <v>94</v>
      </c>
      <c r="K31" s="24">
        <v>0</v>
      </c>
      <c r="L31" s="24">
        <v>0</v>
      </c>
      <c r="M31" s="24">
        <v>-0.22</v>
      </c>
      <c r="N31" s="24">
        <v>-0.47</v>
      </c>
      <c r="O31" s="24">
        <v>0</v>
      </c>
      <c r="R31" s="22" t="s">
        <v>94</v>
      </c>
      <c r="S31" s="25">
        <v>-56.47</v>
      </c>
      <c r="T31" s="25">
        <v>-31.37</v>
      </c>
      <c r="U31" s="25">
        <v>231.44</v>
      </c>
      <c r="V31" s="25">
        <v>8.65</v>
      </c>
      <c r="W31" s="25">
        <v>33.200000000000003</v>
      </c>
    </row>
    <row r="32" spans="1:23" x14ac:dyDescent="0.3">
      <c r="A32" s="22" t="s">
        <v>95</v>
      </c>
      <c r="B32" s="23">
        <v>11285.5</v>
      </c>
      <c r="C32" s="23">
        <v>10064.66</v>
      </c>
      <c r="D32" s="23">
        <v>8561.84</v>
      </c>
      <c r="E32" s="23">
        <v>8070.47</v>
      </c>
      <c r="F32" s="23">
        <v>8652.6</v>
      </c>
      <c r="J32" s="22" t="s">
        <v>95</v>
      </c>
      <c r="K32" s="23">
        <v>10425.39</v>
      </c>
      <c r="L32" s="23">
        <v>8347.08</v>
      </c>
      <c r="M32" s="23">
        <v>7017.01</v>
      </c>
      <c r="N32" s="23">
        <v>6522.56</v>
      </c>
      <c r="O32" s="23">
        <v>5936.04</v>
      </c>
      <c r="R32" s="20" t="s">
        <v>95</v>
      </c>
      <c r="S32" s="21">
        <v>2306.11</v>
      </c>
      <c r="T32" s="21">
        <v>1602.68</v>
      </c>
      <c r="U32" s="21">
        <v>2719.67</v>
      </c>
      <c r="V32" s="21">
        <v>2039.21</v>
      </c>
      <c r="W32" s="21">
        <v>1917.96</v>
      </c>
    </row>
    <row r="33" spans="1:24" x14ac:dyDescent="0.3">
      <c r="A33" s="20" t="s">
        <v>96</v>
      </c>
      <c r="B33" s="24">
        <v>72.099999999999994</v>
      </c>
      <c r="C33" s="24">
        <v>89.09</v>
      </c>
      <c r="D33" s="24">
        <v>120.18</v>
      </c>
      <c r="E33" s="24">
        <v>169.61</v>
      </c>
      <c r="F33" s="24">
        <v>239.82</v>
      </c>
      <c r="J33" s="20" t="s">
        <v>96</v>
      </c>
      <c r="K33" s="21">
        <v>7264.83</v>
      </c>
      <c r="L33" s="21">
        <v>5580.44</v>
      </c>
      <c r="M33" s="21">
        <v>4336.6000000000004</v>
      </c>
      <c r="N33" s="21">
        <v>3734.89</v>
      </c>
      <c r="O33" s="21">
        <v>3246.02</v>
      </c>
      <c r="R33" s="22" t="s">
        <v>96</v>
      </c>
      <c r="S33" s="23">
        <v>1161.79</v>
      </c>
      <c r="T33" s="25">
        <v>500.12</v>
      </c>
      <c r="U33" s="23">
        <v>1380.98</v>
      </c>
      <c r="V33" s="25">
        <v>736.72</v>
      </c>
      <c r="W33" s="25">
        <v>800.22</v>
      </c>
    </row>
    <row r="34" spans="1:24" x14ac:dyDescent="0.3">
      <c r="A34" s="22" t="s">
        <v>97</v>
      </c>
      <c r="B34" s="25">
        <v>69.680000000000007</v>
      </c>
      <c r="C34" s="25">
        <v>89.09</v>
      </c>
      <c r="D34" s="25">
        <v>120.18</v>
      </c>
      <c r="E34" s="25">
        <v>169.61</v>
      </c>
      <c r="F34" s="25">
        <v>239.82</v>
      </c>
      <c r="J34" s="22" t="s">
        <v>97</v>
      </c>
      <c r="K34" s="23">
        <v>7264.17</v>
      </c>
      <c r="L34" s="23">
        <v>5559.26</v>
      </c>
      <c r="M34" s="23">
        <v>4336.6000000000004</v>
      </c>
      <c r="N34" s="23">
        <v>3734.89</v>
      </c>
      <c r="O34" s="23">
        <v>3246.02</v>
      </c>
      <c r="R34" s="20" t="s">
        <v>97</v>
      </c>
      <c r="S34" s="21">
        <v>1161.79</v>
      </c>
      <c r="T34" s="24">
        <v>500.12</v>
      </c>
      <c r="U34" s="21">
        <v>1380.98</v>
      </c>
      <c r="V34" s="24">
        <v>736.72</v>
      </c>
      <c r="W34" s="24">
        <v>800.22</v>
      </c>
    </row>
    <row r="35" spans="1:24" x14ac:dyDescent="0.3">
      <c r="A35" s="20" t="s">
        <v>98</v>
      </c>
      <c r="B35" s="24">
        <v>2.42</v>
      </c>
      <c r="C35" s="24">
        <v>0</v>
      </c>
      <c r="D35" s="24">
        <v>0</v>
      </c>
      <c r="E35" s="24">
        <v>0</v>
      </c>
      <c r="F35" s="24">
        <v>0</v>
      </c>
      <c r="J35" s="20" t="s">
        <v>98</v>
      </c>
      <c r="K35" s="24">
        <v>0.66</v>
      </c>
      <c r="L35" s="24">
        <v>21.18</v>
      </c>
      <c r="M35" s="24">
        <v>0</v>
      </c>
      <c r="N35" s="24">
        <v>0</v>
      </c>
      <c r="O35" s="24">
        <v>0</v>
      </c>
      <c r="R35" s="22" t="s">
        <v>99</v>
      </c>
      <c r="S35" s="23">
        <v>1144.32</v>
      </c>
      <c r="T35" s="23">
        <v>1102.56</v>
      </c>
      <c r="U35" s="23">
        <v>1338.69</v>
      </c>
      <c r="V35" s="23">
        <v>1302.49</v>
      </c>
      <c r="W35" s="23">
        <v>1117.74</v>
      </c>
    </row>
    <row r="36" spans="1:24" x14ac:dyDescent="0.3">
      <c r="A36" s="22" t="s">
        <v>99</v>
      </c>
      <c r="B36" s="23">
        <v>11213.4</v>
      </c>
      <c r="C36" s="23">
        <v>9975.57</v>
      </c>
      <c r="D36" s="23">
        <v>8441.66</v>
      </c>
      <c r="E36" s="23">
        <v>7900.86</v>
      </c>
      <c r="F36" s="23">
        <v>8412.7800000000007</v>
      </c>
      <c r="J36" s="22" t="s">
        <v>99</v>
      </c>
      <c r="K36" s="23">
        <v>3160.56</v>
      </c>
      <c r="L36" s="23">
        <v>2766.64</v>
      </c>
      <c r="M36" s="23">
        <v>2680.41</v>
      </c>
      <c r="N36" s="23">
        <v>2787.67</v>
      </c>
      <c r="O36" s="23">
        <v>2690.02</v>
      </c>
      <c r="R36" s="20" t="s">
        <v>100</v>
      </c>
      <c r="S36" s="24">
        <v>96.43</v>
      </c>
      <c r="T36" s="24">
        <v>154.78</v>
      </c>
      <c r="U36" s="24">
        <v>84.64</v>
      </c>
      <c r="V36" s="24">
        <v>0.71</v>
      </c>
      <c r="W36" s="24">
        <v>33.64</v>
      </c>
    </row>
    <row r="37" spans="1:24" x14ac:dyDescent="0.3">
      <c r="A37" s="20" t="s">
        <v>100</v>
      </c>
      <c r="B37" s="24">
        <v>910.34</v>
      </c>
      <c r="C37" s="24">
        <v>884.73</v>
      </c>
      <c r="D37" s="21">
        <v>1182.25</v>
      </c>
      <c r="E37" s="21">
        <v>1579.43</v>
      </c>
      <c r="F37" s="21">
        <v>1632.8</v>
      </c>
      <c r="J37" s="20" t="s">
        <v>100</v>
      </c>
      <c r="K37" s="24">
        <v>752.29</v>
      </c>
      <c r="L37" s="24">
        <v>712.07</v>
      </c>
      <c r="M37" s="24">
        <v>442.24</v>
      </c>
      <c r="N37" s="24">
        <v>20.18</v>
      </c>
      <c r="O37" s="24">
        <v>16.29</v>
      </c>
      <c r="R37" s="22" t="s">
        <v>101</v>
      </c>
      <c r="S37" s="25">
        <v>281.19</v>
      </c>
      <c r="T37" s="25">
        <v>387.7</v>
      </c>
      <c r="U37" s="25">
        <v>307.07</v>
      </c>
      <c r="V37" s="25">
        <v>250.72</v>
      </c>
      <c r="W37" s="25">
        <v>262.97000000000003</v>
      </c>
    </row>
    <row r="38" spans="1:24" x14ac:dyDescent="0.3">
      <c r="A38" s="22" t="s">
        <v>101</v>
      </c>
      <c r="B38" s="23">
        <v>6709.89</v>
      </c>
      <c r="C38" s="23">
        <v>5306.02</v>
      </c>
      <c r="D38" s="23">
        <v>4397.8</v>
      </c>
      <c r="E38" s="23">
        <v>3828.52</v>
      </c>
      <c r="F38" s="23">
        <v>4120.05</v>
      </c>
      <c r="J38" s="22" t="s">
        <v>101</v>
      </c>
      <c r="K38" s="25">
        <v>953</v>
      </c>
      <c r="L38" s="25">
        <v>688.22</v>
      </c>
      <c r="M38" s="25">
        <v>514.27</v>
      </c>
      <c r="N38" s="25">
        <v>726.1</v>
      </c>
      <c r="O38" s="25">
        <v>475.76</v>
      </c>
      <c r="R38" s="20" t="s">
        <v>102</v>
      </c>
      <c r="S38" s="24">
        <v>82.21</v>
      </c>
      <c r="T38" s="24">
        <v>75.8</v>
      </c>
      <c r="U38" s="24">
        <v>94.01</v>
      </c>
      <c r="V38" s="24">
        <v>63.12</v>
      </c>
      <c r="W38" s="24">
        <v>73.95</v>
      </c>
    </row>
    <row r="39" spans="1:24" x14ac:dyDescent="0.3">
      <c r="A39" s="20" t="s">
        <v>102</v>
      </c>
      <c r="B39" s="24">
        <v>201.61</v>
      </c>
      <c r="C39" s="24">
        <v>156.01</v>
      </c>
      <c r="D39" s="24">
        <v>137.09</v>
      </c>
      <c r="E39" s="24">
        <v>52.45</v>
      </c>
      <c r="F39" s="24">
        <v>160.4</v>
      </c>
      <c r="J39" s="20" t="s">
        <v>102</v>
      </c>
      <c r="K39" s="24">
        <v>366.25</v>
      </c>
      <c r="L39" s="24">
        <v>350.9</v>
      </c>
      <c r="M39" s="24">
        <v>347.99</v>
      </c>
      <c r="N39" s="24">
        <v>325.95</v>
      </c>
      <c r="O39" s="24">
        <v>263.18</v>
      </c>
      <c r="R39" s="22" t="s">
        <v>103</v>
      </c>
      <c r="S39" s="25">
        <v>684.49</v>
      </c>
      <c r="T39" s="25">
        <v>484.28</v>
      </c>
      <c r="U39" s="25">
        <v>852.97</v>
      </c>
      <c r="V39" s="25">
        <v>987.94</v>
      </c>
      <c r="W39" s="25">
        <v>747.19</v>
      </c>
    </row>
    <row r="40" spans="1:24" x14ac:dyDescent="0.3">
      <c r="A40" s="22" t="s">
        <v>103</v>
      </c>
      <c r="B40" s="23">
        <v>3391.56</v>
      </c>
      <c r="C40" s="23">
        <v>3628.81</v>
      </c>
      <c r="D40" s="23">
        <v>2724.52</v>
      </c>
      <c r="E40" s="23">
        <v>2440.46</v>
      </c>
      <c r="F40" s="23">
        <v>2499.5300000000002</v>
      </c>
      <c r="J40" s="22" t="s">
        <v>103</v>
      </c>
      <c r="K40" s="23">
        <v>1089.03</v>
      </c>
      <c r="L40" s="23">
        <v>1015.45</v>
      </c>
      <c r="M40" s="23">
        <v>1375.91</v>
      </c>
      <c r="N40" s="23">
        <v>1715.44</v>
      </c>
      <c r="O40" s="23">
        <v>1934.79</v>
      </c>
    </row>
    <row r="42" spans="1:24" ht="18" x14ac:dyDescent="0.35">
      <c r="A42" s="269" t="s">
        <v>111</v>
      </c>
      <c r="B42" s="269"/>
      <c r="C42" s="269"/>
      <c r="D42" s="269"/>
      <c r="E42" s="269"/>
      <c r="F42" s="269"/>
      <c r="G42" s="269"/>
      <c r="H42" s="270"/>
      <c r="I42" s="269" t="s">
        <v>111</v>
      </c>
      <c r="J42" s="269"/>
      <c r="K42" s="269"/>
      <c r="L42" s="269"/>
      <c r="M42" s="269"/>
      <c r="N42" s="269"/>
      <c r="O42" s="269"/>
      <c r="P42" s="270"/>
      <c r="Q42" s="269" t="s">
        <v>111</v>
      </c>
      <c r="R42" s="269"/>
      <c r="S42" s="269"/>
      <c r="T42" s="269"/>
      <c r="U42" s="269"/>
      <c r="V42" s="269"/>
      <c r="W42" s="269"/>
      <c r="X42" s="270"/>
    </row>
    <row r="44" spans="1:24" x14ac:dyDescent="0.3">
      <c r="A44" s="13" t="s">
        <v>50</v>
      </c>
      <c r="B44" t="s">
        <v>49</v>
      </c>
      <c r="C44" t="s">
        <v>48</v>
      </c>
      <c r="D44" t="s">
        <v>47</v>
      </c>
      <c r="E44" t="s">
        <v>46</v>
      </c>
      <c r="F44" t="s">
        <v>45</v>
      </c>
      <c r="I44" s="13" t="s">
        <v>50</v>
      </c>
      <c r="J44" t="s">
        <v>49</v>
      </c>
      <c r="K44" t="s">
        <v>48</v>
      </c>
      <c r="L44" t="s">
        <v>47</v>
      </c>
      <c r="M44" t="s">
        <v>46</v>
      </c>
      <c r="N44" t="s">
        <v>45</v>
      </c>
      <c r="Q44" s="13" t="s">
        <v>50</v>
      </c>
      <c r="R44" t="s">
        <v>49</v>
      </c>
      <c r="S44" t="s">
        <v>48</v>
      </c>
      <c r="T44" t="s">
        <v>47</v>
      </c>
      <c r="U44" t="s">
        <v>46</v>
      </c>
      <c r="V44" t="s">
        <v>45</v>
      </c>
    </row>
    <row r="45" spans="1:24" x14ac:dyDescent="0.3">
      <c r="A45" s="14" t="s">
        <v>95</v>
      </c>
      <c r="B45">
        <v>8652.6</v>
      </c>
      <c r="C45">
        <v>8070.47</v>
      </c>
      <c r="D45">
        <v>8561.84</v>
      </c>
      <c r="E45">
        <v>10064.66</v>
      </c>
      <c r="F45">
        <v>11285.5</v>
      </c>
      <c r="I45" s="14" t="s">
        <v>95</v>
      </c>
      <c r="J45">
        <v>5936.04</v>
      </c>
      <c r="K45">
        <v>6522.56</v>
      </c>
      <c r="L45">
        <v>7017.01</v>
      </c>
      <c r="M45">
        <v>8347.08</v>
      </c>
      <c r="N45">
        <v>10425.39</v>
      </c>
      <c r="Q45" s="14" t="s">
        <v>95</v>
      </c>
      <c r="R45">
        <v>1917.96</v>
      </c>
      <c r="S45">
        <v>2039.21</v>
      </c>
      <c r="T45">
        <v>2719.67</v>
      </c>
      <c r="U45">
        <v>1602.68</v>
      </c>
      <c r="V45">
        <v>2306.11</v>
      </c>
    </row>
    <row r="46" spans="1:24" x14ac:dyDescent="0.3">
      <c r="A46" s="14" t="s">
        <v>51</v>
      </c>
      <c r="B46">
        <v>8652.6</v>
      </c>
      <c r="C46">
        <v>8070.47</v>
      </c>
      <c r="D46">
        <v>8561.84</v>
      </c>
      <c r="E46">
        <v>10064.66</v>
      </c>
      <c r="F46">
        <v>11285.5</v>
      </c>
      <c r="I46" s="14" t="s">
        <v>51</v>
      </c>
      <c r="J46">
        <v>5936.04</v>
      </c>
      <c r="K46">
        <v>6522.56</v>
      </c>
      <c r="L46">
        <v>7017.01</v>
      </c>
      <c r="M46">
        <v>8347.08</v>
      </c>
      <c r="N46">
        <v>10425.39</v>
      </c>
      <c r="Q46" s="14" t="s">
        <v>51</v>
      </c>
      <c r="R46">
        <v>1917.96</v>
      </c>
      <c r="S46">
        <v>2039.21</v>
      </c>
      <c r="T46">
        <v>2719.67</v>
      </c>
      <c r="U46">
        <v>1602.68</v>
      </c>
      <c r="V46">
        <v>2306.11</v>
      </c>
    </row>
    <row r="69" spans="1:22" s="27" customFormat="1" ht="14.4" customHeight="1" x14ac:dyDescent="0.3">
      <c r="A69" s="263" t="s">
        <v>114</v>
      </c>
      <c r="B69" s="264"/>
      <c r="C69" s="264"/>
      <c r="D69" s="264"/>
      <c r="E69" s="264"/>
      <c r="F69" s="264"/>
      <c r="G69" s="264"/>
      <c r="H69" s="265"/>
      <c r="I69" s="266" t="s">
        <v>114</v>
      </c>
      <c r="J69" s="263"/>
      <c r="K69" s="263"/>
      <c r="L69" s="263"/>
      <c r="M69" s="263"/>
      <c r="N69" s="263"/>
      <c r="P69" s="26"/>
      <c r="Q69" s="266" t="s">
        <v>114</v>
      </c>
      <c r="R69" s="263"/>
      <c r="S69" s="263"/>
      <c r="T69" s="263"/>
      <c r="U69" s="263"/>
      <c r="V69" s="263"/>
    </row>
    <row r="70" spans="1:22" ht="14.4" customHeight="1" x14ac:dyDescent="0.3">
      <c r="A70" s="238"/>
      <c r="B70" s="238"/>
      <c r="C70" s="238"/>
      <c r="D70" s="238"/>
      <c r="E70" s="238"/>
      <c r="F70" s="238"/>
      <c r="G70" s="238"/>
      <c r="H70" s="256"/>
      <c r="I70" s="267"/>
      <c r="J70" s="262"/>
      <c r="K70" s="262"/>
      <c r="L70" s="262"/>
      <c r="M70" s="262"/>
      <c r="N70" s="262"/>
      <c r="Q70" s="267"/>
      <c r="R70" s="262"/>
      <c r="S70" s="262"/>
      <c r="T70" s="262"/>
      <c r="U70" s="262"/>
      <c r="V70" s="262"/>
    </row>
    <row r="71" spans="1:22" x14ac:dyDescent="0.3">
      <c r="A71" s="37" t="s">
        <v>115</v>
      </c>
      <c r="B71" s="35" t="s">
        <v>106</v>
      </c>
      <c r="C71" s="35" t="s">
        <v>107</v>
      </c>
      <c r="D71" s="35" t="s">
        <v>108</v>
      </c>
      <c r="E71" s="35" t="s">
        <v>109</v>
      </c>
      <c r="F71" s="36" t="s">
        <v>110</v>
      </c>
      <c r="I71" s="37" t="s">
        <v>115</v>
      </c>
      <c r="J71" s="35" t="s">
        <v>106</v>
      </c>
      <c r="K71" s="35" t="s">
        <v>107</v>
      </c>
      <c r="L71" s="35" t="s">
        <v>108</v>
      </c>
      <c r="M71" s="35" t="s">
        <v>109</v>
      </c>
      <c r="N71" s="36" t="s">
        <v>110</v>
      </c>
      <c r="Q71" s="37" t="s">
        <v>115</v>
      </c>
      <c r="R71" s="35" t="s">
        <v>106</v>
      </c>
      <c r="S71" s="35" t="s">
        <v>107</v>
      </c>
      <c r="T71" s="35" t="s">
        <v>108</v>
      </c>
      <c r="U71" s="35" t="s">
        <v>109</v>
      </c>
      <c r="V71" s="36" t="s">
        <v>110</v>
      </c>
    </row>
    <row r="72" spans="1:22" x14ac:dyDescent="0.3">
      <c r="A72" s="7" t="s">
        <v>24</v>
      </c>
      <c r="B72" s="10">
        <v>20844.96</v>
      </c>
      <c r="C72" s="10">
        <v>15553.41</v>
      </c>
      <c r="D72" s="10">
        <v>11137.96</v>
      </c>
      <c r="E72" s="10">
        <v>7949.42</v>
      </c>
      <c r="F72" s="10">
        <v>8901.07</v>
      </c>
      <c r="I72" s="7" t="s">
        <v>24</v>
      </c>
      <c r="J72" s="10">
        <v>8649.8700000000008</v>
      </c>
      <c r="K72" s="10">
        <v>7956.08</v>
      </c>
      <c r="L72" s="10">
        <v>7208.04</v>
      </c>
      <c r="M72" s="10">
        <v>5787.57</v>
      </c>
      <c r="N72" s="10">
        <v>5602.57</v>
      </c>
      <c r="Q72" s="7" t="s">
        <v>24</v>
      </c>
      <c r="R72" s="10">
        <v>4429.49</v>
      </c>
      <c r="S72" s="10">
        <v>4062.36</v>
      </c>
      <c r="T72" s="10">
        <v>3605.82</v>
      </c>
      <c r="U72" s="10">
        <v>2903.63</v>
      </c>
      <c r="V72" s="10">
        <v>2451.6799999999998</v>
      </c>
    </row>
    <row r="73" spans="1:22" x14ac:dyDescent="0.3">
      <c r="A73" s="28" t="s">
        <v>70</v>
      </c>
      <c r="B73" s="29">
        <v>18097.38</v>
      </c>
      <c r="C73" s="29">
        <v>16550.12</v>
      </c>
      <c r="D73" s="29">
        <v>14457.99</v>
      </c>
      <c r="E73" s="29">
        <v>13539.88</v>
      </c>
      <c r="F73" s="30">
        <v>13811.89</v>
      </c>
      <c r="I73" s="28" t="s">
        <v>70</v>
      </c>
      <c r="J73" s="29">
        <v>15610.21</v>
      </c>
      <c r="K73" s="29">
        <v>12632.12</v>
      </c>
      <c r="L73" s="29">
        <v>10644.88</v>
      </c>
      <c r="M73" s="29">
        <v>9575.25</v>
      </c>
      <c r="N73" s="30">
        <v>8490.2999999999993</v>
      </c>
      <c r="Q73" s="31" t="s">
        <v>70</v>
      </c>
      <c r="R73" s="32">
        <v>5803.79</v>
      </c>
      <c r="S73" s="32">
        <v>4342.01</v>
      </c>
      <c r="T73" s="32">
        <v>5270.32</v>
      </c>
      <c r="U73" s="32">
        <v>4007.18</v>
      </c>
      <c r="V73" s="33">
        <v>3503.33</v>
      </c>
    </row>
    <row r="74" spans="1:22" x14ac:dyDescent="0.3">
      <c r="A74" s="34" t="s">
        <v>113</v>
      </c>
      <c r="B74" s="34">
        <f>B72/B73</f>
        <v>1.1518219764407887</v>
      </c>
      <c r="C74" s="34">
        <f t="shared" ref="C74:F74" si="0">C72/C73</f>
        <v>0.93977626748325693</v>
      </c>
      <c r="D74" s="34">
        <f t="shared" si="0"/>
        <v>0.77036711188761364</v>
      </c>
      <c r="E74" s="34">
        <f t="shared" si="0"/>
        <v>0.58711155490299771</v>
      </c>
      <c r="F74" s="34">
        <f t="shared" si="0"/>
        <v>0.64444981823631664</v>
      </c>
      <c r="I74" s="34" t="s">
        <v>113</v>
      </c>
      <c r="J74" s="34">
        <f>J72/J73</f>
        <v>0.55411618421533093</v>
      </c>
      <c r="K74" s="34">
        <f>K72/K73</f>
        <v>0.6298293556425999</v>
      </c>
      <c r="L74" s="34">
        <f t="shared" ref="L74:N74" si="1">L72/L73</f>
        <v>0.67713680191791736</v>
      </c>
      <c r="M74" s="34">
        <f t="shared" si="1"/>
        <v>0.60443017153599121</v>
      </c>
      <c r="N74" s="34">
        <f t="shared" si="1"/>
        <v>0.65987892065062481</v>
      </c>
      <c r="Q74" s="34" t="s">
        <v>113</v>
      </c>
      <c r="R74" s="34">
        <f>R72/R73</f>
        <v>0.76320645647068552</v>
      </c>
      <c r="S74" s="34">
        <f t="shared" ref="S74:V74" si="2">S72/S73</f>
        <v>0.9355943445547108</v>
      </c>
      <c r="T74" s="34">
        <f t="shared" si="2"/>
        <v>0.68417477496622603</v>
      </c>
      <c r="U74" s="34">
        <f t="shared" si="2"/>
        <v>0.72460683073882381</v>
      </c>
      <c r="V74" s="34">
        <f t="shared" si="2"/>
        <v>0.69981417679750402</v>
      </c>
    </row>
  </sheetData>
  <mergeCells count="9">
    <mergeCell ref="A69:H70"/>
    <mergeCell ref="I69:N70"/>
    <mergeCell ref="Q69:V70"/>
    <mergeCell ref="A1:H2"/>
    <mergeCell ref="I1:P2"/>
    <mergeCell ref="Q1:X2"/>
    <mergeCell ref="A42:H42"/>
    <mergeCell ref="I42:P42"/>
    <mergeCell ref="Q42:X42"/>
  </mergeCells>
  <pageMargins left="0.7" right="0.7" top="0.75" bottom="0.75" header="0.3" footer="0.3"/>
  <drawing r:id="rId4"/>
  <tableParts count="3">
    <tablePart r:id="rId5"/>
    <tablePart r:id="rId6"/>
    <tablePart r:id="rId7"/>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E1F48A-D8D1-4455-9A99-0758ACE4F950}">
  <dimension ref="A1:U44"/>
  <sheetViews>
    <sheetView zoomScale="99" workbookViewId="0">
      <selection activeCell="B23" sqref="B23:F23"/>
    </sheetView>
  </sheetViews>
  <sheetFormatPr defaultRowHeight="14.4" x14ac:dyDescent="0.3"/>
  <cols>
    <col min="1" max="1" width="42.109375" bestFit="1" customWidth="1"/>
  </cols>
  <sheetData>
    <row r="1" spans="1:21" x14ac:dyDescent="0.3">
      <c r="A1" s="271" t="s">
        <v>123</v>
      </c>
      <c r="B1" s="271"/>
      <c r="C1" s="271"/>
      <c r="D1" s="271"/>
      <c r="E1" s="271"/>
      <c r="F1" s="271"/>
      <c r="G1" s="271"/>
      <c r="H1" s="271"/>
      <c r="I1" s="271"/>
      <c r="J1" s="271"/>
      <c r="K1" s="271"/>
      <c r="L1" s="271"/>
      <c r="M1" s="271"/>
      <c r="N1" s="271"/>
      <c r="O1" s="271"/>
      <c r="P1" s="271"/>
      <c r="Q1" s="271"/>
      <c r="R1" s="271"/>
      <c r="S1" s="271"/>
      <c r="T1" s="271"/>
      <c r="U1" s="271"/>
    </row>
    <row r="2" spans="1:21" x14ac:dyDescent="0.3">
      <c r="A2" s="271"/>
      <c r="B2" s="271"/>
      <c r="C2" s="271"/>
      <c r="D2" s="271"/>
      <c r="E2" s="271"/>
      <c r="F2" s="271"/>
      <c r="G2" s="271"/>
      <c r="H2" s="271"/>
      <c r="I2" s="271"/>
      <c r="J2" s="271"/>
      <c r="K2" s="271"/>
      <c r="L2" s="271"/>
      <c r="M2" s="271"/>
      <c r="N2" s="271"/>
      <c r="O2" s="271"/>
      <c r="P2" s="271"/>
      <c r="Q2" s="271"/>
      <c r="R2" s="271"/>
      <c r="S2" s="271"/>
      <c r="T2" s="271"/>
      <c r="U2" s="271"/>
    </row>
    <row r="3" spans="1:21" x14ac:dyDescent="0.3">
      <c r="A3" s="8" t="s">
        <v>282</v>
      </c>
      <c r="B3" s="8">
        <v>2024</v>
      </c>
      <c r="C3" s="8">
        <v>2023</v>
      </c>
      <c r="D3" s="8">
        <v>2022</v>
      </c>
      <c r="E3" s="8">
        <v>2021</v>
      </c>
      <c r="F3" s="8">
        <v>2020</v>
      </c>
    </row>
    <row r="4" spans="1:21" x14ac:dyDescent="0.3">
      <c r="A4" s="7" t="s">
        <v>283</v>
      </c>
      <c r="B4" s="12">
        <v>-315.64</v>
      </c>
      <c r="C4" s="10">
        <v>1194.1300000000001</v>
      </c>
      <c r="D4" s="12">
        <v>-336.44</v>
      </c>
      <c r="E4" s="12">
        <v>-75.59</v>
      </c>
      <c r="F4" s="12">
        <v>230.62</v>
      </c>
    </row>
    <row r="5" spans="1:21" x14ac:dyDescent="0.3">
      <c r="A5" s="6" t="s">
        <v>284</v>
      </c>
      <c r="B5" s="11">
        <v>-315.64</v>
      </c>
      <c r="C5" s="9">
        <v>1194.1300000000001</v>
      </c>
      <c r="D5" s="11">
        <v>-336.44</v>
      </c>
      <c r="E5" s="11">
        <v>-75.59</v>
      </c>
      <c r="F5" s="11">
        <v>230.62</v>
      </c>
    </row>
    <row r="6" spans="1:21" x14ac:dyDescent="0.3">
      <c r="A6" s="7" t="s">
        <v>285</v>
      </c>
      <c r="B6" s="10">
        <v>-1245.58</v>
      </c>
      <c r="C6" s="12">
        <v>512.89</v>
      </c>
      <c r="D6" s="12">
        <v>-899.83</v>
      </c>
      <c r="E6" s="12">
        <v>-595.38</v>
      </c>
      <c r="F6" s="12">
        <v>-93.85</v>
      </c>
    </row>
    <row r="7" spans="1:21" x14ac:dyDescent="0.3">
      <c r="A7" s="6" t="s">
        <v>286</v>
      </c>
      <c r="B7" s="11">
        <v>929.94</v>
      </c>
      <c r="C7" s="11">
        <v>681.25</v>
      </c>
      <c r="D7" s="11">
        <v>563.38</v>
      </c>
      <c r="E7" s="11">
        <v>519.79</v>
      </c>
      <c r="F7" s="11">
        <v>324.47000000000003</v>
      </c>
    </row>
    <row r="8" spans="1:21" x14ac:dyDescent="0.3">
      <c r="A8" s="7" t="s">
        <v>287</v>
      </c>
      <c r="B8" s="12">
        <v>-15.08</v>
      </c>
      <c r="C8" s="12">
        <v>66.81</v>
      </c>
      <c r="D8" s="12">
        <v>-408.48</v>
      </c>
      <c r="E8" s="12">
        <v>260.19</v>
      </c>
      <c r="F8" s="12">
        <v>-202.09</v>
      </c>
    </row>
    <row r="9" spans="1:21" x14ac:dyDescent="0.3">
      <c r="A9" s="6" t="s">
        <v>288</v>
      </c>
      <c r="B9" s="11">
        <v>-15.08</v>
      </c>
      <c r="C9" s="11">
        <v>66.81</v>
      </c>
      <c r="D9" s="11">
        <v>-408.48</v>
      </c>
      <c r="E9" s="11">
        <v>260.19</v>
      </c>
      <c r="F9" s="11">
        <v>-202.09</v>
      </c>
    </row>
    <row r="10" spans="1:21" x14ac:dyDescent="0.3">
      <c r="A10" s="7" t="s">
        <v>289</v>
      </c>
      <c r="B10" s="12">
        <v>496.13</v>
      </c>
      <c r="C10" s="10">
        <v>-1217.3499999999999</v>
      </c>
      <c r="D10" s="12">
        <v>764.87</v>
      </c>
      <c r="E10" s="12">
        <v>-97.83</v>
      </c>
      <c r="F10" s="12">
        <v>2.2200000000000002</v>
      </c>
    </row>
    <row r="11" spans="1:21" x14ac:dyDescent="0.3">
      <c r="A11" s="6" t="s">
        <v>290</v>
      </c>
      <c r="B11" s="11">
        <v>496.13</v>
      </c>
      <c r="C11" s="9">
        <v>-1217.3499999999999</v>
      </c>
      <c r="D11" s="11">
        <v>764.87</v>
      </c>
      <c r="E11" s="11">
        <v>-97.83</v>
      </c>
      <c r="F11" s="11">
        <v>2.2200000000000002</v>
      </c>
    </row>
    <row r="12" spans="1:21" x14ac:dyDescent="0.3">
      <c r="A12" s="7" t="s">
        <v>291</v>
      </c>
      <c r="B12" s="12">
        <v>165.4</v>
      </c>
      <c r="C12" s="12">
        <v>43.6</v>
      </c>
      <c r="D12" s="12">
        <v>19.940000000000001</v>
      </c>
      <c r="E12" s="12">
        <v>86.77</v>
      </c>
      <c r="F12" s="12">
        <v>30.75</v>
      </c>
    </row>
    <row r="13" spans="1:21" x14ac:dyDescent="0.3">
      <c r="A13" s="6" t="s">
        <v>292</v>
      </c>
      <c r="B13" s="11">
        <v>190.98</v>
      </c>
      <c r="C13" s="11">
        <v>147.37</v>
      </c>
      <c r="D13" s="11">
        <v>127.43</v>
      </c>
      <c r="E13" s="11">
        <v>40.659999999999997</v>
      </c>
      <c r="F13" s="11">
        <v>9.9</v>
      </c>
    </row>
    <row r="14" spans="1:21" x14ac:dyDescent="0.3">
      <c r="A14" s="7" t="s">
        <v>293</v>
      </c>
      <c r="B14" s="12">
        <v>356.38</v>
      </c>
      <c r="C14" s="12">
        <v>190.98</v>
      </c>
      <c r="D14" s="12">
        <v>147.37</v>
      </c>
      <c r="E14" s="12">
        <v>127.43</v>
      </c>
      <c r="F14" s="12">
        <v>40.659999999999997</v>
      </c>
    </row>
    <row r="16" spans="1:21" x14ac:dyDescent="0.3">
      <c r="A16" s="272" t="s">
        <v>124</v>
      </c>
      <c r="B16" s="238"/>
      <c r="C16" s="238"/>
      <c r="D16" s="238"/>
      <c r="E16" s="238"/>
      <c r="F16" s="238"/>
      <c r="G16" s="238"/>
      <c r="H16" s="238"/>
      <c r="I16" s="238"/>
      <c r="J16" s="238"/>
      <c r="K16" s="238"/>
      <c r="L16" s="238"/>
      <c r="M16" s="238"/>
      <c r="N16" s="238"/>
      <c r="O16" s="238"/>
      <c r="P16" s="238"/>
      <c r="Q16" s="238"/>
      <c r="R16" s="238"/>
      <c r="S16" s="238"/>
      <c r="T16" s="238"/>
      <c r="U16" s="238"/>
    </row>
    <row r="17" spans="1:21" x14ac:dyDescent="0.3">
      <c r="A17" s="238"/>
      <c r="B17" s="238"/>
      <c r="C17" s="238"/>
      <c r="D17" s="238"/>
      <c r="E17" s="238"/>
      <c r="F17" s="238"/>
      <c r="G17" s="238"/>
      <c r="H17" s="238"/>
      <c r="I17" s="238"/>
      <c r="J17" s="238"/>
      <c r="K17" s="238"/>
      <c r="L17" s="238"/>
      <c r="M17" s="238"/>
      <c r="N17" s="238"/>
      <c r="O17" s="238"/>
      <c r="P17" s="238"/>
      <c r="Q17" s="238"/>
      <c r="R17" s="238"/>
      <c r="S17" s="238"/>
      <c r="T17" s="238"/>
      <c r="U17" s="238"/>
    </row>
    <row r="18" spans="1:21" x14ac:dyDescent="0.3">
      <c r="A18" s="8" t="s">
        <v>282</v>
      </c>
      <c r="B18" s="8">
        <v>2024</v>
      </c>
      <c r="C18" s="8">
        <v>2023</v>
      </c>
      <c r="D18" s="8">
        <v>2022</v>
      </c>
      <c r="E18" s="8">
        <v>2021</v>
      </c>
      <c r="F18" s="8">
        <v>2020</v>
      </c>
    </row>
    <row r="19" spans="1:21" x14ac:dyDescent="0.3">
      <c r="A19" s="7" t="s">
        <v>283</v>
      </c>
      <c r="B19" s="12">
        <v>-231.19</v>
      </c>
      <c r="C19" s="10">
        <v>-1454.13</v>
      </c>
      <c r="D19" s="12">
        <v>-498.58</v>
      </c>
      <c r="E19" s="12">
        <v>185.76</v>
      </c>
      <c r="F19" s="12">
        <v>524.97</v>
      </c>
    </row>
    <row r="20" spans="1:21" x14ac:dyDescent="0.3">
      <c r="A20" s="6" t="s">
        <v>284</v>
      </c>
      <c r="B20" s="11">
        <v>-231.19</v>
      </c>
      <c r="C20" s="9">
        <v>-1454.13</v>
      </c>
      <c r="D20" s="11">
        <v>-498.58</v>
      </c>
      <c r="E20" s="11">
        <v>185.76</v>
      </c>
      <c r="F20" s="11">
        <v>524.97</v>
      </c>
    </row>
    <row r="21" spans="1:21" x14ac:dyDescent="0.3">
      <c r="A21" s="7" t="s">
        <v>285</v>
      </c>
      <c r="B21" s="10">
        <v>-1479.93</v>
      </c>
      <c r="C21" s="10">
        <v>-2411.59</v>
      </c>
      <c r="D21" s="10">
        <v>-1306.52</v>
      </c>
      <c r="E21" s="12">
        <v>-554.12</v>
      </c>
      <c r="F21" s="12">
        <v>-194.3</v>
      </c>
    </row>
    <row r="22" spans="1:21" x14ac:dyDescent="0.3">
      <c r="A22" s="6" t="s">
        <v>286</v>
      </c>
      <c r="B22" s="9">
        <v>1248.74</v>
      </c>
      <c r="C22" s="11">
        <v>957.46</v>
      </c>
      <c r="D22" s="11">
        <v>807.94</v>
      </c>
      <c r="E22" s="11">
        <v>739.88</v>
      </c>
      <c r="F22" s="11">
        <v>719.27</v>
      </c>
    </row>
    <row r="23" spans="1:21" x14ac:dyDescent="0.3">
      <c r="A23" s="7" t="s">
        <v>287</v>
      </c>
      <c r="B23" s="12">
        <v>-249.59</v>
      </c>
      <c r="C23" s="12">
        <v>343.1</v>
      </c>
      <c r="D23" s="12">
        <v>24.73</v>
      </c>
      <c r="E23" s="12">
        <v>-248.5</v>
      </c>
      <c r="F23" s="12">
        <v>-229.72</v>
      </c>
    </row>
    <row r="24" spans="1:21" x14ac:dyDescent="0.3">
      <c r="A24" s="6" t="s">
        <v>288</v>
      </c>
      <c r="B24" s="11">
        <v>-249.59</v>
      </c>
      <c r="C24" s="11">
        <v>343.1</v>
      </c>
      <c r="D24" s="11">
        <v>24.73</v>
      </c>
      <c r="E24" s="11">
        <v>-248.5</v>
      </c>
      <c r="F24" s="11">
        <v>-229.72</v>
      </c>
    </row>
    <row r="25" spans="1:21" x14ac:dyDescent="0.3">
      <c r="A25" s="7" t="s">
        <v>289</v>
      </c>
      <c r="B25" s="10">
        <v>1067.2</v>
      </c>
      <c r="C25" s="10">
        <v>1004.98</v>
      </c>
      <c r="D25" s="12">
        <v>148.22999999999999</v>
      </c>
      <c r="E25" s="12">
        <v>63.31</v>
      </c>
      <c r="F25" s="12">
        <v>253.65</v>
      </c>
    </row>
    <row r="26" spans="1:21" x14ac:dyDescent="0.3">
      <c r="A26" s="6" t="s">
        <v>290</v>
      </c>
      <c r="B26" s="9">
        <v>1067.2</v>
      </c>
      <c r="C26" s="9">
        <v>1004.98</v>
      </c>
      <c r="D26" s="11">
        <v>148.22999999999999</v>
      </c>
      <c r="E26" s="11">
        <v>63.31</v>
      </c>
      <c r="F26" s="11">
        <v>253.65</v>
      </c>
    </row>
    <row r="27" spans="1:21" x14ac:dyDescent="0.3">
      <c r="A27" s="7" t="s">
        <v>291</v>
      </c>
      <c r="B27" s="12">
        <v>586.41999999999996</v>
      </c>
      <c r="C27" s="12">
        <v>-106.05</v>
      </c>
      <c r="D27" s="12">
        <v>-325.62</v>
      </c>
      <c r="E27" s="12">
        <v>0.57999999999999996</v>
      </c>
      <c r="F27" s="12">
        <v>548.9</v>
      </c>
    </row>
    <row r="28" spans="1:21" x14ac:dyDescent="0.3">
      <c r="A28" s="6" t="s">
        <v>292</v>
      </c>
      <c r="B28" s="11">
        <v>415.21</v>
      </c>
      <c r="C28" s="11">
        <v>521.27</v>
      </c>
      <c r="D28" s="11">
        <v>846.89</v>
      </c>
      <c r="E28" s="11">
        <v>846.31</v>
      </c>
      <c r="F28" s="11">
        <v>297.41000000000003</v>
      </c>
    </row>
    <row r="29" spans="1:21" x14ac:dyDescent="0.3">
      <c r="A29" s="7" t="s">
        <v>293</v>
      </c>
      <c r="B29" s="10">
        <v>1001.64</v>
      </c>
      <c r="C29" s="12">
        <v>415.21</v>
      </c>
      <c r="D29" s="12">
        <v>521.27</v>
      </c>
      <c r="E29" s="12">
        <v>846.89</v>
      </c>
      <c r="F29" s="12">
        <v>846.31</v>
      </c>
    </row>
    <row r="31" spans="1:21" x14ac:dyDescent="0.3">
      <c r="A31" s="272" t="s">
        <v>294</v>
      </c>
      <c r="B31" s="238"/>
      <c r="C31" s="238"/>
      <c r="D31" s="238"/>
      <c r="E31" s="238"/>
      <c r="F31" s="238"/>
      <c r="G31" s="238"/>
      <c r="H31" s="238"/>
      <c r="I31" s="238"/>
      <c r="J31" s="238"/>
      <c r="K31" s="238"/>
      <c r="L31" s="238"/>
      <c r="M31" s="238"/>
      <c r="N31" s="238"/>
      <c r="O31" s="238"/>
      <c r="P31" s="238"/>
      <c r="Q31" s="238"/>
      <c r="R31" s="238"/>
      <c r="S31" s="238"/>
      <c r="T31" s="238"/>
      <c r="U31" s="238"/>
    </row>
    <row r="32" spans="1:21" x14ac:dyDescent="0.3">
      <c r="A32" s="238"/>
      <c r="B32" s="238"/>
      <c r="C32" s="238"/>
      <c r="D32" s="238"/>
      <c r="E32" s="238"/>
      <c r="F32" s="238"/>
      <c r="G32" s="238"/>
      <c r="H32" s="238"/>
      <c r="I32" s="238"/>
      <c r="J32" s="238"/>
      <c r="K32" s="238"/>
      <c r="L32" s="238"/>
      <c r="M32" s="238"/>
      <c r="N32" s="238"/>
      <c r="O32" s="238"/>
      <c r="P32" s="238"/>
      <c r="Q32" s="238"/>
      <c r="R32" s="238"/>
      <c r="S32" s="238"/>
      <c r="T32" s="238"/>
      <c r="U32" s="238"/>
    </row>
    <row r="33" spans="1:6" x14ac:dyDescent="0.3">
      <c r="A33" s="8" t="s">
        <v>282</v>
      </c>
      <c r="B33" s="8">
        <v>2024</v>
      </c>
      <c r="C33" s="8">
        <v>2023</v>
      </c>
      <c r="D33" s="8">
        <v>2022</v>
      </c>
      <c r="E33" s="8">
        <v>2021</v>
      </c>
      <c r="F33" s="8">
        <v>2020</v>
      </c>
    </row>
    <row r="34" spans="1:6" x14ac:dyDescent="0.3">
      <c r="A34" s="7" t="s">
        <v>283</v>
      </c>
      <c r="B34" s="10">
        <v>1359.45</v>
      </c>
      <c r="C34" s="10">
        <v>1100.1099999999999</v>
      </c>
      <c r="D34" s="10">
        <v>1415.55</v>
      </c>
      <c r="E34" s="12">
        <v>0</v>
      </c>
      <c r="F34" s="12">
        <v>0</v>
      </c>
    </row>
    <row r="35" spans="1:6" x14ac:dyDescent="0.3">
      <c r="A35" s="6" t="s">
        <v>284</v>
      </c>
      <c r="B35" s="9">
        <v>1359.45</v>
      </c>
      <c r="C35" s="9">
        <v>1100.1099999999999</v>
      </c>
      <c r="D35" s="9">
        <v>1415.55</v>
      </c>
      <c r="E35" s="11">
        <v>0</v>
      </c>
      <c r="F35" s="11">
        <v>0</v>
      </c>
    </row>
    <row r="36" spans="1:6" x14ac:dyDescent="0.3">
      <c r="A36" s="7" t="s">
        <v>285</v>
      </c>
      <c r="B36" s="12">
        <v>266.01</v>
      </c>
      <c r="C36" s="12">
        <v>215.26</v>
      </c>
      <c r="D36" s="12">
        <v>780.87</v>
      </c>
      <c r="E36" s="12">
        <v>0</v>
      </c>
      <c r="F36" s="12">
        <v>0</v>
      </c>
    </row>
    <row r="37" spans="1:6" x14ac:dyDescent="0.3">
      <c r="A37" s="6" t="s">
        <v>286</v>
      </c>
      <c r="B37" s="9">
        <v>1093.45</v>
      </c>
      <c r="C37" s="11">
        <v>884.85</v>
      </c>
      <c r="D37" s="11">
        <v>634.67999999999995</v>
      </c>
      <c r="E37" s="11">
        <v>0</v>
      </c>
      <c r="F37" s="11">
        <v>0</v>
      </c>
    </row>
    <row r="38" spans="1:6" x14ac:dyDescent="0.3">
      <c r="A38" s="7" t="s">
        <v>287</v>
      </c>
      <c r="B38" s="12">
        <v>-318.69</v>
      </c>
      <c r="C38" s="12">
        <v>-191.56</v>
      </c>
      <c r="D38" s="12">
        <v>-66.040000000000006</v>
      </c>
      <c r="E38" s="12">
        <v>0</v>
      </c>
      <c r="F38" s="12">
        <v>0</v>
      </c>
    </row>
    <row r="39" spans="1:6" x14ac:dyDescent="0.3">
      <c r="A39" s="6" t="s">
        <v>288</v>
      </c>
      <c r="B39" s="11">
        <v>-318.69</v>
      </c>
      <c r="C39" s="11">
        <v>-191.56</v>
      </c>
      <c r="D39" s="11">
        <v>-66.040000000000006</v>
      </c>
      <c r="E39" s="11">
        <v>0</v>
      </c>
      <c r="F39" s="11">
        <v>0</v>
      </c>
    </row>
    <row r="40" spans="1:6" x14ac:dyDescent="0.3">
      <c r="A40" s="7" t="s">
        <v>289</v>
      </c>
      <c r="B40" s="12">
        <v>-771.22</v>
      </c>
      <c r="C40" s="12">
        <v>-892.7</v>
      </c>
      <c r="D40" s="10">
        <v>-1274.6099999999999</v>
      </c>
      <c r="E40" s="12">
        <v>0</v>
      </c>
      <c r="F40" s="12">
        <v>0</v>
      </c>
    </row>
    <row r="41" spans="1:6" x14ac:dyDescent="0.3">
      <c r="A41" s="6" t="s">
        <v>290</v>
      </c>
      <c r="B41" s="11">
        <v>-771.22</v>
      </c>
      <c r="C41" s="11">
        <v>-892.7</v>
      </c>
      <c r="D41" s="9">
        <v>-1274.6099999999999</v>
      </c>
      <c r="E41" s="11">
        <v>0</v>
      </c>
      <c r="F41" s="11">
        <v>0</v>
      </c>
    </row>
    <row r="42" spans="1:6" x14ac:dyDescent="0.3">
      <c r="A42" s="7" t="s">
        <v>291</v>
      </c>
      <c r="B42" s="12">
        <v>269.54000000000002</v>
      </c>
      <c r="C42" s="12">
        <v>15.85</v>
      </c>
      <c r="D42" s="12">
        <v>74.900000000000006</v>
      </c>
      <c r="E42" s="12">
        <v>0</v>
      </c>
      <c r="F42" s="12">
        <v>0</v>
      </c>
    </row>
    <row r="43" spans="1:6" x14ac:dyDescent="0.3">
      <c r="A43" s="6" t="s">
        <v>292</v>
      </c>
      <c r="B43" s="11">
        <v>282.39</v>
      </c>
      <c r="C43" s="11">
        <v>266.54000000000002</v>
      </c>
      <c r="D43" s="11">
        <v>191.64</v>
      </c>
      <c r="E43" s="11">
        <v>0</v>
      </c>
      <c r="F43" s="11">
        <v>0</v>
      </c>
    </row>
    <row r="44" spans="1:6" x14ac:dyDescent="0.3">
      <c r="A44" s="7" t="s">
        <v>293</v>
      </c>
      <c r="B44" s="12">
        <v>551.92999999999995</v>
      </c>
      <c r="C44" s="12">
        <v>282.39</v>
      </c>
      <c r="D44" s="12">
        <v>266.54000000000002</v>
      </c>
      <c r="E44" s="12">
        <v>0</v>
      </c>
      <c r="F44" s="12">
        <v>0</v>
      </c>
    </row>
  </sheetData>
  <mergeCells count="3">
    <mergeCell ref="A1:U2"/>
    <mergeCell ref="A16:U17"/>
    <mergeCell ref="A31:U3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3239B4-5B33-45DD-A6CC-900185837255}">
  <dimension ref="A3:V9"/>
  <sheetViews>
    <sheetView zoomScale="78" zoomScaleNormal="115" workbookViewId="0">
      <selection sqref="A1:AD1048576"/>
    </sheetView>
  </sheetViews>
  <sheetFormatPr defaultRowHeight="14.4" x14ac:dyDescent="0.3"/>
  <cols>
    <col min="1" max="1" width="33.33203125" bestFit="1" customWidth="1"/>
    <col min="7" max="7" width="8.88671875" style="1"/>
    <col min="8" max="8" width="33.33203125" bestFit="1" customWidth="1"/>
    <col min="15" max="15" width="8.88671875" style="1"/>
    <col min="16" max="16" width="33.33203125" bestFit="1" customWidth="1"/>
  </cols>
  <sheetData>
    <row r="3" spans="1:22" x14ac:dyDescent="0.3">
      <c r="A3" s="255" t="s">
        <v>66</v>
      </c>
      <c r="B3" s="255"/>
      <c r="C3" s="255"/>
      <c r="D3" s="255"/>
      <c r="E3" s="255"/>
      <c r="F3" s="255"/>
      <c r="I3" s="255" t="s">
        <v>67</v>
      </c>
      <c r="J3" s="255"/>
      <c r="K3" s="255"/>
      <c r="L3" s="255"/>
      <c r="M3" s="255"/>
      <c r="N3" s="255"/>
      <c r="Q3" s="255" t="s">
        <v>68</v>
      </c>
      <c r="R3" s="255"/>
      <c r="S3" s="255"/>
      <c r="T3" s="255"/>
      <c r="U3" s="255"/>
      <c r="V3" s="255"/>
    </row>
    <row r="4" spans="1:22" x14ac:dyDescent="0.3">
      <c r="A4" s="255"/>
      <c r="B4" s="255"/>
      <c r="C4" s="255"/>
      <c r="D4" s="255"/>
      <c r="E4" s="255"/>
      <c r="F4" s="255"/>
      <c r="I4" s="255"/>
      <c r="J4" s="255"/>
      <c r="K4" s="255"/>
      <c r="L4" s="255"/>
      <c r="M4" s="255"/>
      <c r="N4" s="255"/>
      <c r="Q4" s="255"/>
      <c r="R4" s="255"/>
      <c r="S4" s="255"/>
      <c r="T4" s="255"/>
      <c r="U4" s="255"/>
      <c r="V4" s="255"/>
    </row>
    <row r="6" spans="1:22" x14ac:dyDescent="0.3">
      <c r="A6" t="s">
        <v>116</v>
      </c>
      <c r="B6">
        <v>2024</v>
      </c>
      <c r="C6">
        <v>2023</v>
      </c>
      <c r="D6">
        <v>2022</v>
      </c>
      <c r="E6">
        <v>2021</v>
      </c>
      <c r="F6">
        <v>2020</v>
      </c>
      <c r="H6" t="s">
        <v>116</v>
      </c>
      <c r="I6">
        <v>2024</v>
      </c>
      <c r="J6">
        <v>2023</v>
      </c>
      <c r="K6">
        <v>2022</v>
      </c>
      <c r="L6">
        <v>2021</v>
      </c>
      <c r="M6">
        <v>2020</v>
      </c>
      <c r="P6" t="s">
        <v>116</v>
      </c>
      <c r="Q6">
        <v>2024</v>
      </c>
      <c r="R6">
        <v>2023</v>
      </c>
      <c r="S6">
        <v>2022</v>
      </c>
      <c r="T6">
        <v>2021</v>
      </c>
      <c r="U6">
        <v>2020</v>
      </c>
    </row>
    <row r="7" spans="1:22" x14ac:dyDescent="0.3">
      <c r="A7" t="s">
        <v>118</v>
      </c>
      <c r="B7" t="s">
        <v>117</v>
      </c>
      <c r="C7">
        <v>5515</v>
      </c>
      <c r="D7">
        <v>5109</v>
      </c>
      <c r="E7">
        <v>4881</v>
      </c>
      <c r="F7">
        <v>5114</v>
      </c>
      <c r="H7" t="s">
        <v>118</v>
      </c>
      <c r="I7" t="s">
        <v>117</v>
      </c>
      <c r="J7" s="38">
        <v>8320</v>
      </c>
      <c r="K7">
        <v>8796</v>
      </c>
      <c r="L7" s="38">
        <v>8564</v>
      </c>
      <c r="M7">
        <v>7310</v>
      </c>
      <c r="P7" t="s">
        <v>118</v>
      </c>
      <c r="Q7" t="s">
        <v>117</v>
      </c>
      <c r="R7" s="38">
        <v>2294</v>
      </c>
      <c r="S7" s="38">
        <v>2173</v>
      </c>
      <c r="T7" s="38">
        <v>2162</v>
      </c>
      <c r="U7">
        <v>1964</v>
      </c>
    </row>
    <row r="8" spans="1:22" x14ac:dyDescent="0.3">
      <c r="A8" s="7" t="s">
        <v>377</v>
      </c>
      <c r="B8" s="10">
        <v>20844.96</v>
      </c>
      <c r="C8" s="10">
        <v>15553.41</v>
      </c>
      <c r="D8" s="10">
        <v>11137.96</v>
      </c>
      <c r="E8" s="10">
        <v>7949.42</v>
      </c>
      <c r="F8" s="10">
        <v>8901.07</v>
      </c>
      <c r="H8" s="7" t="s">
        <v>377</v>
      </c>
      <c r="I8" s="10">
        <v>8649.8700000000008</v>
      </c>
      <c r="J8" s="10">
        <v>7956.08</v>
      </c>
      <c r="K8" s="10">
        <v>7208.04</v>
      </c>
      <c r="L8" s="10">
        <v>5787.57</v>
      </c>
      <c r="M8" s="10">
        <v>5602.57</v>
      </c>
      <c r="N8" s="1"/>
      <c r="P8" s="7" t="s">
        <v>377</v>
      </c>
      <c r="Q8" s="10">
        <v>4429.49</v>
      </c>
      <c r="R8" s="10">
        <v>4062.36</v>
      </c>
      <c r="S8" s="10">
        <v>3605.82</v>
      </c>
      <c r="T8" s="10">
        <v>2903.63</v>
      </c>
      <c r="U8" s="10">
        <v>2451.6799999999998</v>
      </c>
      <c r="V8" s="1"/>
    </row>
    <row r="9" spans="1:22" x14ac:dyDescent="0.3">
      <c r="A9" s="34" t="s">
        <v>119</v>
      </c>
      <c r="B9" s="34" t="s">
        <v>117</v>
      </c>
      <c r="C9" s="34">
        <f>C8/C7</f>
        <v>2.8202012692656391</v>
      </c>
      <c r="D9" s="34">
        <f>D8/D7</f>
        <v>2.1800665492268543</v>
      </c>
      <c r="E9" s="34">
        <f>E8/E7</f>
        <v>1.6286457693095677</v>
      </c>
      <c r="F9" s="34">
        <f>F8/F7</f>
        <v>1.7405299178725069</v>
      </c>
      <c r="H9" s="34" t="s">
        <v>120</v>
      </c>
      <c r="I9" s="34" t="s">
        <v>117</v>
      </c>
      <c r="J9" s="34">
        <f>J8/J7</f>
        <v>0.95625961538461535</v>
      </c>
      <c r="K9" s="34">
        <f t="shared" ref="K9:M9" si="0">K8/K7</f>
        <v>0.81946793997271483</v>
      </c>
      <c r="L9" s="34">
        <f t="shared" si="0"/>
        <v>0.67580219523587104</v>
      </c>
      <c r="M9" s="34">
        <f t="shared" si="0"/>
        <v>0.76642544459644324</v>
      </c>
      <c r="P9" s="34" t="s">
        <v>120</v>
      </c>
      <c r="Q9" s="34" t="s">
        <v>117</v>
      </c>
      <c r="R9" s="34">
        <f>R8/R7</f>
        <v>1.770863121185702</v>
      </c>
      <c r="S9" s="34">
        <f t="shared" ref="S9:U9" si="1">S8/S7</f>
        <v>1.6593741371375978</v>
      </c>
      <c r="T9" s="34">
        <f t="shared" si="1"/>
        <v>1.3430296022201667</v>
      </c>
      <c r="U9" s="34">
        <f t="shared" si="1"/>
        <v>1.2483095723014255</v>
      </c>
    </row>
  </sheetData>
  <mergeCells count="3">
    <mergeCell ref="A3:F4"/>
    <mergeCell ref="I3:N4"/>
    <mergeCell ref="Q3:V4"/>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99E58-7538-4CF5-86AF-369B09A734B5}">
  <dimension ref="A1:P88"/>
  <sheetViews>
    <sheetView zoomScale="82" workbookViewId="0">
      <selection sqref="A1:AD1048576"/>
    </sheetView>
  </sheetViews>
  <sheetFormatPr defaultRowHeight="14.4" x14ac:dyDescent="0.3"/>
  <cols>
    <col min="1" max="1" width="47" bestFit="1" customWidth="1"/>
    <col min="2" max="2" width="13.44140625" bestFit="1" customWidth="1"/>
    <col min="3" max="3" width="16.77734375" bestFit="1" customWidth="1"/>
    <col min="4" max="4" width="16.88671875" bestFit="1" customWidth="1"/>
    <col min="5" max="5" width="12.33203125" bestFit="1" customWidth="1"/>
    <col min="6" max="7" width="8.44140625" bestFit="1" customWidth="1"/>
    <col min="8" max="8" width="9.21875" bestFit="1" customWidth="1"/>
    <col min="9" max="9" width="11.21875" bestFit="1" customWidth="1"/>
    <col min="10" max="10" width="8.109375" bestFit="1" customWidth="1"/>
    <col min="11" max="11" width="8" bestFit="1" customWidth="1"/>
    <col min="12" max="12" width="8.6640625" bestFit="1" customWidth="1"/>
    <col min="13" max="13" width="8" bestFit="1" customWidth="1"/>
    <col min="14" max="14" width="8.44140625" bestFit="1" customWidth="1"/>
    <col min="15" max="15" width="15.21875" bestFit="1" customWidth="1"/>
    <col min="16" max="16" width="51.21875" bestFit="1" customWidth="1"/>
  </cols>
  <sheetData>
    <row r="1" spans="1:16" x14ac:dyDescent="0.3">
      <c r="A1" s="272" t="s">
        <v>123</v>
      </c>
      <c r="B1" s="272"/>
      <c r="C1" s="272"/>
      <c r="D1" s="272"/>
      <c r="E1" s="272"/>
      <c r="F1" s="272"/>
      <c r="G1" s="272"/>
      <c r="H1" s="272"/>
      <c r="I1" s="272"/>
      <c r="J1" s="272"/>
      <c r="K1" s="272"/>
      <c r="L1" s="272"/>
      <c r="M1" s="272"/>
      <c r="N1" s="272"/>
      <c r="O1" s="272"/>
      <c r="P1" s="272"/>
    </row>
    <row r="2" spans="1:16" x14ac:dyDescent="0.3">
      <c r="A2" s="272"/>
      <c r="B2" s="272"/>
      <c r="C2" s="272"/>
      <c r="D2" s="272"/>
      <c r="E2" s="272"/>
      <c r="F2" s="272"/>
      <c r="G2" s="272"/>
      <c r="H2" s="272"/>
      <c r="I2" s="272"/>
      <c r="J2" s="272"/>
      <c r="K2" s="272"/>
      <c r="L2" s="272"/>
      <c r="M2" s="272"/>
      <c r="N2" s="272"/>
      <c r="O2" s="272"/>
      <c r="P2" s="272"/>
    </row>
    <row r="3" spans="1:16" ht="86.4" x14ac:dyDescent="0.3">
      <c r="A3" s="76" t="s">
        <v>218</v>
      </c>
      <c r="B3" s="76" t="s">
        <v>219</v>
      </c>
      <c r="C3" s="76" t="s">
        <v>281</v>
      </c>
      <c r="D3" s="76" t="s">
        <v>220</v>
      </c>
      <c r="E3" s="76" t="s">
        <v>221</v>
      </c>
      <c r="F3" s="76" t="s">
        <v>222</v>
      </c>
      <c r="G3" s="76" t="s">
        <v>222</v>
      </c>
      <c r="H3" s="76" t="s">
        <v>223</v>
      </c>
      <c r="I3" s="76" t="s">
        <v>224</v>
      </c>
      <c r="J3" s="76" t="s">
        <v>225</v>
      </c>
      <c r="K3" s="76" t="s">
        <v>226</v>
      </c>
      <c r="L3" s="76" t="s">
        <v>227</v>
      </c>
      <c r="M3" s="76" t="s">
        <v>228</v>
      </c>
      <c r="N3" s="77" t="s">
        <v>143</v>
      </c>
      <c r="O3" s="77" t="s">
        <v>229</v>
      </c>
      <c r="P3" s="77" t="s">
        <v>230</v>
      </c>
    </row>
    <row r="4" spans="1:16" x14ac:dyDescent="0.3">
      <c r="A4" t="s">
        <v>231</v>
      </c>
      <c r="B4" s="78">
        <v>45016</v>
      </c>
      <c r="C4" t="s">
        <v>232</v>
      </c>
      <c r="D4" t="s">
        <v>149</v>
      </c>
      <c r="E4">
        <v>250</v>
      </c>
      <c r="F4">
        <v>313.19</v>
      </c>
      <c r="G4">
        <v>651.85</v>
      </c>
      <c r="H4">
        <v>651.85</v>
      </c>
      <c r="I4">
        <v>113.03</v>
      </c>
      <c r="J4">
        <v>343.42</v>
      </c>
      <c r="K4">
        <v>31.67</v>
      </c>
      <c r="L4">
        <v>13.66</v>
      </c>
      <c r="M4">
        <v>18.02</v>
      </c>
      <c r="N4" s="18">
        <v>0.8</v>
      </c>
      <c r="O4" t="s">
        <v>233</v>
      </c>
      <c r="P4" t="s">
        <v>234</v>
      </c>
    </row>
    <row r="5" spans="1:16" x14ac:dyDescent="0.3">
      <c r="A5" t="s">
        <v>235</v>
      </c>
      <c r="B5" s="78">
        <v>45016</v>
      </c>
      <c r="C5" t="s">
        <v>236</v>
      </c>
      <c r="D5" t="s">
        <v>149</v>
      </c>
      <c r="E5">
        <v>709.49</v>
      </c>
      <c r="F5">
        <v>120.29</v>
      </c>
      <c r="G5">
        <v>458.04</v>
      </c>
      <c r="H5">
        <v>458.04</v>
      </c>
      <c r="I5">
        <v>441.41</v>
      </c>
      <c r="J5">
        <v>0.48</v>
      </c>
      <c r="K5">
        <v>-50.52</v>
      </c>
      <c r="L5" t="s">
        <v>237</v>
      </c>
      <c r="M5">
        <v>-50.52</v>
      </c>
      <c r="N5" s="18">
        <v>0.62839999999999996</v>
      </c>
      <c r="O5" t="s">
        <v>233</v>
      </c>
      <c r="P5" t="s">
        <v>238</v>
      </c>
    </row>
    <row r="6" spans="1:16" x14ac:dyDescent="0.3">
      <c r="A6" t="s">
        <v>239</v>
      </c>
      <c r="B6" s="78">
        <v>45016</v>
      </c>
      <c r="C6" t="s">
        <v>240</v>
      </c>
      <c r="D6" t="s">
        <v>149</v>
      </c>
      <c r="E6">
        <v>0.05</v>
      </c>
      <c r="F6" t="s">
        <v>237</v>
      </c>
      <c r="G6">
        <v>0.05</v>
      </c>
      <c r="H6">
        <v>0.05</v>
      </c>
      <c r="I6" t="s">
        <v>237</v>
      </c>
      <c r="J6" t="s">
        <v>237</v>
      </c>
      <c r="K6" t="s">
        <v>237</v>
      </c>
      <c r="L6" t="s">
        <v>237</v>
      </c>
      <c r="M6" t="s">
        <v>237</v>
      </c>
      <c r="N6" s="18">
        <v>1</v>
      </c>
      <c r="O6" t="s">
        <v>241</v>
      </c>
      <c r="P6" t="s">
        <v>242</v>
      </c>
    </row>
    <row r="7" spans="1:16" x14ac:dyDescent="0.3">
      <c r="A7" t="s">
        <v>243</v>
      </c>
      <c r="B7" s="78">
        <v>45016</v>
      </c>
      <c r="C7" t="s">
        <v>244</v>
      </c>
      <c r="D7" t="s">
        <v>149</v>
      </c>
      <c r="E7">
        <v>17.899999999999999</v>
      </c>
      <c r="F7">
        <v>5</v>
      </c>
      <c r="G7">
        <v>22.7</v>
      </c>
      <c r="H7">
        <v>22.7</v>
      </c>
      <c r="I7">
        <v>22.68</v>
      </c>
      <c r="J7" t="s">
        <v>237</v>
      </c>
      <c r="K7">
        <v>0</v>
      </c>
      <c r="L7" t="s">
        <v>237</v>
      </c>
      <c r="M7">
        <v>0</v>
      </c>
      <c r="N7" s="18">
        <v>1</v>
      </c>
      <c r="O7" t="s">
        <v>233</v>
      </c>
      <c r="P7" t="s">
        <v>238</v>
      </c>
    </row>
    <row r="8" spans="1:16" x14ac:dyDescent="0.3">
      <c r="A8" t="s">
        <v>245</v>
      </c>
      <c r="B8" s="78">
        <v>45016</v>
      </c>
      <c r="C8" t="s">
        <v>246</v>
      </c>
      <c r="D8" t="s">
        <v>149</v>
      </c>
      <c r="E8">
        <v>13.34</v>
      </c>
      <c r="F8">
        <v>23.03</v>
      </c>
      <c r="G8">
        <v>192.92</v>
      </c>
      <c r="H8">
        <v>192.92</v>
      </c>
      <c r="I8">
        <v>17.649999999999999</v>
      </c>
      <c r="J8">
        <v>89.64</v>
      </c>
      <c r="K8">
        <v>13.48</v>
      </c>
      <c r="L8">
        <v>0.55000000000000004</v>
      </c>
      <c r="M8">
        <v>12.94</v>
      </c>
      <c r="N8" s="18">
        <v>0.64019999999999999</v>
      </c>
      <c r="O8" t="s">
        <v>247</v>
      </c>
      <c r="P8" t="s">
        <v>238</v>
      </c>
    </row>
    <row r="9" spans="1:16" x14ac:dyDescent="0.3">
      <c r="A9" t="s">
        <v>248</v>
      </c>
      <c r="B9" s="78">
        <v>45016</v>
      </c>
      <c r="C9" t="s">
        <v>249</v>
      </c>
      <c r="D9" t="s">
        <v>149</v>
      </c>
      <c r="E9">
        <v>0.2</v>
      </c>
      <c r="F9">
        <v>51.38</v>
      </c>
      <c r="G9">
        <v>63.09</v>
      </c>
      <c r="H9">
        <v>63.09</v>
      </c>
      <c r="I9" t="s">
        <v>237</v>
      </c>
      <c r="J9">
        <v>864.86</v>
      </c>
      <c r="K9">
        <v>33.840000000000003</v>
      </c>
      <c r="L9">
        <v>8.5399999999999991</v>
      </c>
      <c r="M9">
        <v>25.3</v>
      </c>
      <c r="N9" s="18">
        <v>0.51</v>
      </c>
      <c r="O9" t="s">
        <v>250</v>
      </c>
      <c r="P9" t="s">
        <v>251</v>
      </c>
    </row>
    <row r="10" spans="1:16" x14ac:dyDescent="0.3">
      <c r="A10" t="s">
        <v>252</v>
      </c>
      <c r="B10" s="78">
        <v>45016</v>
      </c>
      <c r="C10" t="s">
        <v>253</v>
      </c>
      <c r="D10" t="s">
        <v>149</v>
      </c>
      <c r="E10">
        <v>0.09</v>
      </c>
      <c r="F10">
        <v>0.25</v>
      </c>
      <c r="G10">
        <v>0.01</v>
      </c>
      <c r="H10">
        <v>0.01</v>
      </c>
      <c r="I10" t="s">
        <v>237</v>
      </c>
      <c r="J10" t="s">
        <v>237</v>
      </c>
      <c r="K10">
        <v>0</v>
      </c>
      <c r="L10" t="s">
        <v>237</v>
      </c>
      <c r="M10">
        <v>0</v>
      </c>
      <c r="N10" s="18">
        <v>0.51</v>
      </c>
      <c r="O10" t="s">
        <v>254</v>
      </c>
      <c r="P10" t="s">
        <v>251</v>
      </c>
    </row>
    <row r="11" spans="1:16" x14ac:dyDescent="0.3">
      <c r="A11" t="s">
        <v>255</v>
      </c>
      <c r="B11" s="78">
        <v>45016</v>
      </c>
      <c r="C11" t="s">
        <v>256</v>
      </c>
      <c r="D11" t="s">
        <v>149</v>
      </c>
      <c r="E11">
        <v>0.12</v>
      </c>
      <c r="F11" t="s">
        <v>237</v>
      </c>
      <c r="G11">
        <v>62.95</v>
      </c>
      <c r="H11">
        <v>62.95</v>
      </c>
      <c r="I11" t="s">
        <v>237</v>
      </c>
      <c r="J11" t="s">
        <v>237</v>
      </c>
      <c r="K11">
        <v>-0.02</v>
      </c>
      <c r="L11" t="s">
        <v>237</v>
      </c>
      <c r="M11">
        <v>-0.02</v>
      </c>
      <c r="N11" s="18">
        <v>1</v>
      </c>
      <c r="O11" t="s">
        <v>257</v>
      </c>
      <c r="P11" t="s">
        <v>258</v>
      </c>
    </row>
    <row r="12" spans="1:16" x14ac:dyDescent="0.3">
      <c r="A12" t="s">
        <v>259</v>
      </c>
      <c r="B12" s="78">
        <v>45016</v>
      </c>
      <c r="C12" t="s">
        <v>260</v>
      </c>
      <c r="D12" t="s">
        <v>149</v>
      </c>
      <c r="E12">
        <v>0.05</v>
      </c>
      <c r="F12">
        <v>0</v>
      </c>
      <c r="G12">
        <v>1.83</v>
      </c>
      <c r="H12">
        <v>1.83</v>
      </c>
      <c r="I12" t="s">
        <v>237</v>
      </c>
      <c r="J12" t="s">
        <v>237</v>
      </c>
      <c r="K12">
        <v>0</v>
      </c>
      <c r="L12" t="s">
        <v>237</v>
      </c>
      <c r="M12">
        <v>0</v>
      </c>
      <c r="N12" s="18">
        <v>1</v>
      </c>
      <c r="O12" t="s">
        <v>261</v>
      </c>
      <c r="P12" t="s">
        <v>234</v>
      </c>
    </row>
    <row r="13" spans="1:16" x14ac:dyDescent="0.3">
      <c r="A13" t="s">
        <v>262</v>
      </c>
      <c r="B13" s="78">
        <v>45016</v>
      </c>
      <c r="C13" t="s">
        <v>263</v>
      </c>
      <c r="D13" t="s">
        <v>149</v>
      </c>
      <c r="E13">
        <v>0.1</v>
      </c>
      <c r="F13">
        <v>0</v>
      </c>
      <c r="G13">
        <v>6.39</v>
      </c>
      <c r="H13">
        <v>6.39</v>
      </c>
      <c r="I13" t="s">
        <v>237</v>
      </c>
      <c r="J13" t="s">
        <v>237</v>
      </c>
      <c r="K13">
        <v>0</v>
      </c>
      <c r="L13" t="s">
        <v>237</v>
      </c>
      <c r="M13">
        <v>0</v>
      </c>
      <c r="N13" s="18">
        <v>1</v>
      </c>
      <c r="O13" t="s">
        <v>247</v>
      </c>
      <c r="P13" t="s">
        <v>264</v>
      </c>
    </row>
    <row r="14" spans="1:16" x14ac:dyDescent="0.3">
      <c r="A14" t="s">
        <v>265</v>
      </c>
      <c r="B14" s="78">
        <v>45016</v>
      </c>
      <c r="C14" t="s">
        <v>266</v>
      </c>
      <c r="D14" t="s">
        <v>149</v>
      </c>
      <c r="E14">
        <v>0.05</v>
      </c>
      <c r="F14">
        <v>0</v>
      </c>
      <c r="G14">
        <v>1.82</v>
      </c>
      <c r="H14">
        <v>1.82</v>
      </c>
      <c r="I14" t="s">
        <v>237</v>
      </c>
      <c r="J14" t="s">
        <v>237</v>
      </c>
      <c r="K14">
        <v>0</v>
      </c>
      <c r="L14" t="s">
        <v>237</v>
      </c>
      <c r="M14">
        <v>0</v>
      </c>
      <c r="N14" s="18">
        <v>1</v>
      </c>
      <c r="O14" t="s">
        <v>261</v>
      </c>
      <c r="P14" t="s">
        <v>267</v>
      </c>
    </row>
    <row r="15" spans="1:16" x14ac:dyDescent="0.3">
      <c r="A15" t="s">
        <v>268</v>
      </c>
      <c r="B15" s="78">
        <v>45016</v>
      </c>
      <c r="C15" t="s">
        <v>269</v>
      </c>
      <c r="D15" t="s">
        <v>149</v>
      </c>
      <c r="E15">
        <v>0.05</v>
      </c>
      <c r="F15">
        <v>0</v>
      </c>
      <c r="G15">
        <v>1.74</v>
      </c>
      <c r="H15">
        <v>1.74</v>
      </c>
      <c r="I15" t="s">
        <v>237</v>
      </c>
      <c r="J15" t="s">
        <v>237</v>
      </c>
      <c r="K15">
        <v>0</v>
      </c>
      <c r="L15" t="s">
        <v>237</v>
      </c>
      <c r="M15">
        <v>0</v>
      </c>
      <c r="N15" s="18">
        <v>1</v>
      </c>
      <c r="O15" t="s">
        <v>247</v>
      </c>
      <c r="P15" t="s">
        <v>234</v>
      </c>
    </row>
    <row r="16" spans="1:16" x14ac:dyDescent="0.3">
      <c r="A16" t="s">
        <v>270</v>
      </c>
      <c r="B16" s="78">
        <v>45016</v>
      </c>
      <c r="C16" t="s">
        <v>271</v>
      </c>
      <c r="D16" t="s">
        <v>149</v>
      </c>
      <c r="E16">
        <v>0.05</v>
      </c>
      <c r="F16">
        <v>0</v>
      </c>
      <c r="G16">
        <v>0.98</v>
      </c>
      <c r="H16">
        <v>0.98</v>
      </c>
      <c r="I16" t="s">
        <v>237</v>
      </c>
      <c r="J16" t="s">
        <v>237</v>
      </c>
      <c r="K16">
        <v>0</v>
      </c>
      <c r="L16" t="s">
        <v>237</v>
      </c>
      <c r="M16">
        <v>0</v>
      </c>
      <c r="N16" s="18">
        <v>1</v>
      </c>
      <c r="O16" t="s">
        <v>241</v>
      </c>
      <c r="P16" t="s">
        <v>234</v>
      </c>
    </row>
    <row r="17" spans="1:16" x14ac:dyDescent="0.3">
      <c r="A17" t="s">
        <v>272</v>
      </c>
      <c r="B17" s="78">
        <v>45016</v>
      </c>
      <c r="C17" t="s">
        <v>266</v>
      </c>
      <c r="D17" t="s">
        <v>149</v>
      </c>
      <c r="E17">
        <v>0.05</v>
      </c>
      <c r="F17">
        <v>0</v>
      </c>
      <c r="G17">
        <v>1.74</v>
      </c>
      <c r="H17">
        <v>1.74</v>
      </c>
      <c r="I17" t="s">
        <v>237</v>
      </c>
      <c r="J17" t="s">
        <v>237</v>
      </c>
      <c r="K17">
        <v>0</v>
      </c>
      <c r="L17" t="s">
        <v>237</v>
      </c>
      <c r="M17">
        <v>0</v>
      </c>
      <c r="N17" s="18">
        <v>1</v>
      </c>
      <c r="O17" t="s">
        <v>257</v>
      </c>
      <c r="P17" t="s">
        <v>273</v>
      </c>
    </row>
    <row r="18" spans="1:16" x14ac:dyDescent="0.3">
      <c r="A18" t="s">
        <v>274</v>
      </c>
      <c r="B18" s="78">
        <v>45016</v>
      </c>
      <c r="C18" t="s">
        <v>263</v>
      </c>
      <c r="D18" t="s">
        <v>149</v>
      </c>
      <c r="E18">
        <v>0.1</v>
      </c>
      <c r="F18">
        <v>0</v>
      </c>
      <c r="G18">
        <v>2.2799999999999998</v>
      </c>
      <c r="H18">
        <v>2.2799999999999998</v>
      </c>
      <c r="I18" t="s">
        <v>237</v>
      </c>
      <c r="J18" t="s">
        <v>237</v>
      </c>
      <c r="K18">
        <v>0</v>
      </c>
      <c r="L18" t="s">
        <v>237</v>
      </c>
      <c r="M18">
        <v>0</v>
      </c>
      <c r="N18" s="18">
        <v>1</v>
      </c>
      <c r="O18" t="s">
        <v>247</v>
      </c>
      <c r="P18" t="s">
        <v>234</v>
      </c>
    </row>
    <row r="19" spans="1:16" x14ac:dyDescent="0.3">
      <c r="A19" t="s">
        <v>275</v>
      </c>
      <c r="B19" s="78">
        <v>45016</v>
      </c>
      <c r="C19" t="s">
        <v>263</v>
      </c>
      <c r="D19" t="s">
        <v>149</v>
      </c>
      <c r="E19">
        <v>0.1</v>
      </c>
      <c r="F19">
        <v>0</v>
      </c>
      <c r="G19">
        <v>4.66</v>
      </c>
      <c r="H19">
        <v>4.66</v>
      </c>
      <c r="I19" t="s">
        <v>237</v>
      </c>
      <c r="J19" t="s">
        <v>237</v>
      </c>
      <c r="K19">
        <v>0</v>
      </c>
      <c r="L19" t="s">
        <v>237</v>
      </c>
      <c r="M19">
        <v>0</v>
      </c>
      <c r="N19" s="18">
        <v>1</v>
      </c>
      <c r="O19" t="s">
        <v>247</v>
      </c>
      <c r="P19" t="s">
        <v>234</v>
      </c>
    </row>
    <row r="20" spans="1:16" x14ac:dyDescent="0.3">
      <c r="A20" t="s">
        <v>276</v>
      </c>
      <c r="B20" s="78">
        <v>45016</v>
      </c>
      <c r="C20" t="s">
        <v>260</v>
      </c>
      <c r="D20" t="s">
        <v>149</v>
      </c>
      <c r="E20">
        <v>0.05</v>
      </c>
      <c r="F20">
        <v>0</v>
      </c>
      <c r="G20">
        <v>1.4</v>
      </c>
      <c r="H20">
        <v>1.4</v>
      </c>
      <c r="I20" t="s">
        <v>237</v>
      </c>
      <c r="J20" t="s">
        <v>237</v>
      </c>
      <c r="K20">
        <v>0</v>
      </c>
      <c r="L20" t="s">
        <v>237</v>
      </c>
      <c r="M20">
        <v>0</v>
      </c>
      <c r="N20" s="18">
        <v>1</v>
      </c>
      <c r="O20" t="s">
        <v>233</v>
      </c>
      <c r="P20" t="s">
        <v>234</v>
      </c>
    </row>
    <row r="21" spans="1:16" x14ac:dyDescent="0.3">
      <c r="A21" t="s">
        <v>277</v>
      </c>
      <c r="B21" s="78">
        <v>45016</v>
      </c>
      <c r="C21" t="s">
        <v>278</v>
      </c>
      <c r="D21" t="s">
        <v>149</v>
      </c>
      <c r="E21">
        <v>0.01</v>
      </c>
      <c r="F21">
        <v>0</v>
      </c>
      <c r="G21">
        <v>0.01</v>
      </c>
      <c r="H21">
        <v>0.01</v>
      </c>
      <c r="I21" t="s">
        <v>237</v>
      </c>
      <c r="J21" t="s">
        <v>237</v>
      </c>
      <c r="K21">
        <v>0</v>
      </c>
      <c r="L21" t="s">
        <v>237</v>
      </c>
      <c r="M21">
        <v>0</v>
      </c>
      <c r="N21" s="18">
        <v>1</v>
      </c>
      <c r="O21" t="s">
        <v>233</v>
      </c>
      <c r="P21" t="s">
        <v>279</v>
      </c>
    </row>
    <row r="22" spans="1:16" x14ac:dyDescent="0.3">
      <c r="A22" t="s">
        <v>280</v>
      </c>
      <c r="B22" s="78">
        <v>45016</v>
      </c>
      <c r="C22" t="s">
        <v>278</v>
      </c>
      <c r="D22" t="s">
        <v>149</v>
      </c>
      <c r="E22">
        <v>0.01</v>
      </c>
      <c r="F22">
        <v>0</v>
      </c>
      <c r="G22">
        <v>0.01</v>
      </c>
      <c r="H22">
        <v>0.01</v>
      </c>
      <c r="I22" t="s">
        <v>237</v>
      </c>
      <c r="J22" t="s">
        <v>237</v>
      </c>
      <c r="K22">
        <v>0</v>
      </c>
      <c r="L22" t="s">
        <v>237</v>
      </c>
      <c r="M22">
        <v>0</v>
      </c>
      <c r="N22" s="18">
        <v>1</v>
      </c>
      <c r="O22" t="s">
        <v>233</v>
      </c>
      <c r="P22" t="s">
        <v>267</v>
      </c>
    </row>
    <row r="23" spans="1:16" x14ac:dyDescent="0.3">
      <c r="H23" s="75">
        <f>SUM(H4:H22)</f>
        <v>1474.4700000000003</v>
      </c>
      <c r="J23" s="116">
        <f>SUM(J4:J22)</f>
        <v>1298.4000000000001</v>
      </c>
      <c r="K23" s="75">
        <f>SUM(K4:K22)</f>
        <v>28.450000000000003</v>
      </c>
      <c r="M23" s="75">
        <f>SUM(M4:M22)</f>
        <v>5.7199999999999989</v>
      </c>
    </row>
    <row r="26" spans="1:16" ht="13.8" customHeight="1" x14ac:dyDescent="0.3"/>
    <row r="27" spans="1:16" x14ac:dyDescent="0.3">
      <c r="A27" s="272" t="s">
        <v>347</v>
      </c>
      <c r="B27" s="238"/>
      <c r="C27" s="238"/>
      <c r="D27" s="238"/>
      <c r="E27" s="238"/>
      <c r="F27" s="238"/>
      <c r="G27" s="238"/>
      <c r="H27" s="238"/>
      <c r="I27" s="238"/>
      <c r="J27" s="238"/>
      <c r="K27" s="238"/>
      <c r="L27" s="238"/>
      <c r="M27" s="238"/>
      <c r="N27" s="238"/>
      <c r="O27" s="238"/>
      <c r="P27" s="238"/>
    </row>
    <row r="28" spans="1:16" x14ac:dyDescent="0.3">
      <c r="A28" s="238"/>
      <c r="B28" s="238"/>
      <c r="C28" s="238"/>
      <c r="D28" s="238"/>
      <c r="E28" s="238"/>
      <c r="F28" s="238"/>
      <c r="G28" s="238"/>
      <c r="H28" s="238"/>
      <c r="I28" s="238"/>
      <c r="J28" s="238"/>
      <c r="K28" s="238"/>
      <c r="L28" s="238"/>
      <c r="M28" s="238"/>
      <c r="N28" s="238"/>
      <c r="O28" s="238"/>
      <c r="P28" s="238"/>
    </row>
    <row r="29" spans="1:16" ht="86.4" x14ac:dyDescent="0.3">
      <c r="A29" s="112" t="s">
        <v>131</v>
      </c>
      <c r="B29" s="112" t="s">
        <v>132</v>
      </c>
      <c r="C29" s="115" t="s">
        <v>133</v>
      </c>
      <c r="D29" s="112" t="s">
        <v>134</v>
      </c>
      <c r="E29" s="112" t="s">
        <v>135</v>
      </c>
      <c r="F29" s="115" t="s">
        <v>136</v>
      </c>
      <c r="G29" s="115" t="s">
        <v>137</v>
      </c>
      <c r="H29" s="115" t="s">
        <v>138</v>
      </c>
      <c r="I29" s="112" t="s">
        <v>139</v>
      </c>
      <c r="J29" s="112" t="s">
        <v>140</v>
      </c>
      <c r="K29" s="115" t="s">
        <v>141</v>
      </c>
      <c r="L29" s="115" t="s">
        <v>217</v>
      </c>
      <c r="M29" s="115" t="s">
        <v>142</v>
      </c>
      <c r="N29" s="115" t="s">
        <v>143</v>
      </c>
      <c r="O29" s="112" t="s">
        <v>144</v>
      </c>
      <c r="P29" s="112" t="s">
        <v>145</v>
      </c>
    </row>
    <row r="30" spans="1:16" x14ac:dyDescent="0.3">
      <c r="A30" s="39" t="s">
        <v>146</v>
      </c>
      <c r="B30" s="39" t="s">
        <v>147</v>
      </c>
      <c r="C30" s="39" t="s">
        <v>148</v>
      </c>
      <c r="D30" s="39" t="s">
        <v>149</v>
      </c>
      <c r="E30" s="39">
        <v>73.8</v>
      </c>
      <c r="F30" s="47">
        <v>-27.4329</v>
      </c>
      <c r="G30" s="43">
        <v>99.834500000000006</v>
      </c>
      <c r="H30" s="47">
        <v>150.70159999999998</v>
      </c>
      <c r="I30" s="47">
        <v>28.3142</v>
      </c>
      <c r="J30" s="47">
        <v>44.920299999999997</v>
      </c>
      <c r="K30" s="47">
        <v>-2.0206</v>
      </c>
      <c r="L30" s="47">
        <v>-13.0418</v>
      </c>
      <c r="M30" s="47">
        <v>-0.82050000000000001</v>
      </c>
      <c r="N30" s="42">
        <v>1</v>
      </c>
      <c r="O30" s="39" t="s">
        <v>150</v>
      </c>
      <c r="P30" s="39" t="s">
        <v>151</v>
      </c>
    </row>
    <row r="31" spans="1:16" x14ac:dyDescent="0.3">
      <c r="A31" s="39" t="s">
        <v>152</v>
      </c>
      <c r="B31" s="39" t="s">
        <v>147</v>
      </c>
      <c r="C31" s="39" t="s">
        <v>153</v>
      </c>
      <c r="D31" s="39" t="s">
        <v>149</v>
      </c>
      <c r="E31" s="39">
        <v>205.8708</v>
      </c>
      <c r="F31" s="47">
        <v>7.8214540000000001</v>
      </c>
      <c r="G31" s="43">
        <v>2.5899999999999999E-2</v>
      </c>
      <c r="H31" s="47">
        <v>988.04309999999998</v>
      </c>
      <c r="I31" s="47">
        <v>987.66980000000001</v>
      </c>
      <c r="J31" s="47">
        <v>0</v>
      </c>
      <c r="K31" s="47">
        <v>-0.76290000000000002</v>
      </c>
      <c r="L31" s="47">
        <v>0</v>
      </c>
      <c r="M31" s="47">
        <v>-0.76290000000000002</v>
      </c>
      <c r="N31" s="42">
        <v>1</v>
      </c>
      <c r="O31" s="39" t="s">
        <v>154</v>
      </c>
      <c r="P31" s="39" t="s">
        <v>151</v>
      </c>
    </row>
    <row r="32" spans="1:16" x14ac:dyDescent="0.3">
      <c r="A32" s="39" t="s">
        <v>155</v>
      </c>
      <c r="B32" s="39" t="s">
        <v>147</v>
      </c>
      <c r="C32" s="39" t="s">
        <v>153</v>
      </c>
      <c r="D32" s="39" t="s">
        <v>149</v>
      </c>
      <c r="E32" s="39">
        <v>67.5</v>
      </c>
      <c r="F32" s="47">
        <v>0.150864</v>
      </c>
      <c r="G32" s="43">
        <v>63.213500000000003</v>
      </c>
      <c r="H32" s="47">
        <v>145.79990000000001</v>
      </c>
      <c r="I32" s="47">
        <v>14.497300000000001</v>
      </c>
      <c r="J32" s="47">
        <v>9.8215000000000003</v>
      </c>
      <c r="K32" s="47">
        <v>-5.8897000000000004</v>
      </c>
      <c r="L32" s="47">
        <v>13.0418</v>
      </c>
      <c r="M32" s="47">
        <v>-19.9315</v>
      </c>
      <c r="N32" s="42">
        <v>1</v>
      </c>
      <c r="O32" s="39" t="s">
        <v>154</v>
      </c>
      <c r="P32" s="39" t="s">
        <v>151</v>
      </c>
    </row>
    <row r="33" spans="1:16" x14ac:dyDescent="0.3">
      <c r="A33" s="39" t="s">
        <v>156</v>
      </c>
      <c r="B33" s="39" t="s">
        <v>147</v>
      </c>
      <c r="C33" s="39" t="s">
        <v>157</v>
      </c>
      <c r="D33" s="39" t="s">
        <v>149</v>
      </c>
      <c r="E33" s="39">
        <v>35</v>
      </c>
      <c r="F33" s="47">
        <v>1.1721440000000001</v>
      </c>
      <c r="G33" s="43">
        <v>16.6464</v>
      </c>
      <c r="H33" s="47">
        <v>168.86080000000001</v>
      </c>
      <c r="I33" s="47">
        <v>8.1624999999999996</v>
      </c>
      <c r="J33" s="47">
        <v>24.008299999999998</v>
      </c>
      <c r="K33" s="47">
        <v>9.3744000000000014</v>
      </c>
      <c r="L33" s="47">
        <v>0.83069999999999988</v>
      </c>
      <c r="M33" s="47">
        <v>10.2051</v>
      </c>
      <c r="N33" s="42">
        <v>1</v>
      </c>
      <c r="O33" s="39" t="s">
        <v>158</v>
      </c>
      <c r="P33" s="39" t="s">
        <v>151</v>
      </c>
    </row>
    <row r="34" spans="1:16" x14ac:dyDescent="0.3">
      <c r="A34" s="39" t="s">
        <v>159</v>
      </c>
      <c r="B34" s="39" t="s">
        <v>147</v>
      </c>
      <c r="C34" s="39" t="s">
        <v>157</v>
      </c>
      <c r="D34" s="39" t="s">
        <v>149</v>
      </c>
      <c r="E34" s="39">
        <v>74.599999999999994</v>
      </c>
      <c r="F34" s="47">
        <v>-1.249843</v>
      </c>
      <c r="G34" s="43">
        <v>590.32939999999996</v>
      </c>
      <c r="H34" s="47">
        <v>539.94510000000002</v>
      </c>
      <c r="I34" s="47">
        <v>12.4186</v>
      </c>
      <c r="J34" s="47">
        <v>57.772500000000001</v>
      </c>
      <c r="K34" s="47">
        <v>-3.5597000000000003</v>
      </c>
      <c r="L34" s="47">
        <v>-8.6147000000000009</v>
      </c>
      <c r="M34" s="47">
        <v>-12.1744</v>
      </c>
      <c r="N34" s="42">
        <v>1</v>
      </c>
      <c r="O34" s="39" t="s">
        <v>154</v>
      </c>
      <c r="P34" s="39" t="s">
        <v>151</v>
      </c>
    </row>
    <row r="35" spans="1:16" x14ac:dyDescent="0.3">
      <c r="A35" s="39" t="s">
        <v>160</v>
      </c>
      <c r="B35" s="39" t="s">
        <v>147</v>
      </c>
      <c r="C35" s="39" t="s">
        <v>161</v>
      </c>
      <c r="D35" s="39" t="s">
        <v>149</v>
      </c>
      <c r="E35" s="39">
        <v>139.5</v>
      </c>
      <c r="F35" s="47">
        <v>1.657761</v>
      </c>
      <c r="G35" s="43">
        <v>571.45899999999995</v>
      </c>
      <c r="H35" s="47">
        <v>876.8350999999999</v>
      </c>
      <c r="I35" s="47">
        <v>58.058</v>
      </c>
      <c r="J35" s="47">
        <v>81.319699999999997</v>
      </c>
      <c r="K35" s="47">
        <v>29.840399999999999</v>
      </c>
      <c r="L35" s="47">
        <v>-5.7191000000000001</v>
      </c>
      <c r="M35" s="47">
        <v>24.081300000000002</v>
      </c>
      <c r="N35" s="42">
        <v>1</v>
      </c>
      <c r="O35" s="39" t="s">
        <v>154</v>
      </c>
      <c r="P35" s="39" t="s">
        <v>151</v>
      </c>
    </row>
    <row r="36" spans="1:16" x14ac:dyDescent="0.3">
      <c r="A36" s="39" t="s">
        <v>162</v>
      </c>
      <c r="B36" s="39" t="s">
        <v>147</v>
      </c>
      <c r="C36" s="39" t="s">
        <v>163</v>
      </c>
      <c r="D36" s="39" t="s">
        <v>149</v>
      </c>
      <c r="E36" s="39">
        <v>0.05</v>
      </c>
      <c r="F36" s="47">
        <v>2.0756220000000001</v>
      </c>
      <c r="G36" s="43">
        <v>10.491899999999999</v>
      </c>
      <c r="H36" s="47">
        <v>218.10409999999999</v>
      </c>
      <c r="I36" s="47">
        <v>4.9180000000000001</v>
      </c>
      <c r="J36" s="47">
        <v>232.01990000000001</v>
      </c>
      <c r="K36" s="47">
        <v>62.787799999999997</v>
      </c>
      <c r="L36" s="47">
        <v>-18.994199999999999</v>
      </c>
      <c r="M36" s="47">
        <v>43.793599999999998</v>
      </c>
      <c r="N36" s="42">
        <v>1</v>
      </c>
      <c r="O36" s="39" t="s">
        <v>154</v>
      </c>
      <c r="P36" s="39" t="s">
        <v>151</v>
      </c>
    </row>
    <row r="37" spans="1:16" x14ac:dyDescent="0.3">
      <c r="A37" s="39" t="s">
        <v>164</v>
      </c>
      <c r="B37" s="39" t="s">
        <v>147</v>
      </c>
      <c r="C37" s="39" t="s">
        <v>165</v>
      </c>
      <c r="D37" s="39" t="s">
        <v>149</v>
      </c>
      <c r="E37" s="39">
        <v>26.43</v>
      </c>
      <c r="F37" s="47">
        <v>-7.6283000000000004E-2</v>
      </c>
      <c r="G37" s="47">
        <v>345.24029999999999</v>
      </c>
      <c r="H37" s="47">
        <v>364.04199999999997</v>
      </c>
      <c r="I37" s="47">
        <v>28.190700000000003</v>
      </c>
      <c r="J37" s="47">
        <v>34.345700000000001</v>
      </c>
      <c r="K37" s="47">
        <v>-10.8817</v>
      </c>
      <c r="L37" s="47">
        <v>-3.8889999999999998</v>
      </c>
      <c r="M37" s="47">
        <v>-14.7707</v>
      </c>
      <c r="N37" s="42">
        <v>1</v>
      </c>
      <c r="O37" s="39" t="s">
        <v>166</v>
      </c>
      <c r="P37" s="39" t="s">
        <v>151</v>
      </c>
    </row>
    <row r="38" spans="1:16" x14ac:dyDescent="0.3">
      <c r="A38" s="39" t="s">
        <v>167</v>
      </c>
      <c r="B38" s="39" t="s">
        <v>147</v>
      </c>
      <c r="C38" s="39" t="s">
        <v>168</v>
      </c>
      <c r="D38" s="39" t="s">
        <v>149</v>
      </c>
      <c r="E38" s="39">
        <v>43.02</v>
      </c>
      <c r="F38" s="47">
        <v>0.162221</v>
      </c>
      <c r="G38" s="47">
        <v>606.94380000000001</v>
      </c>
      <c r="H38" s="47">
        <v>666.18589999999995</v>
      </c>
      <c r="I38" s="47">
        <v>19.011600000000001</v>
      </c>
      <c r="J38" s="47">
        <v>62.947200000000002</v>
      </c>
      <c r="K38" s="47">
        <v>17.484500000000001</v>
      </c>
      <c r="L38" s="47">
        <v>-10.8681</v>
      </c>
      <c r="M38" s="47">
        <v>6.6163999999999996</v>
      </c>
      <c r="N38" s="42">
        <v>1</v>
      </c>
      <c r="O38" s="39" t="s">
        <v>169</v>
      </c>
      <c r="P38" s="39" t="s">
        <v>151</v>
      </c>
    </row>
    <row r="39" spans="1:16" x14ac:dyDescent="0.3">
      <c r="A39" s="39" t="s">
        <v>170</v>
      </c>
      <c r="B39" s="39" t="s">
        <v>147</v>
      </c>
      <c r="C39" s="39" t="s">
        <v>171</v>
      </c>
      <c r="D39" s="39" t="s">
        <v>149</v>
      </c>
      <c r="E39" s="39">
        <v>65.28</v>
      </c>
      <c r="F39" s="47">
        <v>-8.9210000000000001E-3</v>
      </c>
      <c r="G39" s="47">
        <v>682.16690000000006</v>
      </c>
      <c r="H39" s="47">
        <v>746.5548</v>
      </c>
      <c r="I39" s="47">
        <v>12.984300000000001</v>
      </c>
      <c r="J39" s="47">
        <v>87.172299999999993</v>
      </c>
      <c r="K39" s="47">
        <v>17.526300000000003</v>
      </c>
      <c r="L39" s="47">
        <v>-9.1039999999999992</v>
      </c>
      <c r="M39" s="47">
        <v>8.4222999999999999</v>
      </c>
      <c r="N39" s="42">
        <v>1</v>
      </c>
      <c r="O39" s="39" t="s">
        <v>154</v>
      </c>
      <c r="P39" s="39" t="s">
        <v>151</v>
      </c>
    </row>
    <row r="40" spans="1:16" x14ac:dyDescent="0.3">
      <c r="A40" s="39" t="s">
        <v>172</v>
      </c>
      <c r="B40" s="39" t="s">
        <v>147</v>
      </c>
      <c r="C40" s="39" t="s">
        <v>168</v>
      </c>
      <c r="D40" s="39" t="s">
        <v>149</v>
      </c>
      <c r="E40" s="39">
        <v>39.299999999999997</v>
      </c>
      <c r="F40" s="47">
        <v>0.27352900000000002</v>
      </c>
      <c r="G40" s="47">
        <v>615.77089999999998</v>
      </c>
      <c r="H40" s="47">
        <v>682.42380000000003</v>
      </c>
      <c r="I40" s="47">
        <v>12.800599999999999</v>
      </c>
      <c r="J40" s="47">
        <v>72.908799999999999</v>
      </c>
      <c r="K40" s="47">
        <v>14.193900000000001</v>
      </c>
      <c r="L40" s="47">
        <v>-7.9903999999999993</v>
      </c>
      <c r="M40" s="47">
        <v>6.2034000000000002</v>
      </c>
      <c r="N40" s="42">
        <v>1</v>
      </c>
      <c r="O40" s="39" t="s">
        <v>154</v>
      </c>
      <c r="P40" s="39" t="s">
        <v>151</v>
      </c>
    </row>
    <row r="41" spans="1:16" x14ac:dyDescent="0.3">
      <c r="A41" s="39" t="s">
        <v>173</v>
      </c>
      <c r="B41" s="39" t="s">
        <v>147</v>
      </c>
      <c r="C41" s="39" t="s">
        <v>174</v>
      </c>
      <c r="D41" s="39" t="s">
        <v>149</v>
      </c>
      <c r="E41" s="39">
        <v>87.75</v>
      </c>
      <c r="F41" s="47">
        <v>-0.14476900000000001</v>
      </c>
      <c r="G41" s="47">
        <v>1080.1188999999999</v>
      </c>
      <c r="H41" s="47">
        <v>1153.3920000000001</v>
      </c>
      <c r="I41" s="47">
        <v>9.5221</v>
      </c>
      <c r="J41" s="47">
        <v>333.86239999999998</v>
      </c>
      <c r="K41" s="47">
        <v>8.5997000000000003</v>
      </c>
      <c r="L41" s="47">
        <v>-3.5147000000000004</v>
      </c>
      <c r="M41" s="47">
        <v>5.085</v>
      </c>
      <c r="N41" s="42">
        <v>1</v>
      </c>
      <c r="O41" s="39" t="s">
        <v>154</v>
      </c>
      <c r="P41" s="39" t="s">
        <v>151</v>
      </c>
    </row>
    <row r="42" spans="1:16" x14ac:dyDescent="0.3">
      <c r="A42" s="39" t="s">
        <v>175</v>
      </c>
      <c r="B42" s="39" t="s">
        <v>147</v>
      </c>
      <c r="C42" s="39" t="s">
        <v>176</v>
      </c>
      <c r="D42" s="39" t="s">
        <v>149</v>
      </c>
      <c r="E42" s="39">
        <v>66.81</v>
      </c>
      <c r="F42" s="47">
        <v>-0.127581</v>
      </c>
      <c r="G42" s="47">
        <v>553.32640000000004</v>
      </c>
      <c r="H42" s="47">
        <v>507.37830000000002</v>
      </c>
      <c r="I42" s="47">
        <v>49.0961</v>
      </c>
      <c r="J42" s="47">
        <v>64.344999999999999</v>
      </c>
      <c r="K42" s="47">
        <v>5.0338000000000003</v>
      </c>
      <c r="L42" s="47">
        <v>-12.135899999999999</v>
      </c>
      <c r="M42" s="47">
        <v>-7.1021000000000001</v>
      </c>
      <c r="N42" s="42">
        <v>1</v>
      </c>
      <c r="O42" s="39" t="s">
        <v>154</v>
      </c>
      <c r="P42" s="39" t="s">
        <v>151</v>
      </c>
    </row>
    <row r="43" spans="1:16" x14ac:dyDescent="0.3">
      <c r="A43" s="39" t="s">
        <v>177</v>
      </c>
      <c r="B43" s="39" t="s">
        <v>147</v>
      </c>
      <c r="C43" s="39" t="s">
        <v>178</v>
      </c>
      <c r="D43" s="39" t="s">
        <v>149</v>
      </c>
      <c r="E43" s="39">
        <v>39.35</v>
      </c>
      <c r="F43" s="47">
        <v>6.0743999999999999E-2</v>
      </c>
      <c r="G43" s="47">
        <v>415.8229</v>
      </c>
      <c r="H43" s="47">
        <v>451.24730000000005</v>
      </c>
      <c r="I43" s="47">
        <v>9.734</v>
      </c>
      <c r="J43" s="47">
        <v>289.94880000000001</v>
      </c>
      <c r="K43" s="47">
        <v>3.1587999999999998</v>
      </c>
      <c r="L43" s="47">
        <v>0.1492</v>
      </c>
      <c r="M43" s="47">
        <v>3.3080000000000003</v>
      </c>
      <c r="N43" s="42">
        <v>1</v>
      </c>
      <c r="O43" s="39" t="s">
        <v>169</v>
      </c>
      <c r="P43" s="39" t="s">
        <v>151</v>
      </c>
    </row>
    <row r="44" spans="1:16" x14ac:dyDescent="0.3">
      <c r="A44" s="39" t="s">
        <v>179</v>
      </c>
      <c r="B44" s="39" t="s">
        <v>147</v>
      </c>
      <c r="C44" s="39" t="s">
        <v>180</v>
      </c>
      <c r="D44" s="39" t="s">
        <v>149</v>
      </c>
      <c r="E44" s="39">
        <v>42.29</v>
      </c>
      <c r="F44" s="47">
        <v>-3.6194000000000004E-2</v>
      </c>
      <c r="G44" s="47">
        <v>477.4126</v>
      </c>
      <c r="H44" s="47">
        <v>516.08320000000003</v>
      </c>
      <c r="I44" s="47">
        <v>0</v>
      </c>
      <c r="J44" s="47">
        <v>515.04330000000004</v>
      </c>
      <c r="K44" s="47">
        <v>-2.4815999999999998</v>
      </c>
      <c r="L44" s="47">
        <v>0</v>
      </c>
      <c r="M44" s="47">
        <v>-2.4815999999999998</v>
      </c>
      <c r="N44" s="42">
        <v>1</v>
      </c>
      <c r="O44" s="39" t="s">
        <v>154</v>
      </c>
      <c r="P44" s="39" t="s">
        <v>151</v>
      </c>
    </row>
    <row r="45" spans="1:16" x14ac:dyDescent="0.3">
      <c r="A45" s="39" t="s">
        <v>181</v>
      </c>
      <c r="B45" s="39" t="s">
        <v>147</v>
      </c>
      <c r="C45" s="39" t="s">
        <v>180</v>
      </c>
      <c r="D45" s="39" t="s">
        <v>149</v>
      </c>
      <c r="E45" s="39">
        <v>53.77</v>
      </c>
      <c r="F45" s="47">
        <v>8.6289999999999995E-3</v>
      </c>
      <c r="G45" s="47">
        <v>570.1653</v>
      </c>
      <c r="H45" s="47">
        <v>624.79819999999995</v>
      </c>
      <c r="I45" s="47">
        <v>13.345999999999998</v>
      </c>
      <c r="J45" s="47">
        <v>663.83649999999989</v>
      </c>
      <c r="K45" s="47">
        <v>1.6709000000000001</v>
      </c>
      <c r="L45" s="47">
        <v>-0.14080000000000001</v>
      </c>
      <c r="M45" s="47">
        <v>1.53</v>
      </c>
      <c r="N45" s="42">
        <v>1</v>
      </c>
      <c r="O45" s="39" t="s">
        <v>154</v>
      </c>
      <c r="P45" s="39" t="s">
        <v>151</v>
      </c>
    </row>
    <row r="46" spans="1:16" x14ac:dyDescent="0.3">
      <c r="A46" s="39" t="s">
        <v>182</v>
      </c>
      <c r="B46" s="39" t="s">
        <v>147</v>
      </c>
      <c r="C46" s="39" t="s">
        <v>183</v>
      </c>
      <c r="D46" s="39" t="s">
        <v>149</v>
      </c>
      <c r="E46" s="39">
        <v>82.59</v>
      </c>
      <c r="F46" s="47">
        <v>2.3469000000000004E-2</v>
      </c>
      <c r="G46" s="47">
        <v>815.55410000000006</v>
      </c>
      <c r="H46" s="47">
        <v>900.4910000000001</v>
      </c>
      <c r="I46" s="47">
        <v>16.222899999999999</v>
      </c>
      <c r="J46" s="47">
        <v>620.51930000000004</v>
      </c>
      <c r="K46" s="47">
        <v>5.3891999999999998</v>
      </c>
      <c r="L46" s="47">
        <v>-0.14269999999999999</v>
      </c>
      <c r="M46" s="47">
        <v>5.2465000000000002</v>
      </c>
      <c r="N46" s="42">
        <v>1</v>
      </c>
      <c r="O46" s="39" t="s">
        <v>154</v>
      </c>
      <c r="P46" s="39" t="s">
        <v>151</v>
      </c>
    </row>
    <row r="47" spans="1:16" x14ac:dyDescent="0.3">
      <c r="A47" s="39" t="s">
        <v>184</v>
      </c>
      <c r="B47" s="39" t="s">
        <v>185</v>
      </c>
      <c r="C47" s="39" t="s">
        <v>186</v>
      </c>
      <c r="D47" s="39" t="s">
        <v>149</v>
      </c>
      <c r="E47" s="39">
        <v>47.78</v>
      </c>
      <c r="F47" s="47">
        <v>-6.5254000000000006E-2</v>
      </c>
      <c r="G47" s="47">
        <v>519.52089999999998</v>
      </c>
      <c r="H47" s="47">
        <v>560.77550000000008</v>
      </c>
      <c r="I47" s="47">
        <v>13.578199999999999</v>
      </c>
      <c r="J47" s="47">
        <v>546.4588</v>
      </c>
      <c r="K47" s="47">
        <v>-5.4721000000000002</v>
      </c>
      <c r="L47" s="47">
        <v>-0.10640000000000001</v>
      </c>
      <c r="M47" s="47">
        <v>-5.5785</v>
      </c>
      <c r="N47" s="42">
        <v>1</v>
      </c>
      <c r="O47" s="39" t="s">
        <v>154</v>
      </c>
      <c r="P47" s="39" t="s">
        <v>151</v>
      </c>
    </row>
    <row r="48" spans="1:16" x14ac:dyDescent="0.3">
      <c r="A48" s="39" t="s">
        <v>187</v>
      </c>
      <c r="B48" s="39" t="s">
        <v>147</v>
      </c>
      <c r="C48" s="39" t="s">
        <v>188</v>
      </c>
      <c r="D48" s="39" t="s">
        <v>149</v>
      </c>
      <c r="E48" s="39">
        <v>1</v>
      </c>
      <c r="F48" s="47">
        <v>-8.202000000000001E-3</v>
      </c>
      <c r="G48" s="47">
        <v>99.298899999999989</v>
      </c>
      <c r="H48" s="47">
        <v>99.478700000000003</v>
      </c>
      <c r="I48" s="47">
        <v>0</v>
      </c>
      <c r="J48" s="47">
        <v>79.858199999999997</v>
      </c>
      <c r="K48" s="47">
        <v>-0.82019999999999993</v>
      </c>
      <c r="L48" s="47">
        <v>0</v>
      </c>
      <c r="M48" s="47">
        <v>-0.82019999999999993</v>
      </c>
      <c r="N48" s="42">
        <v>1</v>
      </c>
      <c r="O48" s="39" t="s">
        <v>154</v>
      </c>
      <c r="P48" s="39" t="s">
        <v>151</v>
      </c>
    </row>
    <row r="49" spans="1:16" x14ac:dyDescent="0.3">
      <c r="A49" s="39" t="s">
        <v>189</v>
      </c>
      <c r="B49" s="39" t="s">
        <v>147</v>
      </c>
      <c r="C49" s="39" t="s">
        <v>188</v>
      </c>
      <c r="D49" s="39" t="s">
        <v>149</v>
      </c>
      <c r="E49" s="39">
        <v>0.25</v>
      </c>
      <c r="F49" s="47">
        <v>-4.6239999999999996E-3</v>
      </c>
      <c r="G49" s="47">
        <v>60.480800000000002</v>
      </c>
      <c r="H49" s="47">
        <v>60.693199999999997</v>
      </c>
      <c r="I49" s="47">
        <v>0</v>
      </c>
      <c r="J49" s="47">
        <v>51.124899999999997</v>
      </c>
      <c r="K49" s="47">
        <v>-0.46240000000000003</v>
      </c>
      <c r="L49" s="47">
        <v>0</v>
      </c>
      <c r="M49" s="47">
        <v>-0.46240000000000003</v>
      </c>
      <c r="N49" s="42">
        <v>1</v>
      </c>
      <c r="O49" s="39" t="s">
        <v>154</v>
      </c>
      <c r="P49" s="39" t="s">
        <v>151</v>
      </c>
    </row>
    <row r="50" spans="1:16" x14ac:dyDescent="0.3">
      <c r="A50" s="39" t="s">
        <v>190</v>
      </c>
      <c r="B50" s="39" t="s">
        <v>147</v>
      </c>
      <c r="C50" s="39" t="s">
        <v>191</v>
      </c>
      <c r="D50" s="39" t="s">
        <v>149</v>
      </c>
      <c r="E50" s="39">
        <v>1</v>
      </c>
      <c r="F50" s="47">
        <v>-8.1679999999999999E-3</v>
      </c>
      <c r="G50" s="47">
        <v>118.82719999999999</v>
      </c>
      <c r="H50" s="47">
        <v>119.0104</v>
      </c>
      <c r="I50" s="47">
        <v>0</v>
      </c>
      <c r="J50" s="47">
        <v>96.41040000000001</v>
      </c>
      <c r="K50" s="47">
        <v>-0.81680000000000008</v>
      </c>
      <c r="L50" s="47">
        <v>0</v>
      </c>
      <c r="M50" s="47">
        <v>-0.81680000000000008</v>
      </c>
      <c r="N50" s="42">
        <v>1</v>
      </c>
      <c r="O50" s="39" t="s">
        <v>154</v>
      </c>
      <c r="P50" s="39" t="s">
        <v>151</v>
      </c>
    </row>
    <row r="51" spans="1:16" x14ac:dyDescent="0.3">
      <c r="A51" s="39" t="s">
        <v>192</v>
      </c>
      <c r="B51" s="39" t="s">
        <v>147</v>
      </c>
      <c r="C51" s="39" t="s">
        <v>193</v>
      </c>
      <c r="D51" s="39" t="s">
        <v>149</v>
      </c>
      <c r="E51" s="39">
        <v>0.25</v>
      </c>
      <c r="F51" s="47">
        <v>-4.3959999999999997E-3</v>
      </c>
      <c r="G51" s="47">
        <v>23.8643</v>
      </c>
      <c r="H51" s="47">
        <v>23.674699999999998</v>
      </c>
      <c r="I51" s="47">
        <v>0</v>
      </c>
      <c r="J51" s="47">
        <v>19.735199999999999</v>
      </c>
      <c r="K51" s="47">
        <v>-0.43959999999999999</v>
      </c>
      <c r="L51" s="47">
        <v>0</v>
      </c>
      <c r="M51" s="47">
        <v>-0.43959999999999999</v>
      </c>
      <c r="N51" s="42">
        <v>1</v>
      </c>
      <c r="O51" s="39" t="s">
        <v>154</v>
      </c>
      <c r="P51" s="39" t="s">
        <v>151</v>
      </c>
    </row>
    <row r="52" spans="1:16" x14ac:dyDescent="0.3">
      <c r="A52" s="39" t="s">
        <v>194</v>
      </c>
      <c r="B52" s="39" t="s">
        <v>147</v>
      </c>
      <c r="C52" s="39" t="s">
        <v>195</v>
      </c>
      <c r="D52" s="39" t="s">
        <v>149</v>
      </c>
      <c r="E52" s="39">
        <v>0.25</v>
      </c>
      <c r="F52" s="47">
        <v>-4.47E-3</v>
      </c>
      <c r="G52" s="47">
        <v>31.243099999999998</v>
      </c>
      <c r="H52" s="47">
        <v>31.046100000000003</v>
      </c>
      <c r="I52" s="47">
        <v>0</v>
      </c>
      <c r="J52" s="47">
        <v>21.3307</v>
      </c>
      <c r="K52" s="47">
        <v>-0.44700000000000001</v>
      </c>
      <c r="L52" s="47">
        <v>0</v>
      </c>
      <c r="M52" s="47">
        <v>-0.44700000000000001</v>
      </c>
      <c r="N52" s="42">
        <v>1</v>
      </c>
      <c r="O52" s="39" t="s">
        <v>196</v>
      </c>
      <c r="P52" s="39" t="s">
        <v>151</v>
      </c>
    </row>
    <row r="53" spans="1:16" x14ac:dyDescent="0.3">
      <c r="A53" s="39" t="s">
        <v>197</v>
      </c>
      <c r="B53" s="39" t="s">
        <v>147</v>
      </c>
      <c r="C53" s="39" t="s">
        <v>198</v>
      </c>
      <c r="D53" s="39" t="s">
        <v>149</v>
      </c>
      <c r="E53" s="39">
        <v>0.25</v>
      </c>
      <c r="F53" s="47">
        <v>-4.4910000000000002E-3</v>
      </c>
      <c r="G53" s="47">
        <v>4.0622000000000007</v>
      </c>
      <c r="H53" s="47">
        <v>3.8531</v>
      </c>
      <c r="I53" s="47">
        <v>0</v>
      </c>
      <c r="J53" s="47">
        <v>0</v>
      </c>
      <c r="K53" s="47">
        <v>-0.44909999999999994</v>
      </c>
      <c r="L53" s="47">
        <v>0</v>
      </c>
      <c r="M53" s="47">
        <v>-0.44909999999999994</v>
      </c>
      <c r="N53" s="42">
        <v>1</v>
      </c>
      <c r="O53" s="39" t="s">
        <v>154</v>
      </c>
      <c r="P53" s="39" t="s">
        <v>151</v>
      </c>
    </row>
    <row r="54" spans="1:16" x14ac:dyDescent="0.3">
      <c r="A54" s="39" t="s">
        <v>199</v>
      </c>
      <c r="B54" s="39" t="s">
        <v>147</v>
      </c>
      <c r="C54" s="39" t="s">
        <v>198</v>
      </c>
      <c r="D54" s="39" t="s">
        <v>149</v>
      </c>
      <c r="E54" s="39">
        <v>0.25</v>
      </c>
      <c r="F54" s="47">
        <v>-4.5170000000000002E-3</v>
      </c>
      <c r="G54" s="47">
        <v>64.238399999999999</v>
      </c>
      <c r="H54" s="47">
        <v>64.036699999999996</v>
      </c>
      <c r="I54" s="47">
        <v>0</v>
      </c>
      <c r="J54" s="47">
        <v>53.949300000000001</v>
      </c>
      <c r="K54" s="47">
        <v>-0.45169999999999999</v>
      </c>
      <c r="L54" s="47">
        <v>0</v>
      </c>
      <c r="M54" s="47">
        <v>-0.45169999999999999</v>
      </c>
      <c r="N54" s="42">
        <v>1</v>
      </c>
      <c r="O54" s="39" t="s">
        <v>154</v>
      </c>
      <c r="P54" s="39" t="s">
        <v>151</v>
      </c>
    </row>
    <row r="55" spans="1:16" x14ac:dyDescent="0.3">
      <c r="G55" s="74">
        <f>SUM(G30:G54)</f>
        <v>8436.0584999999974</v>
      </c>
      <c r="H55" s="74">
        <f>SUM(H30:H54)</f>
        <v>10663.454599999997</v>
      </c>
      <c r="J55" s="74">
        <f>SUM(J30:J54)</f>
        <v>4063.6590000000006</v>
      </c>
      <c r="K55" s="74">
        <f>SUM(K30:K54)</f>
        <v>140.10460000000003</v>
      </c>
      <c r="M55" s="74">
        <f>SUM(M30:M54)</f>
        <v>46.982599999999991</v>
      </c>
    </row>
    <row r="59" spans="1:16" x14ac:dyDescent="0.3">
      <c r="A59" s="273"/>
      <c r="B59" s="238"/>
      <c r="C59" s="238"/>
      <c r="D59" s="238"/>
      <c r="E59" s="238"/>
      <c r="F59" s="238"/>
      <c r="G59" s="238"/>
      <c r="H59" s="238"/>
      <c r="I59" s="238"/>
      <c r="J59" s="238"/>
      <c r="K59" s="238"/>
      <c r="L59" s="238"/>
      <c r="M59" s="238"/>
      <c r="N59" s="238"/>
      <c r="O59" s="238"/>
      <c r="P59" s="238"/>
    </row>
    <row r="60" spans="1:16" x14ac:dyDescent="0.3">
      <c r="A60" s="238"/>
      <c r="B60" s="238"/>
      <c r="C60" s="238"/>
      <c r="D60" s="238"/>
      <c r="E60" s="238"/>
      <c r="F60" s="238"/>
      <c r="G60" s="238"/>
      <c r="H60" s="238"/>
      <c r="I60" s="238"/>
      <c r="J60" s="238"/>
      <c r="K60" s="238"/>
      <c r="L60" s="238"/>
      <c r="M60" s="238"/>
      <c r="N60" s="238"/>
      <c r="O60" s="238"/>
      <c r="P60" s="238"/>
    </row>
    <row r="61" spans="1:16" x14ac:dyDescent="0.3">
      <c r="A61" s="238"/>
      <c r="B61" s="238"/>
      <c r="C61" s="238"/>
      <c r="D61" s="238"/>
      <c r="E61" s="238"/>
      <c r="F61" s="238"/>
      <c r="G61" s="238"/>
      <c r="H61" s="238"/>
      <c r="I61" s="238"/>
      <c r="J61" s="238"/>
      <c r="K61" s="238"/>
      <c r="L61" s="238"/>
      <c r="M61" s="238"/>
      <c r="N61" s="238"/>
      <c r="O61" s="238"/>
      <c r="P61" s="238"/>
    </row>
    <row r="62" spans="1:16" x14ac:dyDescent="0.3">
      <c r="A62" s="40"/>
      <c r="B62" s="40"/>
      <c r="C62" s="41"/>
      <c r="D62" s="40"/>
      <c r="E62" s="40"/>
      <c r="F62" s="41"/>
      <c r="G62" s="41"/>
      <c r="H62" s="41"/>
      <c r="I62" s="40"/>
      <c r="J62" s="40"/>
      <c r="K62" s="41"/>
      <c r="L62" s="41"/>
      <c r="M62" s="41"/>
      <c r="N62" s="41"/>
      <c r="O62" s="40"/>
      <c r="P62" s="40"/>
    </row>
    <row r="63" spans="1:16" x14ac:dyDescent="0.3">
      <c r="A63" s="39"/>
      <c r="B63" s="39"/>
      <c r="C63" s="39"/>
      <c r="D63" s="39"/>
      <c r="E63" s="39"/>
      <c r="F63" s="47"/>
      <c r="G63" s="43"/>
      <c r="H63" s="47"/>
      <c r="I63" s="47"/>
      <c r="J63" s="47"/>
      <c r="K63" s="47"/>
      <c r="L63" s="47"/>
      <c r="M63" s="47"/>
      <c r="N63" s="42"/>
      <c r="O63" s="39"/>
      <c r="P63" s="39"/>
    </row>
    <row r="64" spans="1:16" x14ac:dyDescent="0.3">
      <c r="A64" s="39"/>
      <c r="B64" s="39"/>
      <c r="C64" s="39"/>
      <c r="D64" s="39"/>
      <c r="E64" s="39"/>
      <c r="F64" s="47"/>
      <c r="G64" s="43"/>
      <c r="H64" s="47"/>
      <c r="I64" s="47"/>
      <c r="J64" s="47"/>
      <c r="K64" s="47"/>
      <c r="L64" s="47"/>
      <c r="M64" s="47"/>
      <c r="N64" s="42"/>
      <c r="O64" s="39"/>
      <c r="P64" s="39"/>
    </row>
    <row r="65" spans="1:16" x14ac:dyDescent="0.3">
      <c r="A65" s="39"/>
      <c r="B65" s="39"/>
      <c r="C65" s="39"/>
      <c r="D65" s="39"/>
      <c r="E65" s="39"/>
      <c r="F65" s="47"/>
      <c r="G65" s="43"/>
      <c r="H65" s="47"/>
      <c r="I65" s="47"/>
      <c r="J65" s="47"/>
      <c r="K65" s="47"/>
      <c r="L65" s="47"/>
      <c r="M65" s="47"/>
      <c r="N65" s="42"/>
      <c r="O65" s="39"/>
      <c r="P65" s="39"/>
    </row>
    <row r="66" spans="1:16" x14ac:dyDescent="0.3">
      <c r="A66" s="39"/>
      <c r="B66" s="39"/>
      <c r="C66" s="39"/>
      <c r="D66" s="39"/>
      <c r="E66" s="39"/>
      <c r="F66" s="47"/>
      <c r="G66" s="43"/>
      <c r="H66" s="47"/>
      <c r="I66" s="47"/>
      <c r="J66" s="47"/>
      <c r="K66" s="47"/>
      <c r="L66" s="47"/>
      <c r="M66" s="47"/>
      <c r="N66" s="42"/>
      <c r="O66" s="39"/>
      <c r="P66" s="39"/>
    </row>
    <row r="67" spans="1:16" x14ac:dyDescent="0.3">
      <c r="A67" s="39"/>
      <c r="B67" s="39"/>
      <c r="C67" s="39"/>
      <c r="D67" s="39"/>
      <c r="E67" s="39"/>
      <c r="F67" s="47"/>
      <c r="G67" s="43"/>
      <c r="H67" s="47"/>
      <c r="I67" s="47"/>
      <c r="J67" s="47"/>
      <c r="K67" s="47"/>
      <c r="L67" s="47"/>
      <c r="M67" s="47"/>
      <c r="N67" s="42"/>
      <c r="O67" s="39"/>
      <c r="P67" s="39"/>
    </row>
    <row r="68" spans="1:16" x14ac:dyDescent="0.3">
      <c r="A68" s="39"/>
      <c r="B68" s="39"/>
      <c r="C68" s="39"/>
      <c r="D68" s="39"/>
      <c r="E68" s="39"/>
      <c r="F68" s="47"/>
      <c r="G68" s="43"/>
      <c r="H68" s="47"/>
      <c r="I68" s="47"/>
      <c r="J68" s="47"/>
      <c r="K68" s="47"/>
      <c r="L68" s="47"/>
      <c r="M68" s="47"/>
      <c r="N68" s="42"/>
      <c r="O68" s="39"/>
      <c r="P68" s="39"/>
    </row>
    <row r="69" spans="1:16" x14ac:dyDescent="0.3">
      <c r="A69" s="39"/>
      <c r="B69" s="39"/>
      <c r="C69" s="39"/>
      <c r="D69" s="39"/>
      <c r="E69" s="39"/>
      <c r="F69" s="47"/>
      <c r="G69" s="43"/>
      <c r="H69" s="47"/>
      <c r="I69" s="47"/>
      <c r="J69" s="47"/>
      <c r="K69" s="47"/>
      <c r="L69" s="47"/>
      <c r="M69" s="47"/>
      <c r="N69" s="42"/>
      <c r="O69" s="39"/>
      <c r="P69" s="39"/>
    </row>
    <row r="70" spans="1:16" x14ac:dyDescent="0.3">
      <c r="A70" s="39"/>
      <c r="B70" s="39"/>
      <c r="C70" s="39"/>
      <c r="D70" s="39"/>
      <c r="E70" s="39"/>
      <c r="F70" s="47"/>
      <c r="G70" s="47"/>
      <c r="H70" s="47"/>
      <c r="I70" s="47"/>
      <c r="J70" s="47"/>
      <c r="K70" s="47"/>
      <c r="L70" s="47"/>
      <c r="M70" s="47"/>
      <c r="N70" s="42"/>
      <c r="O70" s="39"/>
      <c r="P70" s="39"/>
    </row>
    <row r="71" spans="1:16" x14ac:dyDescent="0.3">
      <c r="A71" s="39"/>
      <c r="B71" s="39"/>
      <c r="C71" s="39"/>
      <c r="D71" s="39"/>
      <c r="E71" s="39"/>
      <c r="F71" s="47"/>
      <c r="G71" s="47"/>
      <c r="H71" s="47"/>
      <c r="I71" s="47"/>
      <c r="J71" s="47"/>
      <c r="K71" s="47"/>
      <c r="L71" s="47"/>
      <c r="M71" s="47"/>
      <c r="N71" s="42"/>
      <c r="O71" s="39"/>
      <c r="P71" s="39"/>
    </row>
    <row r="72" spans="1:16" x14ac:dyDescent="0.3">
      <c r="A72" s="39"/>
      <c r="B72" s="39"/>
      <c r="C72" s="39"/>
      <c r="D72" s="39"/>
      <c r="E72" s="39"/>
      <c r="F72" s="47"/>
      <c r="G72" s="47"/>
      <c r="H72" s="47"/>
      <c r="I72" s="47"/>
      <c r="J72" s="47"/>
      <c r="K72" s="47"/>
      <c r="L72" s="47"/>
      <c r="M72" s="47"/>
      <c r="N72" s="42"/>
      <c r="O72" s="39"/>
      <c r="P72" s="39"/>
    </row>
    <row r="73" spans="1:16" x14ac:dyDescent="0.3">
      <c r="A73" s="39"/>
      <c r="B73" s="39"/>
      <c r="C73" s="39"/>
      <c r="D73" s="39"/>
      <c r="E73" s="39"/>
      <c r="F73" s="47"/>
      <c r="G73" s="47"/>
      <c r="H73" s="47"/>
      <c r="I73" s="47"/>
      <c r="J73" s="47"/>
      <c r="K73" s="47"/>
      <c r="L73" s="47"/>
      <c r="M73" s="47"/>
      <c r="N73" s="42"/>
      <c r="O73" s="39"/>
      <c r="P73" s="39"/>
    </row>
    <row r="74" spans="1:16" x14ac:dyDescent="0.3">
      <c r="A74" s="39"/>
      <c r="B74" s="39"/>
      <c r="C74" s="39"/>
      <c r="D74" s="39"/>
      <c r="E74" s="39"/>
      <c r="F74" s="47"/>
      <c r="G74" s="47"/>
      <c r="H74" s="47"/>
      <c r="I74" s="47"/>
      <c r="J74" s="47"/>
      <c r="K74" s="47"/>
      <c r="L74" s="47"/>
      <c r="M74" s="47"/>
      <c r="N74" s="42"/>
      <c r="O74" s="39"/>
      <c r="P74" s="39"/>
    </row>
    <row r="75" spans="1:16" x14ac:dyDescent="0.3">
      <c r="A75" s="39"/>
      <c r="B75" s="39"/>
      <c r="C75" s="39"/>
      <c r="D75" s="39"/>
      <c r="E75" s="39"/>
      <c r="F75" s="47"/>
      <c r="G75" s="47"/>
      <c r="H75" s="47"/>
      <c r="I75" s="47"/>
      <c r="J75" s="47"/>
      <c r="K75" s="47"/>
      <c r="L75" s="47"/>
      <c r="M75" s="47"/>
      <c r="N75" s="42"/>
      <c r="O75" s="39"/>
      <c r="P75" s="39"/>
    </row>
    <row r="76" spans="1:16" x14ac:dyDescent="0.3">
      <c r="A76" s="39"/>
      <c r="B76" s="39"/>
      <c r="C76" s="39"/>
      <c r="D76" s="39"/>
      <c r="E76" s="39"/>
      <c r="F76" s="47"/>
      <c r="G76" s="47"/>
      <c r="H76" s="47"/>
      <c r="I76" s="47"/>
      <c r="J76" s="47"/>
      <c r="K76" s="47"/>
      <c r="L76" s="47"/>
      <c r="M76" s="47"/>
      <c r="N76" s="42"/>
      <c r="O76" s="39"/>
      <c r="P76" s="39"/>
    </row>
    <row r="77" spans="1:16" x14ac:dyDescent="0.3">
      <c r="A77" s="39"/>
      <c r="B77" s="39"/>
      <c r="C77" s="39"/>
      <c r="D77" s="39"/>
      <c r="E77" s="39"/>
      <c r="F77" s="47"/>
      <c r="G77" s="47"/>
      <c r="H77" s="47"/>
      <c r="I77" s="47"/>
      <c r="J77" s="47"/>
      <c r="K77" s="47"/>
      <c r="L77" s="47"/>
      <c r="M77" s="47"/>
      <c r="N77" s="42"/>
      <c r="O77" s="39"/>
      <c r="P77" s="39"/>
    </row>
    <row r="78" spans="1:16" x14ac:dyDescent="0.3">
      <c r="A78" s="39"/>
      <c r="B78" s="39"/>
      <c r="C78" s="39"/>
      <c r="D78" s="39"/>
      <c r="E78" s="39"/>
      <c r="F78" s="47"/>
      <c r="G78" s="47"/>
      <c r="H78" s="47"/>
      <c r="I78" s="47"/>
      <c r="J78" s="47"/>
      <c r="K78" s="47"/>
      <c r="L78" s="47"/>
      <c r="M78" s="47"/>
      <c r="N78" s="42"/>
      <c r="O78" s="39"/>
      <c r="P78" s="39"/>
    </row>
    <row r="79" spans="1:16" x14ac:dyDescent="0.3">
      <c r="A79" s="39"/>
      <c r="B79" s="39"/>
      <c r="C79" s="39"/>
      <c r="D79" s="39"/>
      <c r="E79" s="39"/>
      <c r="F79" s="47"/>
      <c r="G79" s="47"/>
      <c r="H79" s="47"/>
      <c r="I79" s="47"/>
      <c r="J79" s="47"/>
      <c r="K79" s="47"/>
      <c r="L79" s="47"/>
      <c r="M79" s="47"/>
      <c r="N79" s="42"/>
      <c r="O79" s="39"/>
      <c r="P79" s="39"/>
    </row>
    <row r="80" spans="1:16" x14ac:dyDescent="0.3">
      <c r="A80" s="39"/>
      <c r="B80" s="39"/>
      <c r="C80" s="39"/>
      <c r="D80" s="39"/>
      <c r="E80" s="39"/>
      <c r="F80" s="47"/>
      <c r="G80" s="47"/>
      <c r="H80" s="47"/>
      <c r="I80" s="47"/>
      <c r="J80" s="47"/>
      <c r="K80" s="47"/>
      <c r="L80" s="47"/>
      <c r="M80" s="47"/>
      <c r="N80" s="42"/>
      <c r="O80" s="39"/>
      <c r="P80" s="39"/>
    </row>
    <row r="81" spans="1:16" x14ac:dyDescent="0.3">
      <c r="A81" s="39"/>
      <c r="B81" s="39"/>
      <c r="C81" s="39"/>
      <c r="D81" s="39"/>
      <c r="E81" s="39"/>
      <c r="F81" s="47"/>
      <c r="G81" s="47"/>
      <c r="H81" s="47"/>
      <c r="I81" s="47"/>
      <c r="J81" s="47"/>
      <c r="K81" s="47"/>
      <c r="L81" s="47"/>
      <c r="M81" s="47"/>
      <c r="N81" s="42"/>
      <c r="O81" s="39"/>
      <c r="P81" s="39"/>
    </row>
    <row r="82" spans="1:16" x14ac:dyDescent="0.3">
      <c r="A82" s="39"/>
      <c r="B82" s="39"/>
      <c r="C82" s="39"/>
      <c r="D82" s="39"/>
      <c r="E82" s="39"/>
      <c r="F82" s="47"/>
      <c r="G82" s="47"/>
      <c r="H82" s="47"/>
      <c r="I82" s="47"/>
      <c r="J82" s="47"/>
      <c r="K82" s="47"/>
      <c r="L82" s="47"/>
      <c r="M82" s="47"/>
      <c r="N82" s="42"/>
      <c r="O82" s="39"/>
      <c r="P82" s="39"/>
    </row>
    <row r="83" spans="1:16" x14ac:dyDescent="0.3">
      <c r="A83" s="39"/>
      <c r="B83" s="39"/>
      <c r="C83" s="39"/>
      <c r="D83" s="39"/>
      <c r="E83" s="39"/>
      <c r="F83" s="47"/>
      <c r="G83" s="47"/>
      <c r="H83" s="47"/>
      <c r="I83" s="47"/>
      <c r="J83" s="47"/>
      <c r="K83" s="47"/>
      <c r="L83" s="47"/>
      <c r="M83" s="47"/>
      <c r="N83" s="42"/>
      <c r="O83" s="39"/>
      <c r="P83" s="39"/>
    </row>
    <row r="84" spans="1:16" x14ac:dyDescent="0.3">
      <c r="A84" s="39"/>
      <c r="B84" s="39"/>
      <c r="C84" s="39"/>
      <c r="D84" s="39"/>
      <c r="E84" s="39"/>
      <c r="F84" s="47"/>
      <c r="G84" s="47"/>
      <c r="H84" s="47"/>
      <c r="I84" s="47"/>
      <c r="J84" s="47"/>
      <c r="K84" s="47"/>
      <c r="L84" s="47"/>
      <c r="M84" s="47"/>
      <c r="N84" s="42"/>
      <c r="O84" s="39"/>
      <c r="P84" s="39"/>
    </row>
    <row r="85" spans="1:16" x14ac:dyDescent="0.3">
      <c r="A85" s="39"/>
      <c r="B85" s="39"/>
      <c r="C85" s="39"/>
      <c r="D85" s="39"/>
      <c r="E85" s="39"/>
      <c r="F85" s="47"/>
      <c r="G85" s="47"/>
      <c r="H85" s="47"/>
      <c r="I85" s="47"/>
      <c r="J85" s="47"/>
      <c r="K85" s="47"/>
      <c r="L85" s="47"/>
      <c r="M85" s="47"/>
      <c r="N85" s="42"/>
      <c r="O85" s="39"/>
      <c r="P85" s="39"/>
    </row>
    <row r="86" spans="1:16" x14ac:dyDescent="0.3">
      <c r="A86" s="39"/>
      <c r="B86" s="39"/>
      <c r="C86" s="39"/>
      <c r="D86" s="39"/>
      <c r="E86" s="39"/>
      <c r="F86" s="47"/>
      <c r="G86" s="47"/>
      <c r="H86" s="47"/>
      <c r="I86" s="47"/>
      <c r="J86" s="47"/>
      <c r="K86" s="47"/>
      <c r="L86" s="47"/>
      <c r="M86" s="47"/>
      <c r="N86" s="42"/>
      <c r="O86" s="39"/>
      <c r="P86" s="39"/>
    </row>
    <row r="87" spans="1:16" x14ac:dyDescent="0.3">
      <c r="A87" s="39"/>
      <c r="B87" s="39"/>
      <c r="C87" s="39"/>
      <c r="D87" s="39"/>
      <c r="E87" s="39"/>
      <c r="F87" s="47"/>
      <c r="G87" s="47"/>
      <c r="H87" s="47"/>
      <c r="I87" s="47"/>
      <c r="J87" s="47"/>
      <c r="K87" s="47"/>
      <c r="L87" s="47"/>
      <c r="M87" s="47"/>
      <c r="N87" s="42"/>
      <c r="O87" s="39"/>
      <c r="P87" s="39"/>
    </row>
    <row r="88" spans="1:16" x14ac:dyDescent="0.3">
      <c r="G88" s="74"/>
      <c r="H88" s="74"/>
      <c r="J88" s="74"/>
      <c r="K88" s="74"/>
      <c r="M88" s="74"/>
    </row>
  </sheetData>
  <mergeCells count="3">
    <mergeCell ref="A59:P61"/>
    <mergeCell ref="A1:P2"/>
    <mergeCell ref="A27:P28"/>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9CAFD-5B88-4D94-96AB-54074BDB64C3}">
  <dimension ref="A1:L32"/>
  <sheetViews>
    <sheetView topLeftCell="C1" zoomScale="84" workbookViewId="0">
      <selection sqref="A1:AD1048576"/>
    </sheetView>
  </sheetViews>
  <sheetFormatPr defaultRowHeight="14.4" x14ac:dyDescent="0.3"/>
  <cols>
    <col min="1" max="1" width="10.21875" bestFit="1" customWidth="1"/>
    <col min="2" max="2" width="78.21875" bestFit="1" customWidth="1"/>
    <col min="3" max="3" width="138.5546875" bestFit="1" customWidth="1"/>
    <col min="4" max="4" width="26.109375" bestFit="1" customWidth="1"/>
    <col min="5" max="5" width="24" bestFit="1" customWidth="1"/>
    <col min="6" max="6" width="23.21875" bestFit="1" customWidth="1"/>
    <col min="7" max="7" width="13.44140625" bestFit="1" customWidth="1"/>
    <col min="8" max="8" width="23.21875" bestFit="1" customWidth="1"/>
    <col min="9" max="9" width="13.44140625" bestFit="1" customWidth="1"/>
    <col min="10" max="10" width="23.21875" bestFit="1" customWidth="1"/>
    <col min="11" max="11" width="13.44140625" bestFit="1" customWidth="1"/>
    <col min="12" max="12" width="23.21875" bestFit="1" customWidth="1"/>
  </cols>
  <sheetData>
    <row r="1" spans="1:12" x14ac:dyDescent="0.3">
      <c r="A1" s="274" t="s">
        <v>337</v>
      </c>
      <c r="B1" s="275"/>
      <c r="C1" s="275"/>
      <c r="D1" s="275"/>
      <c r="E1" s="275"/>
      <c r="F1" s="275"/>
      <c r="G1" s="275"/>
      <c r="H1" s="275"/>
      <c r="I1" s="275"/>
      <c r="J1" s="275"/>
      <c r="K1" s="275"/>
      <c r="L1" s="275"/>
    </row>
    <row r="2" spans="1:12" x14ac:dyDescent="0.3">
      <c r="A2" s="275"/>
      <c r="B2" s="275"/>
      <c r="C2" s="275"/>
      <c r="D2" s="275"/>
      <c r="E2" s="275"/>
      <c r="F2" s="275"/>
      <c r="G2" s="275"/>
      <c r="H2" s="275"/>
      <c r="I2" s="275"/>
      <c r="J2" s="275"/>
      <c r="K2" s="275"/>
      <c r="L2" s="275"/>
    </row>
    <row r="4" spans="1:12" x14ac:dyDescent="0.3">
      <c r="A4" s="80"/>
      <c r="B4" s="80"/>
      <c r="C4" s="276" t="s">
        <v>305</v>
      </c>
      <c r="D4" s="277"/>
      <c r="E4" s="276" t="s">
        <v>306</v>
      </c>
      <c r="F4" s="277"/>
      <c r="G4" s="276" t="s">
        <v>307</v>
      </c>
      <c r="H4" s="277"/>
      <c r="I4" s="276" t="s">
        <v>308</v>
      </c>
      <c r="J4" s="277"/>
      <c r="K4" s="278" t="s">
        <v>309</v>
      </c>
      <c r="L4" s="277"/>
    </row>
    <row r="5" spans="1:12" x14ac:dyDescent="0.3">
      <c r="A5" s="81" t="s">
        <v>310</v>
      </c>
      <c r="B5" s="82" t="s">
        <v>311</v>
      </c>
      <c r="C5" s="81" t="s">
        <v>312</v>
      </c>
      <c r="D5" s="84" t="s">
        <v>313</v>
      </c>
      <c r="E5" s="81" t="s">
        <v>312</v>
      </c>
      <c r="F5" s="84" t="s">
        <v>313</v>
      </c>
      <c r="G5" s="81" t="s">
        <v>312</v>
      </c>
      <c r="H5" s="84" t="s">
        <v>313</v>
      </c>
      <c r="I5" s="81" t="s">
        <v>312</v>
      </c>
      <c r="J5" s="84" t="s">
        <v>313</v>
      </c>
      <c r="K5" s="83" t="s">
        <v>312</v>
      </c>
      <c r="L5" s="84" t="s">
        <v>313</v>
      </c>
    </row>
    <row r="6" spans="1:12" x14ac:dyDescent="0.3">
      <c r="A6" s="85">
        <v>1</v>
      </c>
      <c r="B6" s="1" t="s">
        <v>314</v>
      </c>
      <c r="C6" s="86">
        <v>6549892</v>
      </c>
      <c r="D6" s="88">
        <v>6.91</v>
      </c>
      <c r="E6" s="86">
        <v>6549892</v>
      </c>
      <c r="F6" s="88">
        <v>6.91</v>
      </c>
      <c r="G6" s="86">
        <v>6549892</v>
      </c>
      <c r="H6" s="88">
        <v>6.91</v>
      </c>
      <c r="I6" s="86">
        <v>6549892</v>
      </c>
      <c r="J6" s="88">
        <v>6.91</v>
      </c>
      <c r="K6" s="87">
        <v>6549892</v>
      </c>
      <c r="L6" s="88">
        <v>6.91</v>
      </c>
    </row>
    <row r="7" spans="1:12" x14ac:dyDescent="0.3">
      <c r="A7" s="89">
        <v>2</v>
      </c>
      <c r="B7" s="1" t="s">
        <v>315</v>
      </c>
      <c r="C7" s="86">
        <v>8643036</v>
      </c>
      <c r="D7" s="88">
        <v>3.46</v>
      </c>
      <c r="E7" s="86">
        <v>8643036</v>
      </c>
      <c r="F7" s="88">
        <v>3.46</v>
      </c>
      <c r="G7" s="86">
        <v>8643036</v>
      </c>
      <c r="H7" s="88">
        <v>3.46</v>
      </c>
      <c r="I7" s="86">
        <v>8643036</v>
      </c>
      <c r="J7" s="88">
        <v>3.46</v>
      </c>
      <c r="K7" s="87">
        <v>8643036</v>
      </c>
      <c r="L7" s="88">
        <v>3.46</v>
      </c>
    </row>
    <row r="8" spans="1:12" x14ac:dyDescent="0.3">
      <c r="A8" s="89">
        <v>3</v>
      </c>
      <c r="B8" s="1" t="s">
        <v>316</v>
      </c>
      <c r="C8" s="79">
        <v>100</v>
      </c>
      <c r="D8" s="88" t="s">
        <v>237</v>
      </c>
      <c r="E8" s="79">
        <v>100</v>
      </c>
      <c r="F8" s="88" t="s">
        <v>237</v>
      </c>
      <c r="G8" s="79">
        <v>100</v>
      </c>
      <c r="H8" s="88" t="s">
        <v>237</v>
      </c>
      <c r="I8" s="79">
        <v>100</v>
      </c>
      <c r="J8" s="88" t="s">
        <v>237</v>
      </c>
      <c r="K8" s="39">
        <v>100</v>
      </c>
      <c r="L8" s="88" t="s">
        <v>237</v>
      </c>
    </row>
    <row r="9" spans="1:12" x14ac:dyDescent="0.3">
      <c r="A9" s="89">
        <v>4</v>
      </c>
      <c r="B9" s="1" t="s">
        <v>317</v>
      </c>
      <c r="C9" s="86">
        <v>1498757</v>
      </c>
      <c r="D9" s="88">
        <v>8</v>
      </c>
      <c r="E9" s="86">
        <v>1498757</v>
      </c>
      <c r="F9" s="88">
        <v>8</v>
      </c>
      <c r="G9" s="86">
        <v>1498757</v>
      </c>
      <c r="H9" s="88">
        <v>8</v>
      </c>
      <c r="I9" s="86">
        <v>1498757</v>
      </c>
      <c r="J9" s="88">
        <v>8</v>
      </c>
      <c r="K9" s="87">
        <v>1498757</v>
      </c>
      <c r="L9" s="88">
        <v>8</v>
      </c>
    </row>
    <row r="10" spans="1:12" x14ac:dyDescent="0.3">
      <c r="A10" s="89">
        <v>5</v>
      </c>
      <c r="B10" s="1" t="s">
        <v>318</v>
      </c>
      <c r="C10" s="79">
        <v>147</v>
      </c>
      <c r="D10" s="88">
        <v>0.17</v>
      </c>
      <c r="E10" s="79">
        <v>147</v>
      </c>
      <c r="F10" s="88">
        <v>0.17</v>
      </c>
      <c r="G10" s="79">
        <v>147</v>
      </c>
      <c r="H10" s="88">
        <v>0.17</v>
      </c>
      <c r="I10" s="79">
        <v>147</v>
      </c>
      <c r="J10" s="88">
        <v>0.17</v>
      </c>
      <c r="K10" s="39">
        <v>147</v>
      </c>
      <c r="L10" s="88">
        <v>0.17</v>
      </c>
    </row>
    <row r="11" spans="1:12" x14ac:dyDescent="0.3">
      <c r="A11" s="89">
        <v>6</v>
      </c>
      <c r="B11" s="1" t="s">
        <v>319</v>
      </c>
      <c r="C11" s="86" t="s">
        <v>237</v>
      </c>
      <c r="D11" s="88" t="s">
        <v>237</v>
      </c>
      <c r="E11" s="86">
        <v>20596720</v>
      </c>
      <c r="F11" s="88">
        <v>135.24</v>
      </c>
      <c r="G11" s="86">
        <v>20596720</v>
      </c>
      <c r="H11" s="88">
        <v>135.24</v>
      </c>
      <c r="I11" s="86">
        <v>20596720</v>
      </c>
      <c r="J11" s="88">
        <v>135.24</v>
      </c>
      <c r="K11" s="87">
        <v>20596720</v>
      </c>
      <c r="L11" s="88">
        <v>135.24</v>
      </c>
    </row>
    <row r="12" spans="1:12" x14ac:dyDescent="0.3">
      <c r="A12" s="89">
        <v>7</v>
      </c>
      <c r="B12" s="1" t="s">
        <v>320</v>
      </c>
      <c r="C12" s="86">
        <v>1499900</v>
      </c>
      <c r="D12" s="88">
        <v>1.5</v>
      </c>
      <c r="E12" s="86">
        <v>1499900</v>
      </c>
      <c r="F12" s="88">
        <v>1.5</v>
      </c>
      <c r="G12" s="86">
        <v>1499900</v>
      </c>
      <c r="H12" s="88">
        <v>1.5</v>
      </c>
      <c r="I12" s="86">
        <v>1499900</v>
      </c>
      <c r="J12" s="88">
        <v>1.5</v>
      </c>
      <c r="K12" s="87">
        <v>1499900</v>
      </c>
      <c r="L12" s="88">
        <v>1.5</v>
      </c>
    </row>
    <row r="13" spans="1:12" x14ac:dyDescent="0.3">
      <c r="A13" s="89">
        <v>8</v>
      </c>
      <c r="B13" s="1" t="s">
        <v>321</v>
      </c>
      <c r="C13" s="86">
        <v>10093</v>
      </c>
      <c r="D13" s="88">
        <v>1.1000000000000001</v>
      </c>
      <c r="E13" s="86">
        <v>10093</v>
      </c>
      <c r="F13" s="88">
        <v>1.07</v>
      </c>
      <c r="G13" s="86">
        <v>149993</v>
      </c>
      <c r="H13" s="88">
        <v>15.03</v>
      </c>
      <c r="I13" s="79" t="s">
        <v>237</v>
      </c>
      <c r="J13" s="88" t="s">
        <v>237</v>
      </c>
      <c r="K13" s="39" t="s">
        <v>237</v>
      </c>
      <c r="L13" s="88" t="s">
        <v>237</v>
      </c>
    </row>
    <row r="14" spans="1:12" x14ac:dyDescent="0.3">
      <c r="A14" s="89">
        <v>9</v>
      </c>
      <c r="B14" s="1" t="s">
        <v>322</v>
      </c>
      <c r="C14" s="79" t="s">
        <v>237</v>
      </c>
      <c r="D14" s="88" t="s">
        <v>237</v>
      </c>
      <c r="E14" s="79" t="s">
        <v>237</v>
      </c>
      <c r="F14" s="88" t="s">
        <v>237</v>
      </c>
      <c r="G14" s="79" t="s">
        <v>237</v>
      </c>
      <c r="H14" s="88" t="s">
        <v>237</v>
      </c>
      <c r="I14" s="79" t="s">
        <v>237</v>
      </c>
      <c r="J14" s="88" t="s">
        <v>237</v>
      </c>
      <c r="K14" s="87">
        <v>14702600</v>
      </c>
      <c r="L14" s="88">
        <v>14.7</v>
      </c>
    </row>
    <row r="15" spans="1:12" x14ac:dyDescent="0.3">
      <c r="A15" s="90">
        <v>10</v>
      </c>
      <c r="B15" s="17" t="s">
        <v>323</v>
      </c>
      <c r="C15" s="91" t="s">
        <v>237</v>
      </c>
      <c r="D15" s="93" t="s">
        <v>237</v>
      </c>
      <c r="E15" s="91" t="s">
        <v>237</v>
      </c>
      <c r="F15" s="93" t="s">
        <v>237</v>
      </c>
      <c r="G15" s="91" t="s">
        <v>237</v>
      </c>
      <c r="H15" s="93" t="s">
        <v>237</v>
      </c>
      <c r="I15" s="91" t="s">
        <v>237</v>
      </c>
      <c r="J15" s="93" t="s">
        <v>237</v>
      </c>
      <c r="K15" s="92" t="s">
        <v>237</v>
      </c>
      <c r="L15" s="93">
        <v>51.62</v>
      </c>
    </row>
    <row r="16" spans="1:12" x14ac:dyDescent="0.3">
      <c r="B16" s="70" t="s">
        <v>324</v>
      </c>
      <c r="C16" s="70"/>
      <c r="D16" s="96">
        <f>SUM(D6:D15)</f>
        <v>21.140000000000004</v>
      </c>
      <c r="E16" s="94"/>
      <c r="F16" s="96">
        <f t="shared" ref="F16:L16" si="0">SUM(F6:F15)</f>
        <v>156.35</v>
      </c>
      <c r="G16" s="94"/>
      <c r="H16" s="96">
        <f t="shared" si="0"/>
        <v>170.31</v>
      </c>
      <c r="I16" s="94"/>
      <c r="J16" s="96">
        <f t="shared" si="0"/>
        <v>155.28</v>
      </c>
      <c r="K16" s="114"/>
      <c r="L16" s="96">
        <f t="shared" si="0"/>
        <v>221.6</v>
      </c>
    </row>
    <row r="19" spans="1:12" x14ac:dyDescent="0.3">
      <c r="A19" s="274" t="s">
        <v>336</v>
      </c>
      <c r="B19" s="275"/>
      <c r="C19" s="275"/>
      <c r="D19" s="275"/>
      <c r="E19" s="275"/>
      <c r="F19" s="275"/>
      <c r="G19" s="275"/>
      <c r="H19" s="275"/>
      <c r="I19" s="275"/>
      <c r="J19" s="275"/>
      <c r="K19" s="275"/>
      <c r="L19" s="275"/>
    </row>
    <row r="20" spans="1:12" x14ac:dyDescent="0.3">
      <c r="A20" s="275"/>
      <c r="B20" s="275"/>
      <c r="C20" s="275"/>
      <c r="D20" s="275"/>
      <c r="E20" s="275"/>
      <c r="F20" s="275"/>
      <c r="G20" s="275"/>
      <c r="H20" s="275"/>
      <c r="I20" s="275"/>
      <c r="J20" s="275"/>
      <c r="K20" s="275"/>
      <c r="L20" s="275"/>
    </row>
    <row r="22" spans="1:12" x14ac:dyDescent="0.3">
      <c r="A22" s="80" t="s">
        <v>207</v>
      </c>
      <c r="B22" s="80" t="s">
        <v>295</v>
      </c>
      <c r="C22" s="80" t="s">
        <v>296</v>
      </c>
      <c r="D22" s="95" t="s">
        <v>297</v>
      </c>
      <c r="E22" s="95" t="s">
        <v>298</v>
      </c>
      <c r="F22" s="80" t="s">
        <v>299</v>
      </c>
      <c r="G22" s="80" t="s">
        <v>300</v>
      </c>
    </row>
    <row r="23" spans="1:12" x14ac:dyDescent="0.3">
      <c r="A23" s="59">
        <v>45457</v>
      </c>
      <c r="B23" t="s">
        <v>325</v>
      </c>
      <c r="C23" t="s">
        <v>326</v>
      </c>
      <c r="D23">
        <v>325.75</v>
      </c>
      <c r="E23" s="47">
        <v>328.6</v>
      </c>
      <c r="F23" s="18">
        <f t="shared" ref="F23:F29" si="1">(E23-D23)/D23</f>
        <v>8.7490406753646128E-3</v>
      </c>
      <c r="G23" t="str">
        <f t="shared" ref="G23:G29" si="2">IF(F23&gt;0,"Increase","Decrease")</f>
        <v>Increase</v>
      </c>
    </row>
    <row r="24" spans="1:12" x14ac:dyDescent="0.3">
      <c r="A24" s="78">
        <v>45427</v>
      </c>
      <c r="B24" t="s">
        <v>301</v>
      </c>
      <c r="C24" t="s">
        <v>327</v>
      </c>
      <c r="D24" s="47">
        <v>253.2</v>
      </c>
      <c r="E24" s="47">
        <v>251.4</v>
      </c>
      <c r="F24" s="18">
        <f t="shared" si="1"/>
        <v>-7.1090047393364258E-3</v>
      </c>
      <c r="G24" t="str">
        <f t="shared" si="2"/>
        <v>Decrease</v>
      </c>
    </row>
    <row r="25" spans="1:12" x14ac:dyDescent="0.3">
      <c r="A25" s="78">
        <v>45405</v>
      </c>
      <c r="B25" t="s">
        <v>328</v>
      </c>
      <c r="C25" t="s">
        <v>329</v>
      </c>
      <c r="D25" s="47">
        <v>249.85</v>
      </c>
      <c r="E25" s="47">
        <v>246</v>
      </c>
      <c r="F25" s="18">
        <f t="shared" si="1"/>
        <v>-1.5409245547328374E-2</v>
      </c>
      <c r="G25" t="str">
        <f t="shared" si="2"/>
        <v>Decrease</v>
      </c>
    </row>
    <row r="26" spans="1:12" x14ac:dyDescent="0.3">
      <c r="A26" s="78">
        <v>45383</v>
      </c>
      <c r="B26" t="s">
        <v>302</v>
      </c>
      <c r="C26" t="s">
        <v>303</v>
      </c>
      <c r="D26" s="47">
        <v>247.1</v>
      </c>
      <c r="E26" s="47">
        <v>253.05</v>
      </c>
      <c r="F26" s="18">
        <f t="shared" si="1"/>
        <v>2.4079320113314519E-2</v>
      </c>
      <c r="G26" t="str">
        <f t="shared" si="2"/>
        <v>Increase</v>
      </c>
    </row>
    <row r="27" spans="1:12" x14ac:dyDescent="0.3">
      <c r="A27" s="78">
        <v>45301</v>
      </c>
      <c r="B27" t="s">
        <v>330</v>
      </c>
      <c r="C27" t="s">
        <v>331</v>
      </c>
      <c r="D27" s="47">
        <v>196.55</v>
      </c>
      <c r="E27" s="47">
        <v>203.55</v>
      </c>
      <c r="F27" s="18">
        <f t="shared" si="1"/>
        <v>3.5614347494276263E-2</v>
      </c>
      <c r="G27" t="str">
        <f t="shared" si="2"/>
        <v>Increase</v>
      </c>
    </row>
    <row r="28" spans="1:12" x14ac:dyDescent="0.3">
      <c r="A28" s="78">
        <v>45163</v>
      </c>
      <c r="B28" t="s">
        <v>332</v>
      </c>
      <c r="C28" t="s">
        <v>333</v>
      </c>
      <c r="D28" s="47">
        <v>152.1</v>
      </c>
      <c r="E28" s="47">
        <v>152</v>
      </c>
      <c r="F28" s="18">
        <f t="shared" si="1"/>
        <v>-6.5746219592369701E-4</v>
      </c>
      <c r="G28" t="str">
        <f t="shared" si="2"/>
        <v>Decrease</v>
      </c>
    </row>
    <row r="29" spans="1:12" x14ac:dyDescent="0.3">
      <c r="A29" s="78">
        <v>45138</v>
      </c>
      <c r="B29" t="s">
        <v>334</v>
      </c>
      <c r="C29" t="s">
        <v>335</v>
      </c>
      <c r="D29" s="47">
        <v>127.35</v>
      </c>
      <c r="E29" s="47">
        <v>137.15</v>
      </c>
      <c r="F29" s="18">
        <f t="shared" si="1"/>
        <v>7.6953278366706027E-2</v>
      </c>
      <c r="G29" t="str">
        <f t="shared" si="2"/>
        <v>Increase</v>
      </c>
    </row>
    <row r="31" spans="1:12" x14ac:dyDescent="0.3">
      <c r="A31" s="238"/>
      <c r="B31" s="238"/>
      <c r="C31" s="238"/>
      <c r="D31" s="238"/>
      <c r="E31" s="238"/>
      <c r="F31" s="238"/>
      <c r="G31" s="238"/>
      <c r="H31" s="238"/>
      <c r="I31" s="238"/>
      <c r="J31" s="238"/>
      <c r="K31" s="238"/>
      <c r="L31" s="238"/>
    </row>
    <row r="32" spans="1:12" x14ac:dyDescent="0.3">
      <c r="A32" s="238"/>
      <c r="B32" s="238"/>
      <c r="C32" s="238"/>
      <c r="D32" s="238"/>
      <c r="E32" s="238"/>
      <c r="F32" s="238"/>
      <c r="G32" s="238"/>
      <c r="H32" s="238"/>
      <c r="I32" s="238"/>
      <c r="J32" s="238"/>
      <c r="K32" s="238"/>
      <c r="L32" s="238"/>
    </row>
  </sheetData>
  <mergeCells count="8">
    <mergeCell ref="A31:L32"/>
    <mergeCell ref="A19:L20"/>
    <mergeCell ref="A1:L2"/>
    <mergeCell ref="C4:D4"/>
    <mergeCell ref="E4:F4"/>
    <mergeCell ref="G4:H4"/>
    <mergeCell ref="I4:J4"/>
    <mergeCell ref="K4:L4"/>
  </mergeCells>
  <conditionalFormatting sqref="F23:F29">
    <cfRule type="cellIs" dxfId="1" priority="1" operator="lessThan">
      <formula>0</formula>
    </cfRule>
    <cfRule type="cellIs" dxfId="0" priority="2" operator="greaterThan">
      <formula>0</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ABCB5-AB59-41C4-B58E-716C47C119B1}">
  <dimension ref="A1:W7"/>
  <sheetViews>
    <sheetView zoomScale="122" workbookViewId="0">
      <selection sqref="A1:AD1048576"/>
    </sheetView>
  </sheetViews>
  <sheetFormatPr defaultRowHeight="14.4" x14ac:dyDescent="0.3"/>
  <cols>
    <col min="1" max="1" width="15.109375" bestFit="1" customWidth="1"/>
    <col min="5" max="6" width="10.109375" bestFit="1" customWidth="1"/>
  </cols>
  <sheetData>
    <row r="1" spans="1:23" x14ac:dyDescent="0.3">
      <c r="A1" s="272" t="s">
        <v>378</v>
      </c>
      <c r="B1" s="238"/>
      <c r="C1" s="238"/>
      <c r="D1" s="238"/>
      <c r="E1" s="238"/>
      <c r="F1" s="238"/>
      <c r="G1" s="238"/>
      <c r="H1" s="238"/>
      <c r="I1" s="238"/>
      <c r="J1" s="238"/>
      <c r="K1" s="238"/>
      <c r="L1" s="238"/>
      <c r="M1" s="238"/>
      <c r="N1" s="238"/>
      <c r="O1" s="238"/>
      <c r="P1" s="238"/>
      <c r="Q1" s="238"/>
      <c r="R1" s="238"/>
      <c r="S1" s="238"/>
      <c r="T1" s="238"/>
      <c r="U1" s="238"/>
      <c r="V1" s="238"/>
      <c r="W1" s="238"/>
    </row>
    <row r="2" spans="1:23" x14ac:dyDescent="0.3">
      <c r="A2" s="238"/>
      <c r="B2" s="238"/>
      <c r="C2" s="238"/>
      <c r="D2" s="238"/>
      <c r="E2" s="238"/>
      <c r="F2" s="238"/>
      <c r="G2" s="238"/>
      <c r="H2" s="238"/>
      <c r="I2" s="238"/>
      <c r="J2" s="238"/>
      <c r="K2" s="238"/>
      <c r="L2" s="238"/>
      <c r="M2" s="238"/>
      <c r="N2" s="238"/>
      <c r="O2" s="238"/>
      <c r="P2" s="238"/>
      <c r="Q2" s="238"/>
      <c r="R2" s="238"/>
      <c r="S2" s="238"/>
      <c r="T2" s="238"/>
      <c r="U2" s="238"/>
      <c r="V2" s="238"/>
      <c r="W2" s="238"/>
    </row>
    <row r="4" spans="1:23" x14ac:dyDescent="0.3">
      <c r="A4" s="119" t="s">
        <v>379</v>
      </c>
      <c r="B4" s="119">
        <v>2020</v>
      </c>
      <c r="C4" s="119">
        <v>2021</v>
      </c>
      <c r="D4" s="119">
        <v>2022</v>
      </c>
      <c r="E4" s="119">
        <v>2023</v>
      </c>
      <c r="F4" s="119">
        <v>2024</v>
      </c>
    </row>
    <row r="5" spans="1:23" x14ac:dyDescent="0.3">
      <c r="A5" s="118" t="s">
        <v>123</v>
      </c>
      <c r="B5" s="117">
        <v>0.36299999999999999</v>
      </c>
      <c r="C5" s="117">
        <v>0.31979999999999997</v>
      </c>
      <c r="D5" s="117">
        <v>0.22090000000000001</v>
      </c>
      <c r="E5" s="117">
        <v>0.1502</v>
      </c>
      <c r="F5" s="117">
        <v>0.1439</v>
      </c>
    </row>
    <row r="6" spans="1:23" x14ac:dyDescent="0.3">
      <c r="A6" s="118" t="s">
        <v>347</v>
      </c>
      <c r="B6" s="117">
        <v>1.2771999999999999</v>
      </c>
      <c r="C6" s="117">
        <v>1.2301</v>
      </c>
      <c r="D6" s="117">
        <v>1.3172999999999999</v>
      </c>
      <c r="E6" s="117">
        <v>1.4635</v>
      </c>
      <c r="F6" s="117">
        <v>1.5461</v>
      </c>
    </row>
    <row r="7" spans="1:23" x14ac:dyDescent="0.3">
      <c r="A7" s="118" t="s">
        <v>294</v>
      </c>
      <c r="B7" s="117">
        <v>0.52600000000000002</v>
      </c>
      <c r="C7" s="117">
        <v>0.37469999999999998</v>
      </c>
      <c r="D7" s="117">
        <v>0.5746</v>
      </c>
      <c r="E7" s="117">
        <v>0.23910000000000001</v>
      </c>
      <c r="F7" s="117">
        <v>0.35970000000000002</v>
      </c>
    </row>
  </sheetData>
  <mergeCells count="1">
    <mergeCell ref="A1:W2"/>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C546E-B3A6-4014-9197-C1F79A24407A}">
  <dimension ref="A1:Y21"/>
  <sheetViews>
    <sheetView topLeftCell="A9" workbookViewId="0">
      <selection sqref="A1:AD1048576"/>
    </sheetView>
  </sheetViews>
  <sheetFormatPr defaultRowHeight="14.4" x14ac:dyDescent="0.3"/>
  <cols>
    <col min="1" max="1" width="11.21875" bestFit="1" customWidth="1"/>
    <col min="2" max="2" width="7" bestFit="1" customWidth="1"/>
    <col min="5" max="5" width="19.77734375" customWidth="1"/>
    <col min="7" max="7" width="17.44140625" customWidth="1"/>
  </cols>
  <sheetData>
    <row r="1" spans="1:25" x14ac:dyDescent="0.3">
      <c r="A1" s="280" t="s">
        <v>375</v>
      </c>
      <c r="B1" s="281"/>
      <c r="C1" s="281"/>
      <c r="D1" s="281"/>
      <c r="E1" s="281"/>
      <c r="F1" s="281"/>
      <c r="G1" s="281"/>
      <c r="H1" s="281"/>
      <c r="I1" s="281"/>
      <c r="J1" s="281"/>
      <c r="K1" s="281"/>
      <c r="L1" s="281"/>
      <c r="M1" s="281"/>
      <c r="N1" s="281"/>
      <c r="O1" s="281"/>
      <c r="P1" s="281"/>
      <c r="Q1" s="281"/>
      <c r="R1" s="281"/>
      <c r="S1" s="281"/>
      <c r="T1" s="281"/>
      <c r="U1" s="281"/>
    </row>
    <row r="2" spans="1:25" x14ac:dyDescent="0.3">
      <c r="A2" s="281"/>
      <c r="B2" s="281"/>
      <c r="C2" s="281"/>
      <c r="D2" s="281"/>
      <c r="E2" s="281"/>
      <c r="F2" s="281"/>
      <c r="G2" s="281"/>
      <c r="H2" s="281"/>
      <c r="I2" s="281"/>
      <c r="J2" s="281"/>
      <c r="K2" s="281"/>
      <c r="L2" s="281"/>
      <c r="M2" s="281"/>
      <c r="N2" s="281"/>
      <c r="O2" s="281"/>
      <c r="P2" s="281"/>
      <c r="Q2" s="281"/>
      <c r="R2" s="281"/>
      <c r="S2" s="281"/>
      <c r="T2" s="281"/>
      <c r="U2" s="281"/>
    </row>
    <row r="3" spans="1:25" ht="24" thickBot="1" x14ac:dyDescent="0.5">
      <c r="A3" s="272" t="s">
        <v>123</v>
      </c>
      <c r="B3" s="279"/>
      <c r="C3" s="279"/>
      <c r="D3" s="279"/>
      <c r="E3" s="279"/>
      <c r="F3" s="279"/>
      <c r="G3" s="279"/>
      <c r="H3" s="279"/>
      <c r="I3" s="279"/>
      <c r="J3" s="279"/>
      <c r="K3" s="279"/>
      <c r="L3" s="279"/>
      <c r="M3" s="279"/>
      <c r="N3" s="279"/>
      <c r="O3" s="279"/>
      <c r="P3" s="279"/>
      <c r="Q3" s="279"/>
      <c r="R3" s="279"/>
      <c r="S3" s="279"/>
      <c r="T3" s="279"/>
      <c r="U3" s="279"/>
      <c r="V3" s="279"/>
      <c r="W3" s="279"/>
      <c r="X3" s="279"/>
      <c r="Y3" s="279"/>
    </row>
    <row r="4" spans="1:25" ht="23.4" x14ac:dyDescent="0.45">
      <c r="A4" s="104" t="s">
        <v>207</v>
      </c>
      <c r="B4" s="105" t="s">
        <v>338</v>
      </c>
      <c r="C4" s="105" t="s">
        <v>339</v>
      </c>
      <c r="D4" s="105" t="s">
        <v>340</v>
      </c>
      <c r="E4" s="105" t="s">
        <v>341</v>
      </c>
      <c r="F4" s="105" t="s">
        <v>342</v>
      </c>
      <c r="G4" s="105" t="s">
        <v>343</v>
      </c>
      <c r="H4" s="105" t="s">
        <v>344</v>
      </c>
      <c r="I4" s="106" t="s">
        <v>345</v>
      </c>
      <c r="J4" s="97"/>
      <c r="K4" s="97"/>
      <c r="L4" s="97"/>
      <c r="M4" s="97"/>
      <c r="N4" s="97"/>
      <c r="O4" s="97"/>
      <c r="P4" s="97"/>
      <c r="Q4" s="97"/>
      <c r="R4" s="97"/>
      <c r="S4" s="97"/>
      <c r="T4" s="97"/>
      <c r="U4" s="97"/>
      <c r="V4" s="97"/>
      <c r="W4" s="97"/>
      <c r="X4" s="97"/>
      <c r="Y4" s="97"/>
    </row>
    <row r="5" spans="1:25" ht="34.799999999999997" x14ac:dyDescent="0.45">
      <c r="A5" s="107">
        <v>42444</v>
      </c>
      <c r="B5" s="103" t="s">
        <v>346</v>
      </c>
      <c r="C5" s="103" t="s">
        <v>362</v>
      </c>
      <c r="D5" s="103" t="s">
        <v>353</v>
      </c>
      <c r="E5" s="103" t="s">
        <v>363</v>
      </c>
      <c r="F5" s="103" t="s">
        <v>123</v>
      </c>
      <c r="G5" s="103" t="s">
        <v>364</v>
      </c>
      <c r="H5" s="103">
        <v>95.25</v>
      </c>
      <c r="I5" s="102">
        <v>0.39</v>
      </c>
      <c r="J5" s="97"/>
      <c r="K5" s="97"/>
      <c r="L5" s="97"/>
      <c r="M5" s="97"/>
      <c r="N5" s="97"/>
      <c r="O5" s="97"/>
      <c r="P5" s="97"/>
      <c r="Q5" s="97"/>
      <c r="R5" s="97"/>
      <c r="S5" s="97"/>
      <c r="T5" s="97"/>
      <c r="U5" s="97"/>
      <c r="V5" s="97"/>
      <c r="W5" s="97"/>
      <c r="X5" s="97"/>
      <c r="Y5" s="97"/>
    </row>
    <row r="6" spans="1:25" ht="65.400000000000006" customHeight="1" x14ac:dyDescent="0.3">
      <c r="A6" s="107">
        <v>41955</v>
      </c>
      <c r="B6" s="103" t="s">
        <v>346</v>
      </c>
      <c r="C6" s="103" t="s">
        <v>123</v>
      </c>
      <c r="D6" s="103" t="s">
        <v>348</v>
      </c>
      <c r="E6" s="103" t="s">
        <v>365</v>
      </c>
      <c r="F6" s="103" t="s">
        <v>360</v>
      </c>
      <c r="G6" s="103" t="s">
        <v>366</v>
      </c>
      <c r="H6" s="103">
        <v>37.35</v>
      </c>
      <c r="I6" s="102">
        <v>0.02</v>
      </c>
    </row>
    <row r="7" spans="1:25" ht="22.2" x14ac:dyDescent="0.3">
      <c r="A7" s="107">
        <v>41899</v>
      </c>
      <c r="B7" s="103" t="s">
        <v>346</v>
      </c>
      <c r="C7" s="103" t="s">
        <v>123</v>
      </c>
      <c r="D7" s="103" t="s">
        <v>348</v>
      </c>
      <c r="E7" s="103" t="s">
        <v>367</v>
      </c>
      <c r="F7" s="103" t="s">
        <v>368</v>
      </c>
      <c r="G7" s="103" t="s">
        <v>366</v>
      </c>
      <c r="H7" s="103">
        <v>14.46</v>
      </c>
      <c r="I7" s="108">
        <v>4.9500000000000002E-2</v>
      </c>
    </row>
    <row r="8" spans="1:25" ht="33" x14ac:dyDescent="0.3">
      <c r="A8" s="107">
        <v>41774</v>
      </c>
      <c r="B8" s="103" t="s">
        <v>346</v>
      </c>
      <c r="C8" s="103" t="s">
        <v>123</v>
      </c>
      <c r="D8" s="103" t="s">
        <v>369</v>
      </c>
      <c r="E8" s="103" t="s">
        <v>370</v>
      </c>
      <c r="F8" s="103" t="s">
        <v>371</v>
      </c>
      <c r="G8" s="103" t="s">
        <v>366</v>
      </c>
      <c r="H8" s="103">
        <v>3.45</v>
      </c>
      <c r="I8" s="108">
        <v>1.14E-2</v>
      </c>
    </row>
    <row r="9" spans="1:25" ht="33" x14ac:dyDescent="0.3">
      <c r="A9" s="107">
        <v>41673</v>
      </c>
      <c r="B9" s="103" t="s">
        <v>346</v>
      </c>
      <c r="C9" s="103" t="s">
        <v>362</v>
      </c>
      <c r="D9" s="103" t="s">
        <v>353</v>
      </c>
      <c r="E9" s="103" t="s">
        <v>363</v>
      </c>
      <c r="F9" s="103" t="s">
        <v>372</v>
      </c>
      <c r="G9" s="103" t="s">
        <v>364</v>
      </c>
      <c r="H9" s="103">
        <v>148.1</v>
      </c>
      <c r="I9" s="102">
        <v>0.49</v>
      </c>
    </row>
    <row r="10" spans="1:25" ht="22.2" x14ac:dyDescent="0.3">
      <c r="A10" s="107">
        <v>41173</v>
      </c>
      <c r="B10" s="103" t="s">
        <v>346</v>
      </c>
      <c r="C10" s="103" t="s">
        <v>123</v>
      </c>
      <c r="D10" s="103" t="s">
        <v>369</v>
      </c>
      <c r="E10" s="103" t="s">
        <v>370</v>
      </c>
      <c r="F10" s="103" t="s">
        <v>373</v>
      </c>
      <c r="G10" s="103" t="s">
        <v>366</v>
      </c>
      <c r="H10" s="103">
        <v>1.57</v>
      </c>
      <c r="I10" s="108">
        <v>7.1000000000000004E-3</v>
      </c>
    </row>
    <row r="11" spans="1:25" ht="22.2" x14ac:dyDescent="0.3">
      <c r="A11" s="107">
        <v>40786</v>
      </c>
      <c r="B11" s="103" t="s">
        <v>346</v>
      </c>
      <c r="C11" s="103" t="s">
        <v>123</v>
      </c>
      <c r="D11" s="103" t="s">
        <v>353</v>
      </c>
      <c r="E11" s="103" t="s">
        <v>374</v>
      </c>
      <c r="F11" s="103" t="s">
        <v>360</v>
      </c>
      <c r="G11" s="103" t="s">
        <v>366</v>
      </c>
      <c r="H11" s="103">
        <v>5.01</v>
      </c>
      <c r="I11" s="98" t="s">
        <v>360</v>
      </c>
    </row>
    <row r="12" spans="1:25" ht="22.2" x14ac:dyDescent="0.3">
      <c r="A12" s="107">
        <v>40784</v>
      </c>
      <c r="B12" s="103" t="s">
        <v>346</v>
      </c>
      <c r="C12" s="103" t="s">
        <v>123</v>
      </c>
      <c r="D12" s="103" t="s">
        <v>353</v>
      </c>
      <c r="E12" s="103" t="s">
        <v>368</v>
      </c>
      <c r="F12" s="103" t="s">
        <v>360</v>
      </c>
      <c r="G12" s="103" t="s">
        <v>366</v>
      </c>
      <c r="H12" s="103">
        <v>6.1</v>
      </c>
      <c r="I12" s="102">
        <v>0.02</v>
      </c>
    </row>
    <row r="13" spans="1:25" ht="22.2" x14ac:dyDescent="0.3">
      <c r="A13" s="107">
        <v>40687</v>
      </c>
      <c r="B13" s="103" t="s">
        <v>346</v>
      </c>
      <c r="C13" s="103" t="s">
        <v>123</v>
      </c>
      <c r="D13" s="103" t="s">
        <v>353</v>
      </c>
      <c r="E13" s="103" t="s">
        <v>368</v>
      </c>
      <c r="F13" s="103" t="s">
        <v>360</v>
      </c>
      <c r="G13" s="103" t="s">
        <v>366</v>
      </c>
      <c r="H13" s="103">
        <v>7.75</v>
      </c>
      <c r="I13" s="98" t="s">
        <v>360</v>
      </c>
    </row>
    <row r="14" spans="1:25" ht="22.2" x14ac:dyDescent="0.3">
      <c r="A14" s="107">
        <v>40667</v>
      </c>
      <c r="B14" s="103" t="s">
        <v>346</v>
      </c>
      <c r="C14" s="103" t="s">
        <v>123</v>
      </c>
      <c r="D14" s="103" t="s">
        <v>353</v>
      </c>
      <c r="E14" s="103" t="s">
        <v>374</v>
      </c>
      <c r="F14" s="103" t="s">
        <v>360</v>
      </c>
      <c r="G14" s="103" t="s">
        <v>366</v>
      </c>
      <c r="H14" s="103">
        <v>15.09</v>
      </c>
      <c r="I14" s="98" t="s">
        <v>360</v>
      </c>
    </row>
    <row r="16" spans="1:25" ht="24" thickBot="1" x14ac:dyDescent="0.5">
      <c r="A16" s="272" t="s">
        <v>105</v>
      </c>
      <c r="B16" s="279"/>
      <c r="C16" s="279"/>
      <c r="D16" s="279"/>
      <c r="E16" s="279"/>
      <c r="F16" s="279"/>
      <c r="G16" s="279"/>
      <c r="H16" s="279"/>
      <c r="I16" s="279"/>
      <c r="J16" s="279"/>
      <c r="K16" s="279"/>
      <c r="L16" s="279"/>
      <c r="M16" s="279"/>
      <c r="N16" s="279"/>
      <c r="O16" s="279"/>
      <c r="P16" s="279"/>
      <c r="Q16" s="279"/>
      <c r="R16" s="279"/>
      <c r="S16" s="279"/>
      <c r="T16" s="279"/>
      <c r="U16" s="279"/>
      <c r="V16" s="279"/>
      <c r="W16" s="279"/>
      <c r="X16" s="279"/>
      <c r="Y16" s="279"/>
    </row>
    <row r="17" spans="1:9" ht="21.6" x14ac:dyDescent="0.3">
      <c r="A17" s="104" t="s">
        <v>207</v>
      </c>
      <c r="B17" s="105" t="s">
        <v>338</v>
      </c>
      <c r="C17" s="105" t="s">
        <v>339</v>
      </c>
      <c r="D17" s="105" t="s">
        <v>340</v>
      </c>
      <c r="E17" s="105" t="s">
        <v>341</v>
      </c>
      <c r="F17" s="105" t="s">
        <v>342</v>
      </c>
      <c r="G17" s="105" t="s">
        <v>343</v>
      </c>
      <c r="H17" s="105" t="s">
        <v>344</v>
      </c>
      <c r="I17" s="106" t="s">
        <v>345</v>
      </c>
    </row>
    <row r="18" spans="1:9" ht="93.6" customHeight="1" x14ac:dyDescent="0.3">
      <c r="A18" s="107">
        <v>42828</v>
      </c>
      <c r="B18" s="103" t="s">
        <v>346</v>
      </c>
      <c r="C18" s="103" t="s">
        <v>347</v>
      </c>
      <c r="D18" s="103" t="s">
        <v>348</v>
      </c>
      <c r="E18" s="103" t="s">
        <v>349</v>
      </c>
      <c r="F18" s="103" t="s">
        <v>350</v>
      </c>
      <c r="G18" s="103" t="s">
        <v>351</v>
      </c>
      <c r="H18" s="103">
        <v>9.27</v>
      </c>
      <c r="I18" s="108">
        <v>2.0199999999999999E-2</v>
      </c>
    </row>
    <row r="19" spans="1:9" ht="75" customHeight="1" x14ac:dyDescent="0.3">
      <c r="A19" s="107">
        <v>42343</v>
      </c>
      <c r="B19" s="103" t="s">
        <v>346</v>
      </c>
      <c r="C19" s="103" t="s">
        <v>352</v>
      </c>
      <c r="D19" s="103" t="s">
        <v>353</v>
      </c>
      <c r="E19" s="103" t="s">
        <v>354</v>
      </c>
      <c r="F19" s="103" t="s">
        <v>347</v>
      </c>
      <c r="G19" s="103" t="s">
        <v>355</v>
      </c>
      <c r="H19" s="103">
        <v>5.12</v>
      </c>
      <c r="I19" s="108">
        <v>8.5099999999999995E-2</v>
      </c>
    </row>
    <row r="20" spans="1:9" ht="122.4" customHeight="1" x14ac:dyDescent="0.3">
      <c r="A20" s="107">
        <v>42136</v>
      </c>
      <c r="B20" s="103" t="s">
        <v>346</v>
      </c>
      <c r="C20" s="103" t="s">
        <v>347</v>
      </c>
      <c r="D20" s="103" t="s">
        <v>356</v>
      </c>
      <c r="E20" s="103" t="s">
        <v>357</v>
      </c>
      <c r="F20" s="103" t="s">
        <v>358</v>
      </c>
      <c r="G20" s="103" t="s">
        <v>351</v>
      </c>
      <c r="H20" s="103">
        <v>75.099999999999994</v>
      </c>
      <c r="I20" s="108">
        <v>0.25184699999999999</v>
      </c>
    </row>
    <row r="21" spans="1:9" ht="22.8" thickBot="1" x14ac:dyDescent="0.35">
      <c r="A21" s="109">
        <v>40557</v>
      </c>
      <c r="B21" s="110" t="s">
        <v>346</v>
      </c>
      <c r="C21" s="110" t="s">
        <v>347</v>
      </c>
      <c r="D21" s="110" t="s">
        <v>353</v>
      </c>
      <c r="E21" s="110" t="s">
        <v>359</v>
      </c>
      <c r="F21" s="110" t="s">
        <v>360</v>
      </c>
      <c r="G21" s="110" t="s">
        <v>361</v>
      </c>
      <c r="H21" s="110">
        <v>33.22</v>
      </c>
      <c r="I21" s="111" t="s">
        <v>360</v>
      </c>
    </row>
  </sheetData>
  <mergeCells count="3">
    <mergeCell ref="A16:Y16"/>
    <mergeCell ref="A3:Y3"/>
    <mergeCell ref="A1:U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BF6234-B56B-49B2-A790-B24A97A6F734}">
  <dimension ref="A1:Y107"/>
  <sheetViews>
    <sheetView zoomScale="49" zoomScaleNormal="130" workbookViewId="0">
      <selection activeCell="Z125" sqref="Z125"/>
    </sheetView>
  </sheetViews>
  <sheetFormatPr defaultRowHeight="14.4" x14ac:dyDescent="0.3"/>
  <cols>
    <col min="1" max="1" width="24.88671875" bestFit="1" customWidth="1"/>
    <col min="2" max="3" width="9.88671875" bestFit="1" customWidth="1"/>
    <col min="4" max="5" width="9" bestFit="1" customWidth="1"/>
    <col min="8" max="8" width="8.88671875" style="1"/>
    <col min="9" max="9" width="8.88671875" customWidth="1"/>
    <col min="11" max="11" width="24.88671875" bestFit="1" customWidth="1"/>
    <col min="17" max="17" width="8.88671875" style="1"/>
    <col min="20" max="20" width="24.88671875" bestFit="1" customWidth="1"/>
  </cols>
  <sheetData>
    <row r="1" spans="1:25" ht="14.4" customHeight="1" x14ac:dyDescent="0.3">
      <c r="A1" s="284" t="s">
        <v>405</v>
      </c>
      <c r="B1" s="284"/>
      <c r="C1" s="284"/>
      <c r="D1" s="284"/>
      <c r="E1" s="284"/>
      <c r="F1" s="284"/>
      <c r="G1" s="284"/>
      <c r="H1" s="284"/>
      <c r="I1" s="284"/>
      <c r="J1" s="284"/>
      <c r="K1" s="284"/>
      <c r="L1" s="284"/>
      <c r="M1" s="284"/>
      <c r="N1" s="284"/>
      <c r="O1" s="284"/>
      <c r="P1" s="284"/>
      <c r="Q1" s="284"/>
      <c r="R1" s="284"/>
      <c r="S1" s="284"/>
      <c r="T1" s="284"/>
      <c r="U1" s="284"/>
      <c r="V1" s="284"/>
      <c r="W1" s="284"/>
      <c r="X1" s="284"/>
      <c r="Y1" s="284"/>
    </row>
    <row r="2" spans="1:25" ht="14.4" customHeight="1" x14ac:dyDescent="0.3">
      <c r="A2" s="284"/>
      <c r="B2" s="284"/>
      <c r="C2" s="284"/>
      <c r="D2" s="284"/>
      <c r="E2" s="284"/>
      <c r="F2" s="284"/>
      <c r="G2" s="284"/>
      <c r="H2" s="284"/>
      <c r="I2" s="284"/>
      <c r="J2" s="284"/>
      <c r="K2" s="284"/>
      <c r="L2" s="284"/>
      <c r="M2" s="284"/>
      <c r="N2" s="284"/>
      <c r="O2" s="284"/>
      <c r="P2" s="284"/>
      <c r="Q2" s="284"/>
      <c r="R2" s="284"/>
      <c r="S2" s="284"/>
      <c r="T2" s="284"/>
      <c r="U2" s="284"/>
      <c r="V2" s="284"/>
      <c r="W2" s="284"/>
      <c r="X2" s="284"/>
      <c r="Y2" s="284"/>
    </row>
    <row r="4" spans="1:25" x14ac:dyDescent="0.3">
      <c r="B4" s="150">
        <v>2024</v>
      </c>
      <c r="C4" s="150">
        <v>2023</v>
      </c>
      <c r="D4" s="150">
        <v>2022</v>
      </c>
      <c r="E4" s="150">
        <v>2021</v>
      </c>
      <c r="F4" s="150">
        <v>2020</v>
      </c>
      <c r="K4" s="150"/>
      <c r="L4" s="150">
        <v>2024</v>
      </c>
      <c r="M4" s="150">
        <v>2023</v>
      </c>
      <c r="N4" s="150">
        <v>2022</v>
      </c>
      <c r="O4" s="150">
        <v>2021</v>
      </c>
      <c r="P4" s="150">
        <v>2020</v>
      </c>
      <c r="S4" s="150"/>
      <c r="T4" s="150"/>
      <c r="U4" s="150">
        <v>2024</v>
      </c>
      <c r="V4" s="150">
        <v>2023</v>
      </c>
      <c r="W4" s="150">
        <v>2022</v>
      </c>
      <c r="X4" s="150">
        <v>2021</v>
      </c>
      <c r="Y4" s="150">
        <v>2020</v>
      </c>
    </row>
    <row r="5" spans="1:25" x14ac:dyDescent="0.3">
      <c r="A5" s="149" t="s">
        <v>24</v>
      </c>
      <c r="B5" s="148">
        <v>20844.96</v>
      </c>
      <c r="C5" s="148">
        <v>15553.41</v>
      </c>
      <c r="D5" s="148">
        <v>11137.96</v>
      </c>
      <c r="E5" s="148">
        <v>7949.42</v>
      </c>
      <c r="F5" s="148">
        <v>8901.07</v>
      </c>
      <c r="K5" s="149" t="s">
        <v>24</v>
      </c>
      <c r="L5" s="148">
        <v>8649.8700000000008</v>
      </c>
      <c r="M5" s="148">
        <v>7956.08</v>
      </c>
      <c r="N5" s="148">
        <v>7208.04</v>
      </c>
      <c r="O5" s="148">
        <v>5787.57</v>
      </c>
      <c r="P5" s="148">
        <v>5602.57</v>
      </c>
      <c r="T5" s="135" t="s">
        <v>24</v>
      </c>
      <c r="U5" s="148">
        <v>4429.49</v>
      </c>
      <c r="V5" s="148">
        <v>4062.36</v>
      </c>
      <c r="W5" s="148">
        <v>3605.82</v>
      </c>
      <c r="X5" s="148">
        <v>2903.63</v>
      </c>
      <c r="Y5" s="148">
        <v>2451.6799999999998</v>
      </c>
    </row>
    <row r="6" spans="1:25" x14ac:dyDescent="0.3">
      <c r="A6" s="145" t="s">
        <v>32</v>
      </c>
      <c r="B6" s="144">
        <v>1768.88</v>
      </c>
      <c r="C6" s="144">
        <v>1458.99</v>
      </c>
      <c r="D6" s="144">
        <v>1023.8</v>
      </c>
      <c r="E6" s="139">
        <v>919.08</v>
      </c>
      <c r="F6" s="144">
        <v>1087.25</v>
      </c>
      <c r="K6" s="145" t="s">
        <v>32</v>
      </c>
      <c r="L6" s="144">
        <v>2004.53</v>
      </c>
      <c r="M6" s="144">
        <v>1600.04</v>
      </c>
      <c r="N6" s="144">
        <v>1534.47</v>
      </c>
      <c r="O6" s="144">
        <v>1417.87</v>
      </c>
      <c r="P6" s="144">
        <v>1327.17</v>
      </c>
      <c r="T6" s="135" t="s">
        <v>32</v>
      </c>
      <c r="U6" s="148">
        <v>1047.76</v>
      </c>
      <c r="V6" s="136">
        <v>917.31</v>
      </c>
      <c r="W6" s="136">
        <v>798.65</v>
      </c>
      <c r="X6" s="136">
        <v>699.44</v>
      </c>
      <c r="Y6" s="136">
        <v>622.42999999999995</v>
      </c>
    </row>
    <row r="7" spans="1:25" x14ac:dyDescent="0.3">
      <c r="A7" s="149" t="s">
        <v>33</v>
      </c>
      <c r="B7" s="148">
        <v>1980.8</v>
      </c>
      <c r="C7" s="148">
        <v>1661.6</v>
      </c>
      <c r="D7" s="148">
        <v>1210.54</v>
      </c>
      <c r="E7" s="148">
        <v>1100.33</v>
      </c>
      <c r="F7" s="148">
        <v>1286.47</v>
      </c>
      <c r="K7" s="149" t="s">
        <v>33</v>
      </c>
      <c r="L7" s="148">
        <v>2181.34</v>
      </c>
      <c r="M7" s="148">
        <v>1853.35</v>
      </c>
      <c r="N7" s="148">
        <v>1924.66</v>
      </c>
      <c r="O7" s="148">
        <v>1781.12</v>
      </c>
      <c r="P7" s="148">
        <v>1677.9</v>
      </c>
      <c r="T7" s="140" t="s">
        <v>33</v>
      </c>
      <c r="U7" s="144">
        <v>1204.5899999999999</v>
      </c>
      <c r="V7" s="144">
        <v>1098.01</v>
      </c>
      <c r="W7" s="139">
        <v>963.57</v>
      </c>
      <c r="X7" s="139">
        <v>889.34</v>
      </c>
      <c r="Y7" s="139">
        <v>876.56</v>
      </c>
    </row>
    <row r="8" spans="1:25" x14ac:dyDescent="0.3">
      <c r="A8" s="145" t="s">
        <v>42</v>
      </c>
      <c r="B8" s="139">
        <v>710.69</v>
      </c>
      <c r="C8" s="139">
        <v>609.20000000000005</v>
      </c>
      <c r="D8" s="139">
        <v>482.41</v>
      </c>
      <c r="E8" s="139">
        <v>283.04000000000002</v>
      </c>
      <c r="F8" s="139">
        <v>336.53</v>
      </c>
      <c r="K8" s="145" t="s">
        <v>42</v>
      </c>
      <c r="L8" s="139">
        <v>909.42</v>
      </c>
      <c r="M8" s="139">
        <v>658.45</v>
      </c>
      <c r="N8" s="139">
        <v>580.17999999999995</v>
      </c>
      <c r="O8" s="139">
        <v>497.38</v>
      </c>
      <c r="P8" s="139">
        <v>549.88</v>
      </c>
      <c r="T8" s="135" t="s">
        <v>42</v>
      </c>
      <c r="U8" s="136">
        <v>777.4</v>
      </c>
      <c r="V8" s="136">
        <v>458.01</v>
      </c>
      <c r="W8" s="136">
        <v>381.84</v>
      </c>
      <c r="X8" s="136">
        <v>407.38</v>
      </c>
      <c r="Y8" s="136">
        <v>265.51</v>
      </c>
    </row>
    <row r="9" spans="1:25" x14ac:dyDescent="0.3">
      <c r="A9" s="147" t="s">
        <v>70</v>
      </c>
      <c r="B9" s="133">
        <v>18097.38</v>
      </c>
      <c r="C9" s="133">
        <v>16550.12</v>
      </c>
      <c r="D9" s="133">
        <v>14457.99</v>
      </c>
      <c r="E9" s="133">
        <v>13539.88</v>
      </c>
      <c r="F9" s="133">
        <v>13811.89</v>
      </c>
      <c r="K9" s="147" t="s">
        <v>70</v>
      </c>
      <c r="L9" s="133">
        <v>15610.21</v>
      </c>
      <c r="M9" s="133">
        <v>12632.12</v>
      </c>
      <c r="N9" s="133">
        <v>10644.88</v>
      </c>
      <c r="O9" s="133">
        <v>9575.25</v>
      </c>
      <c r="P9" s="133">
        <v>8490.2999999999993</v>
      </c>
      <c r="T9" s="130" t="s">
        <v>70</v>
      </c>
      <c r="U9" s="129">
        <v>5803.79</v>
      </c>
      <c r="V9" s="129">
        <v>4342.01</v>
      </c>
      <c r="W9" s="129">
        <v>5270.32</v>
      </c>
      <c r="X9" s="129">
        <v>4007.18</v>
      </c>
      <c r="Y9" s="129">
        <v>3503.33</v>
      </c>
    </row>
    <row r="10" spans="1:25" x14ac:dyDescent="0.3">
      <c r="A10" s="146" t="s">
        <v>89</v>
      </c>
      <c r="B10" s="129">
        <v>6811.88</v>
      </c>
      <c r="C10" s="129">
        <v>6485.46</v>
      </c>
      <c r="D10" s="129">
        <v>5896.15</v>
      </c>
      <c r="E10" s="129">
        <v>5469.41</v>
      </c>
      <c r="F10" s="129">
        <v>5159.29</v>
      </c>
      <c r="K10" s="146" t="s">
        <v>89</v>
      </c>
      <c r="L10" s="129">
        <v>5184.82</v>
      </c>
      <c r="M10" s="129">
        <v>4285.05</v>
      </c>
      <c r="N10" s="129">
        <v>3627.87</v>
      </c>
      <c r="O10" s="129">
        <v>3052.69</v>
      </c>
      <c r="P10" s="129">
        <v>2554.2600000000002</v>
      </c>
      <c r="T10" s="128" t="s">
        <v>89</v>
      </c>
      <c r="U10" s="127">
        <v>3497.68</v>
      </c>
      <c r="V10" s="127">
        <v>2739.33</v>
      </c>
      <c r="W10" s="127">
        <v>2550.65</v>
      </c>
      <c r="X10" s="127">
        <v>1967.97</v>
      </c>
      <c r="Y10" s="127">
        <v>1585.36</v>
      </c>
    </row>
    <row r="11" spans="1:25" x14ac:dyDescent="0.3">
      <c r="A11" s="145" t="s">
        <v>404</v>
      </c>
      <c r="B11" s="144">
        <v>1088.1600000000001</v>
      </c>
      <c r="C11" s="139">
        <v>888.75</v>
      </c>
      <c r="D11" s="139">
        <v>429.71</v>
      </c>
      <c r="E11" s="139">
        <v>373.83</v>
      </c>
      <c r="F11" s="139">
        <v>447.16</v>
      </c>
      <c r="K11" s="145" t="s">
        <v>404</v>
      </c>
      <c r="L11" s="144">
        <v>1248.74</v>
      </c>
      <c r="M11" s="139">
        <v>957.46</v>
      </c>
      <c r="N11" s="139">
        <v>807.94</v>
      </c>
      <c r="O11" s="139">
        <v>739.88</v>
      </c>
      <c r="P11" s="139">
        <v>712.78</v>
      </c>
      <c r="T11" s="135" t="s">
        <v>38</v>
      </c>
      <c r="U11" s="136">
        <v>929.94</v>
      </c>
      <c r="V11" s="136">
        <v>620.22</v>
      </c>
      <c r="W11" s="136">
        <v>530.5</v>
      </c>
      <c r="X11" s="136">
        <v>427.11</v>
      </c>
      <c r="Y11" s="136">
        <v>323.77</v>
      </c>
    </row>
    <row r="12" spans="1:25" x14ac:dyDescent="0.3">
      <c r="A12" s="142" t="s">
        <v>80</v>
      </c>
      <c r="B12" s="143">
        <v>1763.76</v>
      </c>
      <c r="C12" s="143">
        <v>1374.03</v>
      </c>
      <c r="D12" s="143">
        <v>1153.3399999999999</v>
      </c>
      <c r="E12" s="143">
        <v>1222.21</v>
      </c>
      <c r="F12" s="143">
        <v>1391.29</v>
      </c>
      <c r="K12" s="142" t="s">
        <v>80</v>
      </c>
      <c r="L12" s="141">
        <v>765.01</v>
      </c>
      <c r="M12" s="141">
        <v>764.39</v>
      </c>
      <c r="N12" s="141">
        <v>480.79</v>
      </c>
      <c r="O12" s="141">
        <v>353.59</v>
      </c>
      <c r="P12" s="141">
        <v>267.29000000000002</v>
      </c>
      <c r="T12" s="130" t="s">
        <v>80</v>
      </c>
      <c r="U12" s="131">
        <v>220.87</v>
      </c>
      <c r="V12" s="131">
        <v>234.23</v>
      </c>
      <c r="W12" s="131">
        <v>227.41</v>
      </c>
      <c r="X12" s="131">
        <v>147.99</v>
      </c>
      <c r="Y12" s="131">
        <v>123.16</v>
      </c>
    </row>
    <row r="13" spans="1:25" x14ac:dyDescent="0.3">
      <c r="A13" s="130" t="s">
        <v>95</v>
      </c>
      <c r="B13" s="129">
        <v>11285.5</v>
      </c>
      <c r="C13" s="129">
        <v>10064.66</v>
      </c>
      <c r="D13" s="129">
        <v>8561.84</v>
      </c>
      <c r="E13" s="129">
        <v>8070.47</v>
      </c>
      <c r="F13" s="129">
        <v>8652.6</v>
      </c>
      <c r="G13" s="137"/>
      <c r="H13" s="138"/>
      <c r="I13" s="137"/>
      <c r="J13" s="137"/>
      <c r="K13" s="130" t="s">
        <v>95</v>
      </c>
      <c r="L13" s="129">
        <v>10425.39</v>
      </c>
      <c r="M13" s="129">
        <v>8347.08</v>
      </c>
      <c r="N13" s="129">
        <v>7017.01</v>
      </c>
      <c r="O13" s="129">
        <v>6522.56</v>
      </c>
      <c r="P13" s="129">
        <v>5936.04</v>
      </c>
      <c r="Q13" s="138"/>
      <c r="R13" s="137"/>
      <c r="S13" s="137"/>
      <c r="T13" s="128" t="s">
        <v>95</v>
      </c>
      <c r="U13" s="127">
        <v>2306.11</v>
      </c>
      <c r="V13" s="127">
        <v>1602.68</v>
      </c>
      <c r="W13" s="127">
        <v>2719.67</v>
      </c>
      <c r="X13" s="127">
        <v>2039.21</v>
      </c>
      <c r="Y13" s="127">
        <v>1917.96</v>
      </c>
    </row>
    <row r="14" spans="1:25" x14ac:dyDescent="0.3">
      <c r="A14" s="140" t="s">
        <v>36</v>
      </c>
      <c r="B14" s="139">
        <v>-594.75</v>
      </c>
      <c r="C14" s="139">
        <v>-515.22</v>
      </c>
      <c r="D14" s="139">
        <v>-478.07</v>
      </c>
      <c r="E14" s="139">
        <v>-479.91</v>
      </c>
      <c r="F14" s="139">
        <v>-553.85</v>
      </c>
      <c r="G14" s="137"/>
      <c r="H14" s="138"/>
      <c r="I14" s="137"/>
      <c r="J14" s="137"/>
      <c r="K14" s="140" t="s">
        <v>36</v>
      </c>
      <c r="L14" s="139">
        <v>-660.49</v>
      </c>
      <c r="M14" s="139">
        <v>-469.9</v>
      </c>
      <c r="N14" s="139">
        <v>-425.32</v>
      </c>
      <c r="O14" s="139">
        <v>-426.07</v>
      </c>
      <c r="P14" s="139">
        <v>-439.3</v>
      </c>
      <c r="Q14" s="138"/>
      <c r="R14" s="137"/>
      <c r="S14" s="137"/>
      <c r="T14" s="135" t="s">
        <v>36</v>
      </c>
      <c r="U14" s="136">
        <v>-105.67</v>
      </c>
      <c r="V14" s="136">
        <v>-153.08000000000001</v>
      </c>
      <c r="W14" s="136">
        <v>-148.11000000000001</v>
      </c>
      <c r="X14" s="136">
        <v>-134.05000000000001</v>
      </c>
      <c r="Y14" s="136">
        <v>-110.23</v>
      </c>
    </row>
    <row r="15" spans="1:25" x14ac:dyDescent="0.3">
      <c r="A15" s="130" t="s">
        <v>99</v>
      </c>
      <c r="B15" s="129">
        <v>11213.4</v>
      </c>
      <c r="C15" s="129">
        <v>9975.57</v>
      </c>
      <c r="D15" s="129">
        <v>8441.66</v>
      </c>
      <c r="E15" s="129">
        <v>7900.86</v>
      </c>
      <c r="F15" s="129">
        <v>8412.7800000000007</v>
      </c>
      <c r="K15" s="130" t="s">
        <v>99</v>
      </c>
      <c r="L15" s="129">
        <v>3160.56</v>
      </c>
      <c r="M15" s="129">
        <v>2766.64</v>
      </c>
      <c r="N15" s="129">
        <v>2680.41</v>
      </c>
      <c r="O15" s="129">
        <v>2787.67</v>
      </c>
      <c r="P15" s="129">
        <v>2690.02</v>
      </c>
      <c r="T15" s="130" t="s">
        <v>99</v>
      </c>
      <c r="U15" s="129">
        <v>1144.32</v>
      </c>
      <c r="V15" s="129">
        <v>1102.56</v>
      </c>
      <c r="W15" s="129">
        <v>1338.69</v>
      </c>
      <c r="X15" s="129">
        <v>1302.49</v>
      </c>
      <c r="Y15" s="129">
        <v>1117.74</v>
      </c>
    </row>
    <row r="16" spans="1:25" x14ac:dyDescent="0.3">
      <c r="A16" s="130" t="s">
        <v>79</v>
      </c>
      <c r="B16" s="129">
        <v>6406.23</v>
      </c>
      <c r="C16" s="129">
        <v>5633.7</v>
      </c>
      <c r="D16" s="129">
        <v>4666.09</v>
      </c>
      <c r="E16" s="129">
        <v>4501.47</v>
      </c>
      <c r="F16" s="129">
        <v>4547.8</v>
      </c>
      <c r="K16" s="130" t="s">
        <v>79</v>
      </c>
      <c r="L16" s="129">
        <v>3776.66</v>
      </c>
      <c r="M16" s="129">
        <v>2569.52</v>
      </c>
      <c r="N16" s="129">
        <v>2163.71</v>
      </c>
      <c r="O16" s="129">
        <v>1970.62</v>
      </c>
      <c r="P16" s="129">
        <v>1728.99</v>
      </c>
      <c r="T16" s="128" t="s">
        <v>79</v>
      </c>
      <c r="U16" s="127">
        <v>1307.5899999999999</v>
      </c>
      <c r="V16" s="127">
        <v>1077.43</v>
      </c>
      <c r="W16" s="127">
        <v>1095.1199999999999</v>
      </c>
      <c r="X16" s="126">
        <v>636.27</v>
      </c>
      <c r="Y16" s="126">
        <v>383.55</v>
      </c>
    </row>
    <row r="17" spans="1:25" x14ac:dyDescent="0.3">
      <c r="A17" s="135" t="s">
        <v>403</v>
      </c>
      <c r="B17" s="129">
        <v>1149.55</v>
      </c>
      <c r="C17" s="131">
        <v>709.27</v>
      </c>
      <c r="D17" s="131">
        <v>600.53</v>
      </c>
      <c r="E17" s="131">
        <v>504.58</v>
      </c>
      <c r="F17" s="131">
        <v>388.74</v>
      </c>
      <c r="K17" s="130" t="s">
        <v>402</v>
      </c>
      <c r="L17" s="129">
        <v>1378.7</v>
      </c>
      <c r="M17" s="131">
        <v>706.35</v>
      </c>
      <c r="N17" s="131">
        <v>747.3</v>
      </c>
      <c r="O17" s="131">
        <v>944.52</v>
      </c>
      <c r="P17" s="131">
        <v>921.12</v>
      </c>
      <c r="T17" s="128" t="s">
        <v>402</v>
      </c>
      <c r="U17" s="126">
        <v>410.89</v>
      </c>
      <c r="V17" s="126">
        <v>220.2</v>
      </c>
      <c r="W17" s="126">
        <v>259.2</v>
      </c>
      <c r="X17" s="126">
        <v>147.84</v>
      </c>
      <c r="Y17" s="126">
        <v>82.87</v>
      </c>
    </row>
    <row r="18" spans="1:25" x14ac:dyDescent="0.3">
      <c r="A18" s="134" t="s">
        <v>401</v>
      </c>
      <c r="B18" s="133">
        <v>3117.21</v>
      </c>
      <c r="C18" s="133">
        <v>3175.51</v>
      </c>
      <c r="D18" s="133">
        <v>2545.16</v>
      </c>
      <c r="E18" s="133">
        <v>2739.62</v>
      </c>
      <c r="F18" s="133">
        <v>2728.28</v>
      </c>
      <c r="K18" s="134" t="s">
        <v>401</v>
      </c>
      <c r="L18" s="133">
        <v>1632.94</v>
      </c>
      <c r="M18" s="133">
        <v>1098.78</v>
      </c>
      <c r="N18" s="132">
        <v>665.75</v>
      </c>
      <c r="O18" s="132">
        <v>392.79</v>
      </c>
      <c r="P18" s="132">
        <v>284.06</v>
      </c>
      <c r="T18" s="130" t="s">
        <v>400</v>
      </c>
      <c r="U18" s="131">
        <v>673.98</v>
      </c>
      <c r="V18" s="131">
        <v>622.9</v>
      </c>
      <c r="W18" s="131">
        <v>598.41</v>
      </c>
      <c r="X18" s="131">
        <v>332.87</v>
      </c>
      <c r="Y18" s="131">
        <v>174.65</v>
      </c>
    </row>
    <row r="19" spans="1:25" x14ac:dyDescent="0.3">
      <c r="A19" s="130"/>
      <c r="B19" s="129"/>
      <c r="C19" s="129"/>
      <c r="D19" s="129"/>
      <c r="E19" s="129"/>
      <c r="F19" s="129"/>
      <c r="K19" s="130"/>
      <c r="L19" s="129"/>
      <c r="M19" s="129"/>
      <c r="N19" s="129"/>
      <c r="O19" s="129"/>
      <c r="P19" s="129"/>
      <c r="T19" s="128"/>
      <c r="U19" s="127"/>
      <c r="V19" s="127"/>
      <c r="W19" s="127"/>
      <c r="X19" s="126"/>
      <c r="Y19" s="126"/>
    </row>
    <row r="20" spans="1:25" ht="18" x14ac:dyDescent="0.35">
      <c r="A20" s="282" t="s">
        <v>123</v>
      </c>
      <c r="B20" s="285"/>
      <c r="C20" s="285"/>
      <c r="D20" s="285"/>
      <c r="E20" s="285"/>
      <c r="F20" s="285"/>
      <c r="K20" s="282" t="s">
        <v>105</v>
      </c>
      <c r="L20" s="283"/>
      <c r="M20" s="283"/>
      <c r="N20" s="283"/>
      <c r="O20" s="283"/>
      <c r="P20" s="283"/>
      <c r="T20" s="282" t="s">
        <v>385</v>
      </c>
      <c r="U20" s="283"/>
      <c r="V20" s="283"/>
      <c r="W20" s="283"/>
      <c r="X20" s="283"/>
      <c r="Y20" s="283"/>
    </row>
    <row r="22" spans="1:25" x14ac:dyDescent="0.3">
      <c r="A22" s="122" t="s">
        <v>384</v>
      </c>
      <c r="B22" s="121">
        <v>2024</v>
      </c>
      <c r="C22" s="121">
        <v>2023</v>
      </c>
      <c r="D22" s="121">
        <v>2022</v>
      </c>
      <c r="E22" s="121">
        <v>2021</v>
      </c>
      <c r="F22" s="121">
        <v>2020</v>
      </c>
      <c r="K22" s="122" t="s">
        <v>384</v>
      </c>
      <c r="L22" s="121">
        <v>2024</v>
      </c>
      <c r="M22" s="121">
        <v>2023</v>
      </c>
      <c r="N22" s="121">
        <v>2022</v>
      </c>
      <c r="O22" s="121">
        <v>2021</v>
      </c>
      <c r="P22" s="121">
        <v>2020</v>
      </c>
      <c r="T22" s="122" t="s">
        <v>384</v>
      </c>
      <c r="U22" s="121">
        <v>2024</v>
      </c>
      <c r="V22" s="121">
        <v>2023</v>
      </c>
      <c r="W22" s="121">
        <v>2022</v>
      </c>
      <c r="X22" s="121">
        <v>2021</v>
      </c>
      <c r="Y22" s="121">
        <v>2020</v>
      </c>
    </row>
    <row r="23" spans="1:25" x14ac:dyDescent="0.3">
      <c r="A23" s="125" t="s">
        <v>399</v>
      </c>
      <c r="B23" s="117">
        <f>B8/B9</f>
        <v>3.9270325317808434E-2</v>
      </c>
      <c r="C23" s="117">
        <f>C8/C9</f>
        <v>3.6809400777758718E-2</v>
      </c>
      <c r="D23" s="117">
        <f>D8/D9</f>
        <v>3.3366325471244622E-2</v>
      </c>
      <c r="E23" s="117">
        <f>E8/E9</f>
        <v>2.0904173449099995E-2</v>
      </c>
      <c r="F23" s="117">
        <f>F8/F9</f>
        <v>2.4365238935438956E-2</v>
      </c>
      <c r="K23" s="125" t="s">
        <v>399</v>
      </c>
      <c r="L23" s="117">
        <f>L8/L9</f>
        <v>5.8258024715875059E-2</v>
      </c>
      <c r="M23" s="117">
        <f>M8/M9</f>
        <v>5.21250589766405E-2</v>
      </c>
      <c r="N23" s="117">
        <f>N8/N9</f>
        <v>5.450319778146865E-2</v>
      </c>
      <c r="O23" s="117">
        <f>O8/O9</f>
        <v>5.194433565703245E-2</v>
      </c>
      <c r="P23" s="117">
        <f>P8/P9</f>
        <v>6.4765673768889212E-2</v>
      </c>
      <c r="T23" s="125" t="s">
        <v>399</v>
      </c>
      <c r="U23" s="117">
        <f>U8/U9</f>
        <v>0.13394695535158921</v>
      </c>
      <c r="V23" s="117">
        <f>V8/V9</f>
        <v>0.10548340515107058</v>
      </c>
      <c r="W23" s="117">
        <f>W8/W9</f>
        <v>7.2451008667405392E-2</v>
      </c>
      <c r="X23" s="117">
        <f>X8/X9</f>
        <v>0.10166251578416742</v>
      </c>
      <c r="Y23" s="117">
        <f>Y8/Y9</f>
        <v>7.5787893233009732E-2</v>
      </c>
    </row>
    <row r="24" spans="1:25" x14ac:dyDescent="0.3">
      <c r="A24" s="125" t="s">
        <v>398</v>
      </c>
      <c r="B24" s="117">
        <f>B8/B10</f>
        <v>0.10433096296470284</v>
      </c>
      <c r="C24" s="117">
        <f>C8/C10</f>
        <v>9.3933198261958298E-2</v>
      </c>
      <c r="D24" s="117">
        <f>D8/D10</f>
        <v>8.1817796358640824E-2</v>
      </c>
      <c r="E24" s="117">
        <f>E8/E10</f>
        <v>5.1749640271985468E-2</v>
      </c>
      <c r="F24" s="117">
        <f>F8/F10</f>
        <v>6.522796741412093E-2</v>
      </c>
      <c r="K24" s="125" t="s">
        <v>398</v>
      </c>
      <c r="L24" s="117">
        <f>L8/L10</f>
        <v>0.17540049606350847</v>
      </c>
      <c r="M24" s="117">
        <f>M8/M10</f>
        <v>0.15366215096673319</v>
      </c>
      <c r="N24" s="117">
        <f>N8/N10</f>
        <v>0.15992304024124349</v>
      </c>
      <c r="O24" s="117">
        <f>O8/O10</f>
        <v>0.16293170941038887</v>
      </c>
      <c r="P24" s="117">
        <f>P8/P10</f>
        <v>0.2152795721657153</v>
      </c>
      <c r="T24" s="125" t="s">
        <v>398</v>
      </c>
      <c r="U24" s="117">
        <f>U8/U10</f>
        <v>0.22226161341231904</v>
      </c>
      <c r="V24" s="117">
        <f>V8/V10</f>
        <v>0.16719781844465617</v>
      </c>
      <c r="W24" s="117">
        <f>W8/W10</f>
        <v>0.14970301687805068</v>
      </c>
      <c r="X24" s="117">
        <f>X8/X10</f>
        <v>0.20700518808721677</v>
      </c>
      <c r="Y24" s="117">
        <f>Y8/Y10</f>
        <v>0.16747615683504063</v>
      </c>
    </row>
    <row r="25" spans="1:25" x14ac:dyDescent="0.3">
      <c r="A25" s="125" t="s">
        <v>397</v>
      </c>
      <c r="B25" s="117">
        <f>B8/B5</f>
        <v>3.4094092768707646E-2</v>
      </c>
      <c r="C25" s="117">
        <f>C8/C5</f>
        <v>3.9168259564944283E-2</v>
      </c>
      <c r="D25" s="117">
        <f>D8/D5</f>
        <v>4.3312240302532966E-2</v>
      </c>
      <c r="E25" s="117">
        <f>E8/E5</f>
        <v>3.5605113329022747E-2</v>
      </c>
      <c r="F25" s="117">
        <f>F8/F5</f>
        <v>3.7807814116729788E-2</v>
      </c>
      <c r="K25" s="125" t="s">
        <v>397</v>
      </c>
      <c r="L25" s="117">
        <f>L8/L5</f>
        <v>0.10513684020684702</v>
      </c>
      <c r="M25" s="117">
        <f>M8/M5</f>
        <v>8.2760605725432632E-2</v>
      </c>
      <c r="N25" s="117">
        <f>N8/N5</f>
        <v>8.0490674302584331E-2</v>
      </c>
      <c r="O25" s="117">
        <f>O8/O5</f>
        <v>8.5939349329684139E-2</v>
      </c>
      <c r="P25" s="117">
        <f>P8/P5</f>
        <v>9.8147814306648554E-2</v>
      </c>
      <c r="T25" s="125" t="s">
        <v>397</v>
      </c>
      <c r="U25" s="117">
        <f>U8/U5</f>
        <v>0.17550553223960322</v>
      </c>
      <c r="V25" s="117">
        <f>V8/V5</f>
        <v>0.11274480843647534</v>
      </c>
      <c r="W25" s="117">
        <f>W8/W5</f>
        <v>0.10589546899179658</v>
      </c>
      <c r="X25" s="117">
        <f>X8/X5</f>
        <v>0.14030024486590922</v>
      </c>
      <c r="Y25" s="117">
        <f>Y8/Y5</f>
        <v>0.10829716765646415</v>
      </c>
    </row>
    <row r="26" spans="1:25" x14ac:dyDescent="0.3">
      <c r="A26" s="125" t="s">
        <v>396</v>
      </c>
      <c r="B26" s="117">
        <f>B6/B5</f>
        <v>8.4858881955158477E-2</v>
      </c>
      <c r="C26" s="117">
        <f>C6/C5</f>
        <v>9.3805152696418342E-2</v>
      </c>
      <c r="D26" s="117">
        <f>D6/D5</f>
        <v>9.1919884790392495E-2</v>
      </c>
      <c r="E26" s="117">
        <f>E6/E5</f>
        <v>0.11561598204648893</v>
      </c>
      <c r="F26" s="117">
        <f>F6/F5</f>
        <v>0.12214823611093947</v>
      </c>
      <c r="K26" s="125" t="s">
        <v>396</v>
      </c>
      <c r="L26" s="117">
        <f>L6/L5</f>
        <v>0.23174105506787962</v>
      </c>
      <c r="M26" s="117">
        <f>M6/M5</f>
        <v>0.20110908889805029</v>
      </c>
      <c r="N26" s="117">
        <f>N6/N5</f>
        <v>0.21288311385619393</v>
      </c>
      <c r="O26" s="117">
        <f>O6/O5</f>
        <v>0.24498537382701202</v>
      </c>
      <c r="P26" s="117">
        <f>P6/P5</f>
        <v>0.23688592913609294</v>
      </c>
      <c r="T26" s="125" t="s">
        <v>396</v>
      </c>
      <c r="U26" s="117">
        <f>U6/U5</f>
        <v>0.23654190437273817</v>
      </c>
      <c r="V26" s="117">
        <f>V6/V5</f>
        <v>0.22580716627773018</v>
      </c>
      <c r="W26" s="117">
        <f>W6/W5</f>
        <v>0.22148914809946141</v>
      </c>
      <c r="X26" s="117">
        <f>X6/X5</f>
        <v>0.24088468572097685</v>
      </c>
      <c r="Y26" s="117">
        <f>Y6/Y5</f>
        <v>0.25387897278600796</v>
      </c>
    </row>
    <row r="27" spans="1:25" x14ac:dyDescent="0.3">
      <c r="A27" s="125" t="s">
        <v>395</v>
      </c>
      <c r="B27" s="117">
        <f>B6/(B9-B15)</f>
        <v>0.25695600510169986</v>
      </c>
      <c r="C27" s="117">
        <f>C6/(C9-C15)</f>
        <v>0.22191480785757203</v>
      </c>
      <c r="D27" s="117">
        <f>D6/(D9-D15)</f>
        <v>0.17017018680823692</v>
      </c>
      <c r="E27" s="117">
        <f>E6/(E9-E15)</f>
        <v>0.16298576703044149</v>
      </c>
      <c r="F27" s="117">
        <f>F6/(F9-F15)</f>
        <v>0.20137578230486139</v>
      </c>
      <c r="K27" s="125" t="s">
        <v>395</v>
      </c>
      <c r="L27" s="117">
        <f>L6/(L9-L15)</f>
        <v>0.1610109521151197</v>
      </c>
      <c r="M27" s="117">
        <f>M6/(M9-M15)</f>
        <v>0.16218572233687562</v>
      </c>
      <c r="N27" s="117">
        <f>N6/(N9-N15)</f>
        <v>0.19266442085914068</v>
      </c>
      <c r="O27" s="117">
        <f>O6/(O9-O15)</f>
        <v>0.2088918288992542</v>
      </c>
      <c r="P27" s="117">
        <f>P6/(P9-P15)</f>
        <v>0.2288113677270753</v>
      </c>
      <c r="T27" s="125" t="s">
        <v>395</v>
      </c>
      <c r="U27" s="117">
        <f>U6/(U9-U15)</f>
        <v>0.22486677669348659</v>
      </c>
      <c r="V27" s="117">
        <f>V6/(V9-V15)</f>
        <v>0.283168439086882</v>
      </c>
      <c r="W27" s="117">
        <f>W6/(W9-W15)</f>
        <v>0.20313457777054303</v>
      </c>
      <c r="X27" s="117">
        <f>X6/(X9-X15)</f>
        <v>0.25860264947184342</v>
      </c>
      <c r="Y27" s="117">
        <f>Y6/(Y9-Y15)</f>
        <v>0.2609123948373358</v>
      </c>
    </row>
    <row r="56" spans="1:25" ht="14.4" customHeight="1" x14ac:dyDescent="0.3">
      <c r="A56" s="284" t="s">
        <v>394</v>
      </c>
      <c r="B56" s="284"/>
      <c r="C56" s="284"/>
      <c r="D56" s="284"/>
      <c r="E56" s="284"/>
      <c r="F56" s="284"/>
      <c r="G56" s="284"/>
      <c r="H56" s="284"/>
      <c r="I56" s="284"/>
      <c r="J56" s="284"/>
      <c r="K56" s="284"/>
      <c r="L56" s="284"/>
      <c r="M56" s="284"/>
      <c r="N56" s="284"/>
      <c r="O56" s="284"/>
      <c r="P56" s="284"/>
      <c r="Q56" s="284"/>
      <c r="R56" s="284"/>
      <c r="S56" s="284"/>
      <c r="T56" s="284"/>
      <c r="U56" s="284"/>
      <c r="V56" s="284"/>
      <c r="W56" s="284"/>
      <c r="X56" s="284"/>
      <c r="Y56" s="284"/>
    </row>
    <row r="57" spans="1:25" ht="14.4" customHeight="1" x14ac:dyDescent="0.3">
      <c r="A57" s="284"/>
      <c r="B57" s="284"/>
      <c r="C57" s="284"/>
      <c r="D57" s="284"/>
      <c r="E57" s="284"/>
      <c r="F57" s="284"/>
      <c r="G57" s="284"/>
      <c r="H57" s="284"/>
      <c r="I57" s="284"/>
      <c r="J57" s="284"/>
      <c r="K57" s="284"/>
      <c r="L57" s="284"/>
      <c r="M57" s="284"/>
      <c r="N57" s="284"/>
      <c r="O57" s="284"/>
      <c r="P57" s="284"/>
      <c r="Q57" s="284"/>
      <c r="R57" s="284"/>
      <c r="S57" s="284"/>
      <c r="T57" s="284"/>
      <c r="U57" s="284"/>
      <c r="V57" s="284"/>
      <c r="W57" s="284"/>
      <c r="X57" s="284"/>
      <c r="Y57" s="284"/>
    </row>
    <row r="59" spans="1:25" ht="18" x14ac:dyDescent="0.35">
      <c r="A59" s="282" t="s">
        <v>123</v>
      </c>
      <c r="B59" s="285"/>
      <c r="C59" s="285"/>
      <c r="D59" s="285"/>
      <c r="E59" s="285"/>
      <c r="F59" s="285"/>
      <c r="K59" s="282" t="s">
        <v>105</v>
      </c>
      <c r="L59" s="283"/>
      <c r="M59" s="283"/>
      <c r="N59" s="283"/>
      <c r="O59" s="283"/>
      <c r="P59" s="283"/>
      <c r="T59" s="282" t="s">
        <v>385</v>
      </c>
      <c r="U59" s="283"/>
      <c r="V59" s="283"/>
      <c r="W59" s="283"/>
      <c r="X59" s="283"/>
      <c r="Y59" s="283"/>
    </row>
    <row r="61" spans="1:25" x14ac:dyDescent="0.3">
      <c r="A61" s="122" t="s">
        <v>384</v>
      </c>
      <c r="B61" s="121">
        <v>2024</v>
      </c>
      <c r="C61" s="121">
        <v>2023</v>
      </c>
      <c r="D61" s="121">
        <v>2022</v>
      </c>
      <c r="E61" s="120">
        <v>2021</v>
      </c>
      <c r="F61" s="124"/>
      <c r="K61" s="122" t="s">
        <v>384</v>
      </c>
      <c r="L61" s="121">
        <v>2024</v>
      </c>
      <c r="M61" s="121">
        <v>2023</v>
      </c>
      <c r="N61" s="121">
        <v>2022</v>
      </c>
      <c r="O61" s="120">
        <v>2021</v>
      </c>
      <c r="P61" s="124"/>
      <c r="T61" s="122" t="s">
        <v>384</v>
      </c>
      <c r="U61" s="121">
        <v>2024</v>
      </c>
      <c r="V61" s="121">
        <v>2023</v>
      </c>
      <c r="W61" s="121">
        <v>2022</v>
      </c>
      <c r="X61" s="120">
        <v>2021</v>
      </c>
    </row>
    <row r="62" spans="1:25" x14ac:dyDescent="0.3">
      <c r="A62" t="s">
        <v>393</v>
      </c>
      <c r="B62" s="47">
        <f>B5/((B9+C9)*0.5)</f>
        <v>1.2032591096038674</v>
      </c>
      <c r="C62" s="47">
        <f>C5/((C9+D9)*0.5)</f>
        <v>1.0031833607401419</v>
      </c>
      <c r="D62" s="47">
        <f>D5/((D9+E9)*0.5)</f>
        <v>0.79562909607052246</v>
      </c>
      <c r="E62" s="47">
        <f>E5/((E9+F9)*0.5)</f>
        <v>0.58127280245483204</v>
      </c>
      <c r="K62" t="s">
        <v>393</v>
      </c>
      <c r="L62">
        <f>L5/((L9+M9)*0.5)</f>
        <v>0.61254648607250184</v>
      </c>
      <c r="M62">
        <f>M5/((M9+N9)*0.5)</f>
        <v>0.68360012029041539</v>
      </c>
      <c r="N62">
        <f>N5/((N9+O9)*0.5)</f>
        <v>0.71295684053465536</v>
      </c>
      <c r="O62">
        <f>O5/((O9+P9)*0.5)</f>
        <v>0.64073000822006521</v>
      </c>
      <c r="T62" t="s">
        <v>393</v>
      </c>
      <c r="U62">
        <f>U5/((U9+V9)*0.5)</f>
        <v>0.87316722190463048</v>
      </c>
      <c r="V62">
        <f>V5/((V9+W9)*0.5)</f>
        <v>0.84523939565121053</v>
      </c>
      <c r="W62">
        <f>W5/((W9+X9)*0.5)</f>
        <v>0.7773257881972514</v>
      </c>
      <c r="X62">
        <f>X5/((X9+Y9)*0.5)</f>
        <v>0.77321779745982633</v>
      </c>
    </row>
    <row r="63" spans="1:25" x14ac:dyDescent="0.3">
      <c r="A63" t="s">
        <v>392</v>
      </c>
      <c r="B63" s="47">
        <f>B5/((B12+C12)*0.5)</f>
        <v>13.286395839109691</v>
      </c>
      <c r="C63" s="47">
        <f>C5/((C12+D12)*0.5)</f>
        <v>12.307980232415515</v>
      </c>
      <c r="D63" s="47">
        <f>D5/((D12+E12)*0.5)</f>
        <v>9.3771631832628213</v>
      </c>
      <c r="E63" s="47">
        <f>E5/((E12+F12)*0.5)</f>
        <v>6.0833518270518461</v>
      </c>
      <c r="K63" t="s">
        <v>392</v>
      </c>
      <c r="L63">
        <f>L5/((L12+M12)*0.5)</f>
        <v>11.311455472734407</v>
      </c>
      <c r="M63">
        <f>M5/((M12+N12)*0.5)</f>
        <v>12.779003838802421</v>
      </c>
      <c r="N63">
        <f>N5/((N12+O12)*0.5)</f>
        <v>17.277595340252642</v>
      </c>
      <c r="O63">
        <f>O5/((O12+P12)*0.5)</f>
        <v>18.643119443370701</v>
      </c>
      <c r="T63" t="s">
        <v>392</v>
      </c>
      <c r="U63">
        <f>U5/((U12+V12)*0.5)</f>
        <v>19.466007470885518</v>
      </c>
      <c r="V63">
        <f>V5/((V12+W12)*0.5)</f>
        <v>17.599688068624904</v>
      </c>
      <c r="W63">
        <f>W5/((W12+X12)*0.5)</f>
        <v>19.210548748002132</v>
      </c>
      <c r="X63">
        <f>X5/((X12+Y12)*0.5)</f>
        <v>21.417149179420989</v>
      </c>
    </row>
    <row r="64" spans="1:25" x14ac:dyDescent="0.3">
      <c r="A64" t="s">
        <v>391</v>
      </c>
      <c r="B64">
        <f>B5/((B18+C18)*0.5)</f>
        <v>6.6251032939650889</v>
      </c>
      <c r="C64">
        <f>C5/((C18+D18)*0.5)</f>
        <v>5.4376183209309401</v>
      </c>
      <c r="D64">
        <f>D5/((D18+E18)*0.5)</f>
        <v>4.2151082921143361</v>
      </c>
      <c r="E64">
        <f>E5/((E18+F18)*0.5)</f>
        <v>2.9076683918871966</v>
      </c>
      <c r="K64" t="s">
        <v>391</v>
      </c>
      <c r="L64">
        <f>L5/((L18+M18)*0.5)</f>
        <v>6.3329111329125976</v>
      </c>
      <c r="M64">
        <f>M5/((M18+N18)*0.5)</f>
        <v>9.017789439680822</v>
      </c>
      <c r="N64">
        <f>N5/((N18+O18)*0.5)</f>
        <v>13.618833487633911</v>
      </c>
      <c r="O64">
        <f>O5/((O18+P18)*0.5)</f>
        <v>17.101484819383909</v>
      </c>
      <c r="T64" t="s">
        <v>391</v>
      </c>
      <c r="U64">
        <f>U5/((U18+V18)*0.5)</f>
        <v>6.8309943865276654</v>
      </c>
      <c r="V64">
        <f>V5/((V18+W18)*0.5)</f>
        <v>6.6524633385463154</v>
      </c>
      <c r="W64">
        <f>W5/((W18+X18)*0.5)</f>
        <v>7.7437934885319137</v>
      </c>
      <c r="X64">
        <f>X5/((X18+Y18)*0.5)</f>
        <v>11.442425914249686</v>
      </c>
    </row>
    <row r="72" spans="1:25" ht="14.4" customHeight="1" x14ac:dyDescent="0.3">
      <c r="A72" s="284" t="s">
        <v>390</v>
      </c>
      <c r="B72" s="284"/>
      <c r="C72" s="284"/>
      <c r="D72" s="284"/>
      <c r="E72" s="284"/>
      <c r="F72" s="284"/>
      <c r="G72" s="284"/>
      <c r="H72" s="284"/>
      <c r="I72" s="284"/>
      <c r="J72" s="284"/>
      <c r="K72" s="284"/>
      <c r="L72" s="284"/>
      <c r="M72" s="284"/>
      <c r="N72" s="284"/>
      <c r="O72" s="284"/>
      <c r="P72" s="284"/>
      <c r="Q72" s="284"/>
      <c r="R72" s="284"/>
      <c r="S72" s="284"/>
      <c r="T72" s="284"/>
      <c r="U72" s="284"/>
      <c r="V72" s="284"/>
      <c r="W72" s="284"/>
      <c r="X72" s="284"/>
      <c r="Y72" s="284"/>
    </row>
    <row r="73" spans="1:25" ht="14.4" customHeight="1" x14ac:dyDescent="0.3">
      <c r="A73" s="284"/>
      <c r="B73" s="284"/>
      <c r="C73" s="284"/>
      <c r="D73" s="284"/>
      <c r="E73" s="284"/>
      <c r="F73" s="284"/>
      <c r="G73" s="284"/>
      <c r="H73" s="284"/>
      <c r="I73" s="284"/>
      <c r="J73" s="284"/>
      <c r="K73" s="284"/>
      <c r="L73" s="284"/>
      <c r="M73" s="284"/>
      <c r="N73" s="284"/>
      <c r="O73" s="284"/>
      <c r="P73" s="284"/>
      <c r="Q73" s="284"/>
      <c r="R73" s="284"/>
      <c r="S73" s="284"/>
      <c r="T73" s="284"/>
      <c r="U73" s="284"/>
      <c r="V73" s="284"/>
      <c r="W73" s="284"/>
      <c r="X73" s="284"/>
      <c r="Y73" s="284"/>
    </row>
    <row r="75" spans="1:25" ht="18" x14ac:dyDescent="0.35">
      <c r="A75" s="282" t="s">
        <v>123</v>
      </c>
      <c r="B75" s="285"/>
      <c r="C75" s="285"/>
      <c r="D75" s="285"/>
      <c r="E75" s="285"/>
      <c r="F75" s="285"/>
      <c r="K75" s="282" t="s">
        <v>105</v>
      </c>
      <c r="L75" s="283"/>
      <c r="M75" s="283"/>
      <c r="N75" s="283"/>
      <c r="O75" s="283"/>
      <c r="P75" s="283"/>
      <c r="T75" s="282" t="s">
        <v>385</v>
      </c>
      <c r="U75" s="283"/>
      <c r="V75" s="283"/>
      <c r="W75" s="283"/>
      <c r="X75" s="283"/>
      <c r="Y75" s="283"/>
    </row>
    <row r="77" spans="1:25" x14ac:dyDescent="0.3">
      <c r="A77" s="122" t="s">
        <v>384</v>
      </c>
      <c r="B77" s="121">
        <v>2024</v>
      </c>
      <c r="C77" s="121">
        <v>2023</v>
      </c>
      <c r="D77" s="121">
        <v>2022</v>
      </c>
      <c r="E77" s="120">
        <v>2021</v>
      </c>
      <c r="K77" s="122" t="s">
        <v>384</v>
      </c>
      <c r="L77" s="121">
        <v>2024</v>
      </c>
      <c r="M77" s="121">
        <v>2023</v>
      </c>
      <c r="N77" s="121">
        <v>2022</v>
      </c>
      <c r="O77" s="120">
        <v>2021</v>
      </c>
      <c r="T77" s="122" t="s">
        <v>384</v>
      </c>
      <c r="U77" s="121">
        <v>2024</v>
      </c>
      <c r="V77" s="121">
        <v>2023</v>
      </c>
      <c r="W77" s="121">
        <v>2022</v>
      </c>
      <c r="X77" s="120">
        <v>2021</v>
      </c>
    </row>
    <row r="78" spans="1:25" x14ac:dyDescent="0.3">
      <c r="A78" s="123" t="s">
        <v>389</v>
      </c>
      <c r="B78" s="47">
        <f>B13/B10</f>
        <v>1.6567379343147559</v>
      </c>
      <c r="C78" s="47">
        <f>C13/C10</f>
        <v>1.5518806684491153</v>
      </c>
      <c r="D78" s="47">
        <f>D13/D10</f>
        <v>1.4521068833052078</v>
      </c>
      <c r="E78" s="47">
        <f>E13/E10</f>
        <v>1.4755650060975498</v>
      </c>
      <c r="K78" s="123" t="s">
        <v>389</v>
      </c>
      <c r="L78" s="47">
        <f>L13/L10</f>
        <v>2.0107525430005286</v>
      </c>
      <c r="M78" s="47">
        <f>M13/M10</f>
        <v>1.9479539328595932</v>
      </c>
      <c r="N78" s="47">
        <f>N13/N10</f>
        <v>1.9341955472494881</v>
      </c>
      <c r="O78" s="47">
        <f>O13/O10</f>
        <v>2.1366597984073064</v>
      </c>
      <c r="T78" s="123" t="s">
        <v>389</v>
      </c>
      <c r="U78" s="47">
        <f>U13/U10</f>
        <v>0.65932561011870727</v>
      </c>
      <c r="V78" s="47">
        <f>V13/V10</f>
        <v>0.58506277082352254</v>
      </c>
      <c r="W78" s="47">
        <f>W13/W10</f>
        <v>1.0662654617450453</v>
      </c>
      <c r="X78" s="47">
        <f>X13/X10</f>
        <v>1.0361997388171569</v>
      </c>
    </row>
    <row r="79" spans="1:25" x14ac:dyDescent="0.3">
      <c r="A79" s="123" t="s">
        <v>388</v>
      </c>
      <c r="B79" s="47">
        <f>B9/B10</f>
        <v>2.6567379343147559</v>
      </c>
      <c r="C79" s="47">
        <f>C9/C10</f>
        <v>2.5518806684491153</v>
      </c>
      <c r="D79" s="47">
        <f>D9/D10</f>
        <v>2.4521068833052078</v>
      </c>
      <c r="E79" s="47">
        <f>E9/E10</f>
        <v>2.4755650060975496</v>
      </c>
      <c r="K79" s="123" t="s">
        <v>388</v>
      </c>
      <c r="L79" s="47">
        <f>L9/L10</f>
        <v>3.0107525430005286</v>
      </c>
      <c r="M79" s="47">
        <f>M9/M10</f>
        <v>2.9479515991645373</v>
      </c>
      <c r="N79" s="47">
        <f>N9/N10</f>
        <v>2.9341955472494878</v>
      </c>
      <c r="O79" s="47">
        <f>O9/O10</f>
        <v>3.1366597984073064</v>
      </c>
      <c r="T79" s="123" t="s">
        <v>388</v>
      </c>
      <c r="U79" s="47">
        <f>U9/U10</f>
        <v>1.6593256101187073</v>
      </c>
      <c r="V79" s="47">
        <f>V9/V10</f>
        <v>1.5850627708235228</v>
      </c>
      <c r="W79" s="47">
        <f>W9/W10</f>
        <v>2.0662654617450453</v>
      </c>
      <c r="X79" s="47">
        <f>X9/X10</f>
        <v>2.0361997388171567</v>
      </c>
    </row>
    <row r="80" spans="1:25" x14ac:dyDescent="0.3">
      <c r="A80" s="123" t="s">
        <v>387</v>
      </c>
      <c r="B80" s="47">
        <f>-B6/B14</f>
        <v>2.9741572089113073</v>
      </c>
      <c r="C80" s="47">
        <f>-C6/C14</f>
        <v>2.8317805985792477</v>
      </c>
      <c r="D80" s="47">
        <f>-D6/D14</f>
        <v>2.1415273913861985</v>
      </c>
      <c r="E80" s="47">
        <f>-E6/E14</f>
        <v>1.9151090829530537</v>
      </c>
      <c r="K80" s="123" t="s">
        <v>387</v>
      </c>
      <c r="L80" s="47">
        <f>-L6/L14</f>
        <v>3.034913473330406</v>
      </c>
      <c r="M80" s="47">
        <f>-M6/M14</f>
        <v>3.4050649074271124</v>
      </c>
      <c r="N80" s="47">
        <f>-N6/N14</f>
        <v>3.6078011849901253</v>
      </c>
      <c r="O80" s="47">
        <f>-O6/O14</f>
        <v>3.327786513953106</v>
      </c>
      <c r="T80" s="123" t="s">
        <v>387</v>
      </c>
      <c r="U80" s="47">
        <f>-U6/U14</f>
        <v>9.9153969906312103</v>
      </c>
      <c r="V80" s="47">
        <f>-V6/V14</f>
        <v>5.9923569375489931</v>
      </c>
      <c r="W80" s="47">
        <f>-W6/W14</f>
        <v>5.3922760110728509</v>
      </c>
      <c r="X80" s="47">
        <f>-X6/X14</f>
        <v>5.2177545691906007</v>
      </c>
    </row>
    <row r="99" spans="1:25" x14ac:dyDescent="0.3">
      <c r="A99" s="284" t="s">
        <v>386</v>
      </c>
      <c r="B99" s="284"/>
      <c r="C99" s="284"/>
      <c r="D99" s="284"/>
      <c r="E99" s="284"/>
      <c r="F99" s="284"/>
      <c r="G99" s="284"/>
      <c r="H99" s="284"/>
      <c r="I99" s="284"/>
      <c r="J99" s="284"/>
      <c r="K99" s="284"/>
      <c r="L99" s="284"/>
      <c r="M99" s="284"/>
      <c r="N99" s="284"/>
      <c r="O99" s="284"/>
      <c r="P99" s="284"/>
      <c r="Q99" s="284"/>
      <c r="R99" s="284"/>
      <c r="S99" s="284"/>
      <c r="T99" s="284"/>
      <c r="U99" s="284"/>
      <c r="V99" s="284"/>
      <c r="W99" s="284"/>
      <c r="X99" s="284"/>
      <c r="Y99" s="284"/>
    </row>
    <row r="100" spans="1:25" x14ac:dyDescent="0.3">
      <c r="A100" s="284"/>
      <c r="B100" s="284"/>
      <c r="C100" s="284"/>
      <c r="D100" s="284"/>
      <c r="E100" s="284"/>
      <c r="F100" s="284"/>
      <c r="G100" s="284"/>
      <c r="H100" s="284"/>
      <c r="I100" s="284"/>
      <c r="J100" s="284"/>
      <c r="K100" s="284"/>
      <c r="L100" s="284"/>
      <c r="M100" s="284"/>
      <c r="N100" s="284"/>
      <c r="O100" s="284"/>
      <c r="P100" s="284"/>
      <c r="Q100" s="284"/>
      <c r="R100" s="284"/>
      <c r="S100" s="284"/>
      <c r="T100" s="284"/>
      <c r="U100" s="284"/>
      <c r="V100" s="284"/>
      <c r="W100" s="284"/>
      <c r="X100" s="284"/>
      <c r="Y100" s="284"/>
    </row>
    <row r="102" spans="1:25" ht="18" x14ac:dyDescent="0.35">
      <c r="A102" s="282" t="s">
        <v>123</v>
      </c>
      <c r="B102" s="285"/>
      <c r="C102" s="285"/>
      <c r="D102" s="285"/>
      <c r="E102" s="285"/>
      <c r="F102" s="285"/>
      <c r="K102" s="282" t="s">
        <v>105</v>
      </c>
      <c r="L102" s="283"/>
      <c r="M102" s="283"/>
      <c r="N102" s="283"/>
      <c r="O102" s="283"/>
      <c r="P102" s="283"/>
      <c r="T102" s="282" t="s">
        <v>385</v>
      </c>
      <c r="U102" s="283"/>
      <c r="V102" s="283"/>
      <c r="W102" s="283"/>
      <c r="X102" s="283"/>
      <c r="Y102" s="283"/>
    </row>
    <row r="104" spans="1:25" x14ac:dyDescent="0.3">
      <c r="A104" s="122" t="s">
        <v>384</v>
      </c>
      <c r="B104" s="121">
        <v>2024</v>
      </c>
      <c r="C104" s="121">
        <v>2023</v>
      </c>
      <c r="D104" s="121">
        <v>2022</v>
      </c>
      <c r="E104" s="120">
        <v>2021</v>
      </c>
      <c r="K104" s="122" t="s">
        <v>384</v>
      </c>
      <c r="L104" s="121">
        <v>2024</v>
      </c>
      <c r="M104" s="121">
        <v>2023</v>
      </c>
      <c r="N104" s="121">
        <v>2022</v>
      </c>
      <c r="O104" s="120">
        <v>2021</v>
      </c>
      <c r="T104" s="122" t="s">
        <v>384</v>
      </c>
      <c r="U104" s="121">
        <v>2024</v>
      </c>
      <c r="V104" s="121">
        <v>2023</v>
      </c>
      <c r="W104" s="121">
        <v>2022</v>
      </c>
      <c r="X104" s="120">
        <v>2021</v>
      </c>
    </row>
    <row r="105" spans="1:25" x14ac:dyDescent="0.3">
      <c r="A105" t="s">
        <v>383</v>
      </c>
      <c r="B105" s="47">
        <f>B16/B15</f>
        <v>0.57130130023008185</v>
      </c>
      <c r="C105" s="47">
        <f>C16/C15</f>
        <v>0.56474968347673371</v>
      </c>
      <c r="D105" s="47">
        <f>D16/D15</f>
        <v>0.55274555004584414</v>
      </c>
      <c r="E105" s="47">
        <f>E16/E15</f>
        <v>0.56974430631602135</v>
      </c>
      <c r="K105" t="s">
        <v>383</v>
      </c>
      <c r="L105" s="47">
        <f>L16/L15</f>
        <v>1.1949338091983699</v>
      </c>
      <c r="M105" s="47">
        <f>M16/M15</f>
        <v>0.92875112049272768</v>
      </c>
      <c r="N105" s="47">
        <f>N16/N15</f>
        <v>0.8072309833197161</v>
      </c>
      <c r="O105" s="47">
        <f>O16/O15</f>
        <v>0.70690576718191167</v>
      </c>
      <c r="T105" t="s">
        <v>383</v>
      </c>
      <c r="U105" s="47">
        <f>U16/U15</f>
        <v>1.1426786213646531</v>
      </c>
      <c r="V105" s="47">
        <f>V16/V15</f>
        <v>0.97720758960963583</v>
      </c>
      <c r="W105" s="47">
        <f>W16/W15</f>
        <v>0.81805347018353747</v>
      </c>
      <c r="X105" s="47">
        <f>X16/X15</f>
        <v>0.48850279080837472</v>
      </c>
    </row>
    <row r="106" spans="1:25" x14ac:dyDescent="0.3">
      <c r="A106" t="s">
        <v>382</v>
      </c>
      <c r="B106" s="47">
        <f>(B16-B12)/B15</f>
        <v>0.41401091551179836</v>
      </c>
      <c r="C106" s="47">
        <f>(C16-C12)/C15</f>
        <v>0.42701018588411493</v>
      </c>
      <c r="D106" s="47">
        <f>(D16-D12)/D15</f>
        <v>0.41612076297789774</v>
      </c>
      <c r="E106" s="47">
        <f>(E16-E12)/E15</f>
        <v>0.41505101976240566</v>
      </c>
      <c r="K106" t="s">
        <v>382</v>
      </c>
      <c r="L106" s="47">
        <f>(L16-L12)/L15</f>
        <v>0.95288493178424072</v>
      </c>
      <c r="M106" s="47">
        <f>(M16-M12)/M15</f>
        <v>0.65246291530520784</v>
      </c>
      <c r="N106" s="47">
        <f>(N16-N12)/N15</f>
        <v>0.62785917079849729</v>
      </c>
      <c r="O106" s="47">
        <f>(O16-O12)/O15</f>
        <v>0.58006507226465109</v>
      </c>
      <c r="T106" t="s">
        <v>382</v>
      </c>
      <c r="U106" s="47">
        <f>(U16-U12)/U15</f>
        <v>0.94966442953020125</v>
      </c>
      <c r="V106" s="47">
        <f>(V16-V12)/V15</f>
        <v>0.76476563633725159</v>
      </c>
      <c r="W106" s="47">
        <f>(W16-W12)/W15</f>
        <v>0.64817844310482631</v>
      </c>
      <c r="X106" s="47">
        <f>(X16-X12)/X15</f>
        <v>0.37488195686723119</v>
      </c>
    </row>
    <row r="107" spans="1:25" x14ac:dyDescent="0.3">
      <c r="A107" t="s">
        <v>381</v>
      </c>
      <c r="B107" s="47">
        <f>B17/B15</f>
        <v>0.10251574009667005</v>
      </c>
      <c r="C107" s="47">
        <f>C17/C15</f>
        <v>7.1100699007675752E-2</v>
      </c>
      <c r="D107" s="47">
        <f>D17/D15</f>
        <v>7.1138851837197897E-2</v>
      </c>
      <c r="E107" s="47">
        <f>E17/E15</f>
        <v>6.3863933799611694E-2</v>
      </c>
      <c r="K107" t="s">
        <v>381</v>
      </c>
      <c r="L107" s="47">
        <f>L17/L15</f>
        <v>0.43622016351532644</v>
      </c>
      <c r="M107" s="47">
        <f>M17/M15</f>
        <v>0.25530968973194923</v>
      </c>
      <c r="N107" s="47">
        <f>N17/N15</f>
        <v>0.27880063124671223</v>
      </c>
      <c r="O107" s="47">
        <f>O17/O15</f>
        <v>0.33882059210738713</v>
      </c>
      <c r="T107" t="s">
        <v>381</v>
      </c>
      <c r="U107" s="47">
        <f>U17/U15</f>
        <v>0.35906914149888142</v>
      </c>
      <c r="V107" s="47">
        <f>V17/V15</f>
        <v>0.19971702220287332</v>
      </c>
      <c r="W107" s="47">
        <f>W17/W15</f>
        <v>0.19362212312036392</v>
      </c>
      <c r="X107" s="47">
        <f>X17/X15</f>
        <v>0.11350566990917396</v>
      </c>
    </row>
  </sheetData>
  <mergeCells count="16">
    <mergeCell ref="A99:Y100"/>
    <mergeCell ref="A102:F102"/>
    <mergeCell ref="K102:P102"/>
    <mergeCell ref="T102:Y102"/>
    <mergeCell ref="A75:F75"/>
    <mergeCell ref="K75:P75"/>
    <mergeCell ref="T75:Y75"/>
    <mergeCell ref="T20:Y20"/>
    <mergeCell ref="T59:Y59"/>
    <mergeCell ref="A1:Y2"/>
    <mergeCell ref="A56:Y57"/>
    <mergeCell ref="A72:Y73"/>
    <mergeCell ref="A20:F20"/>
    <mergeCell ref="K20:P20"/>
    <mergeCell ref="A59:F59"/>
    <mergeCell ref="K59:P5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02A0D-3D25-47FB-92D8-EA55BAB73FD2}">
  <dimension ref="A1:F19"/>
  <sheetViews>
    <sheetView zoomScale="87" workbookViewId="0">
      <selection activeCell="A15" sqref="A15:F15"/>
    </sheetView>
  </sheetViews>
  <sheetFormatPr defaultRowHeight="14.4" x14ac:dyDescent="0.3"/>
  <cols>
    <col min="1" max="1" width="24.88671875" bestFit="1" customWidth="1"/>
  </cols>
  <sheetData>
    <row r="1" spans="1:6" ht="18" x14ac:dyDescent="0.3">
      <c r="A1" s="286" t="s">
        <v>123</v>
      </c>
      <c r="B1" s="286"/>
      <c r="C1" s="286"/>
      <c r="D1" s="286"/>
      <c r="E1" s="286"/>
      <c r="F1" s="286"/>
    </row>
    <row r="2" spans="1:6" x14ac:dyDescent="0.3">
      <c r="A2" s="70"/>
      <c r="B2" s="154">
        <v>2024</v>
      </c>
      <c r="C2" s="154">
        <v>2023</v>
      </c>
      <c r="D2" s="154">
        <v>2022</v>
      </c>
      <c r="E2" s="154">
        <v>2021</v>
      </c>
      <c r="F2" s="154">
        <v>2020</v>
      </c>
    </row>
    <row r="3" spans="1:6" x14ac:dyDescent="0.3">
      <c r="A3" s="152" t="s">
        <v>24</v>
      </c>
      <c r="B3" s="153">
        <v>20844.96</v>
      </c>
      <c r="C3" s="153">
        <v>15553.41</v>
      </c>
      <c r="D3" s="153">
        <v>11137.96</v>
      </c>
      <c r="E3" s="153">
        <v>7949.42</v>
      </c>
      <c r="F3" s="153">
        <v>8901.07</v>
      </c>
    </row>
    <row r="4" spans="1:6" x14ac:dyDescent="0.3">
      <c r="A4" s="159" t="s">
        <v>42</v>
      </c>
      <c r="B4" s="158">
        <v>710.69</v>
      </c>
      <c r="C4" s="158">
        <v>609.20000000000005</v>
      </c>
      <c r="D4" s="158">
        <v>482.41</v>
      </c>
      <c r="E4" s="158">
        <v>283.04000000000002</v>
      </c>
      <c r="F4" s="158">
        <v>336.53</v>
      </c>
    </row>
    <row r="5" spans="1:6" x14ac:dyDescent="0.3">
      <c r="A5" s="157" t="s">
        <v>70</v>
      </c>
      <c r="B5" s="156">
        <v>18097.38</v>
      </c>
      <c r="C5" s="156">
        <v>16550.12</v>
      </c>
      <c r="D5" s="156">
        <v>14457.99</v>
      </c>
      <c r="E5" s="156">
        <v>13539.88</v>
      </c>
      <c r="F5" s="155">
        <v>13811.89</v>
      </c>
    </row>
    <row r="8" spans="1:6" ht="18" x14ac:dyDescent="0.3">
      <c r="A8" s="286" t="s">
        <v>347</v>
      </c>
      <c r="B8" s="286"/>
      <c r="C8" s="286"/>
      <c r="D8" s="286"/>
      <c r="E8" s="286"/>
      <c r="F8" s="286"/>
    </row>
    <row r="9" spans="1:6" x14ac:dyDescent="0.3">
      <c r="B9" s="154">
        <v>2024</v>
      </c>
      <c r="C9" s="154">
        <v>2023</v>
      </c>
      <c r="D9" s="154">
        <v>2022</v>
      </c>
      <c r="E9" s="154">
        <v>2021</v>
      </c>
      <c r="F9" s="154">
        <v>2020</v>
      </c>
    </row>
    <row r="10" spans="1:6" x14ac:dyDescent="0.3">
      <c r="A10" s="152" t="s">
        <v>24</v>
      </c>
      <c r="B10" s="153">
        <v>8649.8700000000008</v>
      </c>
      <c r="C10" s="153">
        <v>7956.08</v>
      </c>
      <c r="D10" s="153">
        <v>7208.04</v>
      </c>
      <c r="E10" s="153">
        <v>5787.57</v>
      </c>
      <c r="F10" s="153">
        <v>5602.57</v>
      </c>
    </row>
    <row r="11" spans="1:6" x14ac:dyDescent="0.3">
      <c r="A11" s="159" t="s">
        <v>42</v>
      </c>
      <c r="B11" s="158">
        <v>909.42</v>
      </c>
      <c r="C11" s="158">
        <v>658.45</v>
      </c>
      <c r="D11" s="158">
        <v>580.17999999999995</v>
      </c>
      <c r="E11" s="158">
        <v>497.38</v>
      </c>
      <c r="F11" s="158">
        <v>549.88</v>
      </c>
    </row>
    <row r="12" spans="1:6" x14ac:dyDescent="0.3">
      <c r="A12" s="157" t="s">
        <v>70</v>
      </c>
      <c r="B12" s="156">
        <v>15610.21</v>
      </c>
      <c r="C12" s="156">
        <v>12632.12</v>
      </c>
      <c r="D12" s="156">
        <v>10644.88</v>
      </c>
      <c r="E12" s="156">
        <v>9575.25</v>
      </c>
      <c r="F12" s="155">
        <v>8490.2999999999993</v>
      </c>
    </row>
    <row r="15" spans="1:6" ht="18" x14ac:dyDescent="0.3">
      <c r="A15" s="286" t="s">
        <v>406</v>
      </c>
      <c r="B15" s="286"/>
      <c r="C15" s="286"/>
      <c r="D15" s="286"/>
      <c r="E15" s="286"/>
      <c r="F15" s="286"/>
    </row>
    <row r="16" spans="1:6" x14ac:dyDescent="0.3">
      <c r="B16" s="154">
        <v>2024</v>
      </c>
      <c r="C16" s="154">
        <v>2023</v>
      </c>
      <c r="D16" s="154">
        <v>2022</v>
      </c>
      <c r="E16" s="154">
        <v>2021</v>
      </c>
      <c r="F16" s="154">
        <v>2020</v>
      </c>
    </row>
    <row r="17" spans="1:6" x14ac:dyDescent="0.3">
      <c r="A17" s="152" t="s">
        <v>24</v>
      </c>
      <c r="B17" s="153">
        <v>4429.49</v>
      </c>
      <c r="C17" s="153">
        <v>4062.36</v>
      </c>
      <c r="D17" s="153">
        <v>3605.82</v>
      </c>
      <c r="E17" s="153">
        <v>2903.63</v>
      </c>
      <c r="F17" s="153">
        <v>2451.6799999999998</v>
      </c>
    </row>
    <row r="18" spans="1:6" x14ac:dyDescent="0.3">
      <c r="A18" s="152" t="s">
        <v>42</v>
      </c>
      <c r="B18" s="151">
        <v>777.4</v>
      </c>
      <c r="C18" s="151">
        <v>458.01</v>
      </c>
      <c r="D18" s="151">
        <v>381.84</v>
      </c>
      <c r="E18" s="151">
        <v>407.38</v>
      </c>
      <c r="F18" s="151">
        <v>265.51</v>
      </c>
    </row>
    <row r="19" spans="1:6" x14ac:dyDescent="0.3">
      <c r="A19" s="31" t="s">
        <v>70</v>
      </c>
      <c r="B19" s="32">
        <v>5803.79</v>
      </c>
      <c r="C19" s="32">
        <v>4342.01</v>
      </c>
      <c r="D19" s="32">
        <v>5270.32</v>
      </c>
      <c r="E19" s="32">
        <v>4007.18</v>
      </c>
      <c r="F19" s="33">
        <v>3503.33</v>
      </c>
    </row>
  </sheetData>
  <mergeCells count="3">
    <mergeCell ref="A1:F1"/>
    <mergeCell ref="A8:F8"/>
    <mergeCell ref="A15:F15"/>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F27067-D9E2-4B2A-8BA8-C63B0D7B09F8}">
  <dimension ref="A1:AC22"/>
  <sheetViews>
    <sheetView showGridLines="0" zoomScale="91" zoomScaleNormal="145" workbookViewId="0">
      <selection activeCell="E23" sqref="E23"/>
    </sheetView>
  </sheetViews>
  <sheetFormatPr defaultRowHeight="14.4" x14ac:dyDescent="0.3"/>
  <cols>
    <col min="1" max="1" width="35.88671875" bestFit="1" customWidth="1"/>
    <col min="3" max="3" width="9.77734375" bestFit="1" customWidth="1"/>
    <col min="7" max="7" width="9.6640625" bestFit="1" customWidth="1"/>
    <col min="8" max="8" width="1.5546875" style="160" bestFit="1" customWidth="1"/>
    <col min="9" max="9" width="36.21875" bestFit="1" customWidth="1"/>
    <col min="15" max="15" width="9.6640625" bestFit="1" customWidth="1"/>
    <col min="16" max="16" width="1.5546875" style="160" bestFit="1" customWidth="1"/>
    <col min="17" max="17" width="36.77734375" bestFit="1" customWidth="1"/>
    <col min="23" max="23" width="9.6640625" bestFit="1" customWidth="1"/>
  </cols>
  <sheetData>
    <row r="1" spans="1:29" x14ac:dyDescent="0.3">
      <c r="A1" s="171" t="s">
        <v>423</v>
      </c>
      <c r="B1" s="287" t="s">
        <v>123</v>
      </c>
      <c r="C1" s="287"/>
      <c r="D1" s="287"/>
      <c r="E1" s="287"/>
      <c r="F1" s="287"/>
      <c r="G1" s="287"/>
      <c r="I1" s="171" t="s">
        <v>423</v>
      </c>
      <c r="J1" s="287" t="s">
        <v>424</v>
      </c>
      <c r="K1" s="287"/>
      <c r="L1" s="287"/>
      <c r="M1" s="287"/>
      <c r="N1" s="287"/>
      <c r="O1" s="287"/>
      <c r="Q1" s="171" t="s">
        <v>423</v>
      </c>
      <c r="R1" s="287" t="s">
        <v>68</v>
      </c>
      <c r="S1" s="287"/>
      <c r="T1" s="287"/>
      <c r="U1" s="287"/>
      <c r="V1" s="287"/>
      <c r="W1" s="287"/>
    </row>
    <row r="2" spans="1:29" x14ac:dyDescent="0.3">
      <c r="A2" s="169" t="s">
        <v>58</v>
      </c>
      <c r="B2" s="169">
        <v>2024</v>
      </c>
      <c r="C2" s="170">
        <v>2023</v>
      </c>
      <c r="D2" s="170">
        <v>2022</v>
      </c>
      <c r="E2" s="170">
        <v>2021</v>
      </c>
      <c r="F2" s="170">
        <v>2020</v>
      </c>
      <c r="G2" s="288" t="s">
        <v>422</v>
      </c>
      <c r="I2" s="169" t="s">
        <v>58</v>
      </c>
      <c r="J2" s="169">
        <v>2024</v>
      </c>
      <c r="K2" s="170">
        <v>2023</v>
      </c>
      <c r="L2" s="170">
        <v>2022</v>
      </c>
      <c r="M2" s="170">
        <v>2021</v>
      </c>
      <c r="N2" s="170">
        <v>2020</v>
      </c>
      <c r="O2" s="288" t="s">
        <v>422</v>
      </c>
      <c r="Q2" s="169" t="s">
        <v>58</v>
      </c>
      <c r="R2" s="169">
        <v>2024</v>
      </c>
      <c r="S2" s="170">
        <v>2023</v>
      </c>
      <c r="T2" s="170">
        <v>2022</v>
      </c>
      <c r="U2" s="170">
        <v>2021</v>
      </c>
      <c r="V2" s="170">
        <v>2020</v>
      </c>
      <c r="W2" s="288" t="s">
        <v>422</v>
      </c>
    </row>
    <row r="3" spans="1:29" x14ac:dyDescent="0.3">
      <c r="A3" s="169" t="s">
        <v>421</v>
      </c>
      <c r="B3" s="168">
        <v>20844.96</v>
      </c>
      <c r="C3" s="168">
        <v>15553.41</v>
      </c>
      <c r="D3" s="168">
        <v>11137.96</v>
      </c>
      <c r="E3" s="168">
        <v>7949.42</v>
      </c>
      <c r="F3" s="168">
        <v>8901.07</v>
      </c>
      <c r="G3" s="288"/>
      <c r="I3" s="169" t="s">
        <v>421</v>
      </c>
      <c r="J3" s="168">
        <v>8649.8700000000008</v>
      </c>
      <c r="K3" s="168">
        <v>7956.08</v>
      </c>
      <c r="L3" s="168">
        <v>7208.04</v>
      </c>
      <c r="M3" s="168">
        <v>5787.57</v>
      </c>
      <c r="N3" s="168">
        <v>5602.57</v>
      </c>
      <c r="O3" s="288"/>
      <c r="Q3" s="169" t="s">
        <v>421</v>
      </c>
      <c r="R3" s="168">
        <v>4429.49</v>
      </c>
      <c r="S3" s="168">
        <v>4062.36</v>
      </c>
      <c r="T3" s="168">
        <v>3605.82</v>
      </c>
      <c r="U3" s="168">
        <v>2903.63</v>
      </c>
      <c r="V3" s="168">
        <v>2451.6799999999998</v>
      </c>
      <c r="W3" s="288"/>
    </row>
    <row r="4" spans="1:29" x14ac:dyDescent="0.3">
      <c r="A4" s="161" t="s">
        <v>420</v>
      </c>
      <c r="B4">
        <v>7449.54</v>
      </c>
      <c r="C4">
        <v>3437.37</v>
      </c>
      <c r="D4">
        <v>2329.77</v>
      </c>
      <c r="E4">
        <v>2426.56</v>
      </c>
      <c r="F4">
        <v>3032.17</v>
      </c>
      <c r="G4" s="167"/>
      <c r="I4" s="161" t="s">
        <v>420</v>
      </c>
      <c r="J4">
        <v>5599.26</v>
      </c>
      <c r="K4">
        <v>3347.01</v>
      </c>
      <c r="L4">
        <v>3192.75</v>
      </c>
      <c r="M4">
        <v>2247.89</v>
      </c>
      <c r="N4">
        <v>2161.0500000000002</v>
      </c>
      <c r="Q4" s="161" t="s">
        <v>420</v>
      </c>
      <c r="R4">
        <v>1660.15</v>
      </c>
      <c r="S4">
        <v>1494.74</v>
      </c>
      <c r="T4">
        <v>1180.72</v>
      </c>
      <c r="U4">
        <v>926.45</v>
      </c>
      <c r="V4">
        <v>753.28</v>
      </c>
    </row>
    <row r="5" spans="1:29" s="163" customFormat="1" x14ac:dyDescent="0.3">
      <c r="A5" s="163" t="s">
        <v>419</v>
      </c>
      <c r="B5" s="164">
        <f>B4/B$3</f>
        <v>0.35737847422110669</v>
      </c>
      <c r="C5" s="164">
        <f>C4/C$3</f>
        <v>0.22100426851732191</v>
      </c>
      <c r="D5" s="164">
        <f>D4/D$3</f>
        <v>0.20917385230329433</v>
      </c>
      <c r="E5" s="164">
        <f>E4/E$3</f>
        <v>0.30524994276311984</v>
      </c>
      <c r="F5" s="164">
        <f>F4/F$3</f>
        <v>0.34065230359945492</v>
      </c>
      <c r="G5" s="167"/>
      <c r="H5" s="166"/>
      <c r="I5" s="163" t="s">
        <v>419</v>
      </c>
      <c r="J5" s="164">
        <f>J4/J$3</f>
        <v>0.64732302335179603</v>
      </c>
      <c r="K5" s="164">
        <f>K4/K$3</f>
        <v>0.4206858151250365</v>
      </c>
      <c r="L5" s="164">
        <f>L4/L$3</f>
        <v>0.442942880450164</v>
      </c>
      <c r="M5" s="164">
        <f>M4/M$3</f>
        <v>0.38839962194841704</v>
      </c>
      <c r="N5" s="164">
        <f>N4/N$3</f>
        <v>0.38572476559864494</v>
      </c>
      <c r="P5" s="166"/>
      <c r="Q5" s="163" t="s">
        <v>419</v>
      </c>
      <c r="R5" s="164">
        <f>R4/R$3</f>
        <v>0.37479484094105647</v>
      </c>
      <c r="S5" s="164">
        <f>S4/S$3</f>
        <v>0.36794868007759035</v>
      </c>
      <c r="T5" s="164">
        <f>T4/T$3</f>
        <v>0.32744840285982107</v>
      </c>
      <c r="U5" s="164">
        <f>U4/U$3</f>
        <v>0.31906613445928028</v>
      </c>
      <c r="V5" s="164">
        <f>V4/V$3</f>
        <v>0.30725053840631733</v>
      </c>
    </row>
    <row r="6" spans="1:29" x14ac:dyDescent="0.3">
      <c r="A6" s="161" t="s">
        <v>418</v>
      </c>
      <c r="B6">
        <f>'[1]Expenses Analysis'!C5+'[2]Balance sheet analysis'!B17-'[2]Balance sheet analysis'!C17</f>
        <v>7839.2699999999995</v>
      </c>
      <c r="C6">
        <f>'[1]Expenses Analysis'!D5+'[2]Balance sheet analysis'!C17-'[2]Balance sheet analysis'!D17</f>
        <v>3658.0599999999995</v>
      </c>
      <c r="D6">
        <f>'[1]Expenses Analysis'!E5+'[2]Balance sheet analysis'!D17-'[2]Balance sheet analysis'!E17</f>
        <v>2260.8999999999996</v>
      </c>
      <c r="E6">
        <f>'[1]Expenses Analysis'!F5+'[2]Balance sheet analysis'!E17-'[2]Balance sheet analysis'!F17</f>
        <v>2257.48</v>
      </c>
      <c r="I6" s="161" t="s">
        <v>418</v>
      </c>
      <c r="J6" s="64">
        <v>5599.88</v>
      </c>
      <c r="K6" s="64">
        <v>3630.6100000000006</v>
      </c>
      <c r="L6" s="64">
        <v>3319.95</v>
      </c>
      <c r="M6" s="64">
        <v>2334.19</v>
      </c>
      <c r="N6" s="64">
        <v>2024.7900000000002</v>
      </c>
      <c r="Q6" s="161" t="s">
        <v>418</v>
      </c>
      <c r="R6" s="64">
        <v>1673.5100000000002</v>
      </c>
      <c r="S6" s="64">
        <v>1487.92</v>
      </c>
      <c r="T6" s="64">
        <v>1101.3000000000002</v>
      </c>
      <c r="U6" s="64">
        <v>901.62</v>
      </c>
      <c r="V6" s="64">
        <v>725.21320000000003</v>
      </c>
    </row>
    <row r="7" spans="1:29" s="163" customFormat="1" x14ac:dyDescent="0.3">
      <c r="A7" s="163" t="s">
        <v>417</v>
      </c>
      <c r="B7" s="164">
        <f>B6/B$3</f>
        <v>0.37607508001934281</v>
      </c>
      <c r="C7" s="164">
        <f>C6/C$3</f>
        <v>0.23519343989517408</v>
      </c>
      <c r="D7" s="164">
        <f>D6/D$3</f>
        <v>0.2029904937708521</v>
      </c>
      <c r="E7" s="164">
        <f>E6/E$3</f>
        <v>0.28398046649944275</v>
      </c>
      <c r="F7" s="164">
        <f>F6/F$3</f>
        <v>0</v>
      </c>
      <c r="H7" s="166"/>
      <c r="I7" s="163" t="s">
        <v>417</v>
      </c>
      <c r="J7" s="164">
        <f>J6/J$3</f>
        <v>0.64739470072960625</v>
      </c>
      <c r="K7" s="164">
        <f>K6/K$3</f>
        <v>0.45633150998984434</v>
      </c>
      <c r="L7" s="164">
        <f>L6/L$3</f>
        <v>0.46058984134383268</v>
      </c>
      <c r="M7" s="164">
        <f>M6/M$3</f>
        <v>0.40331088868039611</v>
      </c>
      <c r="N7" s="164">
        <f>N6/N$3</f>
        <v>0.36140378433468934</v>
      </c>
      <c r="P7" s="166"/>
      <c r="Q7" s="163" t="s">
        <v>417</v>
      </c>
      <c r="R7" s="164">
        <f>R6/R$3</f>
        <v>0.37781098952701109</v>
      </c>
      <c r="S7" s="164">
        <f>S6/S$3</f>
        <v>0.36626985299185694</v>
      </c>
      <c r="T7" s="164">
        <f>T6/T$3</f>
        <v>0.30542289964557301</v>
      </c>
      <c r="U7" s="164">
        <f>U6/U$3</f>
        <v>0.31051476944376522</v>
      </c>
      <c r="V7" s="164">
        <f>V6/V$3</f>
        <v>0.29580255171963715</v>
      </c>
      <c r="Y7" s="158"/>
      <c r="Z7" s="158"/>
      <c r="AA7" s="158"/>
      <c r="AB7" s="158"/>
      <c r="AC7" s="158"/>
    </row>
    <row r="8" spans="1:29" x14ac:dyDescent="0.3">
      <c r="A8" s="161" t="s">
        <v>416</v>
      </c>
      <c r="B8">
        <v>23.54</v>
      </c>
      <c r="C8">
        <f>-69.35*-1</f>
        <v>69.349999999999994</v>
      </c>
      <c r="D8">
        <v>105.49</v>
      </c>
      <c r="E8">
        <v>48.9</v>
      </c>
      <c r="F8">
        <v>30.42</v>
      </c>
      <c r="I8" s="161" t="s">
        <v>416</v>
      </c>
      <c r="J8" s="64">
        <f>'[2]Balance sheet analysis'!K17-'[2]Balance sheet analysis'!L17</f>
        <v>0.62000000000000455</v>
      </c>
      <c r="K8" s="64">
        <f>'[2]Balance sheet analysis'!L17-'[2]Balance sheet analysis'!M17</f>
        <v>283.59999999999997</v>
      </c>
      <c r="L8" s="64">
        <f>'[2]Balance sheet analysis'!M17-'[2]Balance sheet analysis'!N17</f>
        <v>127.20000000000005</v>
      </c>
      <c r="M8" s="64">
        <f>'[2]Balance sheet analysis'!N17-'[2]Balance sheet analysis'!O17</f>
        <v>86.299999999999955</v>
      </c>
      <c r="N8" s="64">
        <v>136.26089999999999</v>
      </c>
      <c r="Q8" s="161" t="s">
        <v>416</v>
      </c>
      <c r="R8" s="64">
        <v>13.36</v>
      </c>
      <c r="S8" s="64">
        <v>6.8199999999999932</v>
      </c>
      <c r="T8" s="64">
        <v>79.419999999999987</v>
      </c>
      <c r="U8" s="64">
        <v>24.830000000000013</v>
      </c>
      <c r="V8" s="64">
        <v>28.066800000000001</v>
      </c>
    </row>
    <row r="9" spans="1:29" s="163" customFormat="1" x14ac:dyDescent="0.3">
      <c r="A9" s="163" t="s">
        <v>415</v>
      </c>
      <c r="B9" s="164">
        <f>B8/B$3</f>
        <v>1.129289765967409E-3</v>
      </c>
      <c r="C9" s="164">
        <f>C8/C$3</f>
        <v>4.4588292856679018E-3</v>
      </c>
      <c r="D9" s="164">
        <f>D8/D$3</f>
        <v>9.4712137590725765E-3</v>
      </c>
      <c r="E9" s="164">
        <f>E8/E$3</f>
        <v>6.1513921770393306E-3</v>
      </c>
      <c r="F9" s="164">
        <f>F8/F$3</f>
        <v>3.4175666520991298E-3</v>
      </c>
      <c r="H9" s="166"/>
      <c r="I9" s="163" t="s">
        <v>415</v>
      </c>
      <c r="J9" s="164">
        <f>J8/J$3</f>
        <v>7.1677377810302871E-5</v>
      </c>
      <c r="K9" s="164">
        <f>K8/K$3</f>
        <v>3.5645694864807793E-2</v>
      </c>
      <c r="L9" s="164">
        <f>L8/L$3</f>
        <v>1.7646960893668743E-2</v>
      </c>
      <c r="M9" s="164">
        <f>M8/M$3</f>
        <v>1.4911266731979044E-2</v>
      </c>
      <c r="N9" s="164">
        <f>N8/N$3</f>
        <v>2.4321141904518818E-2</v>
      </c>
      <c r="P9" s="166"/>
      <c r="Q9" s="163" t="s">
        <v>415</v>
      </c>
      <c r="R9" s="164">
        <f>R8/R$3</f>
        <v>3.0161485859545906E-3</v>
      </c>
      <c r="S9" s="164">
        <f>S8/S$3</f>
        <v>1.6788270857334142E-3</v>
      </c>
      <c r="T9" s="164">
        <f>T8/T$3</f>
        <v>2.2025503214248073E-2</v>
      </c>
      <c r="U9" s="164">
        <f>U8/U$3</f>
        <v>8.5513650155150667E-3</v>
      </c>
      <c r="V9" s="164">
        <f>V8/V$3</f>
        <v>1.1447986686680156E-2</v>
      </c>
    </row>
    <row r="10" spans="1:29" x14ac:dyDescent="0.3">
      <c r="A10" s="161" t="s">
        <v>414</v>
      </c>
      <c r="B10">
        <v>667.23</v>
      </c>
      <c r="C10">
        <v>545.69000000000005</v>
      </c>
      <c r="D10">
        <v>452.66</v>
      </c>
      <c r="E10">
        <v>380.5</v>
      </c>
      <c r="F10">
        <v>483.69</v>
      </c>
      <c r="I10" s="161" t="s">
        <v>414</v>
      </c>
      <c r="J10">
        <v>389.29</v>
      </c>
      <c r="K10">
        <v>374.72</v>
      </c>
      <c r="L10">
        <v>378.66</v>
      </c>
      <c r="M10">
        <v>307.27999999999997</v>
      </c>
      <c r="N10">
        <v>293.24</v>
      </c>
      <c r="Q10" s="161" t="s">
        <v>414</v>
      </c>
      <c r="R10">
        <v>174.19</v>
      </c>
      <c r="S10">
        <v>174.21</v>
      </c>
      <c r="T10">
        <v>146.05000000000001</v>
      </c>
      <c r="U10">
        <v>133.13</v>
      </c>
      <c r="V10">
        <v>126.92</v>
      </c>
    </row>
    <row r="11" spans="1:29" s="163" customFormat="1" x14ac:dyDescent="0.3">
      <c r="A11" s="163" t="s">
        <v>413</v>
      </c>
      <c r="B11" s="164">
        <f>B10/B$3</f>
        <v>3.2009176318879964E-2</v>
      </c>
      <c r="C11" s="164">
        <f>C10/C$3</f>
        <v>3.508491064017473E-2</v>
      </c>
      <c r="D11" s="164">
        <f>D10/D$3</f>
        <v>4.0641194617326695E-2</v>
      </c>
      <c r="E11" s="164">
        <f>E10/E$3</f>
        <v>4.7865127267146534E-2</v>
      </c>
      <c r="F11" s="164">
        <f>F10/F$3</f>
        <v>5.4340657920901647E-2</v>
      </c>
      <c r="H11" s="166"/>
      <c r="I11" s="163" t="s">
        <v>413</v>
      </c>
      <c r="J11" s="164">
        <f>J10/J$3</f>
        <v>4.5005300657697742E-2</v>
      </c>
      <c r="K11" s="164">
        <f>K10/K$3</f>
        <v>4.7098571155644489E-2</v>
      </c>
      <c r="L11" s="164">
        <f>L10/L$3</f>
        <v>5.2533004811294061E-2</v>
      </c>
      <c r="M11" s="164">
        <f>M10/M$3</f>
        <v>5.3093094338383807E-2</v>
      </c>
      <c r="N11" s="164">
        <f>N10/N$3</f>
        <v>5.2340265271116654E-2</v>
      </c>
      <c r="P11" s="166"/>
      <c r="Q11" s="163" t="s">
        <v>413</v>
      </c>
      <c r="R11" s="164">
        <f>R10/R$3</f>
        <v>3.9325069026005251E-2</v>
      </c>
      <c r="S11" s="164">
        <f>S10/S$3</f>
        <v>4.2883939384988037E-2</v>
      </c>
      <c r="T11" s="164">
        <f>T10/T$3</f>
        <v>4.0503963037533765E-2</v>
      </c>
      <c r="U11" s="164">
        <f>U10/U$3</f>
        <v>4.5849505618828841E-2</v>
      </c>
      <c r="V11" s="164">
        <f>V10/V$3</f>
        <v>5.1768583175618353E-2</v>
      </c>
    </row>
    <row r="12" spans="1:29" x14ac:dyDescent="0.3">
      <c r="A12" s="161" t="s">
        <v>412</v>
      </c>
      <c r="B12">
        <v>594.75</v>
      </c>
      <c r="C12">
        <v>515.22</v>
      </c>
      <c r="D12">
        <v>478.07</v>
      </c>
      <c r="E12">
        <v>479.91</v>
      </c>
      <c r="F12">
        <v>553.85</v>
      </c>
      <c r="I12" s="161" t="s">
        <v>412</v>
      </c>
      <c r="J12">
        <v>660.49</v>
      </c>
      <c r="K12">
        <v>469.9</v>
      </c>
      <c r="L12">
        <v>425.32</v>
      </c>
      <c r="M12">
        <v>426.07</v>
      </c>
      <c r="N12">
        <v>439.3</v>
      </c>
      <c r="Q12" s="161" t="s">
        <v>412</v>
      </c>
      <c r="R12">
        <v>105.67</v>
      </c>
      <c r="S12">
        <v>153.08000000000001</v>
      </c>
      <c r="T12">
        <v>148.11000000000001</v>
      </c>
      <c r="U12">
        <v>134.05000000000001</v>
      </c>
      <c r="V12">
        <v>110.23</v>
      </c>
    </row>
    <row r="13" spans="1:29" s="163" customFormat="1" x14ac:dyDescent="0.3">
      <c r="A13" s="163" t="s">
        <v>411</v>
      </c>
      <c r="B13" s="164">
        <f>B12/B$3</f>
        <v>2.8532076818569094E-2</v>
      </c>
      <c r="C13" s="164">
        <f>C12/C$3</f>
        <v>3.3125854716104061E-2</v>
      </c>
      <c r="D13" s="164">
        <f>D12/D$3</f>
        <v>4.2922581873161697E-2</v>
      </c>
      <c r="E13" s="164">
        <f>E12/E$3</f>
        <v>6.0370442120305637E-2</v>
      </c>
      <c r="F13" s="164">
        <f>F12/F$3</f>
        <v>6.2222856353224956E-2</v>
      </c>
      <c r="H13" s="166"/>
      <c r="I13" s="163" t="s">
        <v>411</v>
      </c>
      <c r="J13" s="164">
        <f>J12/J$3</f>
        <v>7.6358373016010644E-2</v>
      </c>
      <c r="K13" s="164">
        <f>K12/K$3</f>
        <v>5.9061749002021095E-2</v>
      </c>
      <c r="L13" s="164">
        <f>L12/L$3</f>
        <v>5.900633181835839E-2</v>
      </c>
      <c r="M13" s="164">
        <f>M12/M$3</f>
        <v>7.3618116065982786E-2</v>
      </c>
      <c r="N13" s="164">
        <f>N12/N$3</f>
        <v>7.8410443778480235E-2</v>
      </c>
      <c r="P13" s="166"/>
      <c r="Q13" s="163" t="s">
        <v>411</v>
      </c>
      <c r="R13" s="164">
        <f>R12/R$3</f>
        <v>2.3856019541753114E-2</v>
      </c>
      <c r="S13" s="164">
        <f>S12/S$3</f>
        <v>3.7682529367165887E-2</v>
      </c>
      <c r="T13" s="164">
        <f>T12/T$3</f>
        <v>4.1075261660315825E-2</v>
      </c>
      <c r="U13" s="164">
        <f>U12/U$3</f>
        <v>4.6166350395883772E-2</v>
      </c>
      <c r="V13" s="164">
        <f>V12/V$3</f>
        <v>4.4961006330353069E-2</v>
      </c>
    </row>
    <row r="14" spans="1:29" x14ac:dyDescent="0.3">
      <c r="A14" s="161" t="s">
        <v>410</v>
      </c>
      <c r="B14">
        <v>211.92</v>
      </c>
      <c r="C14">
        <v>202.61</v>
      </c>
      <c r="D14">
        <v>186.74</v>
      </c>
      <c r="E14">
        <v>181.25</v>
      </c>
      <c r="F14">
        <v>199.22</v>
      </c>
      <c r="I14" s="161" t="s">
        <v>410</v>
      </c>
      <c r="J14">
        <v>176.81</v>
      </c>
      <c r="K14">
        <v>253.31</v>
      </c>
      <c r="L14">
        <v>390.19</v>
      </c>
      <c r="M14">
        <v>363.25</v>
      </c>
      <c r="N14">
        <v>350.73</v>
      </c>
      <c r="Q14" s="161" t="s">
        <v>410</v>
      </c>
      <c r="R14">
        <v>156.83000000000001</v>
      </c>
      <c r="S14">
        <v>180.7</v>
      </c>
      <c r="T14">
        <v>164.92</v>
      </c>
      <c r="U14">
        <v>189.9</v>
      </c>
      <c r="V14">
        <v>254.13</v>
      </c>
    </row>
    <row r="15" spans="1:29" s="163" customFormat="1" x14ac:dyDescent="0.3">
      <c r="A15" s="163" t="s">
        <v>409</v>
      </c>
      <c r="B15" s="164">
        <f>B14/B$3</f>
        <v>1.0166486287332766E-2</v>
      </c>
      <c r="C15" s="164">
        <f>C14/C$3</f>
        <v>1.3026725329043599E-2</v>
      </c>
      <c r="D15" s="164">
        <f>D14/D$3</f>
        <v>1.6766086428753563E-2</v>
      </c>
      <c r="E15" s="164">
        <f>E14/E$3</f>
        <v>2.2800405564179525E-2</v>
      </c>
      <c r="F15" s="164">
        <f>F14/F$3</f>
        <v>2.2381578843891803E-2</v>
      </c>
      <c r="H15" s="166"/>
      <c r="I15" s="163" t="s">
        <v>409</v>
      </c>
      <c r="J15" s="164">
        <f>J14/J$3</f>
        <v>2.0440769630063804E-2</v>
      </c>
      <c r="K15" s="164">
        <f>K14/K$3</f>
        <v>3.1838543604388092E-2</v>
      </c>
      <c r="L15" s="164">
        <f>L14/L$3</f>
        <v>5.413260747720601E-2</v>
      </c>
      <c r="M15" s="164">
        <f>M14/M$3</f>
        <v>6.2763819703260615E-2</v>
      </c>
      <c r="N15" s="164">
        <f>N14/N$3</f>
        <v>6.2601627467394436E-2</v>
      </c>
      <c r="P15" s="166"/>
      <c r="Q15" s="163" t="s">
        <v>409</v>
      </c>
      <c r="R15" s="164">
        <f>R14/R$3</f>
        <v>3.5405881941261867E-2</v>
      </c>
      <c r="S15" s="164">
        <f>S14/S$3</f>
        <v>4.4481532902056926E-2</v>
      </c>
      <c r="T15" s="164">
        <f>T14/T$3</f>
        <v>4.5737169353988825E-2</v>
      </c>
      <c r="U15" s="164">
        <f>U14/U$3</f>
        <v>6.5400894742098689E-2</v>
      </c>
      <c r="V15" s="164">
        <f>V14/V$3</f>
        <v>0.1036554525876134</v>
      </c>
    </row>
    <row r="16" spans="1:29" x14ac:dyDescent="0.3">
      <c r="A16" s="161" t="s">
        <v>408</v>
      </c>
      <c r="B16">
        <v>10982.85</v>
      </c>
      <c r="C16">
        <f>331.79+'[2]Income Statement Analysis'!C16 * -1</f>
        <v>8624.27</v>
      </c>
      <c r="D16">
        <f>331.79+'[2]Income Statement Analysis'!D16*-1</f>
        <v>6146.18</v>
      </c>
      <c r="E16">
        <v>4174.38</v>
      </c>
      <c r="F16">
        <v>4267.54</v>
      </c>
      <c r="I16" s="161" t="s">
        <v>408</v>
      </c>
      <c r="J16">
        <v>656.79</v>
      </c>
      <c r="K16">
        <v>2634.31</v>
      </c>
      <c r="L16">
        <v>2102.16</v>
      </c>
      <c r="M16">
        <v>1814.5300000000002</v>
      </c>
      <c r="N16">
        <v>1821.1100000000001</v>
      </c>
      <c r="Q16" s="161" t="s">
        <v>408</v>
      </c>
      <c r="R16">
        <v>1547.39</v>
      </c>
      <c r="S16">
        <v>1476.1</v>
      </c>
      <c r="T16">
        <v>1480.4</v>
      </c>
      <c r="U16">
        <v>1144.6099999999999</v>
      </c>
      <c r="V16">
        <v>949.05000000000007</v>
      </c>
    </row>
    <row r="17" spans="1:22" s="163" customFormat="1" x14ac:dyDescent="0.3">
      <c r="A17" s="165" t="s">
        <v>407</v>
      </c>
      <c r="B17" s="164">
        <f>B16/B$3</f>
        <v>0.52688275727082234</v>
      </c>
      <c r="C17" s="164">
        <f>C16/C$3</f>
        <v>0.55449383768575511</v>
      </c>
      <c r="D17" s="164">
        <f>D16/D$3</f>
        <v>0.5518227754454138</v>
      </c>
      <c r="E17" s="164">
        <f>E16/E$3</f>
        <v>0.52511755574620544</v>
      </c>
      <c r="F17" s="164">
        <f>F16/F$3</f>
        <v>0.47944123571660485</v>
      </c>
      <c r="H17" s="166"/>
      <c r="I17" s="165" t="s">
        <v>407</v>
      </c>
      <c r="J17" s="164">
        <f>J16/J$3</f>
        <v>7.5930620922626577E-2</v>
      </c>
      <c r="K17" s="164">
        <f>K16/K$3</f>
        <v>0.33110652482126879</v>
      </c>
      <c r="L17" s="164">
        <f>L16/L$3</f>
        <v>0.29164100088234801</v>
      </c>
      <c r="M17" s="164">
        <f>M16/M$3</f>
        <v>0.31352190988618717</v>
      </c>
      <c r="N17" s="164">
        <f>N16/N$3</f>
        <v>0.32504903999414558</v>
      </c>
      <c r="P17" s="166"/>
      <c r="Q17" s="165" t="s">
        <v>407</v>
      </c>
      <c r="R17" s="164">
        <f>R16/R$3</f>
        <v>0.3493381856602002</v>
      </c>
      <c r="S17" s="164">
        <f>S16/S$3</f>
        <v>0.36336021425969139</v>
      </c>
      <c r="T17" s="164">
        <f>T16/T$3</f>
        <v>0.41055848600318373</v>
      </c>
      <c r="U17" s="164">
        <f>U16/U$3</f>
        <v>0.39419967420091395</v>
      </c>
      <c r="V17" s="164">
        <f>V16/V$3</f>
        <v>0.38710190563205643</v>
      </c>
    </row>
    <row r="18" spans="1:22" x14ac:dyDescent="0.3">
      <c r="A18" s="161"/>
      <c r="B18" s="162"/>
      <c r="C18" s="162"/>
      <c r="D18" s="162"/>
      <c r="E18" s="162"/>
      <c r="F18" s="162"/>
    </row>
    <row r="19" spans="1:22" x14ac:dyDescent="0.3">
      <c r="A19" s="161"/>
      <c r="J19" s="64"/>
      <c r="K19" s="64"/>
      <c r="L19" s="64"/>
      <c r="M19" s="64"/>
      <c r="N19" s="64"/>
    </row>
    <row r="22" spans="1:22" x14ac:dyDescent="0.3">
      <c r="A22" s="161"/>
    </row>
  </sheetData>
  <mergeCells count="6">
    <mergeCell ref="B1:G1"/>
    <mergeCell ref="J1:O1"/>
    <mergeCell ref="R1:W1"/>
    <mergeCell ref="G2:G3"/>
    <mergeCell ref="O2:O3"/>
    <mergeCell ref="W2:W3"/>
  </mergeCells>
  <pageMargins left="0.7" right="0.7" top="0.75" bottom="0.75" header="0.3" footer="0.3"/>
  <extLst>
    <ext xmlns:x14="http://schemas.microsoft.com/office/spreadsheetml/2009/9/main" uri="{05C60535-1F16-4fd2-B633-F4F36F0B64E0}">
      <x14:sparklineGroups xmlns:xm="http://schemas.microsoft.com/office/excel/2006/main">
        <x14:sparklineGroup displayEmptyCellsAs="span" xr2:uid="{D53EC5A7-B002-4AC3-A7DB-7B88E4DFB867}">
          <x14:colorSeries rgb="FF376092"/>
          <x14:colorNegative rgb="FFD00000"/>
          <x14:colorAxis rgb="FF000000"/>
          <x14:colorMarkers rgb="FFD00000"/>
          <x14:colorFirst rgb="FFD00000"/>
          <x14:colorLast rgb="FFD00000"/>
          <x14:colorHigh rgb="FFD00000"/>
          <x14:colorLow rgb="FFD00000"/>
          <x14:sparklines>
            <x14:sparkline>
              <xm:f>'Expense Analysis'!R5:V5</xm:f>
              <xm:sqref>W5</xm:sqref>
            </x14:sparkline>
          </x14:sparklines>
        </x14:sparklineGroup>
        <x14:sparklineGroup displayEmptyCellsAs="span" xr2:uid="{C955BFD2-C942-43B7-B448-2AE64DA443D8}">
          <x14:colorSeries rgb="FF376092"/>
          <x14:colorNegative rgb="FFD00000"/>
          <x14:colorAxis rgb="FF000000"/>
          <x14:colorMarkers rgb="FFD00000"/>
          <x14:colorFirst rgb="FFD00000"/>
          <x14:colorLast rgb="FFD00000"/>
          <x14:colorHigh rgb="FFD00000"/>
          <x14:colorLow rgb="FFD00000"/>
          <x14:sparklines>
            <x14:sparkline>
              <xm:f>'Expense Analysis'!R9:V9</xm:f>
              <xm:sqref>W9</xm:sqref>
            </x14:sparkline>
          </x14:sparklines>
        </x14:sparklineGroup>
        <x14:sparklineGroup displayEmptyCellsAs="span" xr2:uid="{2276991C-2D6A-47F3-9822-F4B5FAB0C854}">
          <x14:colorSeries rgb="FF376092"/>
          <x14:colorNegative rgb="FFD00000"/>
          <x14:colorAxis rgb="FF000000"/>
          <x14:colorMarkers rgb="FFD00000"/>
          <x14:colorFirst rgb="FFD00000"/>
          <x14:colorLast rgb="FFD00000"/>
          <x14:colorHigh rgb="FFD00000"/>
          <x14:colorLow rgb="FFD00000"/>
          <x14:sparklines>
            <x14:sparkline>
              <xm:f>'Expense Analysis'!R11:V11</xm:f>
              <xm:sqref>W11</xm:sqref>
            </x14:sparkline>
          </x14:sparklines>
        </x14:sparklineGroup>
        <x14:sparklineGroup displayEmptyCellsAs="span" xr2:uid="{FD8BFF4A-40EB-4520-BD4A-83F551EC70AE}">
          <x14:colorSeries rgb="FF376092"/>
          <x14:colorNegative rgb="FFD00000"/>
          <x14:colorAxis rgb="FF000000"/>
          <x14:colorMarkers rgb="FFD00000"/>
          <x14:colorFirst rgb="FFD00000"/>
          <x14:colorLast rgb="FFD00000"/>
          <x14:colorHigh rgb="FFD00000"/>
          <x14:colorLow rgb="FFD00000"/>
          <x14:sparklines>
            <x14:sparkline>
              <xm:f>'Expense Analysis'!R13:V13</xm:f>
              <xm:sqref>W13</xm:sqref>
            </x14:sparkline>
          </x14:sparklines>
        </x14:sparklineGroup>
        <x14:sparklineGroup displayEmptyCellsAs="span" xr2:uid="{DBCAB7A2-C1D9-4B5A-8222-5DA3E759FC2D}">
          <x14:colorSeries rgb="FF376092"/>
          <x14:colorNegative rgb="FFD00000"/>
          <x14:colorAxis rgb="FF000000"/>
          <x14:colorMarkers rgb="FFD00000"/>
          <x14:colorFirst rgb="FFD00000"/>
          <x14:colorLast rgb="FFD00000"/>
          <x14:colorHigh rgb="FFD00000"/>
          <x14:colorLow rgb="FFD00000"/>
          <x14:sparklines>
            <x14:sparkline>
              <xm:f>'Expense Analysis'!R15:V15</xm:f>
              <xm:sqref>W15</xm:sqref>
            </x14:sparkline>
          </x14:sparklines>
        </x14:sparklineGroup>
        <x14:sparklineGroup displayEmptyCellsAs="span" xr2:uid="{9B5BF942-CF7C-456F-8506-E9778020E4E5}">
          <x14:colorSeries rgb="FF376092"/>
          <x14:colorNegative rgb="FFD00000"/>
          <x14:colorAxis rgb="FF000000"/>
          <x14:colorMarkers rgb="FFD00000"/>
          <x14:colorFirst rgb="FFD00000"/>
          <x14:colorLast rgb="FFD00000"/>
          <x14:colorHigh rgb="FFD00000"/>
          <x14:colorLow rgb="FFD00000"/>
          <x14:sparklines>
            <x14:sparkline>
              <xm:f>'Expense Analysis'!R17:V17</xm:f>
              <xm:sqref>W17</xm:sqref>
            </x14:sparkline>
          </x14:sparklines>
        </x14:sparklineGroup>
        <x14:sparklineGroup displayEmptyCellsAs="span" xr2:uid="{34CBBB94-4FE9-48D7-9865-A0F84FF1B75B}">
          <x14:colorSeries rgb="FF376092"/>
          <x14:colorNegative rgb="FFD00000"/>
          <x14:colorAxis rgb="FF000000"/>
          <x14:colorMarkers rgb="FFD00000"/>
          <x14:colorFirst rgb="FFD00000"/>
          <x14:colorLast rgb="FFD00000"/>
          <x14:colorHigh rgb="FFD00000"/>
          <x14:colorLow rgb="FFD00000"/>
          <x14:sparklines>
            <x14:sparkline>
              <xm:f>'Expense Analysis'!R7:V7</xm:f>
              <xm:sqref>W7</xm:sqref>
            </x14:sparkline>
          </x14:sparklines>
        </x14:sparklineGroup>
        <x14:sparklineGroup displayEmptyCellsAs="span" xr2:uid="{51382FE3-B653-4909-B188-D71286EA4425}">
          <x14:colorSeries rgb="FF376092"/>
          <x14:colorNegative rgb="FFD00000"/>
          <x14:colorAxis rgb="FF000000"/>
          <x14:colorMarkers rgb="FFD00000"/>
          <x14:colorFirst rgb="FFD00000"/>
          <x14:colorLast rgb="FFD00000"/>
          <x14:colorHigh rgb="FFD00000"/>
          <x14:colorLow rgb="FFD00000"/>
          <x14:sparklines>
            <x14:sparkline>
              <xm:f>'Expense Analysis'!J7:N7</xm:f>
              <xm:sqref>O7</xm:sqref>
            </x14:sparkline>
          </x14:sparklines>
        </x14:sparklineGroup>
        <x14:sparklineGroup displayEmptyCellsAs="span" xr2:uid="{D34B93D3-0C0D-40BA-A091-A309C4E8915F}">
          <x14:colorSeries rgb="FF376092"/>
          <x14:colorNegative rgb="FFD00000"/>
          <x14:colorAxis rgb="FF000000"/>
          <x14:colorMarkers rgb="FFD00000"/>
          <x14:colorFirst rgb="FFD00000"/>
          <x14:colorLast rgb="FFD00000"/>
          <x14:colorHigh rgb="FFD00000"/>
          <x14:colorLow rgb="FFD00000"/>
          <x14:sparklines>
            <x14:sparkline>
              <xm:f>'Expense Analysis'!J17:N17</xm:f>
              <xm:sqref>O17</xm:sqref>
            </x14:sparkline>
          </x14:sparklines>
        </x14:sparklineGroup>
        <x14:sparklineGroup displayEmptyCellsAs="span" xr2:uid="{7A0A490A-7137-4191-91CE-80A30CD4F597}">
          <x14:colorSeries rgb="FF376092"/>
          <x14:colorNegative rgb="FFD00000"/>
          <x14:colorAxis rgb="FF000000"/>
          <x14:colorMarkers rgb="FFD00000"/>
          <x14:colorFirst rgb="FFD00000"/>
          <x14:colorLast rgb="FFD00000"/>
          <x14:colorHigh rgb="FFD00000"/>
          <x14:colorLow rgb="FFD00000"/>
          <x14:sparklines>
            <x14:sparkline>
              <xm:f>'Expense Analysis'!J15:N15</xm:f>
              <xm:sqref>O15</xm:sqref>
            </x14:sparkline>
          </x14:sparklines>
        </x14:sparklineGroup>
        <x14:sparklineGroup displayEmptyCellsAs="span" xr2:uid="{C3B0100C-333B-43B8-9199-916E3712613D}">
          <x14:colorSeries rgb="FF376092"/>
          <x14:colorNegative rgb="FFD00000"/>
          <x14:colorAxis rgb="FF000000"/>
          <x14:colorMarkers rgb="FFD00000"/>
          <x14:colorFirst rgb="FFD00000"/>
          <x14:colorLast rgb="FFD00000"/>
          <x14:colorHigh rgb="FFD00000"/>
          <x14:colorLow rgb="FFD00000"/>
          <x14:sparklines>
            <x14:sparkline>
              <xm:f>'Expense Analysis'!J13:N13</xm:f>
              <xm:sqref>O13</xm:sqref>
            </x14:sparkline>
          </x14:sparklines>
        </x14:sparklineGroup>
        <x14:sparklineGroup displayEmptyCellsAs="span" xr2:uid="{E7572947-3FA9-43C4-9505-3ED142AB80D5}">
          <x14:colorSeries rgb="FF376092"/>
          <x14:colorNegative rgb="FFD00000"/>
          <x14:colorAxis rgb="FF000000"/>
          <x14:colorMarkers rgb="FFD00000"/>
          <x14:colorFirst rgb="FFD00000"/>
          <x14:colorLast rgb="FFD00000"/>
          <x14:colorHigh rgb="FFD00000"/>
          <x14:colorLow rgb="FFD00000"/>
          <x14:sparklines>
            <x14:sparkline>
              <xm:f>'Expense Analysis'!J11:N11</xm:f>
              <xm:sqref>O11</xm:sqref>
            </x14:sparkline>
          </x14:sparklines>
        </x14:sparklineGroup>
        <x14:sparklineGroup displayEmptyCellsAs="span" xr2:uid="{6DA9BFAD-8CB5-42BB-83FD-9600FF8A74F5}">
          <x14:colorSeries rgb="FF376092"/>
          <x14:colorNegative rgb="FFD00000"/>
          <x14:colorAxis rgb="FF000000"/>
          <x14:colorMarkers rgb="FFD00000"/>
          <x14:colorFirst rgb="FFD00000"/>
          <x14:colorLast rgb="FFD00000"/>
          <x14:colorHigh rgb="FFD00000"/>
          <x14:colorLow rgb="FFD00000"/>
          <x14:sparklines>
            <x14:sparkline>
              <xm:f>'Expense Analysis'!J9:N9</xm:f>
              <xm:sqref>O9</xm:sqref>
            </x14:sparkline>
          </x14:sparklines>
        </x14:sparklineGroup>
        <x14:sparklineGroup displayEmptyCellsAs="span" xr2:uid="{806B3240-969C-4C13-A6D0-AC82889BEDF0}">
          <x14:colorSeries rgb="FF376092"/>
          <x14:colorNegative rgb="FFD00000"/>
          <x14:colorAxis rgb="FF000000"/>
          <x14:colorMarkers rgb="FFD00000"/>
          <x14:colorFirst rgb="FFD00000"/>
          <x14:colorLast rgb="FFD00000"/>
          <x14:colorHigh rgb="FFD00000"/>
          <x14:colorLow rgb="FFD00000"/>
          <x14:sparklines>
            <x14:sparkline>
              <xm:f>'Expense Analysis'!J5:N5</xm:f>
              <xm:sqref>O5</xm:sqref>
            </x14:sparkline>
          </x14:sparklines>
        </x14:sparklineGroup>
        <x14:sparklineGroup displayEmptyCellsAs="span" xr2:uid="{63F0BC5B-506C-4014-8964-77DFB9F572B0}">
          <x14:colorSeries rgb="FF376092"/>
          <x14:colorNegative rgb="FFD00000"/>
          <x14:colorAxis rgb="FF000000"/>
          <x14:colorMarkers rgb="FFD00000"/>
          <x14:colorFirst rgb="FFD00000"/>
          <x14:colorLast rgb="FFD00000"/>
          <x14:colorHigh rgb="FFD00000"/>
          <x14:colorLow rgb="FFD00000"/>
          <x14:sparklines>
            <x14:sparkline>
              <xm:f>'Expense Analysis'!B17:F17</xm:f>
              <xm:sqref>G17</xm:sqref>
            </x14:sparkline>
          </x14:sparklines>
        </x14:sparklineGroup>
        <x14:sparklineGroup displayEmptyCellsAs="span" xr2:uid="{06DA3970-3B14-414B-88BB-03F31A2A1FEB}">
          <x14:colorSeries rgb="FF376092"/>
          <x14:colorNegative rgb="FFD00000"/>
          <x14:colorAxis rgb="FF000000"/>
          <x14:colorMarkers rgb="FFD00000"/>
          <x14:colorFirst rgb="FFD00000"/>
          <x14:colorLast rgb="FFD00000"/>
          <x14:colorHigh rgb="FFD00000"/>
          <x14:colorLow rgb="FFD00000"/>
          <x14:sparklines>
            <x14:sparkline>
              <xm:f>'Expense Analysis'!B15:F15</xm:f>
              <xm:sqref>G15</xm:sqref>
            </x14:sparkline>
          </x14:sparklines>
        </x14:sparklineGroup>
        <x14:sparklineGroup displayEmptyCellsAs="span" xr2:uid="{7A255320-0106-4BB1-B3E8-CBBBCE887B6D}">
          <x14:colorSeries rgb="FF376092"/>
          <x14:colorNegative rgb="FFD00000"/>
          <x14:colorAxis rgb="FF000000"/>
          <x14:colorMarkers rgb="FFD00000"/>
          <x14:colorFirst rgb="FFD00000"/>
          <x14:colorLast rgb="FFD00000"/>
          <x14:colorHigh rgb="FFD00000"/>
          <x14:colorLow rgb="FFD00000"/>
          <x14:sparklines>
            <x14:sparkline>
              <xm:f>'Expense Analysis'!B13:F13</xm:f>
              <xm:sqref>G13</xm:sqref>
            </x14:sparkline>
          </x14:sparklines>
        </x14:sparklineGroup>
        <x14:sparklineGroup displayEmptyCellsAs="span" xr2:uid="{A277B73E-6A21-44C2-915B-6F19CE2218C2}">
          <x14:colorSeries rgb="FF376092"/>
          <x14:colorNegative rgb="FFD00000"/>
          <x14:colorAxis rgb="FF000000"/>
          <x14:colorMarkers rgb="FFD00000"/>
          <x14:colorFirst rgb="FFD00000"/>
          <x14:colorLast rgb="FFD00000"/>
          <x14:colorHigh rgb="FFD00000"/>
          <x14:colorLow rgb="FFD00000"/>
          <x14:sparklines>
            <x14:sparkline>
              <xm:f>'Expense Analysis'!B11:F11</xm:f>
              <xm:sqref>G11</xm:sqref>
            </x14:sparkline>
          </x14:sparklines>
        </x14:sparklineGroup>
        <x14:sparklineGroup displayEmptyCellsAs="span" xr2:uid="{296D483A-CD22-4A90-A3C4-7115D2AEFA80}">
          <x14:colorSeries rgb="FF376092"/>
          <x14:colorNegative rgb="FFD00000"/>
          <x14:colorAxis rgb="FF000000"/>
          <x14:colorMarkers rgb="FFD00000"/>
          <x14:colorFirst rgb="FFD00000"/>
          <x14:colorLast rgb="FFD00000"/>
          <x14:colorHigh rgb="FFD00000"/>
          <x14:colorLow rgb="FFD00000"/>
          <x14:sparklines>
            <x14:sparkline>
              <xm:f>'Expense Analysis'!B9:F9</xm:f>
              <xm:sqref>G9</xm:sqref>
            </x14:sparkline>
          </x14:sparklines>
        </x14:sparklineGroup>
        <x14:sparklineGroup displayEmptyCellsAs="span" xr2:uid="{3FCC3EA6-106E-4F12-8652-5CE74D6566AB}">
          <x14:colorSeries rgb="FF376092"/>
          <x14:colorNegative rgb="FFD00000"/>
          <x14:colorAxis rgb="FF000000"/>
          <x14:colorMarkers rgb="FFD00000"/>
          <x14:colorFirst rgb="FFD00000"/>
          <x14:colorLast rgb="FFD00000"/>
          <x14:colorHigh rgb="FFD00000"/>
          <x14:colorLow rgb="FFD00000"/>
          <x14:sparklines>
            <x14:sparkline>
              <xm:f>'Expense Analysis'!B7:F7</xm:f>
              <xm:sqref>G7</xm:sqref>
            </x14:sparkline>
          </x14:sparklines>
        </x14:sparklineGroup>
        <x14:sparklineGroup displayEmptyCellsAs="span" xr2:uid="{5ECF20B7-8C62-4302-9761-5E354DE02B58}">
          <x14:colorSeries rgb="FF376092"/>
          <x14:colorNegative rgb="FFD00000"/>
          <x14:colorAxis rgb="FF000000"/>
          <x14:colorMarkers rgb="FFD00000"/>
          <x14:colorFirst rgb="FFD00000"/>
          <x14:colorLast rgb="FFD00000"/>
          <x14:colorHigh rgb="FFD00000"/>
          <x14:colorLow rgb="FFD00000"/>
          <x14:sparklines>
            <x14:sparkline>
              <xm:f>'Expense Analysis'!B5:F5</xm:f>
              <xm:sqref>G5</xm:sqref>
            </x14:sparkline>
          </x14:sparklines>
        </x14:sparklineGroup>
      </x14:sparklineGroup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B53280-39B2-4E29-A01C-41FE24163B57}">
  <dimension ref="A1:V122"/>
  <sheetViews>
    <sheetView showGridLines="0" tabSelected="1" zoomScale="57" workbookViewId="0">
      <selection activeCell="L41" sqref="L41"/>
    </sheetView>
  </sheetViews>
  <sheetFormatPr defaultRowHeight="14.4" x14ac:dyDescent="0.3"/>
  <cols>
    <col min="1" max="1" width="70.21875" style="228" bestFit="1" customWidth="1"/>
    <col min="2" max="6" width="8.88671875" style="228"/>
    <col min="7" max="7" width="8.88671875" style="229"/>
    <col min="8" max="8" width="8.88671875" style="228"/>
    <col min="9" max="9" width="70.21875" style="228" bestFit="1" customWidth="1"/>
    <col min="10" max="10" width="8.88671875" style="228"/>
    <col min="11" max="11" width="13.88671875" style="228" bestFit="1" customWidth="1"/>
    <col min="12" max="14" width="8.88671875" style="228"/>
    <col min="15" max="15" width="8.88671875" style="229"/>
    <col min="16" max="16" width="8.88671875" style="228"/>
    <col min="17" max="17" width="57.109375" style="228" bestFit="1" customWidth="1"/>
    <col min="18" max="16384" width="8.88671875" style="228"/>
  </cols>
  <sheetData>
    <row r="1" spans="1:22" x14ac:dyDescent="0.3">
      <c r="A1" s="276" t="s">
        <v>123</v>
      </c>
      <c r="B1" s="289"/>
      <c r="C1" s="289"/>
      <c r="D1" s="289"/>
      <c r="E1" s="289"/>
      <c r="F1" s="289"/>
      <c r="G1" s="226"/>
      <c r="H1" s="227"/>
      <c r="I1" s="278" t="s">
        <v>347</v>
      </c>
      <c r="J1" s="289"/>
      <c r="K1" s="289"/>
      <c r="L1" s="289"/>
      <c r="M1" s="289"/>
      <c r="N1" s="289"/>
      <c r="O1" s="226"/>
      <c r="P1" s="227"/>
      <c r="Q1" s="278" t="s">
        <v>406</v>
      </c>
      <c r="R1" s="289"/>
      <c r="S1" s="289"/>
      <c r="T1" s="289"/>
      <c r="U1" s="289"/>
      <c r="V1" s="292"/>
    </row>
    <row r="2" spans="1:22" x14ac:dyDescent="0.3">
      <c r="A2" s="290"/>
      <c r="B2" s="291"/>
      <c r="C2" s="291"/>
      <c r="D2" s="291"/>
      <c r="E2" s="291"/>
      <c r="F2" s="291"/>
      <c r="I2" s="291"/>
      <c r="J2" s="291"/>
      <c r="K2" s="291"/>
      <c r="L2" s="291"/>
      <c r="M2" s="291"/>
      <c r="N2" s="291"/>
      <c r="Q2" s="291"/>
      <c r="R2" s="291"/>
      <c r="S2" s="291"/>
      <c r="T2" s="291"/>
      <c r="U2" s="291"/>
      <c r="V2" s="293"/>
    </row>
    <row r="3" spans="1:22" x14ac:dyDescent="0.3">
      <c r="A3" s="230"/>
      <c r="V3" s="229"/>
    </row>
    <row r="4" spans="1:22" x14ac:dyDescent="0.3">
      <c r="A4" s="180" t="s">
        <v>282</v>
      </c>
      <c r="B4" s="181">
        <v>2024</v>
      </c>
      <c r="C4" s="181">
        <v>2023</v>
      </c>
      <c r="D4" s="181">
        <v>2022</v>
      </c>
      <c r="E4" s="181">
        <v>2021</v>
      </c>
      <c r="F4" s="181">
        <v>2020</v>
      </c>
      <c r="I4" s="181" t="s">
        <v>282</v>
      </c>
      <c r="J4" s="181">
        <v>2024</v>
      </c>
      <c r="K4" s="181">
        <v>2023</v>
      </c>
      <c r="L4" s="181">
        <v>2022</v>
      </c>
      <c r="M4" s="181">
        <v>2021</v>
      </c>
      <c r="N4" s="181">
        <v>2020</v>
      </c>
      <c r="Q4" s="181" t="s">
        <v>282</v>
      </c>
      <c r="R4" s="181">
        <v>2024</v>
      </c>
      <c r="S4" s="181">
        <v>2023</v>
      </c>
      <c r="T4" s="181">
        <v>2022</v>
      </c>
      <c r="U4" s="181">
        <v>2021</v>
      </c>
      <c r="V4" s="182">
        <v>2020</v>
      </c>
    </row>
    <row r="5" spans="1:22" x14ac:dyDescent="0.3">
      <c r="A5" s="183" t="s">
        <v>283</v>
      </c>
      <c r="B5" s="184">
        <v>-315.64</v>
      </c>
      <c r="C5" s="185">
        <v>1194.1300000000001</v>
      </c>
      <c r="D5" s="184">
        <v>-336.44</v>
      </c>
      <c r="E5" s="184">
        <v>-75.59</v>
      </c>
      <c r="F5" s="184">
        <v>230.62</v>
      </c>
      <c r="I5" s="186" t="s">
        <v>283</v>
      </c>
      <c r="J5" s="184">
        <v>-231.19</v>
      </c>
      <c r="K5" s="185">
        <v>-1454.13</v>
      </c>
      <c r="L5" s="184">
        <v>-498.58</v>
      </c>
      <c r="M5" s="184">
        <v>185.76</v>
      </c>
      <c r="N5" s="184">
        <v>524.97</v>
      </c>
      <c r="Q5" s="186" t="s">
        <v>283</v>
      </c>
      <c r="R5" s="185">
        <v>1359.45</v>
      </c>
      <c r="S5" s="185">
        <v>1100.1099999999999</v>
      </c>
      <c r="T5" s="185">
        <v>1415.55</v>
      </c>
      <c r="U5" s="184">
        <v>0</v>
      </c>
      <c r="V5" s="187">
        <v>0</v>
      </c>
    </row>
    <row r="6" spans="1:22" x14ac:dyDescent="0.3">
      <c r="A6" s="188" t="s">
        <v>284</v>
      </c>
      <c r="B6" s="189">
        <v>-315.64</v>
      </c>
      <c r="C6" s="190">
        <v>1194.1300000000001</v>
      </c>
      <c r="D6" s="189">
        <v>-336.44</v>
      </c>
      <c r="E6" s="189">
        <v>-75.59</v>
      </c>
      <c r="F6" s="189">
        <v>230.62</v>
      </c>
      <c r="I6" s="191" t="s">
        <v>284</v>
      </c>
      <c r="J6" s="189">
        <v>-231.19</v>
      </c>
      <c r="K6" s="190">
        <v>-1454.13</v>
      </c>
      <c r="L6" s="189">
        <v>-498.58</v>
      </c>
      <c r="M6" s="189">
        <v>185.76</v>
      </c>
      <c r="N6" s="189">
        <v>524.97</v>
      </c>
      <c r="Q6" s="191" t="s">
        <v>284</v>
      </c>
      <c r="R6" s="190">
        <v>1359.45</v>
      </c>
      <c r="S6" s="190">
        <v>1100.1099999999999</v>
      </c>
      <c r="T6" s="190">
        <v>1415.55</v>
      </c>
      <c r="U6" s="189">
        <v>0</v>
      </c>
      <c r="V6" s="192">
        <v>0</v>
      </c>
    </row>
    <row r="7" spans="1:22" x14ac:dyDescent="0.3">
      <c r="A7" s="183" t="s">
        <v>285</v>
      </c>
      <c r="B7" s="185">
        <v>-1245.58</v>
      </c>
      <c r="C7" s="184">
        <v>512.89</v>
      </c>
      <c r="D7" s="184">
        <v>-899.83</v>
      </c>
      <c r="E7" s="184">
        <v>-595.38</v>
      </c>
      <c r="F7" s="184">
        <v>-93.85</v>
      </c>
      <c r="I7" s="186" t="s">
        <v>285</v>
      </c>
      <c r="J7" s="185">
        <v>-1479.93</v>
      </c>
      <c r="K7" s="185">
        <v>-2411.59</v>
      </c>
      <c r="L7" s="185">
        <v>-1306.52</v>
      </c>
      <c r="M7" s="184">
        <v>-554.12</v>
      </c>
      <c r="N7" s="184">
        <v>-194.3</v>
      </c>
      <c r="Q7" s="186" t="s">
        <v>285</v>
      </c>
      <c r="R7" s="184">
        <v>266.01</v>
      </c>
      <c r="S7" s="184">
        <v>215.26</v>
      </c>
      <c r="T7" s="184">
        <v>780.87</v>
      </c>
      <c r="U7" s="184">
        <v>0</v>
      </c>
      <c r="V7" s="187">
        <v>0</v>
      </c>
    </row>
    <row r="8" spans="1:22" x14ac:dyDescent="0.3">
      <c r="A8" s="188" t="s">
        <v>286</v>
      </c>
      <c r="B8" s="189">
        <v>929.94</v>
      </c>
      <c r="C8" s="189">
        <v>681.25</v>
      </c>
      <c r="D8" s="189">
        <v>563.38</v>
      </c>
      <c r="E8" s="189">
        <v>519.79</v>
      </c>
      <c r="F8" s="189">
        <v>324.47000000000003</v>
      </c>
      <c r="I8" s="191" t="s">
        <v>286</v>
      </c>
      <c r="J8" s="190">
        <v>1248.74</v>
      </c>
      <c r="K8" s="189">
        <v>957.46</v>
      </c>
      <c r="L8" s="189">
        <v>807.94</v>
      </c>
      <c r="M8" s="189">
        <v>739.88</v>
      </c>
      <c r="N8" s="189">
        <v>719.27</v>
      </c>
      <c r="Q8" s="191" t="s">
        <v>286</v>
      </c>
      <c r="R8" s="190">
        <v>1093.45</v>
      </c>
      <c r="S8" s="189">
        <v>884.85</v>
      </c>
      <c r="T8" s="189">
        <v>634.67999999999995</v>
      </c>
      <c r="U8" s="189">
        <v>0</v>
      </c>
      <c r="V8" s="192">
        <v>0</v>
      </c>
    </row>
    <row r="9" spans="1:22" x14ac:dyDescent="0.3">
      <c r="A9" s="183" t="s">
        <v>287</v>
      </c>
      <c r="B9" s="184">
        <v>-15.08</v>
      </c>
      <c r="C9" s="184">
        <v>66.81</v>
      </c>
      <c r="D9" s="184">
        <v>-408.48</v>
      </c>
      <c r="E9" s="184">
        <v>260.19</v>
      </c>
      <c r="F9" s="184">
        <v>-202.09</v>
      </c>
      <c r="I9" s="186" t="s">
        <v>287</v>
      </c>
      <c r="J9" s="184">
        <v>-249.59</v>
      </c>
      <c r="K9" s="184">
        <v>343.1</v>
      </c>
      <c r="L9" s="184">
        <v>24.73</v>
      </c>
      <c r="M9" s="184">
        <v>-248.5</v>
      </c>
      <c r="N9" s="184">
        <v>-229.72</v>
      </c>
      <c r="Q9" s="186" t="s">
        <v>287</v>
      </c>
      <c r="R9" s="184">
        <v>-318.69</v>
      </c>
      <c r="S9" s="184">
        <v>-191.56</v>
      </c>
      <c r="T9" s="184">
        <v>-66.040000000000006</v>
      </c>
      <c r="U9" s="184">
        <v>0</v>
      </c>
      <c r="V9" s="187">
        <v>0</v>
      </c>
    </row>
    <row r="10" spans="1:22" x14ac:dyDescent="0.3">
      <c r="A10" s="188" t="s">
        <v>288</v>
      </c>
      <c r="B10" s="189">
        <v>-15.08</v>
      </c>
      <c r="C10" s="189">
        <v>66.81</v>
      </c>
      <c r="D10" s="189">
        <v>-408.48</v>
      </c>
      <c r="E10" s="189">
        <v>260.19</v>
      </c>
      <c r="F10" s="189">
        <v>-202.09</v>
      </c>
      <c r="I10" s="191" t="s">
        <v>288</v>
      </c>
      <c r="J10" s="189">
        <v>-249.59</v>
      </c>
      <c r="K10" s="189">
        <v>343.1</v>
      </c>
      <c r="L10" s="189">
        <v>24.73</v>
      </c>
      <c r="M10" s="189">
        <v>-248.5</v>
      </c>
      <c r="N10" s="189">
        <v>-229.72</v>
      </c>
      <c r="Q10" s="191" t="s">
        <v>288</v>
      </c>
      <c r="R10" s="189">
        <v>-318.69</v>
      </c>
      <c r="S10" s="189">
        <v>-191.56</v>
      </c>
      <c r="T10" s="189">
        <v>-66.040000000000006</v>
      </c>
      <c r="U10" s="189">
        <v>0</v>
      </c>
      <c r="V10" s="192">
        <v>0</v>
      </c>
    </row>
    <row r="11" spans="1:22" x14ac:dyDescent="0.3">
      <c r="A11" s="183" t="s">
        <v>289</v>
      </c>
      <c r="B11" s="184">
        <v>496.13</v>
      </c>
      <c r="C11" s="185">
        <v>-1217.3499999999999</v>
      </c>
      <c r="D11" s="184">
        <v>764.87</v>
      </c>
      <c r="E11" s="184">
        <v>-97.83</v>
      </c>
      <c r="F11" s="184">
        <v>2.2200000000000002</v>
      </c>
      <c r="I11" s="186" t="s">
        <v>289</v>
      </c>
      <c r="J11" s="185">
        <v>1067.2</v>
      </c>
      <c r="K11" s="185">
        <v>1004.98</v>
      </c>
      <c r="L11" s="184">
        <v>148.22999999999999</v>
      </c>
      <c r="M11" s="184">
        <v>63.31</v>
      </c>
      <c r="N11" s="184">
        <v>253.65</v>
      </c>
      <c r="Q11" s="186" t="s">
        <v>289</v>
      </c>
      <c r="R11" s="184">
        <v>-771.22</v>
      </c>
      <c r="S11" s="184">
        <v>-892.7</v>
      </c>
      <c r="T11" s="185">
        <v>-1274.6099999999999</v>
      </c>
      <c r="U11" s="184">
        <v>0</v>
      </c>
      <c r="V11" s="187">
        <v>0</v>
      </c>
    </row>
    <row r="12" spans="1:22" x14ac:dyDescent="0.3">
      <c r="A12" s="188" t="s">
        <v>290</v>
      </c>
      <c r="B12" s="189">
        <v>496.13</v>
      </c>
      <c r="C12" s="190">
        <v>-1217.3499999999999</v>
      </c>
      <c r="D12" s="189">
        <v>764.87</v>
      </c>
      <c r="E12" s="189">
        <v>-97.83</v>
      </c>
      <c r="F12" s="189">
        <v>2.2200000000000002</v>
      </c>
      <c r="I12" s="191" t="s">
        <v>290</v>
      </c>
      <c r="J12" s="190">
        <v>1067.2</v>
      </c>
      <c r="K12" s="190">
        <v>1004.98</v>
      </c>
      <c r="L12" s="189">
        <v>148.22999999999999</v>
      </c>
      <c r="M12" s="189">
        <v>63.31</v>
      </c>
      <c r="N12" s="189">
        <v>253.65</v>
      </c>
      <c r="Q12" s="191" t="s">
        <v>290</v>
      </c>
      <c r="R12" s="189">
        <v>-771.22</v>
      </c>
      <c r="S12" s="189">
        <v>-892.7</v>
      </c>
      <c r="T12" s="190">
        <v>-1274.6099999999999</v>
      </c>
      <c r="U12" s="189">
        <v>0</v>
      </c>
      <c r="V12" s="192">
        <v>0</v>
      </c>
    </row>
    <row r="13" spans="1:22" x14ac:dyDescent="0.3">
      <c r="A13" s="183" t="s">
        <v>291</v>
      </c>
      <c r="B13" s="184">
        <v>165.4</v>
      </c>
      <c r="C13" s="184">
        <v>43.6</v>
      </c>
      <c r="D13" s="184">
        <v>19.940000000000001</v>
      </c>
      <c r="E13" s="184">
        <v>86.77</v>
      </c>
      <c r="F13" s="184">
        <v>30.75</v>
      </c>
      <c r="I13" s="186" t="s">
        <v>291</v>
      </c>
      <c r="J13" s="184">
        <v>586.41999999999996</v>
      </c>
      <c r="K13" s="184">
        <v>-106.05</v>
      </c>
      <c r="L13" s="184">
        <v>-325.62</v>
      </c>
      <c r="M13" s="184">
        <v>0.57999999999999996</v>
      </c>
      <c r="N13" s="184">
        <v>548.9</v>
      </c>
      <c r="Q13" s="186" t="s">
        <v>291</v>
      </c>
      <c r="R13" s="184">
        <v>269.54000000000002</v>
      </c>
      <c r="S13" s="184">
        <v>15.85</v>
      </c>
      <c r="T13" s="184">
        <v>74.900000000000006</v>
      </c>
      <c r="U13" s="184">
        <v>0</v>
      </c>
      <c r="V13" s="187">
        <v>0</v>
      </c>
    </row>
    <row r="14" spans="1:22" x14ac:dyDescent="0.3">
      <c r="A14" s="188" t="s">
        <v>292</v>
      </c>
      <c r="B14" s="189">
        <v>190.98</v>
      </c>
      <c r="C14" s="189">
        <v>147.37</v>
      </c>
      <c r="D14" s="189">
        <v>127.43</v>
      </c>
      <c r="E14" s="189">
        <v>40.659999999999997</v>
      </c>
      <c r="F14" s="189">
        <v>9.9</v>
      </c>
      <c r="I14" s="191" t="s">
        <v>292</v>
      </c>
      <c r="J14" s="189">
        <v>415.21</v>
      </c>
      <c r="K14" s="189">
        <v>521.27</v>
      </c>
      <c r="L14" s="189">
        <v>846.89</v>
      </c>
      <c r="M14" s="189">
        <v>846.31</v>
      </c>
      <c r="N14" s="189">
        <v>297.41000000000003</v>
      </c>
      <c r="Q14" s="191" t="s">
        <v>292</v>
      </c>
      <c r="R14" s="189">
        <v>282.39</v>
      </c>
      <c r="S14" s="189">
        <v>266.54000000000002</v>
      </c>
      <c r="T14" s="189">
        <v>191.64</v>
      </c>
      <c r="U14" s="189">
        <v>0</v>
      </c>
      <c r="V14" s="192">
        <v>0</v>
      </c>
    </row>
    <row r="15" spans="1:22" x14ac:dyDescent="0.3">
      <c r="A15" s="183" t="s">
        <v>293</v>
      </c>
      <c r="B15" s="184">
        <v>356.38</v>
      </c>
      <c r="C15" s="184">
        <v>190.98</v>
      </c>
      <c r="D15" s="184">
        <v>147.37</v>
      </c>
      <c r="E15" s="184">
        <v>127.43</v>
      </c>
      <c r="F15" s="184">
        <v>40.659999999999997</v>
      </c>
      <c r="I15" s="186" t="s">
        <v>293</v>
      </c>
      <c r="J15" s="185">
        <v>1001.64</v>
      </c>
      <c r="K15" s="184">
        <v>415.21</v>
      </c>
      <c r="L15" s="184">
        <v>521.27</v>
      </c>
      <c r="M15" s="184">
        <v>846.89</v>
      </c>
      <c r="N15" s="184">
        <v>846.31</v>
      </c>
      <c r="Q15" s="186" t="s">
        <v>293</v>
      </c>
      <c r="R15" s="184">
        <v>551.92999999999995</v>
      </c>
      <c r="S15" s="184">
        <v>282.39</v>
      </c>
      <c r="T15" s="184">
        <v>266.54000000000002</v>
      </c>
      <c r="U15" s="184">
        <v>0</v>
      </c>
      <c r="V15" s="187">
        <v>0</v>
      </c>
    </row>
    <row r="16" spans="1:22" x14ac:dyDescent="0.3">
      <c r="A16" s="193"/>
      <c r="B16" s="194"/>
      <c r="C16" s="194"/>
      <c r="D16" s="194"/>
      <c r="E16" s="194"/>
      <c r="F16" s="194"/>
      <c r="G16" s="231"/>
      <c r="I16" s="195"/>
      <c r="J16" s="194"/>
      <c r="K16" s="194"/>
      <c r="L16" s="194"/>
      <c r="M16" s="194"/>
      <c r="N16" s="194"/>
      <c r="Q16" s="195"/>
      <c r="R16" s="194"/>
      <c r="S16" s="194"/>
      <c r="T16" s="194"/>
      <c r="U16" s="194"/>
      <c r="V16" s="196"/>
    </row>
    <row r="17" spans="1:22" x14ac:dyDescent="0.3">
      <c r="A17" s="193"/>
      <c r="B17" s="194"/>
      <c r="C17" s="194"/>
      <c r="D17" s="194"/>
      <c r="E17" s="194"/>
      <c r="F17" s="194"/>
      <c r="G17" s="231"/>
      <c r="I17" s="195"/>
      <c r="J17" s="194"/>
      <c r="K17" s="194"/>
      <c r="L17" s="194"/>
      <c r="M17" s="194"/>
      <c r="N17" s="194"/>
      <c r="P17" s="230"/>
      <c r="Q17" s="195"/>
      <c r="R17" s="194"/>
      <c r="S17" s="194"/>
      <c r="T17" s="194"/>
      <c r="U17" s="194"/>
      <c r="V17" s="196"/>
    </row>
    <row r="18" spans="1:22" x14ac:dyDescent="0.3">
      <c r="A18" s="180" t="s">
        <v>112</v>
      </c>
      <c r="B18" s="181">
        <v>2024</v>
      </c>
      <c r="C18" s="181">
        <v>2023</v>
      </c>
      <c r="D18" s="181">
        <v>2022</v>
      </c>
      <c r="E18" s="181">
        <v>2021</v>
      </c>
      <c r="F18" s="181">
        <v>2020</v>
      </c>
      <c r="I18" s="181" t="s">
        <v>112</v>
      </c>
      <c r="J18" s="181">
        <v>2024</v>
      </c>
      <c r="K18" s="181">
        <v>2023</v>
      </c>
      <c r="L18" s="181">
        <v>2022</v>
      </c>
      <c r="M18" s="181">
        <v>2021</v>
      </c>
      <c r="N18" s="181">
        <v>2020</v>
      </c>
      <c r="Q18" s="181" t="s">
        <v>112</v>
      </c>
      <c r="R18" s="181">
        <v>2024</v>
      </c>
      <c r="S18" s="181">
        <v>2023</v>
      </c>
      <c r="T18" s="181">
        <v>2022</v>
      </c>
      <c r="U18" s="181">
        <v>2021</v>
      </c>
      <c r="V18" s="182">
        <v>2020</v>
      </c>
    </row>
    <row r="19" spans="1:22" x14ac:dyDescent="0.3">
      <c r="A19" s="188" t="s">
        <v>23</v>
      </c>
      <c r="B19" s="190">
        <v>20844.96</v>
      </c>
      <c r="C19" s="190">
        <v>15553.41</v>
      </c>
      <c r="D19" s="190">
        <v>11137.96</v>
      </c>
      <c r="E19" s="190">
        <v>7949.42</v>
      </c>
      <c r="F19" s="190">
        <v>8901.07</v>
      </c>
      <c r="I19" s="191" t="s">
        <v>23</v>
      </c>
      <c r="J19" s="190">
        <v>8649.8700000000008</v>
      </c>
      <c r="K19" s="190">
        <v>7956.08</v>
      </c>
      <c r="L19" s="190">
        <v>7208.04</v>
      </c>
      <c r="M19" s="190">
        <v>5787.57</v>
      </c>
      <c r="N19" s="190">
        <v>5602.57</v>
      </c>
      <c r="Q19" s="191" t="s">
        <v>23</v>
      </c>
      <c r="R19" s="190">
        <v>4429.49</v>
      </c>
      <c r="S19" s="190">
        <v>4062.36</v>
      </c>
      <c r="T19" s="190">
        <v>3605.82</v>
      </c>
      <c r="U19" s="190">
        <v>2903.63</v>
      </c>
      <c r="V19" s="197">
        <v>2451.6799999999998</v>
      </c>
    </row>
    <row r="20" spans="1:22" x14ac:dyDescent="0.3">
      <c r="A20" s="183" t="s">
        <v>24</v>
      </c>
      <c r="B20" s="185">
        <v>20844.96</v>
      </c>
      <c r="C20" s="185">
        <v>15553.41</v>
      </c>
      <c r="D20" s="185">
        <v>11137.96</v>
      </c>
      <c r="E20" s="185">
        <v>7949.42</v>
      </c>
      <c r="F20" s="185">
        <v>8901.07</v>
      </c>
      <c r="I20" s="186" t="s">
        <v>24</v>
      </c>
      <c r="J20" s="185">
        <v>8649.8700000000008</v>
      </c>
      <c r="K20" s="185">
        <v>7956.08</v>
      </c>
      <c r="L20" s="185">
        <v>7208.04</v>
      </c>
      <c r="M20" s="185">
        <v>5787.57</v>
      </c>
      <c r="N20" s="185">
        <v>5602.57</v>
      </c>
      <c r="Q20" s="186" t="s">
        <v>24</v>
      </c>
      <c r="R20" s="185">
        <v>4429.49</v>
      </c>
      <c r="S20" s="185">
        <v>4062.36</v>
      </c>
      <c r="T20" s="185">
        <v>3605.82</v>
      </c>
      <c r="U20" s="185">
        <v>2903.63</v>
      </c>
      <c r="V20" s="198">
        <v>2451.6799999999998</v>
      </c>
    </row>
    <row r="21" spans="1:22" x14ac:dyDescent="0.3">
      <c r="A21" s="188" t="s">
        <v>25</v>
      </c>
      <c r="B21" s="190">
        <v>-10982.85</v>
      </c>
      <c r="C21" s="189">
        <v>-331.79</v>
      </c>
      <c r="D21" s="189">
        <v>-257</v>
      </c>
      <c r="E21" s="190">
        <v>-4174.38</v>
      </c>
      <c r="F21" s="190">
        <v>-4267.54</v>
      </c>
      <c r="I21" s="191" t="s">
        <v>25</v>
      </c>
      <c r="J21" s="189">
        <v>-656.79</v>
      </c>
      <c r="K21" s="190">
        <v>-2469.23</v>
      </c>
      <c r="L21" s="190">
        <v>-1974.75</v>
      </c>
      <c r="M21" s="190">
        <v>-1722.63</v>
      </c>
      <c r="N21" s="190">
        <v>-1736.48</v>
      </c>
      <c r="Q21" s="191" t="s">
        <v>25</v>
      </c>
      <c r="R21" s="190">
        <v>-1547.39</v>
      </c>
      <c r="S21" s="189">
        <v>-104.85</v>
      </c>
      <c r="T21" s="189">
        <v>-209.96</v>
      </c>
      <c r="U21" s="189">
        <v>-76.05</v>
      </c>
      <c r="V21" s="192">
        <v>-59.95</v>
      </c>
    </row>
    <row r="22" spans="1:22" x14ac:dyDescent="0.3">
      <c r="A22" s="183" t="s">
        <v>43</v>
      </c>
      <c r="B22" s="184">
        <v>23.54</v>
      </c>
      <c r="C22" s="184">
        <v>-69.349999999999994</v>
      </c>
      <c r="D22" s="184">
        <v>-105.49</v>
      </c>
      <c r="E22" s="184">
        <v>-48.9</v>
      </c>
      <c r="F22" s="184">
        <v>-30.42</v>
      </c>
      <c r="I22" s="186" t="s">
        <v>26</v>
      </c>
      <c r="J22" s="185">
        <v>-5599.26</v>
      </c>
      <c r="K22" s="185">
        <v>-3347.01</v>
      </c>
      <c r="L22" s="185">
        <v>-3192.75</v>
      </c>
      <c r="M22" s="185">
        <v>-2247.89</v>
      </c>
      <c r="N22" s="185">
        <v>-2161.0500000000002</v>
      </c>
      <c r="Q22" s="186" t="s">
        <v>26</v>
      </c>
      <c r="R22" s="185">
        <v>-1660.15</v>
      </c>
      <c r="S22" s="185">
        <v>-1494.74</v>
      </c>
      <c r="T22" s="185">
        <v>-1180.72</v>
      </c>
      <c r="U22" s="184">
        <v>-926.45</v>
      </c>
      <c r="V22" s="187">
        <v>-753.28</v>
      </c>
    </row>
    <row r="23" spans="1:22" x14ac:dyDescent="0.3">
      <c r="A23" s="188" t="s">
        <v>26</v>
      </c>
      <c r="B23" s="190">
        <v>-7449.54</v>
      </c>
      <c r="C23" s="190">
        <v>-4855.1099999999997</v>
      </c>
      <c r="D23" s="190">
        <v>-3484.62</v>
      </c>
      <c r="E23" s="190">
        <v>-2426.56</v>
      </c>
      <c r="F23" s="190">
        <v>-3032.17</v>
      </c>
      <c r="I23" s="191" t="s">
        <v>27</v>
      </c>
      <c r="J23" s="189">
        <v>-389.29</v>
      </c>
      <c r="K23" s="189">
        <v>-374.72</v>
      </c>
      <c r="L23" s="189">
        <v>-378.66</v>
      </c>
      <c r="M23" s="189">
        <v>-307.27999999999997</v>
      </c>
      <c r="N23" s="189">
        <v>-293.24</v>
      </c>
      <c r="Q23" s="191" t="s">
        <v>27</v>
      </c>
      <c r="R23" s="189">
        <v>-174.19</v>
      </c>
      <c r="S23" s="189">
        <v>-174.21</v>
      </c>
      <c r="T23" s="189">
        <v>-146.05000000000001</v>
      </c>
      <c r="U23" s="189">
        <v>-133.13</v>
      </c>
      <c r="V23" s="192">
        <v>-126.92</v>
      </c>
    </row>
    <row r="24" spans="1:22" x14ac:dyDescent="0.3">
      <c r="A24" s="183" t="s">
        <v>27</v>
      </c>
      <c r="B24" s="184">
        <v>-667.23</v>
      </c>
      <c r="C24" s="184">
        <v>-545.69000000000005</v>
      </c>
      <c r="D24" s="184">
        <v>-452.66</v>
      </c>
      <c r="E24" s="184">
        <v>-380.5</v>
      </c>
      <c r="F24" s="184">
        <v>-483.69</v>
      </c>
      <c r="I24" s="186" t="s">
        <v>28</v>
      </c>
      <c r="J24" s="184">
        <v>-389.29</v>
      </c>
      <c r="K24" s="184">
        <v>-374.72</v>
      </c>
      <c r="L24" s="184">
        <v>-378.66</v>
      </c>
      <c r="M24" s="184">
        <v>-307.27999999999997</v>
      </c>
      <c r="N24" s="184">
        <v>-293.24</v>
      </c>
      <c r="Q24" s="186" t="s">
        <v>28</v>
      </c>
      <c r="R24" s="184">
        <v>-174.19</v>
      </c>
      <c r="S24" s="184">
        <v>-174.21</v>
      </c>
      <c r="T24" s="184">
        <v>-146.05000000000001</v>
      </c>
      <c r="U24" s="184">
        <v>-133.13</v>
      </c>
      <c r="V24" s="187">
        <v>-126.92</v>
      </c>
    </row>
    <row r="25" spans="1:22" x14ac:dyDescent="0.3">
      <c r="A25" s="188" t="s">
        <v>28</v>
      </c>
      <c r="B25" s="189">
        <v>-667.23</v>
      </c>
      <c r="C25" s="189">
        <v>-545.69000000000005</v>
      </c>
      <c r="D25" s="189">
        <v>-452.66</v>
      </c>
      <c r="E25" s="189">
        <v>-380.5</v>
      </c>
      <c r="F25" s="189">
        <v>-483.69</v>
      </c>
      <c r="I25" s="191" t="s">
        <v>44</v>
      </c>
      <c r="J25" s="189">
        <v>0</v>
      </c>
      <c r="K25" s="189">
        <v>-165.08</v>
      </c>
      <c r="L25" s="189">
        <v>-127.41</v>
      </c>
      <c r="M25" s="189">
        <v>-91.9</v>
      </c>
      <c r="N25" s="189">
        <v>-84.63</v>
      </c>
      <c r="Q25" s="191" t="s">
        <v>29</v>
      </c>
      <c r="R25" s="189">
        <v>-156.83000000000001</v>
      </c>
      <c r="S25" s="189">
        <v>-180.7</v>
      </c>
      <c r="T25" s="189">
        <v>-164.92</v>
      </c>
      <c r="U25" s="189">
        <v>-189.9</v>
      </c>
      <c r="V25" s="192">
        <v>-254.13</v>
      </c>
    </row>
    <row r="26" spans="1:22" x14ac:dyDescent="0.3">
      <c r="A26" s="183" t="s">
        <v>29</v>
      </c>
      <c r="B26" s="184">
        <v>-211.92</v>
      </c>
      <c r="C26" s="184">
        <v>-202.61</v>
      </c>
      <c r="D26" s="184">
        <v>-186.74</v>
      </c>
      <c r="E26" s="184">
        <v>-181.25</v>
      </c>
      <c r="F26" s="184">
        <v>-199.22</v>
      </c>
      <c r="I26" s="186" t="s">
        <v>29</v>
      </c>
      <c r="J26" s="184">
        <v>-176.81</v>
      </c>
      <c r="K26" s="184">
        <v>-253.31</v>
      </c>
      <c r="L26" s="184">
        <v>-390.19</v>
      </c>
      <c r="M26" s="184">
        <v>-363.25</v>
      </c>
      <c r="N26" s="184">
        <v>-350.73</v>
      </c>
      <c r="Q26" s="186" t="s">
        <v>30</v>
      </c>
      <c r="R26" s="184">
        <v>0</v>
      </c>
      <c r="S26" s="185">
        <v>-1371.25</v>
      </c>
      <c r="T26" s="185">
        <v>-1270.44</v>
      </c>
      <c r="U26" s="185">
        <v>-1068.56</v>
      </c>
      <c r="V26" s="187">
        <v>-889.1</v>
      </c>
    </row>
    <row r="27" spans="1:22" x14ac:dyDescent="0.3">
      <c r="A27" s="188" t="s">
        <v>30</v>
      </c>
      <c r="B27" s="189">
        <v>0</v>
      </c>
      <c r="C27" s="190">
        <v>-8292.48</v>
      </c>
      <c r="D27" s="190">
        <v>-5814.39</v>
      </c>
      <c r="E27" s="189">
        <v>0</v>
      </c>
      <c r="F27" s="189">
        <v>0</v>
      </c>
      <c r="I27" s="191" t="s">
        <v>32</v>
      </c>
      <c r="J27" s="190">
        <v>2004.53</v>
      </c>
      <c r="K27" s="190">
        <v>1600.04</v>
      </c>
      <c r="L27" s="190">
        <v>1534.47</v>
      </c>
      <c r="M27" s="190">
        <v>1417.87</v>
      </c>
      <c r="N27" s="190">
        <v>1327.17</v>
      </c>
      <c r="Q27" s="191" t="s">
        <v>31</v>
      </c>
      <c r="R27" s="189">
        <v>0</v>
      </c>
      <c r="S27" s="190">
        <v>-1371.25</v>
      </c>
      <c r="T27" s="190">
        <v>-1270.44</v>
      </c>
      <c r="U27" s="190">
        <v>-1068.56</v>
      </c>
      <c r="V27" s="192">
        <v>-889.1</v>
      </c>
    </row>
    <row r="28" spans="1:22" x14ac:dyDescent="0.3">
      <c r="A28" s="183" t="s">
        <v>31</v>
      </c>
      <c r="B28" s="184">
        <v>0</v>
      </c>
      <c r="C28" s="185">
        <v>-8292.48</v>
      </c>
      <c r="D28" s="185">
        <v>-5814.39</v>
      </c>
      <c r="E28" s="184">
        <v>0</v>
      </c>
      <c r="F28" s="184">
        <v>0</v>
      </c>
      <c r="I28" s="186" t="s">
        <v>33</v>
      </c>
      <c r="J28" s="185">
        <v>2181.34</v>
      </c>
      <c r="K28" s="185">
        <v>1853.35</v>
      </c>
      <c r="L28" s="185">
        <v>1924.66</v>
      </c>
      <c r="M28" s="185">
        <v>1781.12</v>
      </c>
      <c r="N28" s="185">
        <v>1677.9</v>
      </c>
      <c r="Q28" s="186" t="s">
        <v>32</v>
      </c>
      <c r="R28" s="185">
        <v>1047.76</v>
      </c>
      <c r="S28" s="184">
        <v>917.31</v>
      </c>
      <c r="T28" s="184">
        <v>798.65</v>
      </c>
      <c r="U28" s="184">
        <v>699.44</v>
      </c>
      <c r="V28" s="187">
        <v>622.42999999999995</v>
      </c>
    </row>
    <row r="29" spans="1:22" x14ac:dyDescent="0.3">
      <c r="A29" s="188" t="s">
        <v>32</v>
      </c>
      <c r="B29" s="190">
        <v>1768.88</v>
      </c>
      <c r="C29" s="190">
        <v>1458.99</v>
      </c>
      <c r="D29" s="190">
        <v>1023.8</v>
      </c>
      <c r="E29" s="189">
        <v>919.08</v>
      </c>
      <c r="F29" s="190">
        <v>1087.25</v>
      </c>
      <c r="I29" s="191" t="s">
        <v>34</v>
      </c>
      <c r="J29" s="189">
        <v>-660.49</v>
      </c>
      <c r="K29" s="189">
        <v>-469.9</v>
      </c>
      <c r="L29" s="189">
        <v>-425.32</v>
      </c>
      <c r="M29" s="189">
        <v>-426.07</v>
      </c>
      <c r="N29" s="189">
        <v>-439.3</v>
      </c>
      <c r="Q29" s="191" t="s">
        <v>33</v>
      </c>
      <c r="R29" s="190">
        <v>1204.5899999999999</v>
      </c>
      <c r="S29" s="190">
        <v>1098.01</v>
      </c>
      <c r="T29" s="189">
        <v>963.57</v>
      </c>
      <c r="U29" s="189">
        <v>889.34</v>
      </c>
      <c r="V29" s="192">
        <v>876.56</v>
      </c>
    </row>
    <row r="30" spans="1:22" x14ac:dyDescent="0.3">
      <c r="A30" s="183" t="s">
        <v>33</v>
      </c>
      <c r="B30" s="185">
        <v>1980.8</v>
      </c>
      <c r="C30" s="185">
        <v>1661.6</v>
      </c>
      <c r="D30" s="185">
        <v>1210.54</v>
      </c>
      <c r="E30" s="185">
        <v>1100.33</v>
      </c>
      <c r="F30" s="185">
        <v>1286.47</v>
      </c>
      <c r="I30" s="186" t="s">
        <v>35</v>
      </c>
      <c r="J30" s="184">
        <v>-660.49</v>
      </c>
      <c r="K30" s="184">
        <v>-469.9</v>
      </c>
      <c r="L30" s="184">
        <v>-425.32</v>
      </c>
      <c r="M30" s="184">
        <v>-426.07</v>
      </c>
      <c r="N30" s="184">
        <v>-439.3</v>
      </c>
      <c r="Q30" s="186" t="s">
        <v>34</v>
      </c>
      <c r="R30" s="184">
        <v>-105.67</v>
      </c>
      <c r="S30" s="184">
        <v>-153.08000000000001</v>
      </c>
      <c r="T30" s="184">
        <v>-148.11000000000001</v>
      </c>
      <c r="U30" s="184">
        <v>-134.05000000000001</v>
      </c>
      <c r="V30" s="187">
        <v>-110.23</v>
      </c>
    </row>
    <row r="31" spans="1:22" x14ac:dyDescent="0.3">
      <c r="A31" s="188" t="s">
        <v>34</v>
      </c>
      <c r="B31" s="189">
        <v>-594.75</v>
      </c>
      <c r="C31" s="189">
        <v>-515.22</v>
      </c>
      <c r="D31" s="189">
        <v>-478.07</v>
      </c>
      <c r="E31" s="189">
        <v>-479.91</v>
      </c>
      <c r="F31" s="189">
        <v>-553.85</v>
      </c>
      <c r="I31" s="191" t="s">
        <v>36</v>
      </c>
      <c r="J31" s="189">
        <v>-660.49</v>
      </c>
      <c r="K31" s="189">
        <v>-469.9</v>
      </c>
      <c r="L31" s="189">
        <v>-425.32</v>
      </c>
      <c r="M31" s="189">
        <v>-426.07</v>
      </c>
      <c r="N31" s="189">
        <v>-439.3</v>
      </c>
      <c r="Q31" s="191" t="s">
        <v>35</v>
      </c>
      <c r="R31" s="189">
        <v>-105.67</v>
      </c>
      <c r="S31" s="189">
        <v>-153.08000000000001</v>
      </c>
      <c r="T31" s="189">
        <v>-148.11000000000001</v>
      </c>
      <c r="U31" s="189">
        <v>-134.05000000000001</v>
      </c>
      <c r="V31" s="192">
        <v>-110.23</v>
      </c>
    </row>
    <row r="32" spans="1:22" x14ac:dyDescent="0.3">
      <c r="A32" s="183" t="s">
        <v>35</v>
      </c>
      <c r="B32" s="184">
        <v>-594.75</v>
      </c>
      <c r="C32" s="184">
        <v>-515.22</v>
      </c>
      <c r="D32" s="184">
        <v>-478.07</v>
      </c>
      <c r="E32" s="184">
        <v>-479.91</v>
      </c>
      <c r="F32" s="184">
        <v>-553.85</v>
      </c>
      <c r="I32" s="186" t="s">
        <v>37</v>
      </c>
      <c r="J32" s="184">
        <v>81.510000000000005</v>
      </c>
      <c r="K32" s="184">
        <v>80.63</v>
      </c>
      <c r="L32" s="184">
        <v>88.99</v>
      </c>
      <c r="M32" s="184">
        <v>111.32</v>
      </c>
      <c r="N32" s="184">
        <v>175.63</v>
      </c>
      <c r="Q32" s="186" t="s">
        <v>36</v>
      </c>
      <c r="R32" s="184">
        <v>-105.67</v>
      </c>
      <c r="S32" s="184">
        <v>-153.08000000000001</v>
      </c>
      <c r="T32" s="184">
        <v>-148.11000000000001</v>
      </c>
      <c r="U32" s="184">
        <v>-134.05000000000001</v>
      </c>
      <c r="V32" s="187">
        <v>-110.23</v>
      </c>
    </row>
    <row r="33" spans="1:22" x14ac:dyDescent="0.3">
      <c r="A33" s="188" t="s">
        <v>36</v>
      </c>
      <c r="B33" s="189">
        <v>-594.75</v>
      </c>
      <c r="C33" s="189">
        <v>-515.22</v>
      </c>
      <c r="D33" s="189">
        <v>-478.07</v>
      </c>
      <c r="E33" s="189">
        <v>-479.91</v>
      </c>
      <c r="F33" s="189">
        <v>-553.85</v>
      </c>
      <c r="I33" s="191" t="s">
        <v>38</v>
      </c>
      <c r="J33" s="190">
        <v>1248.74</v>
      </c>
      <c r="K33" s="189">
        <v>957.46</v>
      </c>
      <c r="L33" s="189">
        <v>807.94</v>
      </c>
      <c r="M33" s="189">
        <v>739.88</v>
      </c>
      <c r="N33" s="189">
        <v>712.78</v>
      </c>
      <c r="Q33" s="191" t="s">
        <v>37</v>
      </c>
      <c r="R33" s="189">
        <v>144.69</v>
      </c>
      <c r="S33" s="189">
        <v>36.68</v>
      </c>
      <c r="T33" s="189">
        <v>44.87</v>
      </c>
      <c r="U33" s="189">
        <v>51.62</v>
      </c>
      <c r="V33" s="192">
        <v>65.69</v>
      </c>
    </row>
    <row r="34" spans="1:22" x14ac:dyDescent="0.3">
      <c r="A34" s="183" t="s">
        <v>37</v>
      </c>
      <c r="B34" s="184">
        <v>125.95</v>
      </c>
      <c r="C34" s="184">
        <v>147.59</v>
      </c>
      <c r="D34" s="184">
        <v>70.72</v>
      </c>
      <c r="E34" s="184">
        <v>115.91</v>
      </c>
      <c r="F34" s="184">
        <v>112.98</v>
      </c>
      <c r="I34" s="186" t="s">
        <v>39</v>
      </c>
      <c r="J34" s="184">
        <v>-339.32</v>
      </c>
      <c r="K34" s="184">
        <v>-299.01</v>
      </c>
      <c r="L34" s="184">
        <v>-225.66</v>
      </c>
      <c r="M34" s="184">
        <v>-247.24</v>
      </c>
      <c r="N34" s="184">
        <v>-169.38</v>
      </c>
      <c r="Q34" s="186" t="s">
        <v>38</v>
      </c>
      <c r="R34" s="184">
        <v>929.94</v>
      </c>
      <c r="S34" s="184">
        <v>620.22</v>
      </c>
      <c r="T34" s="184">
        <v>530.5</v>
      </c>
      <c r="U34" s="184">
        <v>427.11</v>
      </c>
      <c r="V34" s="187">
        <v>323.77</v>
      </c>
    </row>
    <row r="35" spans="1:22" x14ac:dyDescent="0.3">
      <c r="A35" s="188" t="s">
        <v>38</v>
      </c>
      <c r="B35" s="190">
        <v>1088.1600000000001</v>
      </c>
      <c r="C35" s="189">
        <v>888.75</v>
      </c>
      <c r="D35" s="189">
        <v>429.71</v>
      </c>
      <c r="E35" s="189">
        <v>373.83</v>
      </c>
      <c r="F35" s="189">
        <v>447.16</v>
      </c>
      <c r="I35" s="191" t="s">
        <v>40</v>
      </c>
      <c r="J35" s="189">
        <v>909.42</v>
      </c>
      <c r="K35" s="189">
        <v>658.45</v>
      </c>
      <c r="L35" s="189">
        <v>582.28</v>
      </c>
      <c r="M35" s="189">
        <v>492.64</v>
      </c>
      <c r="N35" s="189">
        <v>543.4</v>
      </c>
      <c r="Q35" s="191" t="s">
        <v>39</v>
      </c>
      <c r="R35" s="189">
        <v>-196.16</v>
      </c>
      <c r="S35" s="189">
        <v>-241.84</v>
      </c>
      <c r="T35" s="189">
        <v>-196.99</v>
      </c>
      <c r="U35" s="189">
        <v>-136.96</v>
      </c>
      <c r="V35" s="192">
        <v>-68.53</v>
      </c>
    </row>
    <row r="36" spans="1:22" x14ac:dyDescent="0.3">
      <c r="A36" s="183" t="s">
        <v>39</v>
      </c>
      <c r="B36" s="184">
        <v>-320.5</v>
      </c>
      <c r="C36" s="184">
        <v>-238.64</v>
      </c>
      <c r="D36" s="184">
        <v>-140.65</v>
      </c>
      <c r="E36" s="184">
        <v>-79.48</v>
      </c>
      <c r="F36" s="184">
        <v>-72.8</v>
      </c>
      <c r="I36" s="186" t="s">
        <v>41</v>
      </c>
      <c r="J36" s="184">
        <v>0</v>
      </c>
      <c r="K36" s="184">
        <v>3.53</v>
      </c>
      <c r="L36" s="184">
        <v>-5.24</v>
      </c>
      <c r="M36" s="184">
        <v>-4.5</v>
      </c>
      <c r="N36" s="184">
        <v>-3.91</v>
      </c>
      <c r="Q36" s="186" t="s">
        <v>40</v>
      </c>
      <c r="R36" s="184">
        <v>733.78</v>
      </c>
      <c r="S36" s="184">
        <v>378.38</v>
      </c>
      <c r="T36" s="184">
        <v>333.51</v>
      </c>
      <c r="U36" s="184">
        <v>290.14999999999998</v>
      </c>
      <c r="V36" s="187">
        <v>255.24</v>
      </c>
    </row>
    <row r="37" spans="1:22" x14ac:dyDescent="0.3">
      <c r="A37" s="188" t="s">
        <v>40</v>
      </c>
      <c r="B37" s="189">
        <v>767.66</v>
      </c>
      <c r="C37" s="189">
        <v>650.11</v>
      </c>
      <c r="D37" s="189">
        <v>289.06</v>
      </c>
      <c r="E37" s="189">
        <v>294.35000000000002</v>
      </c>
      <c r="F37" s="189">
        <v>374.36</v>
      </c>
      <c r="I37" s="191" t="s">
        <v>42</v>
      </c>
      <c r="J37" s="189">
        <v>909.42</v>
      </c>
      <c r="K37" s="189">
        <v>658.45</v>
      </c>
      <c r="L37" s="189">
        <v>580.17999999999995</v>
      </c>
      <c r="M37" s="189">
        <v>497.38</v>
      </c>
      <c r="N37" s="189">
        <v>549.88</v>
      </c>
      <c r="Q37" s="191" t="s">
        <v>41</v>
      </c>
      <c r="R37" s="189">
        <v>6.58</v>
      </c>
      <c r="S37" s="189">
        <v>62.65</v>
      </c>
      <c r="T37" s="189">
        <v>9.91</v>
      </c>
      <c r="U37" s="189">
        <v>77.819999999999993</v>
      </c>
      <c r="V37" s="192">
        <v>-22.14</v>
      </c>
    </row>
    <row r="38" spans="1:22" x14ac:dyDescent="0.3">
      <c r="A38" s="183" t="s">
        <v>41</v>
      </c>
      <c r="B38" s="184">
        <v>-67.53</v>
      </c>
      <c r="C38" s="184">
        <v>-24.84</v>
      </c>
      <c r="D38" s="184">
        <v>202.17</v>
      </c>
      <c r="E38" s="184">
        <v>-13.89</v>
      </c>
      <c r="F38" s="184">
        <v>-16.59</v>
      </c>
      <c r="Q38" s="186" t="s">
        <v>42</v>
      </c>
      <c r="R38" s="184">
        <v>777.4</v>
      </c>
      <c r="S38" s="184">
        <v>458.01</v>
      </c>
      <c r="T38" s="184">
        <v>381.84</v>
      </c>
      <c r="U38" s="184">
        <v>407.38</v>
      </c>
      <c r="V38" s="187">
        <v>265.51</v>
      </c>
    </row>
    <row r="39" spans="1:22" x14ac:dyDescent="0.3">
      <c r="A39" s="188" t="s">
        <v>42</v>
      </c>
      <c r="B39" s="189">
        <v>710.69</v>
      </c>
      <c r="C39" s="189">
        <v>609.20000000000005</v>
      </c>
      <c r="D39" s="189">
        <v>482.41</v>
      </c>
      <c r="E39" s="189">
        <v>283.04000000000002</v>
      </c>
      <c r="F39" s="189">
        <v>336.53</v>
      </c>
      <c r="V39" s="229"/>
    </row>
    <row r="40" spans="1:22" x14ac:dyDescent="0.3">
      <c r="A40" s="230"/>
      <c r="V40" s="229"/>
    </row>
    <row r="41" spans="1:22" x14ac:dyDescent="0.3">
      <c r="A41" s="230"/>
      <c r="V41" s="229"/>
    </row>
    <row r="42" spans="1:22" x14ac:dyDescent="0.3">
      <c r="A42" s="230"/>
      <c r="V42" s="229"/>
    </row>
    <row r="43" spans="1:22" x14ac:dyDescent="0.3">
      <c r="A43" s="199" t="s">
        <v>69</v>
      </c>
      <c r="B43" s="200" t="s">
        <v>106</v>
      </c>
      <c r="C43" s="200" t="s">
        <v>107</v>
      </c>
      <c r="D43" s="200" t="s">
        <v>108</v>
      </c>
      <c r="E43" s="200" t="s">
        <v>109</v>
      </c>
      <c r="F43" s="200" t="s">
        <v>110</v>
      </c>
      <c r="I43" s="200" t="s">
        <v>69</v>
      </c>
      <c r="J43" s="200" t="s">
        <v>106</v>
      </c>
      <c r="K43" s="200" t="s">
        <v>107</v>
      </c>
      <c r="L43" s="200" t="s">
        <v>108</v>
      </c>
      <c r="M43" s="200" t="s">
        <v>109</v>
      </c>
      <c r="N43" s="200" t="s">
        <v>110</v>
      </c>
      <c r="Q43" s="200" t="s">
        <v>69</v>
      </c>
      <c r="R43" s="200" t="s">
        <v>106</v>
      </c>
      <c r="S43" s="200" t="s">
        <v>107</v>
      </c>
      <c r="T43" s="200" t="s">
        <v>108</v>
      </c>
      <c r="U43" s="200" t="s">
        <v>109</v>
      </c>
      <c r="V43" s="201" t="s">
        <v>110</v>
      </c>
    </row>
    <row r="44" spans="1:22" x14ac:dyDescent="0.3">
      <c r="A44" s="202" t="s">
        <v>70</v>
      </c>
      <c r="B44" s="203">
        <v>18097.38</v>
      </c>
      <c r="C44" s="203">
        <v>16550.12</v>
      </c>
      <c r="D44" s="203">
        <v>14457.99</v>
      </c>
      <c r="E44" s="203">
        <v>13539.88</v>
      </c>
      <c r="F44" s="203">
        <v>13811.89</v>
      </c>
      <c r="I44" s="204" t="s">
        <v>70</v>
      </c>
      <c r="J44" s="203">
        <v>15610.21</v>
      </c>
      <c r="K44" s="203">
        <v>12632.12</v>
      </c>
      <c r="L44" s="203">
        <v>10644.88</v>
      </c>
      <c r="M44" s="203">
        <v>9575.25</v>
      </c>
      <c r="N44" s="203">
        <v>8490.2999999999993</v>
      </c>
      <c r="Q44" s="205" t="s">
        <v>70</v>
      </c>
      <c r="R44" s="206">
        <v>5803.79</v>
      </c>
      <c r="S44" s="206">
        <v>4342.01</v>
      </c>
      <c r="T44" s="206">
        <v>5270.32</v>
      </c>
      <c r="U44" s="206">
        <v>4007.18</v>
      </c>
      <c r="V44" s="207">
        <v>3503.33</v>
      </c>
    </row>
    <row r="45" spans="1:22" x14ac:dyDescent="0.3">
      <c r="A45" s="208" t="s">
        <v>71</v>
      </c>
      <c r="B45" s="206">
        <v>1999.84</v>
      </c>
      <c r="C45" s="206">
        <v>1938.24</v>
      </c>
      <c r="D45" s="206">
        <v>1859.98</v>
      </c>
      <c r="E45" s="206">
        <v>1936.09</v>
      </c>
      <c r="F45" s="206">
        <v>1910.75</v>
      </c>
      <c r="I45" s="205" t="s">
        <v>71</v>
      </c>
      <c r="J45" s="206">
        <v>1670.59</v>
      </c>
      <c r="K45" s="206">
        <v>1602.23</v>
      </c>
      <c r="L45" s="206">
        <v>1911.36</v>
      </c>
      <c r="M45" s="206">
        <v>2420.48</v>
      </c>
      <c r="N45" s="206">
        <v>2580.84</v>
      </c>
      <c r="Q45" s="204" t="s">
        <v>71</v>
      </c>
      <c r="R45" s="203">
        <v>1055.93</v>
      </c>
      <c r="S45" s="203">
        <v>1088.27</v>
      </c>
      <c r="T45" s="203">
        <v>1102.03</v>
      </c>
      <c r="U45" s="209">
        <v>988.65</v>
      </c>
      <c r="V45" s="210">
        <v>1511.8</v>
      </c>
    </row>
    <row r="46" spans="1:22" x14ac:dyDescent="0.3">
      <c r="A46" s="211" t="s">
        <v>72</v>
      </c>
      <c r="B46" s="212">
        <v>1605.45</v>
      </c>
      <c r="C46" s="212">
        <v>1501.5</v>
      </c>
      <c r="D46" s="212">
        <v>1441.2</v>
      </c>
      <c r="E46" s="212">
        <v>1438.22</v>
      </c>
      <c r="F46" s="212">
        <v>1359.72</v>
      </c>
      <c r="I46" s="204" t="s">
        <v>72</v>
      </c>
      <c r="J46" s="203">
        <v>1159.18</v>
      </c>
      <c r="K46" s="209">
        <v>534.64</v>
      </c>
      <c r="L46" s="209">
        <v>591.04999999999995</v>
      </c>
      <c r="M46" s="209">
        <v>657.45</v>
      </c>
      <c r="N46" s="209">
        <v>591.08000000000004</v>
      </c>
      <c r="Q46" s="205" t="s">
        <v>72</v>
      </c>
      <c r="R46" s="213">
        <v>803.99</v>
      </c>
      <c r="S46" s="213">
        <v>587.66999999999996</v>
      </c>
      <c r="T46" s="213">
        <v>557.63</v>
      </c>
      <c r="U46" s="213">
        <v>414.24</v>
      </c>
      <c r="V46" s="214">
        <v>456.04</v>
      </c>
    </row>
    <row r="47" spans="1:22" x14ac:dyDescent="0.3">
      <c r="A47" s="208" t="s">
        <v>73</v>
      </c>
      <c r="B47" s="206">
        <v>1605.45</v>
      </c>
      <c r="C47" s="206">
        <v>1501.5</v>
      </c>
      <c r="D47" s="206">
        <v>1441.2</v>
      </c>
      <c r="E47" s="206">
        <v>1438.22</v>
      </c>
      <c r="F47" s="206">
        <v>1359.72</v>
      </c>
      <c r="I47" s="205" t="s">
        <v>73</v>
      </c>
      <c r="J47" s="206">
        <v>1159.18</v>
      </c>
      <c r="K47" s="213">
        <v>534.64</v>
      </c>
      <c r="L47" s="213">
        <v>591.04999999999995</v>
      </c>
      <c r="M47" s="213">
        <v>657.46</v>
      </c>
      <c r="N47" s="213">
        <v>591.09</v>
      </c>
      <c r="Q47" s="204" t="s">
        <v>73</v>
      </c>
      <c r="R47" s="209">
        <v>803.99</v>
      </c>
      <c r="S47" s="209">
        <v>587.67999999999995</v>
      </c>
      <c r="T47" s="209">
        <v>557.63</v>
      </c>
      <c r="U47" s="209">
        <v>414.24</v>
      </c>
      <c r="V47" s="215">
        <v>456.04</v>
      </c>
    </row>
    <row r="48" spans="1:22" x14ac:dyDescent="0.3">
      <c r="A48" s="211" t="s">
        <v>74</v>
      </c>
      <c r="B48" s="216">
        <v>0</v>
      </c>
      <c r="C48" s="216">
        <v>21.98</v>
      </c>
      <c r="D48" s="216">
        <v>7.35</v>
      </c>
      <c r="E48" s="216">
        <v>0</v>
      </c>
      <c r="F48" s="216">
        <v>0</v>
      </c>
      <c r="I48" s="204" t="s">
        <v>74</v>
      </c>
      <c r="J48" s="209">
        <v>0</v>
      </c>
      <c r="K48" s="209">
        <v>0</v>
      </c>
      <c r="L48" s="209">
        <v>0</v>
      </c>
      <c r="M48" s="209">
        <v>3.42</v>
      </c>
      <c r="N48" s="209">
        <v>0</v>
      </c>
      <c r="Q48" s="205" t="s">
        <v>74</v>
      </c>
      <c r="R48" s="213">
        <v>0</v>
      </c>
      <c r="S48" s="213">
        <v>2.5099999999999998</v>
      </c>
      <c r="T48" s="213">
        <v>20.62</v>
      </c>
      <c r="U48" s="213">
        <v>2.38</v>
      </c>
      <c r="V48" s="214">
        <v>10.15</v>
      </c>
    </row>
    <row r="49" spans="1:22" x14ac:dyDescent="0.3">
      <c r="A49" s="217" t="s">
        <v>75</v>
      </c>
      <c r="B49" s="218">
        <v>0.63</v>
      </c>
      <c r="C49" s="218">
        <v>1.37</v>
      </c>
      <c r="D49" s="218">
        <v>1.35</v>
      </c>
      <c r="E49" s="218">
        <v>0.63</v>
      </c>
      <c r="F49" s="218">
        <v>0.63</v>
      </c>
      <c r="I49" s="205" t="s">
        <v>75</v>
      </c>
      <c r="J49" s="213">
        <v>0</v>
      </c>
      <c r="K49" s="213">
        <v>756.08</v>
      </c>
      <c r="L49" s="213">
        <v>890.54</v>
      </c>
      <c r="M49" s="206">
        <v>1139.5</v>
      </c>
      <c r="N49" s="206">
        <v>1387.01</v>
      </c>
      <c r="Q49" s="204" t="s">
        <v>75</v>
      </c>
      <c r="R49" s="209">
        <v>0</v>
      </c>
      <c r="S49" s="209">
        <v>302.81</v>
      </c>
      <c r="T49" s="209">
        <v>332.27</v>
      </c>
      <c r="U49" s="209">
        <v>361.76</v>
      </c>
      <c r="V49" s="215">
        <v>818.78</v>
      </c>
    </row>
    <row r="50" spans="1:22" x14ac:dyDescent="0.3">
      <c r="A50" s="202" t="s">
        <v>76</v>
      </c>
      <c r="B50" s="209">
        <v>154.9</v>
      </c>
      <c r="C50" s="209">
        <v>352.04</v>
      </c>
      <c r="D50" s="209">
        <v>345.82</v>
      </c>
      <c r="E50" s="209">
        <v>439.63</v>
      </c>
      <c r="F50" s="209">
        <v>302.91000000000003</v>
      </c>
      <c r="I50" s="204" t="s">
        <v>76</v>
      </c>
      <c r="J50" s="209">
        <v>511.41</v>
      </c>
      <c r="K50" s="209">
        <v>311.51</v>
      </c>
      <c r="L50" s="209">
        <v>423.73</v>
      </c>
      <c r="M50" s="209">
        <v>578.6</v>
      </c>
      <c r="N50" s="209">
        <v>444.39</v>
      </c>
      <c r="Q50" s="205" t="s">
        <v>76</v>
      </c>
      <c r="R50" s="213">
        <v>115.19</v>
      </c>
      <c r="S50" s="213">
        <v>72.349999999999994</v>
      </c>
      <c r="T50" s="213">
        <v>73.25</v>
      </c>
      <c r="U50" s="213">
        <v>61.67</v>
      </c>
      <c r="V50" s="214">
        <v>65.84</v>
      </c>
    </row>
    <row r="51" spans="1:22" x14ac:dyDescent="0.3">
      <c r="A51" s="208" t="s">
        <v>77</v>
      </c>
      <c r="B51" s="213">
        <v>154.9</v>
      </c>
      <c r="C51" s="213">
        <v>352.04</v>
      </c>
      <c r="D51" s="213">
        <v>345.82</v>
      </c>
      <c r="E51" s="213">
        <v>439.63</v>
      </c>
      <c r="F51" s="213">
        <v>302.91000000000003</v>
      </c>
      <c r="I51" s="205" t="s">
        <v>77</v>
      </c>
      <c r="J51" s="213">
        <v>511.41</v>
      </c>
      <c r="K51" s="213">
        <v>311.51</v>
      </c>
      <c r="L51" s="213">
        <v>423.73</v>
      </c>
      <c r="M51" s="213">
        <v>578.6</v>
      </c>
      <c r="N51" s="213">
        <v>444.39</v>
      </c>
      <c r="Q51" s="204" t="s">
        <v>77</v>
      </c>
      <c r="R51" s="209">
        <v>115.19</v>
      </c>
      <c r="S51" s="209">
        <v>72.349999999999994</v>
      </c>
      <c r="T51" s="209">
        <v>73.25</v>
      </c>
      <c r="U51" s="209">
        <v>61.67</v>
      </c>
      <c r="V51" s="215">
        <v>65.84</v>
      </c>
    </row>
    <row r="52" spans="1:22" x14ac:dyDescent="0.3">
      <c r="A52" s="202" t="s">
        <v>78</v>
      </c>
      <c r="B52" s="209">
        <v>238.86</v>
      </c>
      <c r="C52" s="209">
        <v>61.35</v>
      </c>
      <c r="D52" s="209">
        <v>64.260000000000005</v>
      </c>
      <c r="E52" s="209">
        <v>57.61</v>
      </c>
      <c r="F52" s="209">
        <v>247.49</v>
      </c>
      <c r="I52" s="204" t="s">
        <v>78</v>
      </c>
      <c r="J52" s="209">
        <v>0</v>
      </c>
      <c r="K52" s="209">
        <v>0</v>
      </c>
      <c r="L52" s="209">
        <v>6.04</v>
      </c>
      <c r="M52" s="209">
        <v>41.51</v>
      </c>
      <c r="N52" s="209">
        <v>158.36000000000001</v>
      </c>
      <c r="Q52" s="205" t="s">
        <v>78</v>
      </c>
      <c r="R52" s="213">
        <v>136.75</v>
      </c>
      <c r="S52" s="213">
        <v>122.93</v>
      </c>
      <c r="T52" s="213">
        <v>118.26</v>
      </c>
      <c r="U52" s="213">
        <v>148.6</v>
      </c>
      <c r="V52" s="214">
        <v>160.99</v>
      </c>
    </row>
    <row r="53" spans="1:22" x14ac:dyDescent="0.3">
      <c r="A53" s="208" t="s">
        <v>79</v>
      </c>
      <c r="B53" s="206">
        <v>6406.23</v>
      </c>
      <c r="C53" s="206">
        <v>5633.7</v>
      </c>
      <c r="D53" s="206">
        <v>4666.09</v>
      </c>
      <c r="E53" s="206">
        <v>4501.47</v>
      </c>
      <c r="F53" s="206">
        <v>4547.8</v>
      </c>
      <c r="I53" s="205" t="s">
        <v>79</v>
      </c>
      <c r="J53" s="206">
        <v>3776.66</v>
      </c>
      <c r="K53" s="206">
        <v>2569.52</v>
      </c>
      <c r="L53" s="206">
        <v>2163.71</v>
      </c>
      <c r="M53" s="206">
        <v>1970.62</v>
      </c>
      <c r="N53" s="206">
        <v>1728.99</v>
      </c>
      <c r="Q53" s="204" t="s">
        <v>79</v>
      </c>
      <c r="R53" s="203">
        <v>1307.5899999999999</v>
      </c>
      <c r="S53" s="203">
        <v>1077.43</v>
      </c>
      <c r="T53" s="203">
        <v>1095.1199999999999</v>
      </c>
      <c r="U53" s="209">
        <v>636.27</v>
      </c>
      <c r="V53" s="215">
        <v>383.55</v>
      </c>
    </row>
    <row r="54" spans="1:22" x14ac:dyDescent="0.3">
      <c r="A54" s="202" t="s">
        <v>80</v>
      </c>
      <c r="B54" s="203">
        <v>1763.76</v>
      </c>
      <c r="C54" s="203">
        <v>1374.03</v>
      </c>
      <c r="D54" s="203">
        <v>1153.3399999999999</v>
      </c>
      <c r="E54" s="203">
        <v>1222.21</v>
      </c>
      <c r="F54" s="203">
        <v>1391.29</v>
      </c>
      <c r="I54" s="204" t="s">
        <v>80</v>
      </c>
      <c r="J54" s="209">
        <v>765.01</v>
      </c>
      <c r="K54" s="209">
        <v>764.39</v>
      </c>
      <c r="L54" s="209">
        <v>480.79</v>
      </c>
      <c r="M54" s="209">
        <v>353.59</v>
      </c>
      <c r="N54" s="209">
        <v>267.29000000000002</v>
      </c>
      <c r="Q54" s="205" t="s">
        <v>80</v>
      </c>
      <c r="R54" s="213">
        <v>220.87</v>
      </c>
      <c r="S54" s="213">
        <v>234.23</v>
      </c>
      <c r="T54" s="213">
        <v>227.41</v>
      </c>
      <c r="U54" s="213">
        <v>147.99</v>
      </c>
      <c r="V54" s="214">
        <v>123.16</v>
      </c>
    </row>
    <row r="55" spans="1:22" x14ac:dyDescent="0.3">
      <c r="A55" s="208" t="s">
        <v>81</v>
      </c>
      <c r="B55" s="206">
        <v>1763.76</v>
      </c>
      <c r="C55" s="206">
        <v>1374.03</v>
      </c>
      <c r="D55" s="206">
        <v>1153.3399999999999</v>
      </c>
      <c r="E55" s="206">
        <v>1222.21</v>
      </c>
      <c r="F55" s="206">
        <v>1391.29</v>
      </c>
      <c r="I55" s="205" t="s">
        <v>81</v>
      </c>
      <c r="J55" s="213">
        <v>765.01</v>
      </c>
      <c r="K55" s="213">
        <v>764.39</v>
      </c>
      <c r="L55" s="213">
        <v>480.79</v>
      </c>
      <c r="M55" s="213">
        <v>353.59</v>
      </c>
      <c r="N55" s="213">
        <v>267.29000000000002</v>
      </c>
      <c r="Q55" s="204" t="s">
        <v>81</v>
      </c>
      <c r="R55" s="209">
        <v>220.87</v>
      </c>
      <c r="S55" s="209">
        <v>234.23</v>
      </c>
      <c r="T55" s="209">
        <v>227.41</v>
      </c>
      <c r="U55" s="209">
        <v>147.99</v>
      </c>
      <c r="V55" s="215">
        <v>123.16</v>
      </c>
    </row>
    <row r="56" spans="1:22" x14ac:dyDescent="0.3">
      <c r="A56" s="202" t="s">
        <v>82</v>
      </c>
      <c r="B56" s="203">
        <v>3117.21</v>
      </c>
      <c r="C56" s="203">
        <v>3175.51</v>
      </c>
      <c r="D56" s="203">
        <v>2545.16</v>
      </c>
      <c r="E56" s="203">
        <v>2739.62</v>
      </c>
      <c r="F56" s="203">
        <v>2728.28</v>
      </c>
      <c r="I56" s="204" t="s">
        <v>82</v>
      </c>
      <c r="J56" s="203">
        <v>1632.94</v>
      </c>
      <c r="K56" s="203">
        <v>1098.78</v>
      </c>
      <c r="L56" s="209">
        <v>665.75</v>
      </c>
      <c r="M56" s="209">
        <v>392.79</v>
      </c>
      <c r="N56" s="209">
        <v>284.06</v>
      </c>
      <c r="Q56" s="205" t="s">
        <v>82</v>
      </c>
      <c r="R56" s="213">
        <v>673.98</v>
      </c>
      <c r="S56" s="213">
        <v>622.9</v>
      </c>
      <c r="T56" s="213">
        <v>598.41</v>
      </c>
      <c r="U56" s="213">
        <v>332.87</v>
      </c>
      <c r="V56" s="214">
        <v>174.65</v>
      </c>
    </row>
    <row r="57" spans="1:22" x14ac:dyDescent="0.3">
      <c r="A57" s="208" t="s">
        <v>83</v>
      </c>
      <c r="B57" s="206">
        <v>3117.21</v>
      </c>
      <c r="C57" s="206">
        <v>3175.51</v>
      </c>
      <c r="D57" s="206">
        <v>2545.16</v>
      </c>
      <c r="E57" s="206">
        <v>2739.62</v>
      </c>
      <c r="F57" s="206">
        <v>2728.28</v>
      </c>
      <c r="I57" s="205" t="s">
        <v>83</v>
      </c>
      <c r="J57" s="206">
        <v>1632.94</v>
      </c>
      <c r="K57" s="206">
        <v>1098.78</v>
      </c>
      <c r="L57" s="213">
        <v>665.75</v>
      </c>
      <c r="M57" s="213">
        <v>392.79</v>
      </c>
      <c r="N57" s="213">
        <v>284.06</v>
      </c>
      <c r="Q57" s="204" t="s">
        <v>83</v>
      </c>
      <c r="R57" s="209">
        <v>673.98</v>
      </c>
      <c r="S57" s="209">
        <v>622.9</v>
      </c>
      <c r="T57" s="209">
        <v>598.41</v>
      </c>
      <c r="U57" s="209">
        <v>332.87</v>
      </c>
      <c r="V57" s="215">
        <v>174.65</v>
      </c>
    </row>
    <row r="58" spans="1:22" x14ac:dyDescent="0.3">
      <c r="A58" s="202" t="s">
        <v>84</v>
      </c>
      <c r="B58" s="209">
        <v>375.71</v>
      </c>
      <c r="C58" s="209">
        <v>374.89</v>
      </c>
      <c r="D58" s="209">
        <v>367.06</v>
      </c>
      <c r="E58" s="209">
        <v>35.06</v>
      </c>
      <c r="F58" s="209">
        <v>39.49</v>
      </c>
      <c r="I58" s="204" t="s">
        <v>84</v>
      </c>
      <c r="J58" s="209">
        <v>0</v>
      </c>
      <c r="K58" s="209">
        <v>0</v>
      </c>
      <c r="L58" s="209">
        <v>269.87</v>
      </c>
      <c r="M58" s="209">
        <v>279.72000000000003</v>
      </c>
      <c r="N58" s="209">
        <v>256.52</v>
      </c>
      <c r="Q58" s="205" t="s">
        <v>84</v>
      </c>
      <c r="R58" s="213">
        <v>1.84</v>
      </c>
      <c r="S58" s="213">
        <v>0.11</v>
      </c>
      <c r="T58" s="213">
        <v>10.1</v>
      </c>
      <c r="U58" s="213">
        <v>7.57</v>
      </c>
      <c r="V58" s="214">
        <v>2.87</v>
      </c>
    </row>
    <row r="59" spans="1:22" x14ac:dyDescent="0.3">
      <c r="A59" s="208" t="s">
        <v>85</v>
      </c>
      <c r="B59" s="206">
        <v>1149.55</v>
      </c>
      <c r="C59" s="213">
        <v>709.27</v>
      </c>
      <c r="D59" s="213">
        <v>600.53</v>
      </c>
      <c r="E59" s="213">
        <v>504.58</v>
      </c>
      <c r="F59" s="213">
        <v>388.74</v>
      </c>
      <c r="I59" s="205" t="s">
        <v>85</v>
      </c>
      <c r="J59" s="206">
        <v>1378.7</v>
      </c>
      <c r="K59" s="213">
        <v>706.35</v>
      </c>
      <c r="L59" s="213">
        <v>747.3</v>
      </c>
      <c r="M59" s="213">
        <v>944.52</v>
      </c>
      <c r="N59" s="213">
        <v>921.12</v>
      </c>
      <c r="Q59" s="204" t="s">
        <v>85</v>
      </c>
      <c r="R59" s="209">
        <v>410.89</v>
      </c>
      <c r="S59" s="209">
        <v>220.2</v>
      </c>
      <c r="T59" s="209">
        <v>259.2</v>
      </c>
      <c r="U59" s="209">
        <v>147.84</v>
      </c>
      <c r="V59" s="215">
        <v>82.87</v>
      </c>
    </row>
    <row r="60" spans="1:22" x14ac:dyDescent="0.3">
      <c r="A60" s="202" t="s">
        <v>86</v>
      </c>
      <c r="B60" s="203">
        <v>1149.55</v>
      </c>
      <c r="C60" s="209">
        <v>709.27</v>
      </c>
      <c r="D60" s="209">
        <v>600.53</v>
      </c>
      <c r="E60" s="209">
        <v>504.58</v>
      </c>
      <c r="F60" s="209">
        <v>388.74</v>
      </c>
      <c r="I60" s="204" t="s">
        <v>86</v>
      </c>
      <c r="J60" s="203">
        <v>1378.7</v>
      </c>
      <c r="K60" s="209">
        <v>706.35</v>
      </c>
      <c r="L60" s="209">
        <v>747.3</v>
      </c>
      <c r="M60" s="209">
        <v>944.52</v>
      </c>
      <c r="N60" s="209">
        <v>921.12</v>
      </c>
      <c r="Q60" s="205" t="s">
        <v>86</v>
      </c>
      <c r="R60" s="213">
        <v>410.89</v>
      </c>
      <c r="S60" s="213">
        <v>220.2</v>
      </c>
      <c r="T60" s="213">
        <v>259.2</v>
      </c>
      <c r="U60" s="213">
        <v>147.84</v>
      </c>
      <c r="V60" s="214">
        <v>82.87</v>
      </c>
    </row>
    <row r="61" spans="1:22" x14ac:dyDescent="0.3">
      <c r="A61" s="208" t="s">
        <v>87</v>
      </c>
      <c r="B61" s="206">
        <v>9691.31</v>
      </c>
      <c r="C61" s="206">
        <v>8978.18</v>
      </c>
      <c r="D61" s="206">
        <v>7931.92</v>
      </c>
      <c r="E61" s="206">
        <v>7102.32</v>
      </c>
      <c r="F61" s="206">
        <v>7353.34</v>
      </c>
      <c r="I61" s="205" t="s">
        <v>87</v>
      </c>
      <c r="J61" s="206">
        <v>10162.959999999999</v>
      </c>
      <c r="K61" s="206">
        <v>8460.3799999999992</v>
      </c>
      <c r="L61" s="206">
        <v>6569.8</v>
      </c>
      <c r="M61" s="206">
        <v>5184.16</v>
      </c>
      <c r="N61" s="206">
        <v>4180.46</v>
      </c>
      <c r="Q61" s="204" t="s">
        <v>87</v>
      </c>
      <c r="R61" s="203">
        <v>3440.27</v>
      </c>
      <c r="S61" s="203">
        <v>2176.29</v>
      </c>
      <c r="T61" s="203">
        <v>3073.17</v>
      </c>
      <c r="U61" s="203">
        <v>2382.2600000000002</v>
      </c>
      <c r="V61" s="210">
        <v>1607.98</v>
      </c>
    </row>
    <row r="62" spans="1:22" x14ac:dyDescent="0.3">
      <c r="A62" s="202" t="s">
        <v>88</v>
      </c>
      <c r="B62" s="203">
        <v>18097.38</v>
      </c>
      <c r="C62" s="203">
        <v>16550.12</v>
      </c>
      <c r="D62" s="203">
        <v>14457.99</v>
      </c>
      <c r="E62" s="203">
        <v>13539.88</v>
      </c>
      <c r="F62" s="203">
        <v>13811.89</v>
      </c>
      <c r="I62" s="204" t="s">
        <v>88</v>
      </c>
      <c r="J62" s="203">
        <v>15610.21</v>
      </c>
      <c r="K62" s="203">
        <v>12632.12</v>
      </c>
      <c r="L62" s="203">
        <v>10644.88</v>
      </c>
      <c r="M62" s="203">
        <v>9575.25</v>
      </c>
      <c r="N62" s="203">
        <v>8490.2999999999993</v>
      </c>
      <c r="Q62" s="205" t="s">
        <v>88</v>
      </c>
      <c r="R62" s="206">
        <v>5803.79</v>
      </c>
      <c r="S62" s="206">
        <v>4342.01</v>
      </c>
      <c r="T62" s="206">
        <v>5270.32</v>
      </c>
      <c r="U62" s="206">
        <v>4007.18</v>
      </c>
      <c r="V62" s="207">
        <v>3503.33</v>
      </c>
    </row>
    <row r="63" spans="1:22" x14ac:dyDescent="0.3">
      <c r="A63" s="208" t="s">
        <v>89</v>
      </c>
      <c r="B63" s="206">
        <v>6811.88</v>
      </c>
      <c r="C63" s="206">
        <v>6485.46</v>
      </c>
      <c r="D63" s="206">
        <v>5896.15</v>
      </c>
      <c r="E63" s="206">
        <v>5469.41</v>
      </c>
      <c r="F63" s="206">
        <v>5159.29</v>
      </c>
      <c r="I63" s="205" t="s">
        <v>89</v>
      </c>
      <c r="J63" s="206">
        <v>5184.82</v>
      </c>
      <c r="K63" s="206">
        <v>4285.05</v>
      </c>
      <c r="L63" s="206">
        <v>3627.87</v>
      </c>
      <c r="M63" s="206">
        <v>3052.69</v>
      </c>
      <c r="N63" s="206">
        <v>2554.2600000000002</v>
      </c>
      <c r="Q63" s="204" t="s">
        <v>89</v>
      </c>
      <c r="R63" s="203">
        <v>3497.68</v>
      </c>
      <c r="S63" s="203">
        <v>2739.33</v>
      </c>
      <c r="T63" s="203">
        <v>2550.65</v>
      </c>
      <c r="U63" s="203">
        <v>1967.97</v>
      </c>
      <c r="V63" s="210">
        <v>1585.36</v>
      </c>
    </row>
    <row r="64" spans="1:22" x14ac:dyDescent="0.3">
      <c r="A64" s="202" t="s">
        <v>90</v>
      </c>
      <c r="B64" s="203">
        <v>6639.7</v>
      </c>
      <c r="C64" s="203">
        <v>6166.83</v>
      </c>
      <c r="D64" s="203">
        <v>5602.74</v>
      </c>
      <c r="E64" s="203">
        <v>5171.3</v>
      </c>
      <c r="F64" s="203">
        <v>4906.45</v>
      </c>
      <c r="I64" s="204" t="s">
        <v>90</v>
      </c>
      <c r="J64" s="203">
        <v>5184.82</v>
      </c>
      <c r="K64" s="203">
        <v>4285.05</v>
      </c>
      <c r="L64" s="203">
        <v>3628.09</v>
      </c>
      <c r="M64" s="203">
        <v>3053.16</v>
      </c>
      <c r="N64" s="203">
        <v>2554.2600000000002</v>
      </c>
      <c r="Q64" s="205" t="s">
        <v>90</v>
      </c>
      <c r="R64" s="206">
        <v>3554.15</v>
      </c>
      <c r="S64" s="206">
        <v>2770.7</v>
      </c>
      <c r="T64" s="206">
        <v>2319.21</v>
      </c>
      <c r="U64" s="206">
        <v>1959.32</v>
      </c>
      <c r="V64" s="207">
        <v>1552.16</v>
      </c>
    </row>
    <row r="65" spans="1:22" x14ac:dyDescent="0.3">
      <c r="A65" s="208" t="s">
        <v>91</v>
      </c>
      <c r="B65" s="213">
        <v>125.57</v>
      </c>
      <c r="C65" s="213">
        <v>125.57</v>
      </c>
      <c r="D65" s="213">
        <v>121.97</v>
      </c>
      <c r="E65" s="213">
        <v>121.97</v>
      </c>
      <c r="F65" s="213">
        <v>121.97</v>
      </c>
      <c r="I65" s="205" t="s">
        <v>91</v>
      </c>
      <c r="J65" s="213">
        <v>51.31</v>
      </c>
      <c r="K65" s="213">
        <v>51.31</v>
      </c>
      <c r="L65" s="213">
        <v>51.31</v>
      </c>
      <c r="M65" s="213">
        <v>51.31</v>
      </c>
      <c r="N65" s="213">
        <v>51.31</v>
      </c>
      <c r="Q65" s="204" t="s">
        <v>91</v>
      </c>
      <c r="R65" s="209">
        <v>56.25</v>
      </c>
      <c r="S65" s="209">
        <v>56.25</v>
      </c>
      <c r="T65" s="209">
        <v>56.25</v>
      </c>
      <c r="U65" s="209">
        <v>56.25</v>
      </c>
      <c r="V65" s="215">
        <v>28.12</v>
      </c>
    </row>
    <row r="66" spans="1:22" x14ac:dyDescent="0.3">
      <c r="A66" s="202" t="s">
        <v>92</v>
      </c>
      <c r="B66" s="209">
        <v>125.57</v>
      </c>
      <c r="C66" s="209">
        <v>125.57</v>
      </c>
      <c r="D66" s="209">
        <v>121.97</v>
      </c>
      <c r="E66" s="209">
        <v>121.97</v>
      </c>
      <c r="F66" s="209">
        <v>121.97</v>
      </c>
      <c r="I66" s="204" t="s">
        <v>92</v>
      </c>
      <c r="J66" s="209">
        <v>51.31</v>
      </c>
      <c r="K66" s="209">
        <v>51.31</v>
      </c>
      <c r="L66" s="209">
        <v>51.31</v>
      </c>
      <c r="M66" s="209">
        <v>51.31</v>
      </c>
      <c r="N66" s="209">
        <v>51.31</v>
      </c>
      <c r="Q66" s="205" t="s">
        <v>92</v>
      </c>
      <c r="R66" s="213">
        <v>56.25</v>
      </c>
      <c r="S66" s="213">
        <v>56.25</v>
      </c>
      <c r="T66" s="213">
        <v>56.25</v>
      </c>
      <c r="U66" s="213">
        <v>56.25</v>
      </c>
      <c r="V66" s="214">
        <v>28.12</v>
      </c>
    </row>
    <row r="67" spans="1:22" x14ac:dyDescent="0.3">
      <c r="A67" s="208" t="s">
        <v>93</v>
      </c>
      <c r="B67" s="206">
        <v>6514.13</v>
      </c>
      <c r="C67" s="206">
        <v>6041.26</v>
      </c>
      <c r="D67" s="206">
        <v>5480.77</v>
      </c>
      <c r="E67" s="206">
        <v>5049.33</v>
      </c>
      <c r="F67" s="206">
        <v>4784.4799999999996</v>
      </c>
      <c r="I67" s="205" t="s">
        <v>93</v>
      </c>
      <c r="J67" s="206">
        <v>5133.51</v>
      </c>
      <c r="K67" s="206">
        <v>4233.74</v>
      </c>
      <c r="L67" s="206">
        <v>3576.78</v>
      </c>
      <c r="M67" s="206">
        <v>3001.85</v>
      </c>
      <c r="N67" s="206">
        <v>2502.9499999999998</v>
      </c>
      <c r="Q67" s="204" t="s">
        <v>93</v>
      </c>
      <c r="R67" s="203">
        <v>3497.9</v>
      </c>
      <c r="S67" s="203">
        <v>2714.45</v>
      </c>
      <c r="T67" s="203">
        <v>2262.96</v>
      </c>
      <c r="U67" s="203">
        <v>1903.07</v>
      </c>
      <c r="V67" s="210">
        <v>1524.04</v>
      </c>
    </row>
    <row r="68" spans="1:22" x14ac:dyDescent="0.3">
      <c r="A68" s="202" t="s">
        <v>94</v>
      </c>
      <c r="B68" s="209">
        <v>172.18</v>
      </c>
      <c r="C68" s="209">
        <v>318.63</v>
      </c>
      <c r="D68" s="209">
        <v>293.41000000000003</v>
      </c>
      <c r="E68" s="209">
        <v>298.11</v>
      </c>
      <c r="F68" s="209">
        <v>252.84</v>
      </c>
      <c r="I68" s="204" t="s">
        <v>94</v>
      </c>
      <c r="J68" s="209">
        <v>0</v>
      </c>
      <c r="K68" s="209">
        <v>0</v>
      </c>
      <c r="L68" s="209">
        <v>-0.22</v>
      </c>
      <c r="M68" s="209">
        <v>-0.47</v>
      </c>
      <c r="N68" s="209">
        <v>0</v>
      </c>
      <c r="Q68" s="205" t="s">
        <v>94</v>
      </c>
      <c r="R68" s="213">
        <v>-56.47</v>
      </c>
      <c r="S68" s="213">
        <v>-31.37</v>
      </c>
      <c r="T68" s="213">
        <v>231.44</v>
      </c>
      <c r="U68" s="213">
        <v>8.65</v>
      </c>
      <c r="V68" s="214">
        <v>33.200000000000003</v>
      </c>
    </row>
    <row r="69" spans="1:22" x14ac:dyDescent="0.3">
      <c r="A69" s="208" t="s">
        <v>95</v>
      </c>
      <c r="B69" s="206">
        <v>11285.5</v>
      </c>
      <c r="C69" s="206">
        <v>10064.66</v>
      </c>
      <c r="D69" s="206">
        <v>8561.84</v>
      </c>
      <c r="E69" s="206">
        <v>8070.47</v>
      </c>
      <c r="F69" s="206">
        <v>8652.6</v>
      </c>
      <c r="I69" s="205" t="s">
        <v>95</v>
      </c>
      <c r="J69" s="206">
        <v>10425.39</v>
      </c>
      <c r="K69" s="206">
        <v>8347.08</v>
      </c>
      <c r="L69" s="206">
        <v>7017.01</v>
      </c>
      <c r="M69" s="206">
        <v>6522.56</v>
      </c>
      <c r="N69" s="206">
        <v>5936.04</v>
      </c>
      <c r="Q69" s="204" t="s">
        <v>95</v>
      </c>
      <c r="R69" s="203">
        <v>2306.11</v>
      </c>
      <c r="S69" s="203">
        <v>1602.68</v>
      </c>
      <c r="T69" s="203">
        <v>2719.67</v>
      </c>
      <c r="U69" s="203">
        <v>2039.21</v>
      </c>
      <c r="V69" s="210">
        <v>1917.96</v>
      </c>
    </row>
    <row r="70" spans="1:22" x14ac:dyDescent="0.3">
      <c r="A70" s="202" t="s">
        <v>96</v>
      </c>
      <c r="B70" s="209">
        <v>72.099999999999994</v>
      </c>
      <c r="C70" s="209">
        <v>89.09</v>
      </c>
      <c r="D70" s="209">
        <v>120.18</v>
      </c>
      <c r="E70" s="209">
        <v>169.61</v>
      </c>
      <c r="F70" s="209">
        <v>239.82</v>
      </c>
      <c r="I70" s="204" t="s">
        <v>96</v>
      </c>
      <c r="J70" s="203">
        <v>7264.83</v>
      </c>
      <c r="K70" s="203">
        <v>5580.44</v>
      </c>
      <c r="L70" s="203">
        <v>4336.6000000000004</v>
      </c>
      <c r="M70" s="203">
        <v>3734.89</v>
      </c>
      <c r="N70" s="203">
        <v>3246.02</v>
      </c>
      <c r="Q70" s="205" t="s">
        <v>96</v>
      </c>
      <c r="R70" s="206">
        <v>1161.79</v>
      </c>
      <c r="S70" s="213">
        <v>500.12</v>
      </c>
      <c r="T70" s="206">
        <v>1380.98</v>
      </c>
      <c r="U70" s="213">
        <v>736.72</v>
      </c>
      <c r="V70" s="214">
        <v>800.22</v>
      </c>
    </row>
    <row r="71" spans="1:22" x14ac:dyDescent="0.3">
      <c r="A71" s="208" t="s">
        <v>97</v>
      </c>
      <c r="B71" s="213">
        <v>69.680000000000007</v>
      </c>
      <c r="C71" s="213">
        <v>89.09</v>
      </c>
      <c r="D71" s="213">
        <v>120.18</v>
      </c>
      <c r="E71" s="213">
        <v>169.61</v>
      </c>
      <c r="F71" s="213">
        <v>239.82</v>
      </c>
      <c r="I71" s="205" t="s">
        <v>97</v>
      </c>
      <c r="J71" s="206">
        <v>7264.17</v>
      </c>
      <c r="K71" s="206">
        <v>5559.26</v>
      </c>
      <c r="L71" s="206">
        <v>4336.6000000000004</v>
      </c>
      <c r="M71" s="206">
        <v>3734.89</v>
      </c>
      <c r="N71" s="206">
        <v>3246.02</v>
      </c>
      <c r="Q71" s="204" t="s">
        <v>97</v>
      </c>
      <c r="R71" s="203">
        <v>1161.79</v>
      </c>
      <c r="S71" s="209">
        <v>500.12</v>
      </c>
      <c r="T71" s="203">
        <v>1380.98</v>
      </c>
      <c r="U71" s="209">
        <v>736.72</v>
      </c>
      <c r="V71" s="215">
        <v>800.22</v>
      </c>
    </row>
    <row r="72" spans="1:22" x14ac:dyDescent="0.3">
      <c r="A72" s="202" t="s">
        <v>98</v>
      </c>
      <c r="B72" s="209">
        <v>2.42</v>
      </c>
      <c r="C72" s="209">
        <v>0</v>
      </c>
      <c r="D72" s="209">
        <v>0</v>
      </c>
      <c r="E72" s="209">
        <v>0</v>
      </c>
      <c r="F72" s="209">
        <v>0</v>
      </c>
      <c r="I72" s="204" t="s">
        <v>98</v>
      </c>
      <c r="J72" s="209">
        <v>0.66</v>
      </c>
      <c r="K72" s="209">
        <v>21.18</v>
      </c>
      <c r="L72" s="209">
        <v>0</v>
      </c>
      <c r="M72" s="209">
        <v>0</v>
      </c>
      <c r="N72" s="209">
        <v>0</v>
      </c>
      <c r="Q72" s="205" t="s">
        <v>99</v>
      </c>
      <c r="R72" s="206">
        <v>1144.32</v>
      </c>
      <c r="S72" s="206">
        <v>1102.56</v>
      </c>
      <c r="T72" s="206">
        <v>1338.69</v>
      </c>
      <c r="U72" s="206">
        <v>1302.49</v>
      </c>
      <c r="V72" s="207">
        <v>1117.74</v>
      </c>
    </row>
    <row r="73" spans="1:22" x14ac:dyDescent="0.3">
      <c r="A73" s="208" t="s">
        <v>99</v>
      </c>
      <c r="B73" s="206">
        <v>11213.4</v>
      </c>
      <c r="C73" s="206">
        <v>9975.57</v>
      </c>
      <c r="D73" s="206">
        <v>8441.66</v>
      </c>
      <c r="E73" s="206">
        <v>7900.86</v>
      </c>
      <c r="F73" s="206">
        <v>8412.7800000000007</v>
      </c>
      <c r="I73" s="205" t="s">
        <v>99</v>
      </c>
      <c r="J73" s="206">
        <v>3160.56</v>
      </c>
      <c r="K73" s="206">
        <v>2766.64</v>
      </c>
      <c r="L73" s="206">
        <v>2680.41</v>
      </c>
      <c r="M73" s="206">
        <v>2787.67</v>
      </c>
      <c r="N73" s="206">
        <v>2690.02</v>
      </c>
      <c r="Q73" s="204" t="s">
        <v>100</v>
      </c>
      <c r="R73" s="209">
        <v>96.43</v>
      </c>
      <c r="S73" s="209">
        <v>154.78</v>
      </c>
      <c r="T73" s="209">
        <v>84.64</v>
      </c>
      <c r="U73" s="209">
        <v>0.71</v>
      </c>
      <c r="V73" s="215">
        <v>33.64</v>
      </c>
    </row>
    <row r="74" spans="1:22" x14ac:dyDescent="0.3">
      <c r="A74" s="202" t="s">
        <v>100</v>
      </c>
      <c r="B74" s="209">
        <v>910.34</v>
      </c>
      <c r="C74" s="209">
        <v>884.73</v>
      </c>
      <c r="D74" s="203">
        <v>1182.25</v>
      </c>
      <c r="E74" s="203">
        <v>1579.43</v>
      </c>
      <c r="F74" s="203">
        <v>1632.8</v>
      </c>
      <c r="I74" s="204" t="s">
        <v>100</v>
      </c>
      <c r="J74" s="209">
        <v>752.29</v>
      </c>
      <c r="K74" s="209">
        <v>712.07</v>
      </c>
      <c r="L74" s="209">
        <v>442.24</v>
      </c>
      <c r="M74" s="209">
        <v>20.18</v>
      </c>
      <c r="N74" s="209">
        <v>16.29</v>
      </c>
      <c r="Q74" s="205" t="s">
        <v>101</v>
      </c>
      <c r="R74" s="213">
        <v>281.19</v>
      </c>
      <c r="S74" s="213">
        <v>387.7</v>
      </c>
      <c r="T74" s="213">
        <v>307.07</v>
      </c>
      <c r="U74" s="213">
        <v>250.72</v>
      </c>
      <c r="V74" s="214">
        <v>262.97000000000003</v>
      </c>
    </row>
    <row r="75" spans="1:22" x14ac:dyDescent="0.3">
      <c r="A75" s="208" t="s">
        <v>101</v>
      </c>
      <c r="B75" s="206">
        <v>6709.89</v>
      </c>
      <c r="C75" s="206">
        <v>5306.02</v>
      </c>
      <c r="D75" s="206">
        <v>4397.8</v>
      </c>
      <c r="E75" s="206">
        <v>3828.52</v>
      </c>
      <c r="F75" s="206">
        <v>4120.05</v>
      </c>
      <c r="I75" s="205" t="s">
        <v>101</v>
      </c>
      <c r="J75" s="213">
        <v>953</v>
      </c>
      <c r="K75" s="213">
        <v>688.22</v>
      </c>
      <c r="L75" s="213">
        <v>514.27</v>
      </c>
      <c r="M75" s="213">
        <v>726.1</v>
      </c>
      <c r="N75" s="213">
        <v>475.76</v>
      </c>
      <c r="Q75" s="204" t="s">
        <v>102</v>
      </c>
      <c r="R75" s="209">
        <v>82.21</v>
      </c>
      <c r="S75" s="209">
        <v>75.8</v>
      </c>
      <c r="T75" s="209">
        <v>94.01</v>
      </c>
      <c r="U75" s="209">
        <v>63.12</v>
      </c>
      <c r="V75" s="215">
        <v>73.95</v>
      </c>
    </row>
    <row r="76" spans="1:22" x14ac:dyDescent="0.3">
      <c r="A76" s="202" t="s">
        <v>102</v>
      </c>
      <c r="B76" s="209">
        <v>201.61</v>
      </c>
      <c r="C76" s="209">
        <v>156.01</v>
      </c>
      <c r="D76" s="209">
        <v>137.09</v>
      </c>
      <c r="E76" s="209">
        <v>52.45</v>
      </c>
      <c r="F76" s="209">
        <v>160.4</v>
      </c>
      <c r="I76" s="204" t="s">
        <v>102</v>
      </c>
      <c r="J76" s="209">
        <v>366.25</v>
      </c>
      <c r="K76" s="209">
        <v>350.9</v>
      </c>
      <c r="L76" s="209">
        <v>347.99</v>
      </c>
      <c r="M76" s="209">
        <v>325.95</v>
      </c>
      <c r="N76" s="209">
        <v>263.18</v>
      </c>
      <c r="Q76" s="205" t="s">
        <v>103</v>
      </c>
      <c r="R76" s="213">
        <v>684.49</v>
      </c>
      <c r="S76" s="213">
        <v>484.28</v>
      </c>
      <c r="T76" s="213">
        <v>852.97</v>
      </c>
      <c r="U76" s="213">
        <v>987.94</v>
      </c>
      <c r="V76" s="214">
        <v>747.19</v>
      </c>
    </row>
    <row r="77" spans="1:22" x14ac:dyDescent="0.3">
      <c r="A77" s="219" t="s">
        <v>103</v>
      </c>
      <c r="B77" s="220">
        <v>3391.56</v>
      </c>
      <c r="C77" s="220">
        <v>3628.81</v>
      </c>
      <c r="D77" s="220">
        <v>2724.52</v>
      </c>
      <c r="E77" s="220">
        <v>2440.46</v>
      </c>
      <c r="F77" s="220">
        <v>2499.5300000000002</v>
      </c>
      <c r="G77" s="232"/>
      <c r="H77" s="233"/>
      <c r="I77" s="221" t="s">
        <v>103</v>
      </c>
      <c r="J77" s="220">
        <v>1089.03</v>
      </c>
      <c r="K77" s="220">
        <v>1015.45</v>
      </c>
      <c r="L77" s="220">
        <v>1375.91</v>
      </c>
      <c r="M77" s="220">
        <v>1715.44</v>
      </c>
      <c r="N77" s="220">
        <v>1934.79</v>
      </c>
      <c r="O77" s="232"/>
      <c r="P77" s="233"/>
      <c r="Q77" s="233"/>
      <c r="R77" s="233"/>
      <c r="S77" s="233"/>
      <c r="T77" s="233"/>
      <c r="U77" s="233"/>
      <c r="V77" s="232"/>
    </row>
    <row r="80" spans="1:22" x14ac:dyDescent="0.3">
      <c r="A80" s="234" t="s">
        <v>440</v>
      </c>
      <c r="B80" s="234">
        <v>2024</v>
      </c>
      <c r="C80" s="234">
        <v>2023</v>
      </c>
      <c r="D80" s="234">
        <v>2022</v>
      </c>
      <c r="E80" s="234">
        <v>2021</v>
      </c>
      <c r="F80" s="234">
        <v>2020</v>
      </c>
      <c r="I80" s="234"/>
      <c r="J80" s="234">
        <v>2024</v>
      </c>
      <c r="K80" s="234">
        <v>2023</v>
      </c>
      <c r="L80" s="234">
        <v>2022</v>
      </c>
      <c r="M80" s="234">
        <v>2021</v>
      </c>
      <c r="N80" s="234">
        <v>2020</v>
      </c>
      <c r="Q80" s="234"/>
      <c r="R80" s="234">
        <v>2024</v>
      </c>
      <c r="S80" s="234">
        <v>2023</v>
      </c>
      <c r="T80" s="234">
        <v>2022</v>
      </c>
      <c r="U80" s="234">
        <v>2021</v>
      </c>
      <c r="V80" s="234">
        <v>2020</v>
      </c>
    </row>
    <row r="81" spans="1:22" x14ac:dyDescent="0.3">
      <c r="A81" s="234" t="s">
        <v>429</v>
      </c>
      <c r="B81" s="222">
        <v>-315.64</v>
      </c>
      <c r="C81" s="223">
        <v>1194.1300000000001</v>
      </c>
      <c r="D81" s="222">
        <v>-336.44</v>
      </c>
      <c r="E81" s="222">
        <v>-75.59</v>
      </c>
      <c r="F81" s="222">
        <v>230.62</v>
      </c>
      <c r="I81" s="224" t="s">
        <v>284</v>
      </c>
      <c r="J81" s="222">
        <v>-231.19</v>
      </c>
      <c r="K81" s="223">
        <v>-1454.13</v>
      </c>
      <c r="L81" s="222">
        <v>-498.58</v>
      </c>
      <c r="M81" s="222">
        <v>185.76</v>
      </c>
      <c r="N81" s="222">
        <v>524.97</v>
      </c>
      <c r="Q81" s="224" t="s">
        <v>284</v>
      </c>
      <c r="R81" s="223">
        <v>1359.45</v>
      </c>
      <c r="S81" s="223">
        <v>1100.1099999999999</v>
      </c>
      <c r="T81" s="223">
        <v>1415.55</v>
      </c>
      <c r="U81" s="222">
        <v>0</v>
      </c>
      <c r="V81" s="222">
        <v>0</v>
      </c>
    </row>
    <row r="82" spans="1:22" x14ac:dyDescent="0.3">
      <c r="A82" s="234" t="s">
        <v>432</v>
      </c>
      <c r="B82" s="222">
        <v>710.69</v>
      </c>
      <c r="C82" s="222">
        <v>609.20000000000005</v>
      </c>
      <c r="D82" s="222">
        <v>482.41</v>
      </c>
      <c r="E82" s="222">
        <v>283.04000000000002</v>
      </c>
      <c r="F82" s="222">
        <v>336.53</v>
      </c>
      <c r="I82" s="234" t="s">
        <v>432</v>
      </c>
      <c r="J82" s="222">
        <v>909.42</v>
      </c>
      <c r="K82" s="222">
        <v>658.45</v>
      </c>
      <c r="L82" s="222">
        <v>580.17999999999995</v>
      </c>
      <c r="M82" s="222">
        <v>497.38</v>
      </c>
      <c r="N82" s="222">
        <v>549.88</v>
      </c>
      <c r="Q82" s="234" t="s">
        <v>432</v>
      </c>
      <c r="R82" s="225">
        <v>777.4</v>
      </c>
      <c r="S82" s="225">
        <v>458.01</v>
      </c>
      <c r="T82" s="225">
        <v>381.84</v>
      </c>
      <c r="U82" s="225">
        <v>407.38</v>
      </c>
      <c r="V82" s="225">
        <v>265.51</v>
      </c>
    </row>
    <row r="83" spans="1:22" x14ac:dyDescent="0.3">
      <c r="A83" s="235" t="s">
        <v>431</v>
      </c>
      <c r="B83" s="235">
        <f>B81/B82</f>
        <v>-0.4441317592761963</v>
      </c>
      <c r="C83" s="235">
        <f>C81/C82</f>
        <v>1.96016086671044</v>
      </c>
      <c r="D83" s="235">
        <f>D81/D82</f>
        <v>-0.69741506187682667</v>
      </c>
      <c r="E83" s="235">
        <f>E81/E82</f>
        <v>-0.26706472583380442</v>
      </c>
      <c r="F83" s="235">
        <f>F81/F82</f>
        <v>0.68528808724333645</v>
      </c>
      <c r="I83" s="235" t="s">
        <v>430</v>
      </c>
      <c r="J83" s="235">
        <f>J81/J82</f>
        <v>-0.25421697345560906</v>
      </c>
      <c r="K83" s="235">
        <f>K81/K82</f>
        <v>-2.2084136988381804</v>
      </c>
      <c r="L83" s="235">
        <f>L81/L82</f>
        <v>-0.85935399358819686</v>
      </c>
      <c r="M83" s="235">
        <f>M81/M82</f>
        <v>0.37347701958261287</v>
      </c>
      <c r="N83" s="235">
        <f>N81/N82</f>
        <v>0.95469920709973088</v>
      </c>
      <c r="Q83" s="235" t="s">
        <v>430</v>
      </c>
      <c r="R83" s="235">
        <f>R81/R82</f>
        <v>1.748713660921019</v>
      </c>
      <c r="S83" s="235">
        <f>S81/S82</f>
        <v>2.4019344555795725</v>
      </c>
      <c r="T83" s="235">
        <f>T81/T82</f>
        <v>3.70718101822753</v>
      </c>
      <c r="U83" s="235">
        <f>U81/U82</f>
        <v>0</v>
      </c>
      <c r="V83" s="235">
        <f>V81/V82</f>
        <v>0</v>
      </c>
    </row>
    <row r="86" spans="1:22" x14ac:dyDescent="0.3">
      <c r="A86" s="234"/>
      <c r="B86" s="234">
        <v>2024</v>
      </c>
      <c r="C86" s="234">
        <v>2023</v>
      </c>
      <c r="D86" s="234">
        <v>2022</v>
      </c>
      <c r="E86" s="234">
        <v>2021</v>
      </c>
      <c r="F86" s="234">
        <v>2020</v>
      </c>
      <c r="I86" s="234"/>
      <c r="J86" s="234">
        <v>2024</v>
      </c>
      <c r="K86" s="234">
        <v>2023</v>
      </c>
      <c r="L86" s="234">
        <v>2022</v>
      </c>
      <c r="M86" s="234">
        <v>2021</v>
      </c>
      <c r="N86" s="234">
        <v>2020</v>
      </c>
      <c r="Q86" s="234"/>
      <c r="R86" s="234">
        <v>2024</v>
      </c>
      <c r="S86" s="234">
        <v>2023</v>
      </c>
      <c r="T86" s="234">
        <v>2022</v>
      </c>
      <c r="U86" s="234">
        <v>2021</v>
      </c>
      <c r="V86" s="234">
        <v>2020</v>
      </c>
    </row>
    <row r="87" spans="1:22" x14ac:dyDescent="0.3">
      <c r="A87" s="234" t="s">
        <v>429</v>
      </c>
      <c r="B87" s="222">
        <v>-315.64</v>
      </c>
      <c r="C87" s="223">
        <v>1194.1300000000001</v>
      </c>
      <c r="D87" s="222">
        <v>-336.44</v>
      </c>
      <c r="E87" s="222">
        <v>-75.59</v>
      </c>
      <c r="F87" s="222">
        <v>230.62</v>
      </c>
      <c r="I87" s="234" t="s">
        <v>429</v>
      </c>
      <c r="J87" s="222">
        <v>-231.19</v>
      </c>
      <c r="K87" s="223">
        <v>-1454.13</v>
      </c>
      <c r="L87" s="222">
        <v>-498.58</v>
      </c>
      <c r="M87" s="222">
        <v>185.76</v>
      </c>
      <c r="N87" s="222">
        <v>524.97</v>
      </c>
      <c r="Q87" s="234" t="s">
        <v>429</v>
      </c>
      <c r="R87" s="223">
        <v>1359.45</v>
      </c>
      <c r="S87" s="223">
        <v>1100.1099999999999</v>
      </c>
      <c r="T87" s="223">
        <v>1415.55</v>
      </c>
      <c r="U87" s="222">
        <v>0</v>
      </c>
      <c r="V87" s="222">
        <v>0</v>
      </c>
    </row>
    <row r="88" spans="1:22" x14ac:dyDescent="0.3">
      <c r="A88" s="234" t="s">
        <v>428</v>
      </c>
      <c r="B88" s="225">
        <v>320.5</v>
      </c>
      <c r="C88" s="225">
        <v>238.64</v>
      </c>
      <c r="D88" s="225">
        <v>140.65</v>
      </c>
      <c r="E88" s="225">
        <v>79.48</v>
      </c>
      <c r="F88" s="225">
        <v>72.8</v>
      </c>
      <c r="I88" s="234" t="s">
        <v>428</v>
      </c>
      <c r="J88" s="225">
        <v>339.32</v>
      </c>
      <c r="K88" s="225">
        <v>299.01</v>
      </c>
      <c r="L88" s="225">
        <v>225.66</v>
      </c>
      <c r="M88" s="225">
        <v>247.24</v>
      </c>
      <c r="N88" s="225">
        <v>169.38</v>
      </c>
      <c r="Q88" s="234" t="s">
        <v>428</v>
      </c>
      <c r="R88" s="222">
        <v>196.16</v>
      </c>
      <c r="S88" s="222">
        <v>241.84</v>
      </c>
      <c r="T88" s="222">
        <v>196.99</v>
      </c>
      <c r="U88" s="222">
        <v>136.96</v>
      </c>
      <c r="V88" s="222">
        <v>68.53</v>
      </c>
    </row>
    <row r="89" spans="1:22" x14ac:dyDescent="0.3">
      <c r="A89" s="234" t="s">
        <v>427</v>
      </c>
      <c r="B89" s="236">
        <f>B88+B87</f>
        <v>4.8600000000000136</v>
      </c>
      <c r="C89" s="236">
        <f>C88+C87</f>
        <v>1432.77</v>
      </c>
      <c r="D89" s="236">
        <f>D88+D87</f>
        <v>-195.79</v>
      </c>
      <c r="E89" s="236">
        <f>E88+E87</f>
        <v>3.8900000000000006</v>
      </c>
      <c r="F89" s="236">
        <f>F88+F87</f>
        <v>303.42</v>
      </c>
      <c r="I89" s="234" t="s">
        <v>427</v>
      </c>
      <c r="J89" s="236">
        <f>J88+J87</f>
        <v>108.13</v>
      </c>
      <c r="K89" s="236">
        <f>K88+K87</f>
        <v>-1155.1200000000001</v>
      </c>
      <c r="L89" s="236">
        <f>L88+L87</f>
        <v>-272.91999999999996</v>
      </c>
      <c r="M89" s="236">
        <f>M88+M87</f>
        <v>433</v>
      </c>
      <c r="N89" s="236">
        <f>N88+N87</f>
        <v>694.35</v>
      </c>
      <c r="Q89" s="234" t="s">
        <v>427</v>
      </c>
      <c r="R89" s="236">
        <f>R88+R87</f>
        <v>1555.6100000000001</v>
      </c>
      <c r="S89" s="236">
        <f>S88+S87</f>
        <v>1341.9499999999998</v>
      </c>
      <c r="T89" s="236">
        <f>T88+T87</f>
        <v>1612.54</v>
      </c>
      <c r="U89" s="236">
        <f>U88+U87</f>
        <v>136.96</v>
      </c>
      <c r="V89" s="236">
        <f>V88+V87</f>
        <v>68.53</v>
      </c>
    </row>
    <row r="90" spans="1:22" x14ac:dyDescent="0.3">
      <c r="A90" s="234" t="s">
        <v>426</v>
      </c>
      <c r="B90" s="236">
        <f>-B33</f>
        <v>594.75</v>
      </c>
      <c r="C90" s="236">
        <f>-C33</f>
        <v>515.22</v>
      </c>
      <c r="D90" s="236">
        <f>-D33</f>
        <v>478.07</v>
      </c>
      <c r="E90" s="236">
        <f>-E33</f>
        <v>479.91</v>
      </c>
      <c r="F90" s="236">
        <f>-F33</f>
        <v>553.85</v>
      </c>
      <c r="I90" s="234" t="s">
        <v>426</v>
      </c>
      <c r="J90" s="236">
        <f>-J31</f>
        <v>660.49</v>
      </c>
      <c r="K90" s="236">
        <f>-K31</f>
        <v>469.9</v>
      </c>
      <c r="L90" s="236">
        <f>-L31</f>
        <v>425.32</v>
      </c>
      <c r="M90" s="236">
        <f>-M31</f>
        <v>426.07</v>
      </c>
      <c r="N90" s="236">
        <f>-N31</f>
        <v>439.3</v>
      </c>
      <c r="Q90" s="234" t="s">
        <v>426</v>
      </c>
      <c r="R90" s="236">
        <f>-R32</f>
        <v>105.67</v>
      </c>
      <c r="S90" s="236">
        <f>-S32</f>
        <v>153.08000000000001</v>
      </c>
      <c r="T90" s="236">
        <f>-T32</f>
        <v>148.11000000000001</v>
      </c>
      <c r="U90" s="236">
        <f>-U32</f>
        <v>134.05000000000001</v>
      </c>
      <c r="V90" s="236">
        <f>-V32</f>
        <v>110.23</v>
      </c>
    </row>
    <row r="91" spans="1:22" x14ac:dyDescent="0.3">
      <c r="A91" s="237" t="s">
        <v>425</v>
      </c>
      <c r="B91" s="237">
        <f>B89/B90</f>
        <v>8.1715006305170465E-3</v>
      </c>
      <c r="C91" s="237">
        <f>C89/C90</f>
        <v>2.7808897170140909</v>
      </c>
      <c r="D91" s="237">
        <f>D89/D90</f>
        <v>-0.40954253561193965</v>
      </c>
      <c r="E91" s="237">
        <f>E89/E90</f>
        <v>8.1056864828822073E-3</v>
      </c>
      <c r="F91" s="237">
        <f>F89/F90</f>
        <v>0.54783786223706776</v>
      </c>
      <c r="I91" s="237" t="s">
        <v>425</v>
      </c>
      <c r="J91" s="237">
        <f>J89/J90</f>
        <v>0.16371178973186573</v>
      </c>
      <c r="K91" s="237">
        <f>K89/K90</f>
        <v>-2.4582251542881468</v>
      </c>
      <c r="L91" s="237">
        <f>L89/L90</f>
        <v>-0.64168155741559285</v>
      </c>
      <c r="M91" s="237">
        <f>M89/M90</f>
        <v>1.0162649329922313</v>
      </c>
      <c r="N91" s="237">
        <f>N89/N90</f>
        <v>1.5805827452765764</v>
      </c>
      <c r="Q91" s="237" t="s">
        <v>425</v>
      </c>
      <c r="R91" s="237">
        <f>R89/R90</f>
        <v>14.721396801362735</v>
      </c>
      <c r="S91" s="237">
        <f>S89/S90</f>
        <v>8.7663313300235153</v>
      </c>
      <c r="T91" s="237">
        <f>T89/T90</f>
        <v>10.887448517993382</v>
      </c>
      <c r="U91" s="237">
        <f>U89/U90</f>
        <v>1.0217083177918687</v>
      </c>
      <c r="V91" s="237">
        <f>V89/V90</f>
        <v>0.62170008164746438</v>
      </c>
    </row>
    <row r="94" spans="1:22" x14ac:dyDescent="0.3">
      <c r="A94" s="234"/>
      <c r="B94" s="234">
        <v>2024</v>
      </c>
      <c r="C94" s="234">
        <v>2023</v>
      </c>
      <c r="D94" s="234">
        <v>2022</v>
      </c>
      <c r="E94" s="234">
        <v>2021</v>
      </c>
      <c r="F94" s="234">
        <v>2020</v>
      </c>
      <c r="I94" s="234"/>
      <c r="J94" s="234">
        <v>2024</v>
      </c>
      <c r="K94" s="234">
        <v>2023</v>
      </c>
      <c r="L94" s="234">
        <v>2022</v>
      </c>
      <c r="M94" s="234">
        <v>2021</v>
      </c>
      <c r="N94" s="234">
        <v>2020</v>
      </c>
      <c r="Q94" s="234"/>
      <c r="R94" s="234">
        <v>2024</v>
      </c>
      <c r="S94" s="234">
        <v>2023</v>
      </c>
      <c r="T94" s="234">
        <v>2022</v>
      </c>
      <c r="U94" s="234">
        <v>2021</v>
      </c>
      <c r="V94" s="234">
        <v>2020</v>
      </c>
    </row>
    <row r="95" spans="1:22" x14ac:dyDescent="0.3">
      <c r="A95" s="234" t="s">
        <v>429</v>
      </c>
      <c r="B95" s="222">
        <v>-231.19</v>
      </c>
      <c r="C95" s="223">
        <v>-1454.13</v>
      </c>
      <c r="D95" s="222">
        <v>-498.58</v>
      </c>
      <c r="E95" s="222">
        <v>185.76</v>
      </c>
      <c r="F95" s="222">
        <v>524.97</v>
      </c>
      <c r="I95" s="234" t="s">
        <v>429</v>
      </c>
      <c r="J95" s="222">
        <v>-231.19</v>
      </c>
      <c r="K95" s="223">
        <v>-1454.13</v>
      </c>
      <c r="L95" s="234">
        <v>-498.58</v>
      </c>
      <c r="M95" s="222">
        <v>185.76</v>
      </c>
      <c r="N95" s="223">
        <v>524.97</v>
      </c>
      <c r="Q95" s="234" t="s">
        <v>429</v>
      </c>
      <c r="R95" s="222">
        <v>1359.45</v>
      </c>
      <c r="S95" s="223">
        <v>1100.1099999999999</v>
      </c>
      <c r="T95" s="234">
        <v>1415.55</v>
      </c>
      <c r="U95" s="222">
        <v>0</v>
      </c>
      <c r="V95" s="223">
        <v>0</v>
      </c>
    </row>
    <row r="96" spans="1:22" x14ac:dyDescent="0.3">
      <c r="A96" s="303" t="s">
        <v>441</v>
      </c>
      <c r="B96" s="234">
        <v>6811.88</v>
      </c>
      <c r="C96" s="234">
        <v>6485.46</v>
      </c>
      <c r="D96" s="234">
        <v>5896.15</v>
      </c>
      <c r="E96" s="234">
        <v>5469.41</v>
      </c>
      <c r="F96" s="234">
        <v>5159.29</v>
      </c>
      <c r="I96" s="303" t="s">
        <v>441</v>
      </c>
      <c r="J96" s="234">
        <v>5184.82</v>
      </c>
      <c r="K96" s="234">
        <v>4285.05</v>
      </c>
      <c r="L96" s="303">
        <v>3627.87</v>
      </c>
      <c r="M96" s="234">
        <v>3052.69</v>
      </c>
      <c r="N96" s="234">
        <v>2554.2600000000002</v>
      </c>
      <c r="Q96" s="303" t="s">
        <v>441</v>
      </c>
      <c r="R96" s="234">
        <v>3497.68</v>
      </c>
      <c r="S96" s="234">
        <v>2739.33</v>
      </c>
      <c r="T96" s="303">
        <v>2550.65</v>
      </c>
      <c r="U96" s="234">
        <v>1967.97</v>
      </c>
      <c r="V96" s="234">
        <v>1585.36</v>
      </c>
    </row>
    <row r="97" spans="1:22" x14ac:dyDescent="0.3">
      <c r="A97" s="303" t="s">
        <v>442</v>
      </c>
      <c r="B97" s="234">
        <f>B95/B96</f>
        <v>-3.3939235570796901E-2</v>
      </c>
      <c r="C97" s="234">
        <f t="shared" ref="C97:F97" si="0">C95/C96</f>
        <v>-0.22421385684284539</v>
      </c>
      <c r="D97" s="234">
        <f t="shared" si="0"/>
        <v>-8.4560263901020158E-2</v>
      </c>
      <c r="E97" s="234">
        <f t="shared" si="0"/>
        <v>3.3963443954649584E-2</v>
      </c>
      <c r="F97" s="234">
        <f t="shared" si="0"/>
        <v>0.10175237290402363</v>
      </c>
      <c r="I97" s="303" t="s">
        <v>442</v>
      </c>
      <c r="J97" s="234">
        <f>J95/J96</f>
        <v>-4.4589783251877596E-2</v>
      </c>
      <c r="K97" s="234">
        <f t="shared" ref="K97:N97" si="1">K95/K96</f>
        <v>-0.33934959918787411</v>
      </c>
      <c r="L97" s="303">
        <f t="shared" si="1"/>
        <v>-0.13743050329807849</v>
      </c>
      <c r="M97" s="234">
        <f t="shared" si="1"/>
        <v>6.0851249226092391E-2</v>
      </c>
      <c r="N97" s="234">
        <f t="shared" si="1"/>
        <v>0.20552723685137769</v>
      </c>
      <c r="Q97" s="303" t="s">
        <v>442</v>
      </c>
      <c r="R97" s="234">
        <f>R95/R96</f>
        <v>0.38867191967246861</v>
      </c>
      <c r="S97" s="234">
        <f t="shared" ref="S97:V97" si="2">S95/S96</f>
        <v>0.40159820101995741</v>
      </c>
      <c r="T97" s="303">
        <f t="shared" si="2"/>
        <v>0.554976182541705</v>
      </c>
      <c r="U97" s="234">
        <f t="shared" si="2"/>
        <v>0</v>
      </c>
      <c r="V97" s="234">
        <f t="shared" si="2"/>
        <v>0</v>
      </c>
    </row>
    <row r="100" spans="1:22" x14ac:dyDescent="0.3">
      <c r="A100" s="234"/>
      <c r="B100" s="234">
        <v>2024</v>
      </c>
      <c r="C100" s="234">
        <v>2023</v>
      </c>
      <c r="D100" s="234">
        <v>2022</v>
      </c>
      <c r="E100" s="234">
        <v>2021</v>
      </c>
      <c r="F100" s="234">
        <v>2020</v>
      </c>
      <c r="I100" s="234"/>
      <c r="J100" s="234">
        <v>2024</v>
      </c>
      <c r="K100" s="234">
        <v>2023</v>
      </c>
      <c r="L100" s="234">
        <v>2022</v>
      </c>
      <c r="M100" s="234">
        <v>2021</v>
      </c>
      <c r="N100" s="234">
        <v>2020</v>
      </c>
      <c r="Q100" s="234"/>
      <c r="R100" s="234">
        <v>2024</v>
      </c>
      <c r="S100" s="234">
        <v>2023</v>
      </c>
      <c r="T100" s="234">
        <v>2022</v>
      </c>
      <c r="U100" s="234">
        <v>2021</v>
      </c>
      <c r="V100" s="234">
        <v>2020</v>
      </c>
    </row>
    <row r="101" spans="1:22" x14ac:dyDescent="0.3">
      <c r="A101" s="234" t="s">
        <v>429</v>
      </c>
      <c r="B101" s="234">
        <v>-231.19</v>
      </c>
      <c r="C101" s="234">
        <v>-1454.13</v>
      </c>
      <c r="D101" s="234">
        <v>-498.58</v>
      </c>
      <c r="E101" s="234">
        <v>185.76</v>
      </c>
      <c r="F101" s="234">
        <v>524.97</v>
      </c>
      <c r="I101" s="234" t="s">
        <v>429</v>
      </c>
      <c r="J101" s="234">
        <v>-231.19</v>
      </c>
      <c r="K101" s="234">
        <v>-1454.13</v>
      </c>
      <c r="L101" s="234">
        <v>-498.58</v>
      </c>
      <c r="M101" s="234">
        <v>185.76</v>
      </c>
      <c r="N101" s="234">
        <v>524.97</v>
      </c>
      <c r="Q101" s="234" t="s">
        <v>429</v>
      </c>
      <c r="R101" s="234">
        <v>1359.45</v>
      </c>
      <c r="S101" s="234">
        <v>1100.1099999999999</v>
      </c>
      <c r="T101" s="234">
        <v>1415.55</v>
      </c>
      <c r="U101" s="234">
        <v>0</v>
      </c>
      <c r="V101" s="234">
        <v>0</v>
      </c>
    </row>
    <row r="102" spans="1:22" x14ac:dyDescent="0.3">
      <c r="A102" s="234" t="s">
        <v>443</v>
      </c>
      <c r="B102" s="234">
        <v>496.13</v>
      </c>
      <c r="C102" s="234">
        <v>-1217.3499999999999</v>
      </c>
      <c r="D102" s="234">
        <v>764.87</v>
      </c>
      <c r="E102" s="234">
        <v>-97.83</v>
      </c>
      <c r="F102" s="234">
        <v>2.2200000000000002</v>
      </c>
      <c r="I102" s="234" t="s">
        <v>443</v>
      </c>
      <c r="J102" s="234">
        <v>1067.2</v>
      </c>
      <c r="K102" s="234">
        <v>1004.98</v>
      </c>
      <c r="L102" s="234">
        <v>148.22999999999999</v>
      </c>
      <c r="M102" s="234">
        <v>63.31</v>
      </c>
      <c r="N102" s="234">
        <v>253.65</v>
      </c>
      <c r="Q102" s="234" t="s">
        <v>443</v>
      </c>
      <c r="R102" s="234">
        <v>-771.22</v>
      </c>
      <c r="S102" s="234">
        <v>-892.7</v>
      </c>
      <c r="T102" s="234">
        <v>-1274.6099999999999</v>
      </c>
      <c r="U102" s="234">
        <v>0</v>
      </c>
      <c r="V102" s="234">
        <v>0</v>
      </c>
    </row>
    <row r="103" spans="1:22" x14ac:dyDescent="0.3">
      <c r="A103" s="234" t="s">
        <v>444</v>
      </c>
      <c r="B103" s="234">
        <f>B102/B101</f>
        <v>-2.1459838228297072</v>
      </c>
      <c r="C103" s="234">
        <f t="shared" ref="C103:F103" si="3">C102/C101</f>
        <v>0.83716724089317995</v>
      </c>
      <c r="D103" s="234">
        <f t="shared" si="3"/>
        <v>-1.5340968350114326</v>
      </c>
      <c r="E103" s="234">
        <f t="shared" si="3"/>
        <v>-0.52664728682170547</v>
      </c>
      <c r="F103" s="234">
        <f t="shared" si="3"/>
        <v>4.2288130750328589E-3</v>
      </c>
      <c r="I103" s="234" t="s">
        <v>444</v>
      </c>
      <c r="J103" s="234">
        <f>J102/J101</f>
        <v>-4.6161166140403997</v>
      </c>
      <c r="K103" s="234">
        <f>K102/K101</f>
        <v>-0.69112115147889108</v>
      </c>
      <c r="L103" s="234">
        <f>L102/L101</f>
        <v>-0.29730434433791969</v>
      </c>
      <c r="M103" s="234">
        <f>M102/M101</f>
        <v>0.34081610680447894</v>
      </c>
      <c r="N103" s="234">
        <f>N102/N101</f>
        <v>0.48317046688382193</v>
      </c>
      <c r="Q103" s="234" t="s">
        <v>444</v>
      </c>
      <c r="R103" s="234">
        <f>R102/R101</f>
        <v>-0.56730295340027215</v>
      </c>
      <c r="S103" s="234">
        <f t="shared" ref="S103" si="4">S102/S101</f>
        <v>-0.81146430811464321</v>
      </c>
      <c r="T103" s="234">
        <f t="shared" ref="T103" si="5">T102/T101</f>
        <v>-0.90043446010384653</v>
      </c>
      <c r="U103" s="234" t="e">
        <f t="shared" ref="U103" si="6">U102/U101</f>
        <v>#DIV/0!</v>
      </c>
      <c r="V103" s="234" t="e">
        <f t="shared" ref="V103" si="7">V102/V101</f>
        <v>#DIV/0!</v>
      </c>
    </row>
    <row r="106" spans="1:22" x14ac:dyDescent="0.3">
      <c r="A106" s="234"/>
      <c r="B106" s="234">
        <v>2024</v>
      </c>
      <c r="C106" s="234">
        <v>2023</v>
      </c>
      <c r="D106" s="234">
        <v>2022</v>
      </c>
      <c r="E106" s="234">
        <v>2021</v>
      </c>
      <c r="F106" s="234">
        <v>2020</v>
      </c>
      <c r="I106" s="234"/>
      <c r="J106" s="234">
        <v>2024</v>
      </c>
      <c r="K106" s="234">
        <v>2023</v>
      </c>
      <c r="L106" s="234">
        <v>2022</v>
      </c>
      <c r="M106" s="234">
        <v>2021</v>
      </c>
      <c r="N106" s="234">
        <v>2020</v>
      </c>
      <c r="Q106" s="234"/>
      <c r="R106" s="234">
        <v>2024</v>
      </c>
      <c r="S106" s="234">
        <v>2023</v>
      </c>
      <c r="T106" s="234">
        <v>2022</v>
      </c>
      <c r="U106" s="234">
        <v>2021</v>
      </c>
      <c r="V106" s="234">
        <v>2020</v>
      </c>
    </row>
    <row r="107" spans="1:22" x14ac:dyDescent="0.3">
      <c r="A107" s="234" t="s">
        <v>429</v>
      </c>
      <c r="B107" s="234">
        <v>-231.19</v>
      </c>
      <c r="C107" s="234">
        <v>-1454.13</v>
      </c>
      <c r="D107" s="234">
        <v>-498.58</v>
      </c>
      <c r="E107" s="234">
        <v>185.76</v>
      </c>
      <c r="F107" s="234">
        <v>524.97</v>
      </c>
      <c r="I107" s="234" t="s">
        <v>429</v>
      </c>
      <c r="J107" s="234">
        <v>-231.19</v>
      </c>
      <c r="K107" s="234">
        <v>-1454.13</v>
      </c>
      <c r="L107" s="234">
        <v>-498.58</v>
      </c>
      <c r="M107" s="234">
        <v>185.76</v>
      </c>
      <c r="N107" s="234">
        <v>524.97</v>
      </c>
      <c r="Q107" s="234" t="s">
        <v>429</v>
      </c>
      <c r="R107" s="234">
        <v>1359.45</v>
      </c>
      <c r="S107" s="234">
        <v>1100.1099999999999</v>
      </c>
      <c r="T107" s="234">
        <v>1415.55</v>
      </c>
      <c r="U107" s="234">
        <v>0</v>
      </c>
      <c r="V107" s="234">
        <v>0</v>
      </c>
    </row>
    <row r="108" spans="1:22" x14ac:dyDescent="0.3">
      <c r="A108" s="234" t="s">
        <v>443</v>
      </c>
      <c r="B108" s="234">
        <v>496.13</v>
      </c>
      <c r="C108" s="234">
        <v>-1217.3499999999999</v>
      </c>
      <c r="D108" s="234">
        <v>764.87</v>
      </c>
      <c r="E108" s="234">
        <v>-97.83</v>
      </c>
      <c r="F108" s="234">
        <v>2.2200000000000002</v>
      </c>
      <c r="I108" s="234" t="s">
        <v>443</v>
      </c>
      <c r="J108" s="234">
        <v>1067.2</v>
      </c>
      <c r="K108" s="234">
        <v>1004.98</v>
      </c>
      <c r="L108" s="234">
        <v>148.22999999999999</v>
      </c>
      <c r="M108" s="234">
        <v>63.31</v>
      </c>
      <c r="N108" s="234">
        <v>253.65</v>
      </c>
      <c r="Q108" s="234" t="s">
        <v>443</v>
      </c>
      <c r="R108" s="234">
        <v>-771.22</v>
      </c>
      <c r="S108" s="234">
        <v>-892.7</v>
      </c>
      <c r="T108" s="234">
        <v>-1274.6099999999999</v>
      </c>
      <c r="U108" s="234">
        <v>0</v>
      </c>
      <c r="V108" s="234">
        <v>0</v>
      </c>
    </row>
    <row r="109" spans="1:22" x14ac:dyDescent="0.3">
      <c r="A109" s="303" t="s">
        <v>445</v>
      </c>
      <c r="B109" s="234">
        <v>-15.08</v>
      </c>
      <c r="C109" s="234">
        <v>66.81</v>
      </c>
      <c r="D109" s="234">
        <v>-408.48</v>
      </c>
      <c r="E109" s="234">
        <v>260.19</v>
      </c>
      <c r="F109" s="234">
        <v>-202.09</v>
      </c>
      <c r="I109" s="303" t="s">
        <v>445</v>
      </c>
      <c r="J109" s="234">
        <v>-249.59</v>
      </c>
      <c r="K109" s="234">
        <v>343.1</v>
      </c>
      <c r="L109" s="234">
        <v>24.73</v>
      </c>
      <c r="M109" s="234">
        <v>-248.5</v>
      </c>
      <c r="N109" s="234">
        <v>-229.72</v>
      </c>
      <c r="Q109" s="303" t="s">
        <v>445</v>
      </c>
      <c r="R109" s="234">
        <v>-318.69</v>
      </c>
      <c r="S109" s="234">
        <v>-191.56</v>
      </c>
      <c r="T109" s="234">
        <v>-66.040000000000006</v>
      </c>
      <c r="U109" s="234">
        <v>0</v>
      </c>
      <c r="V109" s="234">
        <v>0</v>
      </c>
    </row>
    <row r="110" spans="1:22" x14ac:dyDescent="0.3">
      <c r="A110" s="303" t="s">
        <v>446</v>
      </c>
      <c r="B110" s="234">
        <f>B107/(SUM(B107:B109))</f>
        <v>-0.92527815576722972</v>
      </c>
      <c r="C110" s="234">
        <f t="shared" ref="C110:F110" si="8">C107/(SUM(C107:C109))</f>
        <v>0.55827801602506266</v>
      </c>
      <c r="D110" s="234">
        <f t="shared" si="8"/>
        <v>3.5064350516913989</v>
      </c>
      <c r="E110" s="234">
        <f t="shared" si="8"/>
        <v>0.53360910031023778</v>
      </c>
      <c r="F110" s="234">
        <f t="shared" si="8"/>
        <v>1.6147954475545985</v>
      </c>
      <c r="I110" s="303" t="s">
        <v>447</v>
      </c>
      <c r="J110" s="234">
        <f>J107/(SUM(J107:J109))</f>
        <v>-0.3942396234780533</v>
      </c>
      <c r="K110" s="234">
        <f t="shared" ref="K110" si="9">K107/(SUM(K107:K109))</f>
        <v>13.711739745403104</v>
      </c>
      <c r="L110" s="234">
        <f t="shared" ref="L110" si="10">L107/(SUM(L107:L109))</f>
        <v>1.5311713039739574</v>
      </c>
      <c r="M110" s="234">
        <f t="shared" ref="M110" si="11">M107/(SUM(M107:M109))</f>
        <v>325.89473684210913</v>
      </c>
      <c r="N110" s="234">
        <f t="shared" ref="N110" si="12">N107/(SUM(N107:N109))</f>
        <v>0.95640371652395706</v>
      </c>
      <c r="Q110" s="303" t="s">
        <v>447</v>
      </c>
      <c r="R110" s="234">
        <f>R107/(SUM(R107:R109))</f>
        <v>5.0435927877123987</v>
      </c>
      <c r="S110" s="234">
        <f t="shared" ref="S110" si="13">S107/(SUM(S107:S109))</f>
        <v>69.407570977918624</v>
      </c>
      <c r="T110" s="234">
        <f t="shared" ref="T110" si="14">T107/(SUM(T107:T109))</f>
        <v>18.899198931909201</v>
      </c>
      <c r="U110" s="234" t="e">
        <f t="shared" ref="U110" si="15">U107/(SUM(U107:U109))</f>
        <v>#DIV/0!</v>
      </c>
      <c r="V110" s="234" t="e">
        <f t="shared" ref="V110" si="16">V107/(SUM(V107:V109))</f>
        <v>#DIV/0!</v>
      </c>
    </row>
    <row r="113" spans="1:22" x14ac:dyDescent="0.3">
      <c r="A113" s="234"/>
      <c r="B113" s="234">
        <v>2024</v>
      </c>
      <c r="C113" s="234">
        <v>2023</v>
      </c>
      <c r="D113" s="234">
        <v>2022</v>
      </c>
      <c r="E113" s="234">
        <v>2021</v>
      </c>
      <c r="F113" s="234">
        <v>2020</v>
      </c>
      <c r="I113" s="234"/>
      <c r="J113" s="234">
        <v>2024</v>
      </c>
      <c r="K113" s="234">
        <v>2023</v>
      </c>
      <c r="L113" s="234">
        <v>2022</v>
      </c>
      <c r="M113" s="234">
        <v>2021</v>
      </c>
      <c r="N113" s="234">
        <v>2020</v>
      </c>
      <c r="Q113" s="234"/>
      <c r="R113" s="234">
        <v>2024</v>
      </c>
      <c r="S113" s="234">
        <v>2023</v>
      </c>
      <c r="T113" s="234">
        <v>2022</v>
      </c>
      <c r="U113" s="234">
        <v>2021</v>
      </c>
      <c r="V113" s="234">
        <v>2020</v>
      </c>
    </row>
    <row r="114" spans="1:22" x14ac:dyDescent="0.3">
      <c r="A114" s="234" t="s">
        <v>429</v>
      </c>
      <c r="B114" s="234">
        <v>-231.19</v>
      </c>
      <c r="C114" s="234">
        <v>-1454.13</v>
      </c>
      <c r="D114" s="234">
        <v>-498.58</v>
      </c>
      <c r="E114" s="234">
        <v>185.76</v>
      </c>
      <c r="F114" s="234">
        <v>524.97</v>
      </c>
      <c r="I114" s="234" t="s">
        <v>429</v>
      </c>
      <c r="J114" s="234">
        <v>-231.19</v>
      </c>
      <c r="K114" s="234">
        <v>-1454.13</v>
      </c>
      <c r="L114" s="234">
        <v>-498.58</v>
      </c>
      <c r="M114" s="234">
        <v>185.76</v>
      </c>
      <c r="N114" s="234">
        <v>524.97</v>
      </c>
      <c r="Q114" s="234" t="s">
        <v>429</v>
      </c>
      <c r="R114" s="234">
        <v>1359.45</v>
      </c>
      <c r="S114" s="234">
        <v>1100.1099999999999</v>
      </c>
      <c r="T114" s="234">
        <v>1415.55</v>
      </c>
      <c r="U114" s="234">
        <v>0</v>
      </c>
      <c r="V114" s="234">
        <v>0</v>
      </c>
    </row>
    <row r="115" spans="1:22" x14ac:dyDescent="0.3">
      <c r="A115" s="303" t="s">
        <v>448</v>
      </c>
      <c r="B115" s="234">
        <v>69.680000000000007</v>
      </c>
      <c r="C115" s="234">
        <v>89.09</v>
      </c>
      <c r="D115" s="234">
        <v>120.18</v>
      </c>
      <c r="E115" s="234">
        <v>169.61</v>
      </c>
      <c r="F115" s="234">
        <v>239.82</v>
      </c>
      <c r="I115" s="303" t="s">
        <v>448</v>
      </c>
      <c r="J115" s="234">
        <v>7264.17</v>
      </c>
      <c r="K115" s="234">
        <v>5559.26</v>
      </c>
      <c r="L115" s="234">
        <v>4336.6000000000004</v>
      </c>
      <c r="M115" s="234">
        <v>3734.89</v>
      </c>
      <c r="N115" s="234">
        <v>3246.02</v>
      </c>
      <c r="Q115" s="303" t="s">
        <v>448</v>
      </c>
      <c r="R115" s="234">
        <v>1161.79</v>
      </c>
      <c r="S115" s="234">
        <v>500.12</v>
      </c>
      <c r="T115" s="234">
        <v>1380.98</v>
      </c>
      <c r="U115" s="234">
        <v>736.72</v>
      </c>
      <c r="V115" s="234">
        <v>800.22</v>
      </c>
    </row>
    <row r="116" spans="1:22" x14ac:dyDescent="0.3">
      <c r="A116" s="303" t="s">
        <v>449</v>
      </c>
      <c r="B116" s="234">
        <f>B114/B115</f>
        <v>-3.3178817451205509</v>
      </c>
      <c r="C116" s="234">
        <f t="shared" ref="C116:F116" si="17">C114/C115</f>
        <v>-16.322033898305087</v>
      </c>
      <c r="D116" s="234">
        <f t="shared" si="17"/>
        <v>-4.1486104177067729</v>
      </c>
      <c r="E116" s="234">
        <f t="shared" si="17"/>
        <v>1.095218442308826</v>
      </c>
      <c r="F116" s="234">
        <f t="shared" si="17"/>
        <v>2.1890167625719292</v>
      </c>
      <c r="I116" s="303" t="s">
        <v>449</v>
      </c>
      <c r="J116" s="234">
        <f>J114/J115</f>
        <v>-3.1826072352381621E-2</v>
      </c>
      <c r="K116" s="234">
        <f t="shared" ref="K116" si="18">K114/K115</f>
        <v>-0.26156898580026838</v>
      </c>
      <c r="L116" s="234">
        <f t="shared" ref="L116" si="19">L114/L115</f>
        <v>-0.11497025319374624</v>
      </c>
      <c r="M116" s="234">
        <f t="shared" ref="M116" si="20">M114/M115</f>
        <v>4.9736404552744522E-2</v>
      </c>
      <c r="N116" s="234">
        <f t="shared" ref="N116" si="21">N114/N115</f>
        <v>0.16172728448992921</v>
      </c>
      <c r="Q116" s="303" t="s">
        <v>449</v>
      </c>
      <c r="R116" s="234">
        <f>R114/R115</f>
        <v>1.1701340173353187</v>
      </c>
      <c r="S116" s="234">
        <f t="shared" ref="S116" si="22">S114/S115</f>
        <v>2.1996920739022632</v>
      </c>
      <c r="T116" s="234">
        <f t="shared" ref="T116" si="23">T114/T115</f>
        <v>1.0250329476169098</v>
      </c>
      <c r="U116" s="234">
        <f t="shared" ref="U116" si="24">U114/U115</f>
        <v>0</v>
      </c>
      <c r="V116" s="234">
        <f t="shared" ref="V116" si="25">V114/V115</f>
        <v>0</v>
      </c>
    </row>
    <row r="119" spans="1:22" x14ac:dyDescent="0.3">
      <c r="A119" s="234"/>
      <c r="B119" s="234">
        <v>2024</v>
      </c>
      <c r="C119" s="234">
        <v>2023</v>
      </c>
      <c r="D119" s="234">
        <v>2022</v>
      </c>
      <c r="E119" s="234">
        <v>2021</v>
      </c>
      <c r="F119" s="234">
        <v>2020</v>
      </c>
      <c r="I119" s="234"/>
      <c r="J119" s="234">
        <v>2024</v>
      </c>
      <c r="K119" s="234">
        <v>2023</v>
      </c>
      <c r="L119" s="234">
        <v>2022</v>
      </c>
      <c r="M119" s="234">
        <v>2021</v>
      </c>
      <c r="N119" s="234">
        <v>2020</v>
      </c>
      <c r="Q119" s="234"/>
      <c r="R119" s="234">
        <v>2024</v>
      </c>
      <c r="S119" s="234">
        <v>2023</v>
      </c>
      <c r="T119" s="234">
        <v>2022</v>
      </c>
      <c r="U119" s="234">
        <v>2021</v>
      </c>
      <c r="V119" s="234">
        <v>2020</v>
      </c>
    </row>
    <row r="120" spans="1:22" x14ac:dyDescent="0.3">
      <c r="A120" s="234" t="s">
        <v>429</v>
      </c>
      <c r="B120" s="234">
        <v>-231.19</v>
      </c>
      <c r="C120" s="234">
        <v>-1454.13</v>
      </c>
      <c r="D120" s="234">
        <v>-498.58</v>
      </c>
      <c r="E120" s="234">
        <v>185.76</v>
      </c>
      <c r="F120" s="234">
        <v>524.97</v>
      </c>
      <c r="I120" s="234" t="s">
        <v>429</v>
      </c>
      <c r="J120" s="234">
        <v>-231.19</v>
      </c>
      <c r="K120" s="234">
        <v>-1454.13</v>
      </c>
      <c r="L120" s="234">
        <v>-498.58</v>
      </c>
      <c r="M120" s="234">
        <v>185.76</v>
      </c>
      <c r="N120" s="234">
        <v>524.97</v>
      </c>
      <c r="Q120" s="234" t="s">
        <v>429</v>
      </c>
      <c r="R120" s="234">
        <v>1359.45</v>
      </c>
      <c r="S120" s="234">
        <v>1100.1099999999999</v>
      </c>
      <c r="T120" s="234">
        <v>1415.55</v>
      </c>
      <c r="U120" s="234">
        <v>0</v>
      </c>
      <c r="V120" s="234">
        <v>0</v>
      </c>
    </row>
    <row r="121" spans="1:22" x14ac:dyDescent="0.3">
      <c r="A121" s="303" t="s">
        <v>450</v>
      </c>
      <c r="B121" s="234">
        <v>11213.4</v>
      </c>
      <c r="C121" s="234">
        <v>9975.57</v>
      </c>
      <c r="D121" s="234">
        <v>8441.66</v>
      </c>
      <c r="E121" s="234">
        <v>7900.86</v>
      </c>
      <c r="F121" s="234">
        <v>8412.7800000000007</v>
      </c>
      <c r="I121" s="303" t="s">
        <v>450</v>
      </c>
      <c r="J121" s="234">
        <v>3160.56</v>
      </c>
      <c r="K121" s="234">
        <v>2766.64</v>
      </c>
      <c r="L121" s="234">
        <v>2680.41</v>
      </c>
      <c r="M121" s="234">
        <v>2787.67</v>
      </c>
      <c r="N121" s="234">
        <v>2690.02</v>
      </c>
      <c r="Q121" s="303" t="s">
        <v>450</v>
      </c>
      <c r="R121" s="234">
        <v>1144.32</v>
      </c>
      <c r="S121" s="234">
        <v>1102.56</v>
      </c>
      <c r="T121" s="234">
        <v>1338.69</v>
      </c>
      <c r="U121" s="234">
        <v>1302.49</v>
      </c>
      <c r="V121" s="234">
        <v>1117.74</v>
      </c>
    </row>
    <row r="122" spans="1:22" x14ac:dyDescent="0.3">
      <c r="A122" s="303" t="s">
        <v>451</v>
      </c>
      <c r="B122" s="234">
        <f>B120/B121</f>
        <v>-2.0617297162323647E-2</v>
      </c>
      <c r="C122" s="234">
        <f t="shared" ref="C122:F122" si="26">C120/C121</f>
        <v>-0.14576911394536854</v>
      </c>
      <c r="D122" s="234">
        <f t="shared" si="26"/>
        <v>-5.9061843286746921E-2</v>
      </c>
      <c r="E122" s="234">
        <f t="shared" si="26"/>
        <v>2.3511364585627387E-2</v>
      </c>
      <c r="F122" s="234">
        <f t="shared" si="26"/>
        <v>6.2401489162916421E-2</v>
      </c>
      <c r="I122" s="303" t="s">
        <v>451</v>
      </c>
      <c r="J122" s="234">
        <f>J120/J121</f>
        <v>-7.3148429392259601E-2</v>
      </c>
      <c r="K122" s="234">
        <f t="shared" ref="K122" si="27">K120/K121</f>
        <v>-0.52559422259491662</v>
      </c>
      <c r="L122" s="234">
        <f t="shared" ref="L122" si="28">L120/L121</f>
        <v>-0.18600885685398877</v>
      </c>
      <c r="M122" s="234">
        <f t="shared" ref="M122" si="29">M120/M121</f>
        <v>6.6636294826862577E-2</v>
      </c>
      <c r="N122" s="234">
        <f t="shared" ref="N122" si="30">N120/N121</f>
        <v>0.19515468286481141</v>
      </c>
      <c r="Q122" s="303" t="s">
        <v>451</v>
      </c>
      <c r="R122" s="234">
        <f>R120/R121</f>
        <v>1.1879981124161074</v>
      </c>
      <c r="S122" s="234">
        <f t="shared" ref="S122" si="31">S120/S121</f>
        <v>0.99777789870846023</v>
      </c>
      <c r="T122" s="234">
        <f t="shared" ref="T122" si="32">T120/T121</f>
        <v>1.0574143378974967</v>
      </c>
      <c r="U122" s="234">
        <f t="shared" ref="U122" si="33">U120/U121</f>
        <v>0</v>
      </c>
      <c r="V122" s="234">
        <f t="shared" ref="V122" si="34">V120/V121</f>
        <v>0</v>
      </c>
    </row>
  </sheetData>
  <mergeCells count="3">
    <mergeCell ref="A1:F2"/>
    <mergeCell ref="I1:N2"/>
    <mergeCell ref="Q1:V2"/>
  </mergeCells>
  <pageMargins left="0.7" right="0.7" top="0.75" bottom="0.75" header="0.3" footer="0.3"/>
  <drawing r:id="rId1"/>
  <tableParts count="3">
    <tablePart r:id="rId2"/>
    <tablePart r:id="rId3"/>
    <tablePart r:id="rId4"/>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D3669-5BCC-4801-A37C-A20464C757EC}">
  <dimension ref="A1:Y33"/>
  <sheetViews>
    <sheetView showGridLines="0" zoomScale="87" workbookViewId="0">
      <selection activeCell="Q38" sqref="Q38"/>
    </sheetView>
  </sheetViews>
  <sheetFormatPr defaultRowHeight="14.4" x14ac:dyDescent="0.3"/>
  <cols>
    <col min="1" max="1" width="24.88671875" bestFit="1" customWidth="1"/>
    <col min="11" max="11" width="24.88671875" bestFit="1" customWidth="1"/>
    <col min="20" max="20" width="24.88671875" bestFit="1" customWidth="1"/>
  </cols>
  <sheetData>
    <row r="1" spans="1:25" x14ac:dyDescent="0.3">
      <c r="A1" s="296" t="s">
        <v>439</v>
      </c>
      <c r="B1" s="297"/>
      <c r="C1" s="297"/>
      <c r="D1" s="297"/>
      <c r="E1" s="297"/>
      <c r="F1" s="297"/>
      <c r="G1" s="297"/>
      <c r="H1" s="297"/>
      <c r="I1" s="297"/>
      <c r="J1" s="297"/>
      <c r="K1" s="297"/>
      <c r="L1" s="297"/>
      <c r="M1" s="297"/>
      <c r="N1" s="297"/>
      <c r="O1" s="297"/>
      <c r="P1" s="297"/>
      <c r="Q1" s="297"/>
      <c r="R1" s="297"/>
      <c r="S1" s="297"/>
      <c r="T1" s="297"/>
      <c r="U1" s="297"/>
      <c r="V1" s="297"/>
      <c r="W1" s="297"/>
      <c r="X1" s="297"/>
      <c r="Y1" s="298"/>
    </row>
    <row r="2" spans="1:25" x14ac:dyDescent="0.3">
      <c r="A2" s="299"/>
      <c r="B2" s="300"/>
      <c r="C2" s="300"/>
      <c r="D2" s="300"/>
      <c r="E2" s="300"/>
      <c r="F2" s="300"/>
      <c r="G2" s="300"/>
      <c r="H2" s="300"/>
      <c r="I2" s="300"/>
      <c r="J2" s="300"/>
      <c r="K2" s="300"/>
      <c r="L2" s="300"/>
      <c r="M2" s="300"/>
      <c r="N2" s="300"/>
      <c r="O2" s="300"/>
      <c r="P2" s="300"/>
      <c r="Q2" s="300"/>
      <c r="R2" s="300"/>
      <c r="S2" s="300"/>
      <c r="T2" s="300"/>
      <c r="U2" s="300"/>
      <c r="V2" s="300"/>
      <c r="W2" s="300"/>
      <c r="X2" s="300"/>
      <c r="Y2" s="301"/>
    </row>
    <row r="3" spans="1:25" x14ac:dyDescent="0.3">
      <c r="A3" s="172"/>
      <c r="H3" s="1"/>
      <c r="Q3" s="1"/>
      <c r="Y3" s="1"/>
    </row>
    <row r="4" spans="1:25" x14ac:dyDescent="0.3">
      <c r="A4" s="172"/>
      <c r="H4" s="1"/>
      <c r="Q4" s="1"/>
      <c r="Y4" s="1"/>
    </row>
    <row r="5" spans="1:25" ht="18" x14ac:dyDescent="0.35">
      <c r="A5" s="294" t="s">
        <v>123</v>
      </c>
      <c r="B5" s="285"/>
      <c r="C5" s="285"/>
      <c r="D5" s="285"/>
      <c r="E5" s="285"/>
      <c r="F5" s="285"/>
      <c r="H5" s="1"/>
      <c r="K5" s="282" t="s">
        <v>105</v>
      </c>
      <c r="L5" s="283"/>
      <c r="M5" s="283"/>
      <c r="N5" s="283"/>
      <c r="O5" s="283"/>
      <c r="P5" s="283"/>
      <c r="Q5" s="1"/>
      <c r="T5" s="282" t="s">
        <v>385</v>
      </c>
      <c r="U5" s="283"/>
      <c r="V5" s="283"/>
      <c r="W5" s="283"/>
      <c r="X5" s="283"/>
      <c r="Y5" s="295"/>
    </row>
    <row r="6" spans="1:25" x14ac:dyDescent="0.3">
      <c r="A6" s="172"/>
      <c r="H6" s="1"/>
      <c r="Q6" s="1"/>
      <c r="Y6" s="1"/>
    </row>
    <row r="7" spans="1:25" x14ac:dyDescent="0.3">
      <c r="A7" s="172"/>
      <c r="H7" s="1"/>
      <c r="Q7" s="1"/>
      <c r="Y7" s="1"/>
    </row>
    <row r="8" spans="1:25" x14ac:dyDescent="0.3">
      <c r="A8" s="172"/>
      <c r="B8" s="150">
        <v>2024</v>
      </c>
      <c r="C8" s="150">
        <v>2023</v>
      </c>
      <c r="D8" s="150">
        <v>2022</v>
      </c>
      <c r="E8" s="150">
        <v>2021</v>
      </c>
      <c r="F8" s="150">
        <v>2020</v>
      </c>
      <c r="H8" s="1"/>
      <c r="K8" s="150"/>
      <c r="L8" s="150">
        <v>2024</v>
      </c>
      <c r="M8" s="150">
        <v>2023</v>
      </c>
      <c r="N8" s="150">
        <v>2022</v>
      </c>
      <c r="O8" s="150">
        <v>2021</v>
      </c>
      <c r="P8" s="150">
        <v>2020</v>
      </c>
      <c r="Q8" s="1"/>
      <c r="S8" s="150"/>
      <c r="T8" s="150"/>
      <c r="U8" s="150">
        <v>2024</v>
      </c>
      <c r="V8" s="150">
        <v>2023</v>
      </c>
      <c r="W8" s="150">
        <v>2022</v>
      </c>
      <c r="X8" s="150">
        <v>2021</v>
      </c>
      <c r="Y8" s="179">
        <v>2020</v>
      </c>
    </row>
    <row r="9" spans="1:25" x14ac:dyDescent="0.3">
      <c r="A9" s="149" t="s">
        <v>24</v>
      </c>
      <c r="B9" s="148">
        <v>20844.96</v>
      </c>
      <c r="C9" s="148">
        <v>15553.41</v>
      </c>
      <c r="D9" s="148">
        <v>11137.96</v>
      </c>
      <c r="E9" s="148">
        <v>7949.42</v>
      </c>
      <c r="F9" s="148">
        <v>8901.07</v>
      </c>
      <c r="H9" s="1"/>
      <c r="K9" s="149" t="s">
        <v>24</v>
      </c>
      <c r="L9" s="148">
        <v>8649.8700000000008</v>
      </c>
      <c r="M9" s="148">
        <v>7956.08</v>
      </c>
      <c r="N9" s="148">
        <v>7208.04</v>
      </c>
      <c r="O9" s="148">
        <v>5787.57</v>
      </c>
      <c r="P9" s="148">
        <v>5602.57</v>
      </c>
      <c r="Q9" s="1"/>
      <c r="T9" s="135" t="s">
        <v>24</v>
      </c>
      <c r="U9" s="148">
        <v>4429.49</v>
      </c>
      <c r="V9" s="148">
        <v>4062.36</v>
      </c>
      <c r="W9" s="148">
        <v>3605.82</v>
      </c>
      <c r="X9" s="148">
        <v>2903.63</v>
      </c>
      <c r="Y9" s="148">
        <v>2451.6799999999998</v>
      </c>
    </row>
    <row r="10" spans="1:25" x14ac:dyDescent="0.3">
      <c r="A10" s="145" t="s">
        <v>32</v>
      </c>
      <c r="B10" s="144">
        <v>1768.88</v>
      </c>
      <c r="C10" s="144">
        <v>1458.99</v>
      </c>
      <c r="D10" s="144">
        <v>1023.8</v>
      </c>
      <c r="E10" s="139">
        <v>919.08</v>
      </c>
      <c r="F10" s="144">
        <v>1087.25</v>
      </c>
      <c r="H10" s="1"/>
      <c r="K10" s="145" t="s">
        <v>32</v>
      </c>
      <c r="L10" s="144">
        <v>2004.53</v>
      </c>
      <c r="M10" s="144">
        <v>1600.04</v>
      </c>
      <c r="N10" s="144">
        <v>1534.47</v>
      </c>
      <c r="O10" s="144">
        <v>1417.87</v>
      </c>
      <c r="P10" s="144">
        <v>1327.17</v>
      </c>
      <c r="Q10" s="1"/>
      <c r="T10" s="135" t="s">
        <v>32</v>
      </c>
      <c r="U10" s="148">
        <v>1047.76</v>
      </c>
      <c r="V10" s="136">
        <v>917.31</v>
      </c>
      <c r="W10" s="136">
        <v>798.65</v>
      </c>
      <c r="X10" s="136">
        <v>699.44</v>
      </c>
      <c r="Y10" s="136">
        <v>622.42999999999995</v>
      </c>
    </row>
    <row r="11" spans="1:25" x14ac:dyDescent="0.3">
      <c r="A11" s="149" t="s">
        <v>33</v>
      </c>
      <c r="B11" s="148">
        <v>1980.8</v>
      </c>
      <c r="C11" s="148">
        <v>1661.6</v>
      </c>
      <c r="D11" s="148">
        <v>1210.54</v>
      </c>
      <c r="E11" s="148">
        <v>1100.33</v>
      </c>
      <c r="F11" s="148">
        <v>1286.47</v>
      </c>
      <c r="H11" s="1"/>
      <c r="K11" s="149" t="s">
        <v>33</v>
      </c>
      <c r="L11" s="148">
        <v>2181.34</v>
      </c>
      <c r="M11" s="148">
        <v>1853.35</v>
      </c>
      <c r="N11" s="148">
        <v>1924.66</v>
      </c>
      <c r="O11" s="148">
        <v>1781.12</v>
      </c>
      <c r="P11" s="148">
        <v>1677.9</v>
      </c>
      <c r="Q11" s="1"/>
      <c r="T11" s="140" t="s">
        <v>33</v>
      </c>
      <c r="U11" s="144">
        <v>1204.5899999999999</v>
      </c>
      <c r="V11" s="144">
        <v>1098.01</v>
      </c>
      <c r="W11" s="139">
        <v>963.57</v>
      </c>
      <c r="X11" s="139">
        <v>889.34</v>
      </c>
      <c r="Y11" s="139">
        <v>876.56</v>
      </c>
    </row>
    <row r="12" spans="1:25" x14ac:dyDescent="0.3">
      <c r="A12" s="145" t="s">
        <v>42</v>
      </c>
      <c r="B12" s="139">
        <v>710.69</v>
      </c>
      <c r="C12" s="139">
        <v>609.20000000000005</v>
      </c>
      <c r="D12" s="139">
        <v>482.41</v>
      </c>
      <c r="E12" s="139">
        <v>283.04000000000002</v>
      </c>
      <c r="F12" s="139">
        <v>336.53</v>
      </c>
      <c r="H12" s="1"/>
      <c r="K12" s="145" t="s">
        <v>42</v>
      </c>
      <c r="L12" s="139">
        <v>909.42</v>
      </c>
      <c r="M12" s="139">
        <v>658.45</v>
      </c>
      <c r="N12" s="139">
        <v>580.17999999999995</v>
      </c>
      <c r="O12" s="139">
        <v>497.38</v>
      </c>
      <c r="P12" s="139">
        <v>549.88</v>
      </c>
      <c r="Q12" s="1"/>
      <c r="T12" s="135" t="s">
        <v>42</v>
      </c>
      <c r="U12" s="136">
        <v>777.4</v>
      </c>
      <c r="V12" s="136">
        <v>458.01</v>
      </c>
      <c r="W12" s="136">
        <v>381.84</v>
      </c>
      <c r="X12" s="136">
        <v>407.38</v>
      </c>
      <c r="Y12" s="136">
        <v>265.51</v>
      </c>
    </row>
    <row r="13" spans="1:25" x14ac:dyDescent="0.3">
      <c r="A13" s="147" t="s">
        <v>70</v>
      </c>
      <c r="B13" s="133">
        <v>18097.38</v>
      </c>
      <c r="C13" s="133">
        <v>16550.12</v>
      </c>
      <c r="D13" s="133">
        <v>14457.99</v>
      </c>
      <c r="E13" s="133">
        <v>13539.88</v>
      </c>
      <c r="F13" s="133">
        <v>13811.89</v>
      </c>
      <c r="H13" s="1"/>
      <c r="K13" s="147" t="s">
        <v>70</v>
      </c>
      <c r="L13" s="133">
        <v>15610.21</v>
      </c>
      <c r="M13" s="133">
        <v>12632.12</v>
      </c>
      <c r="N13" s="133">
        <v>10644.88</v>
      </c>
      <c r="O13" s="133">
        <v>9575.25</v>
      </c>
      <c r="P13" s="133">
        <v>8490.2999999999993</v>
      </c>
      <c r="Q13" s="1"/>
      <c r="T13" s="130" t="s">
        <v>70</v>
      </c>
      <c r="U13" s="129">
        <v>5803.79</v>
      </c>
      <c r="V13" s="129">
        <v>4342.01</v>
      </c>
      <c r="W13" s="129">
        <v>5270.32</v>
      </c>
      <c r="X13" s="129">
        <v>4007.18</v>
      </c>
      <c r="Y13" s="129">
        <v>3503.33</v>
      </c>
    </row>
    <row r="14" spans="1:25" x14ac:dyDescent="0.3">
      <c r="A14" s="146" t="s">
        <v>89</v>
      </c>
      <c r="B14" s="129">
        <v>6811.88</v>
      </c>
      <c r="C14" s="129">
        <v>6485.46</v>
      </c>
      <c r="D14" s="129">
        <v>5896.15</v>
      </c>
      <c r="E14" s="129">
        <v>5469.41</v>
      </c>
      <c r="F14" s="129">
        <v>5159.29</v>
      </c>
      <c r="H14" s="1"/>
      <c r="K14" s="146" t="s">
        <v>89</v>
      </c>
      <c r="L14" s="129">
        <v>5184.82</v>
      </c>
      <c r="M14" s="129">
        <v>4285.05</v>
      </c>
      <c r="N14" s="129">
        <v>3627.87</v>
      </c>
      <c r="O14" s="129">
        <v>3052.69</v>
      </c>
      <c r="P14" s="129">
        <v>2554.2600000000002</v>
      </c>
      <c r="Q14" s="1"/>
      <c r="T14" s="128" t="s">
        <v>89</v>
      </c>
      <c r="U14" s="127">
        <v>3497.68</v>
      </c>
      <c r="V14" s="127">
        <v>2739.33</v>
      </c>
      <c r="W14" s="127">
        <v>2550.65</v>
      </c>
      <c r="X14" s="127">
        <v>1967.97</v>
      </c>
      <c r="Y14" s="127">
        <v>1585.36</v>
      </c>
    </row>
    <row r="15" spans="1:25" x14ac:dyDescent="0.3">
      <c r="A15" s="145" t="s">
        <v>404</v>
      </c>
      <c r="B15" s="144">
        <v>1088.1600000000001</v>
      </c>
      <c r="C15" s="139">
        <v>888.75</v>
      </c>
      <c r="D15" s="139">
        <v>429.71</v>
      </c>
      <c r="E15" s="139">
        <v>373.83</v>
      </c>
      <c r="F15" s="139">
        <v>447.16</v>
      </c>
      <c r="H15" s="1"/>
      <c r="K15" s="145" t="s">
        <v>404</v>
      </c>
      <c r="L15" s="144">
        <v>1248.74</v>
      </c>
      <c r="M15" s="139">
        <v>957.46</v>
      </c>
      <c r="N15" s="139">
        <v>807.94</v>
      </c>
      <c r="O15" s="139">
        <v>739.88</v>
      </c>
      <c r="P15" s="139">
        <v>712.78</v>
      </c>
      <c r="Q15" s="1"/>
      <c r="T15" s="135" t="s">
        <v>38</v>
      </c>
      <c r="U15" s="136">
        <v>929.94</v>
      </c>
      <c r="V15" s="136">
        <v>620.22</v>
      </c>
      <c r="W15" s="136">
        <v>530.5</v>
      </c>
      <c r="X15" s="136">
        <v>427.11</v>
      </c>
      <c r="Y15" s="136">
        <v>323.77</v>
      </c>
    </row>
    <row r="16" spans="1:25" x14ac:dyDescent="0.3">
      <c r="A16" s="142" t="s">
        <v>80</v>
      </c>
      <c r="B16" s="143">
        <v>1763.76</v>
      </c>
      <c r="C16" s="143">
        <v>1374.03</v>
      </c>
      <c r="D16" s="143">
        <v>1153.3399999999999</v>
      </c>
      <c r="E16" s="143">
        <v>1222.21</v>
      </c>
      <c r="F16" s="143">
        <v>1391.29</v>
      </c>
      <c r="H16" s="1"/>
      <c r="K16" s="142" t="s">
        <v>80</v>
      </c>
      <c r="L16" s="141">
        <v>765.01</v>
      </c>
      <c r="M16" s="141">
        <v>764.39</v>
      </c>
      <c r="N16" s="141">
        <v>480.79</v>
      </c>
      <c r="O16" s="141">
        <v>353.59</v>
      </c>
      <c r="P16" s="141">
        <v>267.29000000000002</v>
      </c>
      <c r="Q16" s="1"/>
      <c r="T16" s="130" t="s">
        <v>80</v>
      </c>
      <c r="U16" s="131">
        <v>220.87</v>
      </c>
      <c r="V16" s="131">
        <v>234.23</v>
      </c>
      <c r="W16" s="131">
        <v>227.41</v>
      </c>
      <c r="X16" s="131">
        <v>147.99</v>
      </c>
      <c r="Y16" s="131">
        <v>123.16</v>
      </c>
    </row>
    <row r="17" spans="1:25" x14ac:dyDescent="0.3">
      <c r="A17" s="130" t="s">
        <v>95</v>
      </c>
      <c r="B17" s="129">
        <v>11285.5</v>
      </c>
      <c r="C17" s="129">
        <v>10064.66</v>
      </c>
      <c r="D17" s="129">
        <v>8561.84</v>
      </c>
      <c r="E17" s="129">
        <v>8070.47</v>
      </c>
      <c r="F17" s="129">
        <v>8652.6</v>
      </c>
      <c r="G17" s="137"/>
      <c r="H17" s="138"/>
      <c r="I17" s="137"/>
      <c r="J17" s="137"/>
      <c r="K17" s="130" t="s">
        <v>95</v>
      </c>
      <c r="L17" s="129">
        <v>10425.39</v>
      </c>
      <c r="M17" s="129">
        <v>8347.08</v>
      </c>
      <c r="N17" s="129">
        <v>7017.01</v>
      </c>
      <c r="O17" s="129">
        <v>6522.56</v>
      </c>
      <c r="P17" s="129">
        <v>5936.04</v>
      </c>
      <c r="Q17" s="138"/>
      <c r="R17" s="137"/>
      <c r="S17" s="137"/>
      <c r="T17" s="128" t="s">
        <v>95</v>
      </c>
      <c r="U17" s="127">
        <v>2306.11</v>
      </c>
      <c r="V17" s="127">
        <v>1602.68</v>
      </c>
      <c r="W17" s="127">
        <v>2719.67</v>
      </c>
      <c r="X17" s="127">
        <v>2039.21</v>
      </c>
      <c r="Y17" s="127">
        <v>1917.96</v>
      </c>
    </row>
    <row r="18" spans="1:25" x14ac:dyDescent="0.3">
      <c r="A18" s="140" t="s">
        <v>36</v>
      </c>
      <c r="B18" s="139">
        <v>-594.75</v>
      </c>
      <c r="C18" s="139">
        <v>-515.22</v>
      </c>
      <c r="D18" s="139">
        <v>-478.07</v>
      </c>
      <c r="E18" s="139">
        <v>-479.91</v>
      </c>
      <c r="F18" s="139">
        <v>-553.85</v>
      </c>
      <c r="G18" s="137"/>
      <c r="H18" s="138"/>
      <c r="I18" s="137"/>
      <c r="J18" s="137"/>
      <c r="K18" s="140" t="s">
        <v>36</v>
      </c>
      <c r="L18" s="139">
        <v>-660.49</v>
      </c>
      <c r="M18" s="139">
        <v>-469.9</v>
      </c>
      <c r="N18" s="139">
        <v>-425.32</v>
      </c>
      <c r="O18" s="139">
        <v>-426.07</v>
      </c>
      <c r="P18" s="139">
        <v>-439.3</v>
      </c>
      <c r="Q18" s="138"/>
      <c r="R18" s="137"/>
      <c r="S18" s="137"/>
      <c r="T18" s="135" t="s">
        <v>36</v>
      </c>
      <c r="U18" s="136">
        <v>-105.67</v>
      </c>
      <c r="V18" s="136">
        <v>-153.08000000000001</v>
      </c>
      <c r="W18" s="136">
        <v>-148.11000000000001</v>
      </c>
      <c r="X18" s="136">
        <v>-134.05000000000001</v>
      </c>
      <c r="Y18" s="136">
        <v>-110.23</v>
      </c>
    </row>
    <row r="19" spans="1:25" x14ac:dyDescent="0.3">
      <c r="A19" s="130" t="s">
        <v>99</v>
      </c>
      <c r="B19" s="129">
        <v>11213.4</v>
      </c>
      <c r="C19" s="129">
        <v>9975.57</v>
      </c>
      <c r="D19" s="129">
        <v>8441.66</v>
      </c>
      <c r="E19" s="129">
        <v>7900.86</v>
      </c>
      <c r="F19" s="129">
        <v>8412.7800000000007</v>
      </c>
      <c r="H19" s="1"/>
      <c r="K19" s="130" t="s">
        <v>99</v>
      </c>
      <c r="L19" s="129">
        <v>3160.56</v>
      </c>
      <c r="M19" s="129">
        <v>2766.64</v>
      </c>
      <c r="N19" s="129">
        <v>2680.41</v>
      </c>
      <c r="O19" s="129">
        <v>2787.67</v>
      </c>
      <c r="P19" s="129">
        <v>2690.02</v>
      </c>
      <c r="Q19" s="1"/>
      <c r="T19" s="130" t="s">
        <v>99</v>
      </c>
      <c r="U19" s="129">
        <v>1144.32</v>
      </c>
      <c r="V19" s="129">
        <v>1102.56</v>
      </c>
      <c r="W19" s="129">
        <v>1338.69</v>
      </c>
      <c r="X19" s="129">
        <v>1302.49</v>
      </c>
      <c r="Y19" s="129">
        <v>1117.74</v>
      </c>
    </row>
    <row r="20" spans="1:25" x14ac:dyDescent="0.3">
      <c r="A20" s="130" t="s">
        <v>79</v>
      </c>
      <c r="B20" s="129">
        <v>6406.23</v>
      </c>
      <c r="C20" s="129">
        <v>5633.7</v>
      </c>
      <c r="D20" s="129">
        <v>4666.09</v>
      </c>
      <c r="E20" s="129">
        <v>4501.47</v>
      </c>
      <c r="F20" s="129">
        <v>4547.8</v>
      </c>
      <c r="H20" s="1"/>
      <c r="K20" s="130" t="s">
        <v>79</v>
      </c>
      <c r="L20" s="129">
        <v>3776.66</v>
      </c>
      <c r="M20" s="129">
        <v>2569.52</v>
      </c>
      <c r="N20" s="129">
        <v>2163.71</v>
      </c>
      <c r="O20" s="129">
        <v>1970.62</v>
      </c>
      <c r="P20" s="129">
        <v>1728.99</v>
      </c>
      <c r="Q20" s="1"/>
      <c r="T20" s="128" t="s">
        <v>79</v>
      </c>
      <c r="U20" s="127">
        <v>1307.5899999999999</v>
      </c>
      <c r="V20" s="127">
        <v>1077.43</v>
      </c>
      <c r="W20" s="127">
        <v>1095.1199999999999</v>
      </c>
      <c r="X20" s="126">
        <v>636.27</v>
      </c>
      <c r="Y20" s="126">
        <v>383.55</v>
      </c>
    </row>
    <row r="21" spans="1:25" x14ac:dyDescent="0.3">
      <c r="A21" s="135" t="s">
        <v>403</v>
      </c>
      <c r="B21" s="129">
        <v>1149.55</v>
      </c>
      <c r="C21" s="131">
        <v>709.27</v>
      </c>
      <c r="D21" s="131">
        <v>600.53</v>
      </c>
      <c r="E21" s="131">
        <v>504.58</v>
      </c>
      <c r="F21" s="131">
        <v>388.74</v>
      </c>
      <c r="H21" s="1"/>
      <c r="K21" s="130" t="s">
        <v>402</v>
      </c>
      <c r="L21" s="129">
        <v>1378.7</v>
      </c>
      <c r="M21" s="131">
        <v>706.35</v>
      </c>
      <c r="N21" s="131">
        <v>747.3</v>
      </c>
      <c r="O21" s="131">
        <v>944.52</v>
      </c>
      <c r="P21" s="131">
        <v>921.12</v>
      </c>
      <c r="Q21" s="1"/>
      <c r="T21" s="128" t="s">
        <v>402</v>
      </c>
      <c r="U21" s="126">
        <v>410.89</v>
      </c>
      <c r="V21" s="126">
        <v>220.2</v>
      </c>
      <c r="W21" s="126">
        <v>259.2</v>
      </c>
      <c r="X21" s="126">
        <v>147.84</v>
      </c>
      <c r="Y21" s="126">
        <v>82.87</v>
      </c>
    </row>
    <row r="22" spans="1:25" x14ac:dyDescent="0.3">
      <c r="A22" s="134" t="s">
        <v>401</v>
      </c>
      <c r="B22" s="133">
        <v>3117.21</v>
      </c>
      <c r="C22" s="133">
        <v>3175.51</v>
      </c>
      <c r="D22" s="133">
        <v>2545.16</v>
      </c>
      <c r="E22" s="133">
        <v>2739.62</v>
      </c>
      <c r="F22" s="133">
        <v>2728.28</v>
      </c>
      <c r="H22" s="1"/>
      <c r="K22" s="134" t="s">
        <v>401</v>
      </c>
      <c r="L22" s="133">
        <v>1632.94</v>
      </c>
      <c r="M22" s="133">
        <v>1098.78</v>
      </c>
      <c r="N22" s="132">
        <v>665.75</v>
      </c>
      <c r="O22" s="132">
        <v>392.79</v>
      </c>
      <c r="P22" s="132">
        <v>284.06</v>
      </c>
      <c r="Q22" s="1"/>
      <c r="T22" s="130" t="s">
        <v>400</v>
      </c>
      <c r="U22" s="131">
        <v>673.98</v>
      </c>
      <c r="V22" s="131">
        <v>622.9</v>
      </c>
      <c r="W22" s="131">
        <v>598.41</v>
      </c>
      <c r="X22" s="131">
        <v>332.87</v>
      </c>
      <c r="Y22" s="131">
        <v>174.65</v>
      </c>
    </row>
    <row r="23" spans="1:25" x14ac:dyDescent="0.3">
      <c r="A23" s="172"/>
      <c r="H23" s="1"/>
      <c r="Q23" s="1"/>
      <c r="Y23" s="1"/>
    </row>
    <row r="24" spans="1:25" x14ac:dyDescent="0.3">
      <c r="A24" s="172"/>
      <c r="H24" s="1"/>
      <c r="Q24" s="1"/>
      <c r="Y24" s="1"/>
    </row>
    <row r="25" spans="1:25" x14ac:dyDescent="0.3">
      <c r="A25" s="172"/>
      <c r="H25" s="1"/>
      <c r="Q25" s="1"/>
      <c r="Y25" s="1"/>
    </row>
    <row r="26" spans="1:25" x14ac:dyDescent="0.3">
      <c r="A26" s="172"/>
      <c r="H26" s="1"/>
      <c r="Q26" s="1"/>
      <c r="Y26" s="1"/>
    </row>
    <row r="27" spans="1:25" x14ac:dyDescent="0.3">
      <c r="A27" s="178" t="s">
        <v>438</v>
      </c>
      <c r="B27" s="177">
        <v>2024</v>
      </c>
      <c r="C27" s="177">
        <v>2023</v>
      </c>
      <c r="D27" s="177">
        <v>2022</v>
      </c>
      <c r="E27" s="177">
        <v>2021</v>
      </c>
      <c r="F27" s="177">
        <v>2020</v>
      </c>
      <c r="H27" s="1"/>
      <c r="K27" s="177" t="s">
        <v>438</v>
      </c>
      <c r="L27" s="177">
        <v>2024</v>
      </c>
      <c r="M27" s="177">
        <v>2023</v>
      </c>
      <c r="N27" s="177">
        <v>2022</v>
      </c>
      <c r="O27" s="177">
        <v>2021</v>
      </c>
      <c r="P27" s="177">
        <v>2020</v>
      </c>
      <c r="Q27" s="1"/>
      <c r="T27" s="177" t="s">
        <v>438</v>
      </c>
      <c r="U27" s="177">
        <v>2024</v>
      </c>
      <c r="V27" s="177">
        <v>2023</v>
      </c>
      <c r="W27" s="177">
        <v>2022</v>
      </c>
      <c r="X27" s="177">
        <v>2021</v>
      </c>
      <c r="Y27" s="176">
        <v>2020</v>
      </c>
    </row>
    <row r="28" spans="1:25" x14ac:dyDescent="0.3">
      <c r="A28" s="70" t="s">
        <v>437</v>
      </c>
      <c r="B28" s="70">
        <f>B12/B15</f>
        <v>0.65311167475371268</v>
      </c>
      <c r="C28" s="70">
        <f>C12/C15</f>
        <v>0.68545710267229265</v>
      </c>
      <c r="D28" s="70">
        <f>D12/D15</f>
        <v>1.1226408508063579</v>
      </c>
      <c r="E28" s="70">
        <f>E12/E15</f>
        <v>0.75713559639408301</v>
      </c>
      <c r="F28" s="70">
        <f>F12/F15</f>
        <v>0.75259414974505756</v>
      </c>
      <c r="H28" s="1"/>
      <c r="K28" s="70" t="s">
        <v>437</v>
      </c>
      <c r="L28" s="70">
        <f>L12/L15</f>
        <v>0.7282700962570271</v>
      </c>
      <c r="M28" s="70">
        <f>M12/M15</f>
        <v>0.68770496939819947</v>
      </c>
      <c r="N28" s="70">
        <f>N12/N15</f>
        <v>0.71809787855533813</v>
      </c>
      <c r="O28" s="70">
        <f>O12/O15</f>
        <v>0.67224414769962693</v>
      </c>
      <c r="P28" s="70">
        <f>P12/P15</f>
        <v>0.77145823395718172</v>
      </c>
      <c r="Q28" s="1"/>
      <c r="T28" s="70" t="s">
        <v>437</v>
      </c>
      <c r="U28" s="70">
        <f>U12/U15</f>
        <v>0.83596791190829511</v>
      </c>
      <c r="V28" s="70">
        <f>V12/V15</f>
        <v>0.73846377091999604</v>
      </c>
      <c r="W28" s="70">
        <f>W12/W15</f>
        <v>0.7197737983034872</v>
      </c>
      <c r="X28" s="70">
        <f>X12/X15</f>
        <v>0.95380581114935259</v>
      </c>
      <c r="Y28" s="70">
        <f>Y12/Y15</f>
        <v>0.82005744818852888</v>
      </c>
    </row>
    <row r="29" spans="1:25" x14ac:dyDescent="0.3">
      <c r="A29" s="70" t="s">
        <v>436</v>
      </c>
      <c r="B29" s="70">
        <f>B15/B10</f>
        <v>0.61516892044683646</v>
      </c>
      <c r="C29" s="70">
        <f>C15/C10</f>
        <v>0.60915427795941024</v>
      </c>
      <c r="D29" s="70">
        <f>D15/D10</f>
        <v>0.41972064856417268</v>
      </c>
      <c r="E29" s="70">
        <f>E15/E10</f>
        <v>0.40674370022196105</v>
      </c>
      <c r="F29" s="70">
        <f>F15/F10</f>
        <v>0.41127615543803175</v>
      </c>
      <c r="H29" s="1"/>
      <c r="K29" s="70" t="s">
        <v>436</v>
      </c>
      <c r="L29" s="70">
        <f>L15/L10</f>
        <v>0.62295899786982489</v>
      </c>
      <c r="M29" s="70">
        <f>M15/M10</f>
        <v>0.59839754006149848</v>
      </c>
      <c r="N29" s="70">
        <f>N15/N10</f>
        <v>0.52652707449477676</v>
      </c>
      <c r="O29" s="70">
        <f>O15/O10</f>
        <v>0.52182499100763824</v>
      </c>
      <c r="P29" s="70">
        <f>P15/P10</f>
        <v>0.53706759495769185</v>
      </c>
      <c r="Q29" s="1"/>
      <c r="T29" s="70" t="s">
        <v>436</v>
      </c>
      <c r="U29" s="70">
        <f>U15/U10</f>
        <v>0.88755058410322984</v>
      </c>
      <c r="V29" s="70">
        <f>V15/V10</f>
        <v>0.67612911665631037</v>
      </c>
      <c r="W29" s="70">
        <f>W15/W10</f>
        <v>0.6642459149815314</v>
      </c>
      <c r="X29" s="70">
        <f>X15/X10</f>
        <v>0.61064565938465054</v>
      </c>
      <c r="Y29" s="70">
        <f>Y15/Y10</f>
        <v>0.52017094291727584</v>
      </c>
    </row>
    <row r="30" spans="1:25" x14ac:dyDescent="0.3">
      <c r="A30" s="70" t="s">
        <v>435</v>
      </c>
      <c r="B30" s="70">
        <f>B10/B9</f>
        <v>8.4858881955158477E-2</v>
      </c>
      <c r="C30" s="70">
        <f>C10/C9</f>
        <v>9.3805152696418342E-2</v>
      </c>
      <c r="D30" s="70">
        <f>D10/D9</f>
        <v>9.1919884790392495E-2</v>
      </c>
      <c r="E30" s="70">
        <f>E10/E9</f>
        <v>0.11561598204648893</v>
      </c>
      <c r="F30" s="70">
        <f>F10/F9</f>
        <v>0.12214823611093947</v>
      </c>
      <c r="H30" s="1"/>
      <c r="K30" s="70" t="s">
        <v>435</v>
      </c>
      <c r="L30" s="70">
        <f>L10/L9</f>
        <v>0.23174105506787962</v>
      </c>
      <c r="M30" s="70">
        <f>M10/M9</f>
        <v>0.20110908889805029</v>
      </c>
      <c r="N30" s="70">
        <f>N10/N9</f>
        <v>0.21288311385619393</v>
      </c>
      <c r="O30" s="70">
        <f>O10/O9</f>
        <v>0.24498537382701202</v>
      </c>
      <c r="P30" s="70">
        <f>P10/P9</f>
        <v>0.23688592913609294</v>
      </c>
      <c r="Q30" s="1"/>
      <c r="T30" s="70" t="s">
        <v>435</v>
      </c>
      <c r="U30" s="70">
        <f>U10/U9</f>
        <v>0.23654190437273817</v>
      </c>
      <c r="V30" s="70">
        <f>V10/V9</f>
        <v>0.22580716627773018</v>
      </c>
      <c r="W30" s="70">
        <f>W10/W9</f>
        <v>0.22148914809946141</v>
      </c>
      <c r="X30" s="70">
        <f>X10/X9</f>
        <v>0.24088468572097685</v>
      </c>
      <c r="Y30" s="70">
        <f>Y10/Y9</f>
        <v>0.25387897278600796</v>
      </c>
    </row>
    <row r="31" spans="1:25" x14ac:dyDescent="0.3">
      <c r="A31" s="70" t="s">
        <v>434</v>
      </c>
      <c r="B31" s="70">
        <f>B9/((B13+C13)*0.5)</f>
        <v>1.2032591096038674</v>
      </c>
      <c r="C31" s="70">
        <f>C9/((C13+D13)*0.5)</f>
        <v>1.0031833607401419</v>
      </c>
      <c r="D31" s="70">
        <f>D9/((D13+E13)*0.5)</f>
        <v>0.79562909607052246</v>
      </c>
      <c r="E31" s="70">
        <f>E9/((E13+F13)*0.5)</f>
        <v>0.58127280245483204</v>
      </c>
      <c r="F31" s="70">
        <f>F9/((F13))</f>
        <v>0.64444981823631664</v>
      </c>
      <c r="H31" s="1"/>
      <c r="K31" s="70" t="s">
        <v>434</v>
      </c>
      <c r="L31" s="70">
        <f>L9/((L13+M13)*0.5)</f>
        <v>0.61254648607250184</v>
      </c>
      <c r="M31" s="70">
        <f>M9/((M13+N13)*0.5)</f>
        <v>0.68360012029041539</v>
      </c>
      <c r="N31" s="70">
        <f>N9/((N13+O13)*0.5)</f>
        <v>0.71295684053465536</v>
      </c>
      <c r="O31" s="70">
        <f>O9/((O13+P13)*0.5)</f>
        <v>0.64073000822006521</v>
      </c>
      <c r="P31" s="70">
        <f>P9/((P13))</f>
        <v>0.65987892065062481</v>
      </c>
      <c r="Q31" s="1"/>
      <c r="T31" s="70" t="s">
        <v>434</v>
      </c>
      <c r="U31" s="70">
        <f>U9/((U13+V13)*0.5)</f>
        <v>0.87316722190463048</v>
      </c>
      <c r="V31" s="70">
        <f>V9/((V13+W13)*0.5)</f>
        <v>0.84523939565121053</v>
      </c>
      <c r="W31" s="70">
        <f>W9/((W13+X13)*0.5)</f>
        <v>0.7773257881972514</v>
      </c>
      <c r="X31" s="70">
        <f>X9/((X13+Y13)*0.5)</f>
        <v>0.77321779745982633</v>
      </c>
      <c r="Y31" s="70">
        <f>Y9/((Y13))</f>
        <v>0.69981417679750402</v>
      </c>
    </row>
    <row r="32" spans="1:25" x14ac:dyDescent="0.3">
      <c r="A32" s="70" t="s">
        <v>433</v>
      </c>
      <c r="B32" s="70">
        <f>((B13+C13)*0.5)/((B14+C14)*0.5)</f>
        <v>2.6055963072313713</v>
      </c>
      <c r="C32" s="70">
        <f>((C13+D13)*0.5)/((C14+D14)*0.5)</f>
        <v>2.5043681718290269</v>
      </c>
      <c r="D32" s="70">
        <f>((D13+E13)*0.5)/((D14+E14)*0.5)</f>
        <v>2.4633955564002128</v>
      </c>
      <c r="E32" s="70">
        <f>((E13+F13)*0.5)/((E14+F14)*0.5)</f>
        <v>2.5733880907354609</v>
      </c>
      <c r="F32" s="70">
        <f>(F13)/(F14)</f>
        <v>2.6770912276689232</v>
      </c>
      <c r="H32" s="1"/>
      <c r="K32" s="70" t="s">
        <v>433</v>
      </c>
      <c r="L32" s="70">
        <f>((L13+M13)*0.5)/((L14+M14)*0.5)</f>
        <v>2.9823355547647439</v>
      </c>
      <c r="M32" s="70">
        <f>((M13+N13)*0.5)/((M14+N14)*0.5)</f>
        <v>2.9416448036881455</v>
      </c>
      <c r="N32" s="70">
        <f>((N13+O13)*0.5)/((N14+O14)*0.5)</f>
        <v>3.0267118325409843</v>
      </c>
      <c r="O32" s="70">
        <f>((O13+P13)*0.5)/((O14+P14)*0.5)</f>
        <v>3.2219923487814226</v>
      </c>
      <c r="P32" s="70">
        <f>(P13)/(P14)</f>
        <v>3.3239764158699581</v>
      </c>
      <c r="Q32" s="1"/>
      <c r="T32" s="70" t="s">
        <v>433</v>
      </c>
      <c r="U32" s="70">
        <f>((U13+V13)*0.5)/((U14+V14)*0.5)</f>
        <v>1.6267089518855988</v>
      </c>
      <c r="V32" s="70">
        <f>((V13+W13)*0.5)/((V14+W14)*0.5)</f>
        <v>1.8170824842437969</v>
      </c>
      <c r="W32" s="70">
        <f>((W13+X13)*0.5)/((W14+X14)*0.5)</f>
        <v>2.05317110091134</v>
      </c>
      <c r="X32" s="70">
        <f>((X13+Y13)*0.5)/((X14+Y14)*0.5)</f>
        <v>2.1136539527710627</v>
      </c>
      <c r="Y32" s="70">
        <f>(Y13)/(Y14)</f>
        <v>2.2098009284957363</v>
      </c>
    </row>
    <row r="33" spans="1:25" x14ac:dyDescent="0.3">
      <c r="A33" s="175" t="s">
        <v>398</v>
      </c>
      <c r="B33" s="174">
        <f>B32*B31*B30*B29*B28</f>
        <v>0.10689205510274989</v>
      </c>
      <c r="C33" s="174">
        <f>C32*C31*C30*C29*C28</f>
        <v>9.8404004002710488E-2</v>
      </c>
      <c r="D33" s="174">
        <f>D32*D31*D30*D29*D28</f>
        <v>8.4889789856373118E-2</v>
      </c>
      <c r="E33" s="174">
        <f>E32*E31*E30*E29*E28</f>
        <v>5.3259570784762011E-2</v>
      </c>
      <c r="F33" s="174">
        <f>F32*F31*F30*F29*F28</f>
        <v>6.5227967414120916E-2</v>
      </c>
      <c r="G33" s="16"/>
      <c r="H33" s="17"/>
      <c r="I33" s="16"/>
      <c r="J33" s="16"/>
      <c r="K33" s="175" t="s">
        <v>398</v>
      </c>
      <c r="L33" s="174">
        <f>L32*L31*L30*L29*L28</f>
        <v>0.19206599457014728</v>
      </c>
      <c r="M33" s="174">
        <f>M32*M31*M30*M29*M28</f>
        <v>0.16642402551776087</v>
      </c>
      <c r="N33" s="174">
        <f>N32*N31*N30*N29*N28</f>
        <v>0.17369202581819487</v>
      </c>
      <c r="O33" s="174">
        <f>O32*O31*O30*O29*O28</f>
        <v>0.17741552894175977</v>
      </c>
      <c r="P33" s="174">
        <f>P32*P31*P30*P29*P28</f>
        <v>0.2152795721657153</v>
      </c>
      <c r="Q33" s="17"/>
      <c r="R33" s="16"/>
      <c r="S33" s="16"/>
      <c r="T33" s="175" t="s">
        <v>398</v>
      </c>
      <c r="U33" s="174">
        <f>U32*U31*U30*U29*U28</f>
        <v>0.24928611626404315</v>
      </c>
      <c r="V33" s="174">
        <f>V32*V31*V30*V29*V28</f>
        <v>0.17316133520353577</v>
      </c>
      <c r="W33" s="174">
        <f>W32*W31*W30*W29*W28</f>
        <v>0.16900735180209883</v>
      </c>
      <c r="X33" s="174">
        <f>X32*X31*X30*X29*X28</f>
        <v>0.2292947741977244</v>
      </c>
      <c r="Y33" s="173">
        <f>Y32*Y31*Y30*Y29*Y28</f>
        <v>0.16747615683504061</v>
      </c>
    </row>
  </sheetData>
  <mergeCells count="4">
    <mergeCell ref="A5:F5"/>
    <mergeCell ref="K5:P5"/>
    <mergeCell ref="T5:Y5"/>
    <mergeCell ref="A1:Y2"/>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62A05F-A764-4047-BE31-E78C7F36BFBF}">
  <dimension ref="A1:I2"/>
  <sheetViews>
    <sheetView workbookViewId="0">
      <selection activeCell="A3" sqref="A3:XFD1048576"/>
    </sheetView>
  </sheetViews>
  <sheetFormatPr defaultRowHeight="14.4" x14ac:dyDescent="0.3"/>
  <cols>
    <col min="1" max="16384" width="8.88671875" style="238"/>
  </cols>
  <sheetData>
    <row r="1" spans="1:9" ht="14.4" customHeight="1" x14ac:dyDescent="0.3">
      <c r="A1" s="302" t="s">
        <v>380</v>
      </c>
      <c r="B1" s="302"/>
      <c r="C1" s="302"/>
      <c r="D1" s="302"/>
      <c r="E1" s="302"/>
      <c r="F1" s="302"/>
      <c r="G1" s="302"/>
      <c r="H1" s="302"/>
      <c r="I1" s="302"/>
    </row>
    <row r="2" spans="1:9" ht="14.4" customHeight="1" x14ac:dyDescent="0.3">
      <c r="A2" s="302"/>
      <c r="B2" s="302"/>
      <c r="C2" s="302"/>
      <c r="D2" s="302"/>
      <c r="E2" s="302"/>
      <c r="F2" s="302"/>
      <c r="G2" s="302"/>
      <c r="H2" s="302"/>
      <c r="I2" s="302"/>
    </row>
  </sheetData>
  <mergeCells count="3">
    <mergeCell ref="A1:I2"/>
    <mergeCell ref="A3:XFD1048576"/>
    <mergeCell ref="J1:XFD2"/>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38C16B-1129-41E4-851B-8401970845BD}">
  <dimension ref="A1"/>
  <sheetViews>
    <sheetView topLeftCell="A4" zoomScale="113" workbookViewId="0">
      <selection sqref="A1:XFD1048576"/>
    </sheetView>
  </sheetViews>
  <sheetFormatPr defaultRowHeight="14.4" x14ac:dyDescent="0.3"/>
  <cols>
    <col min="1" max="16384" width="8.88671875" style="238"/>
  </cols>
  <sheetData/>
  <mergeCells count="1">
    <mergeCell ref="A1:XFD1048576"/>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Group Details </vt:lpstr>
      <vt:lpstr>About Company</vt:lpstr>
      <vt:lpstr>Shareholding pattern</vt:lpstr>
      <vt:lpstr>Company returns to sectoral ind</vt:lpstr>
      <vt:lpstr>Income Statement Analysis</vt:lpstr>
      <vt:lpstr>Balance sheet analysis</vt:lpstr>
      <vt:lpstr>Cash Flow Statement</vt:lpstr>
      <vt:lpstr>Employee data</vt:lpstr>
      <vt:lpstr>Data On Subsidiaries</vt:lpstr>
      <vt:lpstr>Investments &amp; Announcements</vt:lpstr>
      <vt:lpstr>Changes in financing </vt:lpstr>
      <vt:lpstr>M&amp;A</vt:lpstr>
      <vt:lpstr>Ratio Analysis</vt:lpstr>
      <vt:lpstr>Growth Analysis</vt:lpstr>
      <vt:lpstr>Expense Analysis</vt:lpstr>
      <vt:lpstr>Cash Flow Ratios</vt:lpstr>
      <vt:lpstr>DuPont Analysis</vt:lpstr>
      <vt:lpstr>Sources </vt:lpstr>
      <vt:lpstr>Questions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Akshat Agrawal</dc:creator>
  <cp:lastModifiedBy>harsh bararia</cp:lastModifiedBy>
  <dcterms:created xsi:type="dcterms:W3CDTF">2024-07-11T11:20:55Z</dcterms:created>
  <dcterms:modified xsi:type="dcterms:W3CDTF">2024-09-17T20:04:59Z</dcterms:modified>
</cp:coreProperties>
</file>