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mc:AlternateContent xmlns:mc="http://schemas.openxmlformats.org/markup-compatibility/2006">
    <mc:Choice Requires="x15">
      <x15ac:absPath xmlns:x15ac="http://schemas.microsoft.com/office/spreadsheetml/2010/11/ac" url="/Users/aaronkonigsberg/Documents/Light-Projects/PunchlistTimelines/public/punchlists/"/>
    </mc:Choice>
  </mc:AlternateContent>
  <xr:revisionPtr revIDLastSave="0" documentId="8_{84DB437A-3E8A-4C0A-A082-281B18FB19FD}" xr6:coauthVersionLast="47" xr6:coauthVersionMax="47" xr10:uidLastSave="{00000000-0000-0000-0000-000000000000}"/>
  <bookViews>
    <workbookView xWindow="240" yWindow="500" windowWidth="26980" windowHeight="21900" xr2:uid="{00000000-000D-0000-FFFF-FFFF00000000}"/>
  </bookViews>
  <sheets>
    <sheet name="Data" sheetId="1" r:id="rId1"/>
    <sheet name="Pricing Info" sheetId="4" r:id="rId2"/>
    <sheet name="Color Code" sheetId="2" r:id="rId3"/>
  </sheets>
  <definedNames>
    <definedName name="_xlnm._FilterDatabase" localSheetId="1" hidden="1">'Pricing Info'!$A$13:$L$13</definedName>
    <definedName name="_xlnm.Print_Area" localSheetId="0">Data!$A$1:$M$75</definedName>
    <definedName name="_xlnm.Print_Area" localSheetId="1">'Pricing Info'!$A$1:$L$50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4" l="1"/>
  <c r="C25" i="4"/>
  <c r="E15" i="4"/>
  <c r="L65" i="1"/>
  <c r="L64" i="1"/>
  <c r="J64" i="1"/>
  <c r="F65" i="1"/>
  <c r="G64" i="1"/>
  <c r="I64" i="1"/>
  <c r="F64" i="1"/>
  <c r="E64" i="1"/>
  <c r="D64" i="1"/>
  <c r="C64" i="1"/>
  <c r="J65" i="1"/>
  <c r="D65" i="1"/>
  <c r="M70" i="4"/>
  <c r="M68" i="4"/>
  <c r="M67" i="4"/>
  <c r="M65" i="4"/>
  <c r="M64" i="4"/>
  <c r="M63" i="4"/>
  <c r="M62" i="4"/>
  <c r="M61" i="4"/>
  <c r="M60" i="4"/>
  <c r="M59" i="4"/>
  <c r="M58" i="4"/>
  <c r="M57" i="4"/>
  <c r="M56" i="4"/>
  <c r="M55" i="4"/>
  <c r="I2" i="1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14" i="4"/>
  <c r="L11" i="1"/>
  <c r="L10" i="1"/>
  <c r="L69" i="1"/>
  <c r="J69" i="1"/>
  <c r="L68" i="1"/>
  <c r="J68" i="1"/>
  <c r="L16" i="1"/>
  <c r="E56" i="4"/>
  <c r="E57" i="4" s="1"/>
  <c r="E58" i="4" s="1"/>
  <c r="E59" i="4" s="1"/>
  <c r="E60" i="4" s="1"/>
  <c r="E61" i="4" s="1"/>
  <c r="E62" i="4" s="1"/>
  <c r="E63" i="4" s="1"/>
  <c r="E64" i="4" s="1"/>
  <c r="C14" i="4"/>
  <c r="C15" i="4" s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6" i="1"/>
  <c r="J67" i="1"/>
  <c r="L25" i="1"/>
  <c r="L24" i="1"/>
  <c r="L23" i="1"/>
  <c r="L22" i="1"/>
  <c r="L20" i="1"/>
  <c r="L19" i="1"/>
  <c r="L18" i="1"/>
  <c r="L17" i="1"/>
  <c r="B10" i="4"/>
  <c r="L32" i="1"/>
  <c r="L33" i="1"/>
  <c r="L34" i="1"/>
  <c r="L35" i="1"/>
  <c r="L31" i="1"/>
  <c r="L36" i="1"/>
  <c r="L61" i="1"/>
  <c r="L50" i="1"/>
  <c r="L45" i="1"/>
  <c r="L37" i="1"/>
  <c r="L15" i="1"/>
  <c r="L6" i="1"/>
  <c r="B4" i="4"/>
  <c r="L39" i="1"/>
  <c r="L40" i="1"/>
  <c r="L41" i="1"/>
  <c r="L42" i="1"/>
  <c r="L43" i="1"/>
  <c r="L44" i="1"/>
  <c r="L46" i="1"/>
  <c r="L47" i="1"/>
  <c r="L48" i="1"/>
  <c r="L49" i="1"/>
  <c r="L51" i="1"/>
  <c r="L52" i="1"/>
  <c r="L53" i="1"/>
  <c r="L54" i="1"/>
  <c r="L56" i="1"/>
  <c r="L57" i="1"/>
  <c r="L58" i="1"/>
  <c r="L55" i="1"/>
  <c r="L60" i="1"/>
  <c r="L63" i="1"/>
  <c r="L66" i="1"/>
  <c r="L67" i="1"/>
  <c r="L59" i="1"/>
  <c r="L62" i="1"/>
  <c r="L30" i="1"/>
  <c r="L3" i="1"/>
  <c r="L4" i="1"/>
  <c r="L5" i="1"/>
  <c r="L7" i="1"/>
  <c r="L9" i="1"/>
  <c r="L12" i="1"/>
  <c r="L14" i="1"/>
  <c r="L8" i="1"/>
  <c r="L13" i="1"/>
  <c r="L26" i="1"/>
  <c r="L27" i="1"/>
  <c r="L21" i="1"/>
  <c r="L28" i="1"/>
  <c r="L29" i="1"/>
  <c r="G2" i="1"/>
  <c r="F3" i="1" s="1"/>
  <c r="E65" i="4" l="1"/>
  <c r="E67" i="4" s="1"/>
  <c r="E68" i="4" s="1"/>
  <c r="E66" i="4"/>
  <c r="E70" i="4"/>
  <c r="E69" i="4"/>
  <c r="D14" i="4"/>
  <c r="I3" i="1"/>
  <c r="C60" i="1"/>
  <c r="C61" i="1" s="1"/>
  <c r="C62" i="1" s="1"/>
  <c r="C63" i="1" s="1"/>
  <c r="C65" i="1" s="1"/>
  <c r="E60" i="1"/>
  <c r="E61" i="1" s="1"/>
  <c r="E62" i="1" s="1"/>
  <c r="E63" i="1" s="1"/>
  <c r="E65" i="1" s="1"/>
  <c r="G3" i="1"/>
  <c r="F4" i="1" s="1"/>
  <c r="F14" i="4"/>
  <c r="H14" i="4" s="1"/>
  <c r="I14" i="4" s="1"/>
  <c r="J14" i="4" s="1"/>
  <c r="B11" i="4"/>
  <c r="G4" i="1" l="1"/>
  <c r="I4" i="1"/>
  <c r="C66" i="1"/>
  <c r="C67" i="1" s="1"/>
  <c r="C68" i="1" s="1"/>
  <c r="C69" i="1" s="1"/>
  <c r="E66" i="1"/>
  <c r="E67" i="1" s="1"/>
  <c r="E68" i="1" s="1"/>
  <c r="E69" i="1" s="1"/>
  <c r="F5" i="1"/>
  <c r="K68" i="1" l="1"/>
  <c r="G5" i="1"/>
  <c r="F6" i="1" s="1"/>
  <c r="I5" i="1"/>
  <c r="K14" i="4"/>
  <c r="G6" i="1" l="1"/>
  <c r="F7" i="1" s="1"/>
  <c r="I6" i="1"/>
  <c r="G7" i="1" l="1"/>
  <c r="F8" i="1" s="1"/>
  <c r="I7" i="1"/>
  <c r="I8" i="1" l="1"/>
  <c r="G8" i="1"/>
  <c r="F9" i="1"/>
  <c r="I9" i="1" l="1"/>
  <c r="F10" i="1"/>
  <c r="G9" i="1"/>
  <c r="G10" i="1" s="1"/>
  <c r="F11" i="1" l="1"/>
  <c r="I10" i="1"/>
  <c r="I11" i="1" l="1"/>
  <c r="G11" i="1"/>
  <c r="F12" i="1" s="1"/>
  <c r="I12" i="1" l="1"/>
  <c r="G12" i="1"/>
  <c r="F13" i="1"/>
  <c r="I13" i="1" l="1"/>
  <c r="G13" i="1"/>
  <c r="F14" i="1"/>
  <c r="I14" i="1" l="1"/>
  <c r="G14" i="1"/>
  <c r="F15" i="1" s="1"/>
  <c r="G15" i="1" l="1"/>
  <c r="F16" i="1" s="1"/>
  <c r="I15" i="1"/>
  <c r="I16" i="1" l="1"/>
  <c r="G16" i="1"/>
  <c r="F17" i="1"/>
  <c r="I17" i="1" l="1"/>
  <c r="G17" i="1"/>
  <c r="F18" i="1" s="1"/>
  <c r="G18" i="1" l="1"/>
  <c r="F19" i="1" s="1"/>
  <c r="I18" i="1"/>
  <c r="G19" i="1" l="1"/>
  <c r="F20" i="1" s="1"/>
  <c r="I19" i="1"/>
  <c r="G20" i="1" l="1"/>
  <c r="F21" i="1" s="1"/>
  <c r="I20" i="1"/>
  <c r="G21" i="1" l="1"/>
  <c r="F22" i="1" s="1"/>
  <c r="I21" i="1"/>
  <c r="K59" i="1"/>
  <c r="K47" i="1"/>
  <c r="K24" i="1"/>
  <c r="K23" i="1"/>
  <c r="K22" i="1"/>
  <c r="K21" i="1"/>
  <c r="K14" i="1"/>
  <c r="K7" i="1"/>
  <c r="K5" i="1"/>
  <c r="K4" i="1"/>
  <c r="K2" i="1"/>
  <c r="K3" i="1"/>
  <c r="K12" i="1"/>
  <c r="K43" i="1"/>
  <c r="K58" i="1"/>
  <c r="K42" i="1"/>
  <c r="K44" i="1"/>
  <c r="K34" i="1"/>
  <c r="K19" i="1"/>
  <c r="K20" i="1"/>
  <c r="G22" i="1" l="1"/>
  <c r="F23" i="1" s="1"/>
  <c r="I22" i="1"/>
  <c r="G23" i="1" l="1"/>
  <c r="F24" i="1" s="1"/>
  <c r="I23" i="1"/>
  <c r="D15" i="4"/>
  <c r="F15" i="4" s="1"/>
  <c r="C16" i="4"/>
  <c r="D16" i="4" s="1"/>
  <c r="C17" i="4"/>
  <c r="D17" i="4" s="1"/>
  <c r="C18" i="4"/>
  <c r="D18" i="4" s="1"/>
  <c r="C19" i="4"/>
  <c r="D19" i="4" s="1"/>
  <c r="E16" i="4"/>
  <c r="E17" i="4"/>
  <c r="E18" i="4"/>
  <c r="E19" i="4"/>
  <c r="C20" i="4"/>
  <c r="E20" i="4"/>
  <c r="E21" i="4" s="1"/>
  <c r="E22" i="4" s="1"/>
  <c r="E23" i="4" s="1"/>
  <c r="E24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H15" i="4"/>
  <c r="I15" i="4"/>
  <c r="J15" i="4"/>
  <c r="K15" i="4"/>
  <c r="K15" i="1"/>
  <c r="K54" i="1"/>
  <c r="F19" i="4" l="1"/>
  <c r="H19" i="4" s="1"/>
  <c r="I19" i="4" s="1"/>
  <c r="F18" i="4"/>
  <c r="H18" i="4" s="1"/>
  <c r="I18" i="4" s="1"/>
  <c r="F17" i="4"/>
  <c r="H17" i="4" s="1"/>
  <c r="I17" i="4" s="1"/>
  <c r="F16" i="4"/>
  <c r="H16" i="4" s="1"/>
  <c r="I16" i="4" s="1"/>
  <c r="E44" i="4"/>
  <c r="E45" i="4" s="1"/>
  <c r="E46" i="4" s="1"/>
  <c r="E47" i="4" s="1"/>
  <c r="E48" i="4" s="1"/>
  <c r="E49" i="4" s="1"/>
  <c r="E50" i="4" s="1"/>
  <c r="C21" i="4"/>
  <c r="D20" i="4"/>
  <c r="G24" i="1"/>
  <c r="F25" i="1" s="1"/>
  <c r="I24" i="1"/>
  <c r="F20" i="4" l="1"/>
  <c r="H20" i="4" s="1"/>
  <c r="I20" i="4" s="1"/>
  <c r="J16" i="4"/>
  <c r="K16" i="4"/>
  <c r="K16" i="1" s="1"/>
  <c r="J17" i="4"/>
  <c r="K17" i="4"/>
  <c r="K17" i="1" s="1"/>
  <c r="J18" i="4"/>
  <c r="K18" i="4"/>
  <c r="K18" i="1" s="1"/>
  <c r="J19" i="4"/>
  <c r="K19" i="4"/>
  <c r="K25" i="1" s="1"/>
  <c r="C22" i="4"/>
  <c r="D21" i="4"/>
  <c r="G25" i="1"/>
  <c r="F26" i="1" s="1"/>
  <c r="I25" i="1"/>
  <c r="F21" i="4" l="1"/>
  <c r="H21" i="4" s="1"/>
  <c r="I21" i="4" s="1"/>
  <c r="J21" i="4" s="1"/>
  <c r="K21" i="4" s="1"/>
  <c r="K49" i="1" s="1"/>
  <c r="J20" i="4"/>
  <c r="K20" i="4"/>
  <c r="C23" i="4"/>
  <c r="D22" i="4"/>
  <c r="G26" i="1"/>
  <c r="F27" i="1" s="1"/>
  <c r="I26" i="1"/>
  <c r="F22" i="4" l="1"/>
  <c r="H22" i="4" s="1"/>
  <c r="I22" i="4" s="1"/>
  <c r="J22" i="4" s="1"/>
  <c r="K22" i="4" s="1"/>
  <c r="K26" i="1" s="1"/>
  <c r="D23" i="4"/>
  <c r="C24" i="4"/>
  <c r="G27" i="1"/>
  <c r="F28" i="1" s="1"/>
  <c r="I27" i="1"/>
  <c r="F23" i="4" l="1"/>
  <c r="H23" i="4" s="1"/>
  <c r="I23" i="4" s="1"/>
  <c r="D24" i="4"/>
  <c r="J23" i="4"/>
  <c r="K23" i="4"/>
  <c r="K32" i="1" s="1"/>
  <c r="G28" i="1"/>
  <c r="F29" i="1" s="1"/>
  <c r="I28" i="1"/>
  <c r="F24" i="4" l="1"/>
  <c r="H24" i="4" s="1"/>
  <c r="I24" i="4" s="1"/>
  <c r="J24" i="4"/>
  <c r="K24" i="4"/>
  <c r="K39" i="1" s="1"/>
  <c r="G29" i="1"/>
  <c r="F30" i="1" s="1"/>
  <c r="I29" i="1"/>
  <c r="D25" i="4" l="1"/>
  <c r="C26" i="4"/>
  <c r="G30" i="1"/>
  <c r="F31" i="1" s="1"/>
  <c r="I30" i="1"/>
  <c r="F25" i="4" l="1"/>
  <c r="H25" i="4" s="1"/>
  <c r="I25" i="4" s="1"/>
  <c r="D26" i="4"/>
  <c r="C27" i="4"/>
  <c r="G31" i="1"/>
  <c r="F32" i="1" s="1"/>
  <c r="I31" i="1"/>
  <c r="F26" i="4" l="1"/>
  <c r="H26" i="4" s="1"/>
  <c r="I26" i="4" s="1"/>
  <c r="J25" i="4"/>
  <c r="K25" i="4"/>
  <c r="K35" i="1" s="1"/>
  <c r="D27" i="4"/>
  <c r="C28" i="4"/>
  <c r="J26" i="4"/>
  <c r="K26" i="4"/>
  <c r="K33" i="1" s="1"/>
  <c r="G32" i="1"/>
  <c r="F33" i="1" s="1"/>
  <c r="I32" i="1"/>
  <c r="K45" i="1"/>
  <c r="F27" i="4" l="1"/>
  <c r="H27" i="4" s="1"/>
  <c r="I27" i="4" s="1"/>
  <c r="D28" i="4"/>
  <c r="C29" i="4"/>
  <c r="J27" i="4"/>
  <c r="K27" i="4"/>
  <c r="G33" i="1"/>
  <c r="F34" i="1" s="1"/>
  <c r="I33" i="1"/>
  <c r="F28" i="4" l="1"/>
  <c r="H28" i="4" s="1"/>
  <c r="I28" i="4" s="1"/>
  <c r="D29" i="4"/>
  <c r="C30" i="4"/>
  <c r="J28" i="4"/>
  <c r="K28" i="4"/>
  <c r="K46" i="1" s="1"/>
  <c r="G34" i="1"/>
  <c r="F35" i="1" s="1"/>
  <c r="I34" i="1"/>
  <c r="F29" i="4" l="1"/>
  <c r="H29" i="4" s="1"/>
  <c r="I29" i="4" s="1"/>
  <c r="D30" i="4"/>
  <c r="C31" i="4"/>
  <c r="J29" i="4"/>
  <c r="K29" i="4"/>
  <c r="K31" i="1" s="1"/>
  <c r="G35" i="1"/>
  <c r="F36" i="1" s="1"/>
  <c r="I35" i="1"/>
  <c r="F30" i="4" l="1"/>
  <c r="H30" i="4" s="1"/>
  <c r="I30" i="4" s="1"/>
  <c r="D31" i="4"/>
  <c r="C32" i="4"/>
  <c r="J30" i="4"/>
  <c r="K30" i="4"/>
  <c r="K27" i="1" s="1"/>
  <c r="G36" i="1"/>
  <c r="F37" i="1" s="1"/>
  <c r="I36" i="1"/>
  <c r="F31" i="4" l="1"/>
  <c r="H31" i="4" s="1"/>
  <c r="I31" i="4" s="1"/>
  <c r="D32" i="4"/>
  <c r="C33" i="4"/>
  <c r="J31" i="4"/>
  <c r="K31" i="4"/>
  <c r="K28" i="1" s="1"/>
  <c r="I37" i="1"/>
  <c r="G37" i="1"/>
  <c r="F38" i="1"/>
  <c r="F32" i="4" l="1"/>
  <c r="H32" i="4" s="1"/>
  <c r="I32" i="4" s="1"/>
  <c r="D33" i="4"/>
  <c r="C34" i="4"/>
  <c r="J32" i="4"/>
  <c r="K32" i="4"/>
  <c r="K38" i="1" s="1"/>
  <c r="G38" i="1"/>
  <c r="F39" i="1" s="1"/>
  <c r="I38" i="1"/>
  <c r="K30" i="1"/>
  <c r="F33" i="4" l="1"/>
  <c r="H33" i="4" s="1"/>
  <c r="I33" i="4" s="1"/>
  <c r="D34" i="4"/>
  <c r="C35" i="4"/>
  <c r="J33" i="4"/>
  <c r="K33" i="4"/>
  <c r="I39" i="1"/>
  <c r="G39" i="1"/>
  <c r="F40" i="1"/>
  <c r="F34" i="4" l="1"/>
  <c r="H34" i="4" s="1"/>
  <c r="I34" i="4" s="1"/>
  <c r="J34" i="4" s="1"/>
  <c r="K34" i="4" s="1"/>
  <c r="K29" i="1" s="1"/>
  <c r="D35" i="4"/>
  <c r="C36" i="4"/>
  <c r="G40" i="1"/>
  <c r="F41" i="1" s="1"/>
  <c r="I40" i="1"/>
  <c r="F35" i="4" l="1"/>
  <c r="H35" i="4" s="1"/>
  <c r="I35" i="4" s="1"/>
  <c r="D36" i="4"/>
  <c r="C37" i="4"/>
  <c r="G41" i="1"/>
  <c r="F42" i="1" s="1"/>
  <c r="I41" i="1"/>
  <c r="F36" i="4" l="1"/>
  <c r="H36" i="4" s="1"/>
  <c r="I36" i="4" s="1"/>
  <c r="J36" i="4" s="1"/>
  <c r="K36" i="4" s="1"/>
  <c r="K41" i="1" s="1"/>
  <c r="J35" i="4"/>
  <c r="K35" i="4"/>
  <c r="K40" i="1" s="1"/>
  <c r="D37" i="4"/>
  <c r="C38" i="4"/>
  <c r="G42" i="1"/>
  <c r="F43" i="1" s="1"/>
  <c r="I42" i="1"/>
  <c r="F37" i="4" l="1"/>
  <c r="H37" i="4" s="1"/>
  <c r="I37" i="4" s="1"/>
  <c r="D38" i="4"/>
  <c r="C39" i="4"/>
  <c r="J37" i="4"/>
  <c r="K37" i="4"/>
  <c r="K36" i="1" s="1"/>
  <c r="G43" i="1"/>
  <c r="F44" i="1" s="1"/>
  <c r="I43" i="1"/>
  <c r="F38" i="4" l="1"/>
  <c r="H38" i="4" s="1"/>
  <c r="I38" i="4" s="1"/>
  <c r="D39" i="4"/>
  <c r="C40" i="4"/>
  <c r="J38" i="4"/>
  <c r="K38" i="4"/>
  <c r="K37" i="1" s="1"/>
  <c r="G44" i="1"/>
  <c r="F45" i="1" s="1"/>
  <c r="I44" i="1"/>
  <c r="F39" i="4" l="1"/>
  <c r="H39" i="4" s="1"/>
  <c r="I39" i="4" s="1"/>
  <c r="D40" i="4"/>
  <c r="C41" i="4"/>
  <c r="G45" i="1"/>
  <c r="F46" i="1" s="1"/>
  <c r="I45" i="1"/>
  <c r="F40" i="4" l="1"/>
  <c r="H40" i="4" s="1"/>
  <c r="I40" i="4" s="1"/>
  <c r="J40" i="4" s="1"/>
  <c r="K40" i="4" s="1"/>
  <c r="K52" i="1" s="1"/>
  <c r="J39" i="4"/>
  <c r="K39" i="4"/>
  <c r="D41" i="4"/>
  <c r="C42" i="4"/>
  <c r="G46" i="1"/>
  <c r="F47" i="1" s="1"/>
  <c r="I46" i="1"/>
  <c r="F41" i="4" l="1"/>
  <c r="H41" i="4" s="1"/>
  <c r="I41" i="4" s="1"/>
  <c r="D42" i="4"/>
  <c r="C43" i="4"/>
  <c r="G47" i="1"/>
  <c r="F48" i="1" s="1"/>
  <c r="I47" i="1"/>
  <c r="F42" i="4" l="1"/>
  <c r="H42" i="4" s="1"/>
  <c r="I42" i="4" s="1"/>
  <c r="J41" i="4"/>
  <c r="K41" i="4"/>
  <c r="K48" i="1" s="1"/>
  <c r="D43" i="4"/>
  <c r="C44" i="4"/>
  <c r="C55" i="4"/>
  <c r="J42" i="4"/>
  <c r="K42" i="4"/>
  <c r="K50" i="1" s="1"/>
  <c r="I48" i="1"/>
  <c r="G48" i="1"/>
  <c r="F49" i="1"/>
  <c r="D44" i="4"/>
  <c r="F44" i="4" s="1"/>
  <c r="F43" i="4" l="1"/>
  <c r="H43" i="4" s="1"/>
  <c r="I43" i="4" s="1"/>
  <c r="F50" i="1"/>
  <c r="I50" i="1" s="1"/>
  <c r="I49" i="1"/>
  <c r="G49" i="1"/>
  <c r="G50" i="1" s="1"/>
  <c r="F51" i="1" s="1"/>
  <c r="C45" i="4"/>
  <c r="D45" i="4" s="1"/>
  <c r="F45" i="4" s="1"/>
  <c r="H44" i="4"/>
  <c r="J43" i="4" l="1"/>
  <c r="K43" i="4"/>
  <c r="K51" i="1" s="1"/>
  <c r="G51" i="1"/>
  <c r="F52" i="1" s="1"/>
  <c r="I51" i="1"/>
  <c r="H45" i="4"/>
  <c r="I44" i="4"/>
  <c r="C46" i="4"/>
  <c r="D46" i="4" s="1"/>
  <c r="F46" i="4" s="1"/>
  <c r="I45" i="4"/>
  <c r="I52" i="1" l="1"/>
  <c r="G52" i="1"/>
  <c r="F53" i="1"/>
  <c r="J45" i="4"/>
  <c r="K45" i="4"/>
  <c r="K56" i="1" s="1"/>
  <c r="C47" i="4"/>
  <c r="J44" i="4"/>
  <c r="H46" i="4"/>
  <c r="D47" i="4" l="1"/>
  <c r="F47" i="4" s="1"/>
  <c r="C48" i="4"/>
  <c r="F54" i="1"/>
  <c r="I54" i="1" s="1"/>
  <c r="I53" i="1"/>
  <c r="G53" i="1"/>
  <c r="G54" i="1" s="1"/>
  <c r="F55" i="1" s="1"/>
  <c r="H47" i="4"/>
  <c r="K44" i="4"/>
  <c r="I46" i="4"/>
  <c r="I47" i="4"/>
  <c r="G55" i="1" l="1"/>
  <c r="F56" i="1" s="1"/>
  <c r="I55" i="1"/>
  <c r="J47" i="4"/>
  <c r="K47" i="4" s="1"/>
  <c r="K55" i="1" s="1"/>
  <c r="J46" i="4"/>
  <c r="K46" i="4"/>
  <c r="K53" i="1"/>
  <c r="I56" i="1" l="1"/>
  <c r="G56" i="1"/>
  <c r="F57" i="1"/>
  <c r="D48" i="4"/>
  <c r="F48" i="4" s="1"/>
  <c r="G57" i="1" l="1"/>
  <c r="F58" i="1" s="1"/>
  <c r="I57" i="1"/>
  <c r="K62" i="1"/>
  <c r="C49" i="4"/>
  <c r="D49" i="4" s="1"/>
  <c r="F49" i="4" s="1"/>
  <c r="H48" i="4"/>
  <c r="G58" i="1" l="1"/>
  <c r="F59" i="1" s="1"/>
  <c r="I58" i="1"/>
  <c r="H49" i="4"/>
  <c r="I48" i="4"/>
  <c r="C50" i="4"/>
  <c r="D50" i="4" s="1"/>
  <c r="F50" i="4" s="1"/>
  <c r="H50" i="4" s="1"/>
  <c r="I49" i="4"/>
  <c r="I59" i="1" l="1"/>
  <c r="G59" i="1"/>
  <c r="F60" i="1"/>
  <c r="J49" i="4"/>
  <c r="K49" i="4"/>
  <c r="D55" i="4"/>
  <c r="I50" i="4"/>
  <c r="J48" i="4"/>
  <c r="K48" i="4"/>
  <c r="K66" i="1" l="1"/>
  <c r="K64" i="1"/>
  <c r="F61" i="1"/>
  <c r="I61" i="1" s="1"/>
  <c r="I60" i="1"/>
  <c r="G60" i="1"/>
  <c r="G61" i="1" s="1"/>
  <c r="F62" i="1" s="1"/>
  <c r="J50" i="4"/>
  <c r="J51" i="4" s="1"/>
  <c r="K50" i="4"/>
  <c r="K51" i="4" s="1"/>
  <c r="C56" i="4"/>
  <c r="D56" i="4" s="1"/>
  <c r="F55" i="4"/>
  <c r="H55" i="4" s="1"/>
  <c r="I55" i="4" s="1"/>
  <c r="K13" i="1"/>
  <c r="G62" i="1" l="1"/>
  <c r="F63" i="1" s="1"/>
  <c r="I62" i="1"/>
  <c r="J55" i="4"/>
  <c r="K55" i="4"/>
  <c r="C57" i="4"/>
  <c r="D57" i="4" s="1"/>
  <c r="F56" i="4"/>
  <c r="H56" i="4" s="1"/>
  <c r="I56" i="4" s="1"/>
  <c r="H8" i="4"/>
  <c r="H7" i="4"/>
  <c r="G63" i="1" l="1"/>
  <c r="I63" i="1"/>
  <c r="H9" i="4"/>
  <c r="H10" i="4" s="1"/>
  <c r="H11" i="4" s="1"/>
  <c r="J56" i="4"/>
  <c r="K56" i="4"/>
  <c r="C58" i="4"/>
  <c r="D58" i="4" s="1"/>
  <c r="F57" i="4"/>
  <c r="H57" i="4" s="1"/>
  <c r="I57" i="4" s="1"/>
  <c r="G65" i="1" l="1"/>
  <c r="F66" i="1" s="1"/>
  <c r="I65" i="1"/>
  <c r="J57" i="4"/>
  <c r="K57" i="4"/>
  <c r="K9" i="1" s="1"/>
  <c r="C59" i="4"/>
  <c r="D59" i="4" s="1"/>
  <c r="F58" i="4"/>
  <c r="H58" i="4" s="1"/>
  <c r="I58" i="4" s="1"/>
  <c r="I66" i="1" l="1"/>
  <c r="G66" i="1"/>
  <c r="F67" i="1" s="1"/>
  <c r="J58" i="4"/>
  <c r="K58" i="4"/>
  <c r="K8" i="1" s="1"/>
  <c r="C60" i="4"/>
  <c r="D60" i="4" s="1"/>
  <c r="F59" i="4"/>
  <c r="H59" i="4" s="1"/>
  <c r="I59" i="4" s="1"/>
  <c r="G67" i="1" l="1"/>
  <c r="F68" i="1" s="1"/>
  <c r="I67" i="1"/>
  <c r="J59" i="4"/>
  <c r="K59" i="4"/>
  <c r="K10" i="1" s="1"/>
  <c r="C61" i="4"/>
  <c r="D61" i="4" s="1"/>
  <c r="F60" i="4"/>
  <c r="H60" i="4" s="1"/>
  <c r="I60" i="4" s="1"/>
  <c r="I68" i="1" l="1"/>
  <c r="G68" i="1"/>
  <c r="F69" i="1" s="1"/>
  <c r="J60" i="4"/>
  <c r="K60" i="4"/>
  <c r="K11" i="1" s="1"/>
  <c r="C62" i="4"/>
  <c r="D62" i="4" s="1"/>
  <c r="F61" i="4"/>
  <c r="H61" i="4" s="1"/>
  <c r="I61" i="4" s="1"/>
  <c r="I69" i="1" l="1"/>
  <c r="H5" i="4" s="1"/>
  <c r="G69" i="1"/>
  <c r="H4" i="4" s="1"/>
  <c r="J61" i="4"/>
  <c r="K61" i="4"/>
  <c r="K60" i="1" s="1"/>
  <c r="C63" i="4"/>
  <c r="D63" i="4" s="1"/>
  <c r="F62" i="4"/>
  <c r="H62" i="4" s="1"/>
  <c r="I62" i="4" s="1"/>
  <c r="J62" i="4" l="1"/>
  <c r="K62" i="4"/>
  <c r="K61" i="1" s="1"/>
  <c r="C64" i="4"/>
  <c r="F63" i="4"/>
  <c r="H63" i="4" s="1"/>
  <c r="I63" i="4" s="1"/>
  <c r="D64" i="4" l="1"/>
  <c r="C66" i="4"/>
  <c r="D66" i="4" s="1"/>
  <c r="F66" i="4" s="1"/>
  <c r="H66" i="4" s="1"/>
  <c r="I66" i="4" s="1"/>
  <c r="J66" i="4" s="1"/>
  <c r="K66" i="4" s="1"/>
  <c r="J63" i="4"/>
  <c r="K63" i="4"/>
  <c r="K63" i="1" s="1"/>
  <c r="C65" i="4"/>
  <c r="D65" i="4" s="1"/>
  <c r="F64" i="4"/>
  <c r="H64" i="4" s="1"/>
  <c r="I64" i="4" s="1"/>
  <c r="J64" i="4" l="1"/>
  <c r="K64" i="4"/>
  <c r="C67" i="4"/>
  <c r="D67" i="4" s="1"/>
  <c r="F65" i="4"/>
  <c r="H65" i="4" s="1"/>
  <c r="I65" i="4" s="1"/>
  <c r="J65" i="4" l="1"/>
  <c r="K65" i="4"/>
  <c r="K69" i="1" s="1"/>
  <c r="C68" i="4"/>
  <c r="F67" i="4"/>
  <c r="H67" i="4" s="1"/>
  <c r="I67" i="4" s="1"/>
  <c r="D68" i="4" l="1"/>
  <c r="C69" i="4"/>
  <c r="D69" i="4" s="1"/>
  <c r="J67" i="4"/>
  <c r="K67" i="4"/>
  <c r="K65" i="1" s="1"/>
  <c r="C70" i="4"/>
  <c r="F68" i="4"/>
  <c r="H68" i="4" l="1"/>
  <c r="I68" i="4" s="1"/>
  <c r="F69" i="4"/>
  <c r="H69" i="4" s="1"/>
  <c r="I69" i="4"/>
  <c r="D70" i="4"/>
  <c r="F70" i="4" s="1"/>
  <c r="H70" i="4" s="1"/>
  <c r="I70" i="4" s="1"/>
  <c r="J68" i="4"/>
  <c r="K68" i="4"/>
  <c r="K67" i="1" s="1"/>
  <c r="J70" i="4"/>
  <c r="K70" i="4"/>
  <c r="K6" i="1" s="1"/>
  <c r="J69" i="4" l="1"/>
  <c r="K69" i="4" s="1"/>
  <c r="K57" i="1" s="1"/>
  <c r="K71" i="4"/>
  <c r="J71" i="4"/>
</calcChain>
</file>

<file path=xl/sharedStrings.xml><?xml version="1.0" encoding="utf-8"?>
<sst xmlns="http://schemas.openxmlformats.org/spreadsheetml/2006/main" count="316" uniqueCount="245">
  <si>
    <t>Item Key</t>
  </si>
  <si>
    <t>Summary of Initiatives</t>
  </si>
  <si>
    <t>Status</t>
  </si>
  <si>
    <t>Active</t>
  </si>
  <si>
    <t>Current Phase</t>
  </si>
  <si>
    <t>Start Date</t>
  </si>
  <si>
    <t>End Date</t>
  </si>
  <si>
    <t>Duration</t>
  </si>
  <si>
    <t>Offset Days</t>
  </si>
  <si>
    <t>Overrun Days</t>
  </si>
  <si>
    <t>Total Cost</t>
  </si>
  <si>
    <t>Item Color</t>
  </si>
  <si>
    <t>Code</t>
  </si>
  <si>
    <t>SE11-01</t>
  </si>
  <si>
    <t>Punchlist Due Dilligence</t>
  </si>
  <si>
    <t>Done</t>
  </si>
  <si>
    <t>Purple</t>
  </si>
  <si>
    <t>SE11-02</t>
  </si>
  <si>
    <t>Initial Site Survey</t>
  </si>
  <si>
    <t>SE11-03</t>
  </si>
  <si>
    <t>Retain Real Estate Attorney</t>
  </si>
  <si>
    <t>To Do</t>
  </si>
  <si>
    <t>SE11-04</t>
  </si>
  <si>
    <t>Review &amp; Sign Contracts</t>
  </si>
  <si>
    <t>SE11-05</t>
  </si>
  <si>
    <t>Obtain Building Permits</t>
  </si>
  <si>
    <t>SE11-06</t>
  </si>
  <si>
    <t>Interior Design Review</t>
  </si>
  <si>
    <t>SE11-07</t>
  </si>
  <si>
    <t>Order Appliances &amp; Vanities</t>
  </si>
  <si>
    <t>SE11-08</t>
  </si>
  <si>
    <t>Order Cabinetry (Full Home)</t>
  </si>
  <si>
    <t>SE11-09</t>
  </si>
  <si>
    <t>Order Hardware &amp; Fixtures</t>
  </si>
  <si>
    <t>SE11-10</t>
  </si>
  <si>
    <t>Order Tile &amp; Backsplash</t>
  </si>
  <si>
    <t>SE11-11</t>
  </si>
  <si>
    <t>On-Site Contruction Begins</t>
  </si>
  <si>
    <t>SE11-12</t>
  </si>
  <si>
    <t>Equipment / Tool Rental</t>
  </si>
  <si>
    <t>SE11-13</t>
  </si>
  <si>
    <t>Initial Site Clearing &amp; Prep</t>
  </si>
  <si>
    <t>SE11-14</t>
  </si>
  <si>
    <t>Temporary Utility Instillation</t>
  </si>
  <si>
    <t>SE11-15</t>
  </si>
  <si>
    <t>Demolition of Structure</t>
  </si>
  <si>
    <t>SE11-16</t>
  </si>
  <si>
    <t>Carting (Waste Materials)</t>
  </si>
  <si>
    <t>SE11-17</t>
  </si>
  <si>
    <t>Rear Footing &amp; Step Instillation</t>
  </si>
  <si>
    <t>SE11-18</t>
  </si>
  <si>
    <t>Pour Foundation Walls &amp; Slab</t>
  </si>
  <si>
    <t>SE11-19</t>
  </si>
  <si>
    <t>Foundation Inspection #1</t>
  </si>
  <si>
    <t>SE11-20</t>
  </si>
  <si>
    <t>Waterproof Concrete Foundation</t>
  </si>
  <si>
    <t>SE11-21</t>
  </si>
  <si>
    <t>Backfill Concete Foundaiton</t>
  </si>
  <si>
    <t>SE11-22</t>
  </si>
  <si>
    <t>Full Utility Tie-In (Con Edison)</t>
  </si>
  <si>
    <t>SE11-23</t>
  </si>
  <si>
    <t>Foundation Inspection #2</t>
  </si>
  <si>
    <t>SE11-24</t>
  </si>
  <si>
    <t>Strucural Steel Instillation</t>
  </si>
  <si>
    <t>SE11-25</t>
  </si>
  <si>
    <t>Framing (Structure)</t>
  </si>
  <si>
    <t>SE11-26</t>
  </si>
  <si>
    <t>Copper Flashing Instillation</t>
  </si>
  <si>
    <t>SE11-27</t>
  </si>
  <si>
    <t>Door &amp; Window Instillation</t>
  </si>
  <si>
    <t>SE11-28</t>
  </si>
  <si>
    <t>Garage Door Instillation</t>
  </si>
  <si>
    <t>SE11-29</t>
  </si>
  <si>
    <t>Framing Inspection</t>
  </si>
  <si>
    <t>SE11-30</t>
  </si>
  <si>
    <t>Roof Shingle Instillation</t>
  </si>
  <si>
    <t>SE11-31</t>
  </si>
  <si>
    <t>Rough Electrial Instillation</t>
  </si>
  <si>
    <t>SE11-32</t>
  </si>
  <si>
    <t>Rough Plumbing Instillation</t>
  </si>
  <si>
    <t>SE11-33</t>
  </si>
  <si>
    <t>Plumbing &amp; Electrical Inspection</t>
  </si>
  <si>
    <t>SE11-34</t>
  </si>
  <si>
    <t>HVAC Duct Work Instillation</t>
  </si>
  <si>
    <t>SE11-35</t>
  </si>
  <si>
    <t>Exterior Siding &amp; Paint</t>
  </si>
  <si>
    <t>SE11-36</t>
  </si>
  <si>
    <t>Exterior Trim Instillation</t>
  </si>
  <si>
    <t>SE11-37</t>
  </si>
  <si>
    <t>Composite Shutter Instillation</t>
  </si>
  <si>
    <t>Blue</t>
  </si>
  <si>
    <t>SE11-38</t>
  </si>
  <si>
    <t>Insulation Instillation (Frame)</t>
  </si>
  <si>
    <t>SE11-39</t>
  </si>
  <si>
    <t>Gutter &amp; Leader Instillation</t>
  </si>
  <si>
    <t>SE11-40</t>
  </si>
  <si>
    <t>Vapor Barrier &amp; Flashing</t>
  </si>
  <si>
    <t>SE11-41</t>
  </si>
  <si>
    <t>Weatherproofing Inspection</t>
  </si>
  <si>
    <t>SE11-42</t>
  </si>
  <si>
    <t>Landscaping Design Review</t>
  </si>
  <si>
    <t>SE11-43</t>
  </si>
  <si>
    <t>Order Landscaping &amp; Materials</t>
  </si>
  <si>
    <t>SE11-44</t>
  </si>
  <si>
    <t>Medicine Cabinet Framing</t>
  </si>
  <si>
    <t>SE11-45</t>
  </si>
  <si>
    <t>Drywall Instillation</t>
  </si>
  <si>
    <t>SE11-46</t>
  </si>
  <si>
    <t>Recessed Lighting Instillation</t>
  </si>
  <si>
    <t>SE11-47</t>
  </si>
  <si>
    <t>Hardwood Floor Instillation</t>
  </si>
  <si>
    <t>SE11-48</t>
  </si>
  <si>
    <t>Interior Rail Instillation</t>
  </si>
  <si>
    <t>SE11-49</t>
  </si>
  <si>
    <t>Interior Trim Instillation</t>
  </si>
  <si>
    <t>SE11-50</t>
  </si>
  <si>
    <t>Paint Walls, Trim &amp; Ceilings</t>
  </si>
  <si>
    <t>SE11-51</t>
  </si>
  <si>
    <t>Tile &amp; Backsplaash Instillation</t>
  </si>
  <si>
    <t>SE11-52</t>
  </si>
  <si>
    <t>Appliance &amp; Vanity Instillation</t>
  </si>
  <si>
    <t>SE11-53</t>
  </si>
  <si>
    <t>Cabinetry &amp; Countertop Instillation</t>
  </si>
  <si>
    <t>SE11-54</t>
  </si>
  <si>
    <t>Mirror &amp; Accessory Instillation</t>
  </si>
  <si>
    <t>SE11-55</t>
  </si>
  <si>
    <t>Fixture &amp; Hardware Instillation</t>
  </si>
  <si>
    <t>SE11-56</t>
  </si>
  <si>
    <t>Alarm System Instillation</t>
  </si>
  <si>
    <t>SE11-57</t>
  </si>
  <si>
    <t>Floor Stain (1st Coat)</t>
  </si>
  <si>
    <t>SE11-58</t>
  </si>
  <si>
    <t>Floor Stain (2nd Coat)</t>
  </si>
  <si>
    <t>SE11-59</t>
  </si>
  <si>
    <t>Final Grading &amp; Landscaping</t>
  </si>
  <si>
    <t>SE11-60</t>
  </si>
  <si>
    <t>Irrigation Instillation</t>
  </si>
  <si>
    <t>SE11-61</t>
  </si>
  <si>
    <t>Blue Stone Patio Instillation</t>
  </si>
  <si>
    <t>SE11-62</t>
  </si>
  <si>
    <t>Perimeter Fencing Instillation</t>
  </si>
  <si>
    <t>SE11-63</t>
  </si>
  <si>
    <t>Final Site Cleanup</t>
  </si>
  <si>
    <t>SE11-64</t>
  </si>
  <si>
    <t>Site Survey (Pre C of O)</t>
  </si>
  <si>
    <t>SE11-65</t>
  </si>
  <si>
    <t>Deck &amp; Patio Inspection</t>
  </si>
  <si>
    <t>SE11-66</t>
  </si>
  <si>
    <t>Final Inspection (C of O)</t>
  </si>
  <si>
    <t>SE11-67</t>
  </si>
  <si>
    <t>Moving Services (Post Close)</t>
  </si>
  <si>
    <t>SE11-68</t>
  </si>
  <si>
    <t>Final Contractor Payment Due</t>
  </si>
  <si>
    <t>`</t>
  </si>
  <si>
    <t>11 Clinton Lane - Unit / Material Cost</t>
  </si>
  <si>
    <t>Current Date:</t>
  </si>
  <si>
    <t>Expected Completion Date</t>
  </si>
  <si>
    <t>Project Start:</t>
  </si>
  <si>
    <t>Total Project Timeline (Hrs)</t>
  </si>
  <si>
    <t>Lot Size</t>
  </si>
  <si>
    <t>Construction Cost</t>
  </si>
  <si>
    <t>Builder Grade (%)</t>
  </si>
  <si>
    <t>Building SF</t>
  </si>
  <si>
    <t>GC Fee (%)</t>
  </si>
  <si>
    <t>Market Grade (%)</t>
  </si>
  <si>
    <t># of Stories</t>
  </si>
  <si>
    <t>Punchlist Fee (%)</t>
  </si>
  <si>
    <t>Punchlist Grade (%)</t>
  </si>
  <si>
    <t>Above Grade SF</t>
  </si>
  <si>
    <t>Total Project Cost</t>
  </si>
  <si>
    <t>Design Grade (%)</t>
  </si>
  <si>
    <t>Below Grade SF</t>
  </si>
  <si>
    <t>$ per SF Cost</t>
  </si>
  <si>
    <t>Luxuary Grade (%)</t>
  </si>
  <si>
    <t>Unit / Service Desciption</t>
  </si>
  <si>
    <t>Unit Cost (1)</t>
  </si>
  <si>
    <t>% Market Grade</t>
  </si>
  <si>
    <t>Unit Cost + Grade</t>
  </si>
  <si>
    <t>Total Units / SF</t>
  </si>
  <si>
    <t>Labor Rate (Hr)</t>
  </si>
  <si>
    <t>Expected Hours</t>
  </si>
  <si>
    <t>Instillation Cost</t>
  </si>
  <si>
    <t>Total Unit Cost</t>
  </si>
  <si>
    <t>Waste (0.00%)</t>
  </si>
  <si>
    <t>Final Unit Cost</t>
  </si>
  <si>
    <t>Initiative Key</t>
  </si>
  <si>
    <t>Initiative Name</t>
  </si>
  <si>
    <t>Survey / Staking (By Owner)</t>
  </si>
  <si>
    <t>Portable Restroom</t>
  </si>
  <si>
    <t>Demolition</t>
  </si>
  <si>
    <t>Carting (Allowance)</t>
  </si>
  <si>
    <t>Rear Foot / Steps</t>
  </si>
  <si>
    <t>Structural Steel</t>
  </si>
  <si>
    <t>Bluestone Patio Rear (No Border)</t>
  </si>
  <si>
    <t>Interior Rails (Red Oak)</t>
  </si>
  <si>
    <t>Framing (Interior &amp; Exterior)</t>
  </si>
  <si>
    <t>Electrical / Generator (22kw)</t>
  </si>
  <si>
    <t>Insulation (No Attic)</t>
  </si>
  <si>
    <t>HVAC (2 Hydro Systems / 3 Zones)</t>
  </si>
  <si>
    <t>Plumbing / Heating / Gas Work</t>
  </si>
  <si>
    <t>Plumbing Fixture Allowance</t>
  </si>
  <si>
    <t>Drywall (Per Plan)</t>
  </si>
  <si>
    <t>Roofing (Patch to Match)</t>
  </si>
  <si>
    <t>Copper Roofs / Flashing</t>
  </si>
  <si>
    <t>Exterior Doors / Windows</t>
  </si>
  <si>
    <t>Composite Shutters (7 Pair)</t>
  </si>
  <si>
    <t>Exterior Trim</t>
  </si>
  <si>
    <t>Garage Doors (3x?)</t>
  </si>
  <si>
    <t>Gutters / Leaders (6K White)</t>
  </si>
  <si>
    <t>Vapor Barrier / Window / Door Flashing</t>
  </si>
  <si>
    <t>Exterior Siding / Hardi Plank 6"</t>
  </si>
  <si>
    <t>Exterior Paint (Trim Only)</t>
  </si>
  <si>
    <t>Tile Allowance</t>
  </si>
  <si>
    <t>Tile Labor</t>
  </si>
  <si>
    <t>Hardwood Floors (3 1/4 Red Oak)</t>
  </si>
  <si>
    <t>Interior Trim</t>
  </si>
  <si>
    <t>Interior Paint / Primer</t>
  </si>
  <si>
    <t>Vanity Instillation</t>
  </si>
  <si>
    <t>Shower Doors / Paritions (Primary)</t>
  </si>
  <si>
    <t>Appliance Instillaton</t>
  </si>
  <si>
    <t>Mirror / Accessory Installation</t>
  </si>
  <si>
    <t>Site Clean up (Final)</t>
  </si>
  <si>
    <t>Misc. Job Supplies</t>
  </si>
  <si>
    <t>Items Not Included:</t>
  </si>
  <si>
    <t>Waste (10.00%)</t>
  </si>
  <si>
    <t>Peremiter Fencing</t>
  </si>
  <si>
    <t>Kitchen Appliances</t>
  </si>
  <si>
    <t>Kitchen &amp; Bathroom Cabinetry</t>
  </si>
  <si>
    <t>Bathroom Vanities</t>
  </si>
  <si>
    <t>Lighiting Fixtures &amp; Hardware</t>
  </si>
  <si>
    <t>Tile &amp; Backspalsh</t>
  </si>
  <si>
    <t>Final Grading / Landscaping</t>
  </si>
  <si>
    <t>Irrigation System (By Owner)</t>
  </si>
  <si>
    <t>Property Fencing</t>
  </si>
  <si>
    <t>Hourly Services (Designer)</t>
  </si>
  <si>
    <t>Hourly Services (Punchlist)</t>
  </si>
  <si>
    <t>Final Site Survey</t>
  </si>
  <si>
    <t>C of O Inspection</t>
  </si>
  <si>
    <t>Alarm System (By Owner)</t>
  </si>
  <si>
    <t>Building Permit Fees</t>
  </si>
  <si>
    <t>Color</t>
  </si>
  <si>
    <t>Dark Blue</t>
  </si>
  <si>
    <t>Light Blue</t>
  </si>
  <si>
    <t>Grey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</si>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</sst>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.00"/>
    <numFmt numFmtId="165" formatCode="_(* #,##0_);_(* \(#,##0\);_(* &quot;-&quot;??_);_(@_)"/>
    <numFmt numFmtId="166" formatCode="&quot; &quot;* #,##0&quot; &quot;;&quot; &quot;* \(#,##0\);&quot; &quot;* &quot;-&quot;??&quot; &quot;"/>
  </numFmts>
  <fonts count="20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9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000000"/>
      <name val="Times New Roman"/>
      <family val="1"/>
    </font>
    <font>
      <sz val="12"/>
      <color theme="3" tint="0.249977111117893"/>
      <name val="Times New Roman"/>
      <family val="1"/>
    </font>
    <font>
      <b/>
      <sz val="24"/>
      <color rgb="FF000000"/>
      <name val="Times New Roman"/>
      <family val="1"/>
    </font>
    <font>
      <sz val="24"/>
      <color theme="1"/>
      <name val="Times New Roman"/>
      <family val="1"/>
    </font>
    <font>
      <b/>
      <i/>
      <sz val="12"/>
      <color indexed="9"/>
      <name val="Times New Roman"/>
      <family val="1"/>
    </font>
    <font>
      <i/>
      <sz val="12"/>
      <color indexed="8"/>
      <name val="Times New Roman"/>
      <family val="1"/>
    </font>
    <font>
      <b/>
      <i/>
      <sz val="12"/>
      <color indexed="8"/>
      <name val="Times New Roman"/>
      <family val="1"/>
    </font>
    <font>
      <i/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A25E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F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2" tint="-9.9978637043366805E-2"/>
      </left>
      <right style="thin">
        <color theme="1"/>
      </right>
      <top style="thin">
        <color theme="2" tint="-9.9978637043366805E-2"/>
      </top>
      <bottom style="thin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1"/>
      </right>
      <top style="thin">
        <color theme="1"/>
      </top>
      <bottom style="thin">
        <color theme="2" tint="-9.9978637043366805E-2"/>
      </bottom>
      <diagonal/>
    </border>
    <border>
      <left style="thin">
        <color theme="1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theme="2" tint="-9.9978637043366805E-2"/>
      </bottom>
      <diagonal/>
    </border>
    <border>
      <left style="thin">
        <color rgb="FF000000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000000"/>
      </left>
      <right/>
      <top style="thin">
        <color theme="2" tint="-9.9978637043366805E-2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2" tint="-9.9978637043366805E-2"/>
      </right>
      <top style="thin">
        <color theme="1"/>
      </top>
      <bottom style="thin">
        <color theme="2" tint="-9.9978637043366805E-2"/>
      </bottom>
      <diagonal/>
    </border>
    <border>
      <left style="thin">
        <color theme="1"/>
      </left>
      <right style="thin">
        <color theme="2" tint="-9.9978637043366805E-2"/>
      </right>
      <top style="thin">
        <color theme="2" tint="-9.9978637043366805E-2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theme="2" tint="-9.9978637043366805E-2"/>
      </bottom>
      <diagonal/>
    </border>
    <border>
      <left/>
      <right style="thin">
        <color rgb="FF000000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rgb="FF000000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1"/>
      </right>
      <top style="thin">
        <color theme="2" tint="-9.9978637043366805E-2"/>
      </top>
      <bottom/>
      <diagonal/>
    </border>
    <border>
      <left/>
      <right style="thin">
        <color theme="1"/>
      </right>
      <top/>
      <bottom style="thin">
        <color theme="2" tint="-9.9978637043366805E-2"/>
      </bottom>
      <diagonal/>
    </border>
    <border>
      <left/>
      <right style="thin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theme="1"/>
      </right>
      <top style="thin">
        <color theme="2" tint="-9.9978637043366805E-2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vertical="center"/>
    </xf>
    <xf numFmtId="164" fontId="3" fillId="0" borderId="0" xfId="0" applyNumberFormat="1" applyFont="1" applyAlignment="1">
      <alignment vertical="center"/>
    </xf>
    <xf numFmtId="49" fontId="7" fillId="10" borderId="0" xfId="0" applyNumberFormat="1" applyFont="1" applyFill="1" applyAlignment="1">
      <alignment vertical="center"/>
    </xf>
    <xf numFmtId="0" fontId="7" fillId="10" borderId="0" xfId="0" applyFont="1" applyFill="1" applyAlignment="1">
      <alignment vertical="center"/>
    </xf>
    <xf numFmtId="49" fontId="6" fillId="10" borderId="0" xfId="0" applyNumberFormat="1" applyFont="1" applyFill="1" applyAlignment="1">
      <alignment vertical="center"/>
    </xf>
    <xf numFmtId="14" fontId="7" fillId="10" borderId="0" xfId="0" applyNumberFormat="1" applyFont="1" applyFill="1" applyAlignment="1">
      <alignment horizontal="right" vertical="center"/>
    </xf>
    <xf numFmtId="14" fontId="7" fillId="10" borderId="0" xfId="0" applyNumberFormat="1" applyFont="1" applyFill="1" applyAlignment="1">
      <alignment vertical="center"/>
    </xf>
    <xf numFmtId="14" fontId="7" fillId="10" borderId="0" xfId="0" applyNumberFormat="1" applyFont="1" applyFill="1" applyAlignment="1">
      <alignment horizontal="left" vertical="center"/>
    </xf>
    <xf numFmtId="166" fontId="7" fillId="10" borderId="0" xfId="0" applyNumberFormat="1" applyFont="1" applyFill="1" applyAlignment="1">
      <alignment vertical="center"/>
    </xf>
    <xf numFmtId="166" fontId="7" fillId="10" borderId="0" xfId="0" applyNumberFormat="1" applyFont="1" applyFill="1" applyAlignment="1">
      <alignment horizontal="right" vertical="center"/>
    </xf>
    <xf numFmtId="0" fontId="5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166" fontId="7" fillId="0" borderId="2" xfId="0" applyNumberFormat="1" applyFont="1" applyBorder="1" applyAlignment="1">
      <alignment horizontal="right" vertical="center" wrapText="1"/>
    </xf>
    <xf numFmtId="164" fontId="7" fillId="0" borderId="2" xfId="0" applyNumberFormat="1" applyFont="1" applyBorder="1" applyAlignment="1">
      <alignment vertical="center" wrapText="1"/>
    </xf>
    <xf numFmtId="0" fontId="9" fillId="0" borderId="3" xfId="0" applyFont="1" applyBorder="1" applyAlignment="1">
      <alignment horizontal="right" vertical="center"/>
    </xf>
    <xf numFmtId="166" fontId="7" fillId="0" borderId="4" xfId="0" applyNumberFormat="1" applyFont="1" applyBorder="1" applyAlignment="1">
      <alignment horizontal="right" vertical="center" wrapText="1"/>
    </xf>
    <xf numFmtId="0" fontId="6" fillId="10" borderId="0" xfId="0" applyFont="1" applyFill="1" applyAlignment="1">
      <alignment vertical="center"/>
    </xf>
    <xf numFmtId="164" fontId="7" fillId="10" borderId="0" xfId="0" applyNumberFormat="1" applyFont="1" applyFill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5" fillId="0" borderId="0" xfId="0" applyFont="1" applyAlignment="1">
      <alignment horizontal="right" vertical="center"/>
    </xf>
    <xf numFmtId="10" fontId="10" fillId="0" borderId="0" xfId="0" applyNumberFormat="1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8" fillId="2" borderId="8" xfId="0" applyNumberFormat="1" applyFont="1" applyFill="1" applyBorder="1" applyAlignment="1">
      <alignment horizontal="right" vertical="center"/>
    </xf>
    <xf numFmtId="10" fontId="13" fillId="10" borderId="0" xfId="0" applyNumberFormat="1" applyFont="1" applyFill="1" applyAlignment="1">
      <alignment horizontal="center" vertical="center"/>
    </xf>
    <xf numFmtId="164" fontId="10" fillId="0" borderId="0" xfId="0" applyNumberFormat="1" applyFont="1" applyAlignment="1">
      <alignment horizontal="left" vertical="center"/>
    </xf>
    <xf numFmtId="14" fontId="12" fillId="0" borderId="2" xfId="0" applyNumberFormat="1" applyFont="1" applyBorder="1" applyAlignment="1">
      <alignment horizontal="right" vertical="center"/>
    </xf>
    <xf numFmtId="0" fontId="12" fillId="0" borderId="2" xfId="0" applyFont="1" applyBorder="1" applyAlignment="1">
      <alignment horizontal="right" vertical="center"/>
    </xf>
    <xf numFmtId="164" fontId="12" fillId="0" borderId="2" xfId="0" applyNumberFormat="1" applyFont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  <xf numFmtId="10" fontId="9" fillId="0" borderId="2" xfId="0" applyNumberFormat="1" applyFont="1" applyBorder="1" applyAlignment="1">
      <alignment vertical="center"/>
    </xf>
    <xf numFmtId="10" fontId="9" fillId="0" borderId="11" xfId="0" applyNumberFormat="1" applyFont="1" applyBorder="1" applyAlignment="1">
      <alignment vertical="center"/>
    </xf>
    <xf numFmtId="164" fontId="7" fillId="0" borderId="11" xfId="0" applyNumberFormat="1" applyFont="1" applyBorder="1" applyAlignment="1">
      <alignment vertical="center" wrapText="1"/>
    </xf>
    <xf numFmtId="49" fontId="16" fillId="2" borderId="1" xfId="0" applyNumberFormat="1" applyFont="1" applyFill="1" applyBorder="1" applyAlignment="1">
      <alignment horizontal="right" vertical="center"/>
    </xf>
    <xf numFmtId="166" fontId="17" fillId="0" borderId="11" xfId="0" applyNumberFormat="1" applyFont="1" applyBorder="1" applyAlignment="1">
      <alignment horizontal="right" vertical="center"/>
    </xf>
    <xf numFmtId="166" fontId="17" fillId="0" borderId="2" xfId="0" applyNumberFormat="1" applyFont="1" applyBorder="1" applyAlignment="1">
      <alignment horizontal="right" vertical="center"/>
    </xf>
    <xf numFmtId="10" fontId="9" fillId="0" borderId="4" xfId="0" applyNumberFormat="1" applyFont="1" applyBorder="1" applyAlignment="1">
      <alignment vertical="center"/>
    </xf>
    <xf numFmtId="164" fontId="7" fillId="0" borderId="4" xfId="0" applyNumberFormat="1" applyFont="1" applyBorder="1" applyAlignment="1">
      <alignment vertical="center" wrapText="1"/>
    </xf>
    <xf numFmtId="166" fontId="17" fillId="0" borderId="4" xfId="0" applyNumberFormat="1" applyFont="1" applyBorder="1" applyAlignment="1">
      <alignment horizontal="right" vertical="center"/>
    </xf>
    <xf numFmtId="49" fontId="8" fillId="2" borderId="9" xfId="0" applyNumberFormat="1" applyFont="1" applyFill="1" applyBorder="1" applyAlignment="1">
      <alignment vertical="center"/>
    </xf>
    <xf numFmtId="49" fontId="18" fillId="9" borderId="7" xfId="0" applyNumberFormat="1" applyFont="1" applyFill="1" applyBorder="1" applyAlignment="1">
      <alignment vertical="center"/>
    </xf>
    <xf numFmtId="10" fontId="10" fillId="11" borderId="0" xfId="0" applyNumberFormat="1" applyFont="1" applyFill="1" applyAlignment="1">
      <alignment vertical="center"/>
    </xf>
    <xf numFmtId="8" fontId="5" fillId="0" borderId="0" xfId="0" applyNumberFormat="1" applyFont="1" applyAlignment="1">
      <alignment vertical="center"/>
    </xf>
    <xf numFmtId="164" fontId="19" fillId="0" borderId="0" xfId="0" applyNumberFormat="1" applyFont="1" applyAlignment="1">
      <alignment vertical="center"/>
    </xf>
    <xf numFmtId="49" fontId="18" fillId="9" borderId="9" xfId="0" applyNumberFormat="1" applyFont="1" applyFill="1" applyBorder="1" applyAlignment="1">
      <alignment vertical="center"/>
    </xf>
    <xf numFmtId="49" fontId="18" fillId="9" borderId="5" xfId="0" applyNumberFormat="1" applyFont="1" applyFill="1" applyBorder="1" applyAlignment="1">
      <alignment vertical="center"/>
    </xf>
    <xf numFmtId="166" fontId="7" fillId="0" borderId="11" xfId="0" applyNumberFormat="1" applyFont="1" applyBorder="1" applyAlignment="1">
      <alignment horizontal="right" vertical="center" wrapText="1"/>
    </xf>
    <xf numFmtId="164" fontId="17" fillId="0" borderId="2" xfId="0" applyNumberFormat="1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13" xfId="0" applyFont="1" applyBorder="1" applyAlignment="1">
      <alignment vertical="center"/>
    </xf>
    <xf numFmtId="164" fontId="6" fillId="0" borderId="2" xfId="0" applyNumberFormat="1" applyFont="1" applyBorder="1" applyAlignment="1">
      <alignment horizontal="right" vertical="center"/>
    </xf>
    <xf numFmtId="0" fontId="2" fillId="2" borderId="14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165" fontId="7" fillId="10" borderId="0" xfId="0" applyNumberFormat="1" applyFont="1" applyFill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164" fontId="7" fillId="0" borderId="22" xfId="0" applyNumberFormat="1" applyFont="1" applyBorder="1" applyAlignment="1">
      <alignment vertical="center" wrapText="1"/>
    </xf>
    <xf numFmtId="164" fontId="7" fillId="0" borderId="13" xfId="0" applyNumberFormat="1" applyFont="1" applyBorder="1" applyAlignment="1">
      <alignment vertical="center" wrapText="1"/>
    </xf>
    <xf numFmtId="164" fontId="7" fillId="0" borderId="23" xfId="0" applyNumberFormat="1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/>
    </xf>
    <xf numFmtId="49" fontId="8" fillId="2" borderId="20" xfId="0" applyNumberFormat="1" applyFont="1" applyFill="1" applyBorder="1" applyAlignment="1">
      <alignment vertical="center"/>
    </xf>
    <xf numFmtId="49" fontId="8" fillId="2" borderId="21" xfId="0" applyNumberFormat="1" applyFont="1" applyFill="1" applyBorder="1" applyAlignment="1">
      <alignment horizontal="right" vertical="center"/>
    </xf>
    <xf numFmtId="164" fontId="17" fillId="0" borderId="11" xfId="0" applyNumberFormat="1" applyFont="1" applyBorder="1" applyAlignment="1">
      <alignment vertical="center" wrapText="1"/>
    </xf>
    <xf numFmtId="164" fontId="6" fillId="0" borderId="11" xfId="0" applyNumberFormat="1" applyFont="1" applyBorder="1" applyAlignment="1">
      <alignment horizontal="right" vertical="center"/>
    </xf>
    <xf numFmtId="8" fontId="9" fillId="0" borderId="13" xfId="0" applyNumberFormat="1" applyFont="1" applyBorder="1" applyAlignment="1">
      <alignment vertical="center"/>
    </xf>
    <xf numFmtId="8" fontId="9" fillId="0" borderId="23" xfId="0" applyNumberFormat="1" applyFont="1" applyBorder="1" applyAlignment="1">
      <alignment vertical="center"/>
    </xf>
    <xf numFmtId="164" fontId="17" fillId="0" borderId="4" xfId="0" applyNumberFormat="1" applyFont="1" applyBorder="1" applyAlignment="1">
      <alignment vertical="center" wrapText="1"/>
    </xf>
    <xf numFmtId="164" fontId="6" fillId="0" borderId="4" xfId="0" applyNumberFormat="1" applyFont="1" applyBorder="1" applyAlignment="1">
      <alignment horizontal="right" vertical="center"/>
    </xf>
    <xf numFmtId="49" fontId="6" fillId="9" borderId="7" xfId="0" applyNumberFormat="1" applyFont="1" applyFill="1" applyBorder="1" applyAlignment="1">
      <alignment vertical="center"/>
    </xf>
    <xf numFmtId="49" fontId="6" fillId="9" borderId="5" xfId="0" applyNumberFormat="1" applyFont="1" applyFill="1" applyBorder="1" applyAlignment="1">
      <alignment vertical="center"/>
    </xf>
    <xf numFmtId="0" fontId="5" fillId="0" borderId="26" xfId="0" applyFont="1" applyBorder="1" applyAlignment="1">
      <alignment horizontal="right" vertical="center"/>
    </xf>
    <xf numFmtId="164" fontId="10" fillId="11" borderId="21" xfId="0" applyNumberFormat="1" applyFont="1" applyFill="1" applyBorder="1" applyAlignment="1">
      <alignment vertical="center"/>
    </xf>
    <xf numFmtId="164" fontId="7" fillId="0" borderId="2" xfId="0" applyNumberFormat="1" applyFont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right" vertical="center"/>
    </xf>
    <xf numFmtId="2" fontId="2" fillId="2" borderId="18" xfId="0" applyNumberFormat="1" applyFont="1" applyFill="1" applyBorder="1" applyAlignment="1">
      <alignment horizontal="right" vertical="center"/>
    </xf>
    <xf numFmtId="0" fontId="2" fillId="2" borderId="30" xfId="0" applyFont="1" applyFill="1" applyBorder="1" applyAlignment="1">
      <alignment horizontal="right" vertical="center"/>
    </xf>
    <xf numFmtId="0" fontId="12" fillId="0" borderId="22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4" fontId="12" fillId="0" borderId="11" xfId="0" applyNumberFormat="1" applyFont="1" applyBorder="1" applyAlignment="1">
      <alignment horizontal="right" vertical="center"/>
    </xf>
    <xf numFmtId="0" fontId="12" fillId="0" borderId="11" xfId="0" applyFont="1" applyBorder="1" applyAlignment="1">
      <alignment horizontal="right" vertical="center"/>
    </xf>
    <xf numFmtId="164" fontId="12" fillId="0" borderId="11" xfId="0" applyNumberFormat="1" applyFont="1" applyBorder="1" applyAlignment="1">
      <alignment horizontal="right" vertical="center"/>
    </xf>
    <xf numFmtId="0" fontId="12" fillId="0" borderId="12" xfId="0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0" fontId="12" fillId="0" borderId="23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4" fontId="12" fillId="0" borderId="4" xfId="0" applyNumberFormat="1" applyFont="1" applyBorder="1" applyAlignment="1">
      <alignment horizontal="right" vertical="center"/>
    </xf>
    <xf numFmtId="0" fontId="12" fillId="0" borderId="4" xfId="0" applyFont="1" applyBorder="1" applyAlignment="1">
      <alignment horizontal="right" vertical="center"/>
    </xf>
    <xf numFmtId="164" fontId="12" fillId="0" borderId="4" xfId="0" applyNumberFormat="1" applyFont="1" applyBorder="1" applyAlignment="1">
      <alignment horizontal="right" vertical="center"/>
    </xf>
    <xf numFmtId="0" fontId="12" fillId="0" borderId="10" xfId="0" applyFont="1" applyBorder="1" applyAlignment="1">
      <alignment horizontal="right" vertical="center"/>
    </xf>
    <xf numFmtId="164" fontId="7" fillId="0" borderId="19" xfId="0" applyNumberFormat="1" applyFont="1" applyBorder="1" applyAlignment="1">
      <alignment vertical="center"/>
    </xf>
    <xf numFmtId="164" fontId="7" fillId="0" borderId="11" xfId="0" applyNumberFormat="1" applyFont="1" applyBorder="1" applyAlignment="1">
      <alignment vertical="center"/>
    </xf>
    <xf numFmtId="0" fontId="9" fillId="0" borderId="12" xfId="0" applyFont="1" applyBorder="1" applyAlignment="1">
      <alignment horizontal="right" vertical="center"/>
    </xf>
    <xf numFmtId="0" fontId="9" fillId="0" borderId="27" xfId="0" applyFont="1" applyBorder="1" applyAlignment="1">
      <alignment horizontal="right" vertical="center"/>
    </xf>
    <xf numFmtId="164" fontId="5" fillId="11" borderId="21" xfId="0" applyNumberFormat="1" applyFont="1" applyFill="1" applyBorder="1" applyAlignment="1">
      <alignment vertical="center"/>
    </xf>
    <xf numFmtId="0" fontId="12" fillId="9" borderId="15" xfId="0" applyFont="1" applyFill="1" applyBorder="1"/>
    <xf numFmtId="0" fontId="12" fillId="9" borderId="16" xfId="0" applyFont="1" applyFill="1" applyBorder="1"/>
    <xf numFmtId="0" fontId="9" fillId="0" borderId="13" xfId="0" applyFont="1" applyBorder="1" applyAlignment="1">
      <alignment vertical="center"/>
    </xf>
    <xf numFmtId="14" fontId="9" fillId="0" borderId="2" xfId="0" applyNumberFormat="1" applyFont="1" applyBorder="1" applyAlignment="1">
      <alignment horizontal="right" vertical="center"/>
    </xf>
    <xf numFmtId="164" fontId="9" fillId="0" borderId="2" xfId="0" applyNumberFormat="1" applyFont="1" applyBorder="1" applyAlignment="1">
      <alignment horizontal="right" vertical="center"/>
    </xf>
    <xf numFmtId="0" fontId="12" fillId="9" borderId="17" xfId="0" applyFont="1" applyFill="1" applyBorder="1"/>
    <xf numFmtId="0" fontId="9" fillId="0" borderId="12" xfId="0" applyFont="1" applyBorder="1" applyAlignment="1">
      <alignment horizontal="right"/>
    </xf>
    <xf numFmtId="0" fontId="9" fillId="0" borderId="24" xfId="0" applyFont="1" applyBorder="1" applyAlignment="1">
      <alignment horizontal="right" vertical="center"/>
    </xf>
    <xf numFmtId="0" fontId="9" fillId="0" borderId="3" xfId="0" applyFont="1" applyBorder="1" applyAlignment="1">
      <alignment horizontal="right"/>
    </xf>
    <xf numFmtId="0" fontId="9" fillId="0" borderId="25" xfId="0" applyFont="1" applyBorder="1" applyAlignment="1">
      <alignment horizontal="right" vertical="center"/>
    </xf>
    <xf numFmtId="0" fontId="9" fillId="0" borderId="28" xfId="0" applyFont="1" applyBorder="1" applyAlignment="1">
      <alignment horizontal="right" vertical="center"/>
    </xf>
    <xf numFmtId="0" fontId="9" fillId="0" borderId="29" xfId="0" applyFont="1" applyBorder="1" applyAlignment="1">
      <alignment horizontal="right" vertical="center"/>
    </xf>
    <xf numFmtId="0" fontId="9" fillId="0" borderId="31" xfId="0" applyFont="1" applyBorder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2" fontId="4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49" fontId="14" fillId="10" borderId="0" xfId="0" applyNumberFormat="1" applyFont="1" applyFill="1" applyAlignment="1">
      <alignment horizontal="left" vertical="center"/>
    </xf>
    <xf numFmtId="0" fontId="15" fillId="10" borderId="0" xfId="0" applyFont="1" applyFill="1" applyAlignment="1">
      <alignment horizontal="left" vertical="center"/>
    </xf>
    <xf numFmtId="164" fontId="10" fillId="11" borderId="5" xfId="0" applyNumberFormat="1" applyFont="1" applyFill="1" applyBorder="1" applyAlignment="1">
      <alignment horizontal="center" vertical="center"/>
    </xf>
    <xf numFmtId="164" fontId="10" fillId="11" borderId="6" xfId="0" applyNumberFormat="1" applyFont="1" applyFill="1" applyBorder="1" applyAlignment="1">
      <alignment horizontal="center" vertical="center"/>
    </xf>
    <xf numFmtId="164" fontId="10" fillId="11" borderId="20" xfId="0" applyNumberFormat="1" applyFont="1" applyFill="1" applyBorder="1" applyAlignment="1">
      <alignment horizontal="center" vertical="center"/>
    </xf>
    <xf numFmtId="164" fontId="10" fillId="11" borderId="2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i/>
        <color rgb="FFAEAEAE"/>
      </font>
    </dxf>
    <dxf>
      <font>
        <i/>
        <color rgb="FFAEAEAE"/>
      </font>
    </dxf>
    <dxf>
      <font>
        <i/>
        <color rgb="FFAEAEAE"/>
      </font>
    </dxf>
    <dxf>
      <font>
        <i/>
        <color rgb="FFAEAEAE"/>
      </font>
    </dxf>
    <dxf>
      <font>
        <b/>
        <i val="0"/>
        <color theme="1"/>
      </font>
    </dxf>
    <dxf>
      <font>
        <i/>
        <color rgb="FFAEAEAE"/>
      </font>
    </dxf>
    <dxf>
      <font>
        <i/>
        <color rgb="FFAEAEAE"/>
      </font>
    </dxf>
    <dxf>
      <font>
        <color rgb="FF00B050"/>
      </font>
    </dxf>
  </dxfs>
  <tableStyles count="0" defaultTableStyle="TableStyleMedium2" defaultPivotStyle="PivotStyleMedium9"/>
  <colors>
    <mruColors>
      <color rgb="FF00FFFC"/>
      <color rgb="FFA25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5"/>
  <sheetViews>
    <sheetView tabSelected="1" topLeftCell="A24" workbookViewId="0">
      <selection activeCell="B45" sqref="B45"/>
    </sheetView>
  </sheetViews>
  <sheetFormatPr defaultColWidth="8.85546875" defaultRowHeight="15"/>
  <cols>
    <col min="1" max="1" width="9.42578125" bestFit="1" customWidth="1"/>
    <col min="2" max="2" width="35.140625" bestFit="1" customWidth="1"/>
    <col min="3" max="3" width="6.7109375" style="1" bestFit="1" customWidth="1"/>
    <col min="4" max="4" width="8.28515625" style="1" bestFit="1" customWidth="1"/>
    <col min="5" max="5" width="13.7109375" style="1" bestFit="1" customWidth="1"/>
    <col min="6" max="7" width="11.28515625" bestFit="1" customWidth="1"/>
    <col min="8" max="8" width="9" bestFit="1" customWidth="1"/>
    <col min="9" max="9" width="11.85546875" bestFit="1" customWidth="1"/>
    <col min="10" max="10" width="13.7109375" bestFit="1" customWidth="1"/>
    <col min="11" max="11" width="11.140625" style="2" bestFit="1" customWidth="1"/>
    <col min="12" max="12" width="10.85546875" style="2" bestFit="1" customWidth="1"/>
    <col min="13" max="13" width="5.7109375" bestFit="1" customWidth="1"/>
  </cols>
  <sheetData>
    <row r="1" spans="1:14" ht="15.95">
      <c r="A1" s="69" t="s">
        <v>0</v>
      </c>
      <c r="B1" s="92" t="s">
        <v>1</v>
      </c>
      <c r="C1" s="93" t="s">
        <v>2</v>
      </c>
      <c r="D1" s="93" t="s">
        <v>3</v>
      </c>
      <c r="E1" s="93" t="s">
        <v>4</v>
      </c>
      <c r="F1" s="94" t="s">
        <v>5</v>
      </c>
      <c r="G1" s="94" t="s">
        <v>6</v>
      </c>
      <c r="H1" s="94" t="s">
        <v>7</v>
      </c>
      <c r="I1" s="94" t="s">
        <v>8</v>
      </c>
      <c r="J1" s="94" t="s">
        <v>9</v>
      </c>
      <c r="K1" s="95" t="s">
        <v>10</v>
      </c>
      <c r="L1" s="95" t="s">
        <v>11</v>
      </c>
      <c r="M1" s="96" t="s">
        <v>12</v>
      </c>
    </row>
    <row r="2" spans="1:14" ht="15.95">
      <c r="A2" s="117" t="s">
        <v>13</v>
      </c>
      <c r="B2" s="97" t="s">
        <v>14</v>
      </c>
      <c r="C2" s="98" t="s">
        <v>15</v>
      </c>
      <c r="D2" s="99" t="b">
        <v>1</v>
      </c>
      <c r="E2" s="98" t="b">
        <v>0</v>
      </c>
      <c r="F2" s="100">
        <v>45734</v>
      </c>
      <c r="G2" s="100">
        <f>F2+H2</f>
        <v>45735</v>
      </c>
      <c r="H2" s="101">
        <v>1</v>
      </c>
      <c r="I2" s="101">
        <f>76+F2-$F$2</f>
        <v>76</v>
      </c>
      <c r="J2" s="101">
        <v>1</v>
      </c>
      <c r="K2" s="102">
        <f>SUMIF('Pricing Info'!$L:$L,A2,'Pricing Info'!$K:$K)</f>
        <v>0</v>
      </c>
      <c r="L2" s="102" t="s">
        <v>16</v>
      </c>
      <c r="M2" s="103">
        <v>0</v>
      </c>
      <c r="N2" s="3"/>
    </row>
    <row r="3" spans="1:14" ht="15.95">
      <c r="A3" s="118" t="s">
        <v>17</v>
      </c>
      <c r="B3" s="119" t="s">
        <v>18</v>
      </c>
      <c r="C3" s="74" t="s">
        <v>15</v>
      </c>
      <c r="D3" s="70" t="b">
        <v>1</v>
      </c>
      <c r="E3" s="74" t="b">
        <v>0</v>
      </c>
      <c r="F3" s="120">
        <f>G2</f>
        <v>45735</v>
      </c>
      <c r="G3" s="120">
        <f>F3+H3</f>
        <v>45740</v>
      </c>
      <c r="H3" s="73">
        <v>5</v>
      </c>
      <c r="I3" s="73">
        <f>$I$2+F3-$F$2</f>
        <v>77</v>
      </c>
      <c r="J3" s="73">
        <v>7</v>
      </c>
      <c r="K3" s="121">
        <f>SUMIF('Pricing Info'!$L:$L,A3,'Pricing Info'!$K:$K)</f>
        <v>0</v>
      </c>
      <c r="L3" s="121" t="str">
        <f>VLOOKUP(M3,'Color Code'!$A$2:$B$7,2,FALSE)</f>
        <v>Dark Blue</v>
      </c>
      <c r="M3" s="32">
        <v>1</v>
      </c>
      <c r="N3" s="3"/>
    </row>
    <row r="4" spans="1:14" ht="15.95">
      <c r="A4" s="118" t="s">
        <v>19</v>
      </c>
      <c r="B4" s="119" t="s">
        <v>20</v>
      </c>
      <c r="C4" s="74" t="s">
        <v>21</v>
      </c>
      <c r="D4" s="70" t="b">
        <v>1</v>
      </c>
      <c r="E4" s="70" t="b">
        <v>1</v>
      </c>
      <c r="F4" s="120">
        <f>G3</f>
        <v>45740</v>
      </c>
      <c r="G4" s="120">
        <f t="shared" ref="G4:G66" si="0">F4+H4</f>
        <v>45741</v>
      </c>
      <c r="H4" s="73">
        <v>1</v>
      </c>
      <c r="I4" s="73">
        <f t="shared" ref="I4:I69" si="1">$I$2+F4-$F$2</f>
        <v>82</v>
      </c>
      <c r="J4" s="73">
        <f t="shared" ref="J4:J65" ca="1" si="2">RANDBETWEEN(0,20)</f>
        <v>6</v>
      </c>
      <c r="K4" s="121">
        <f>SUMIF('Pricing Info'!$L:$L,A4,'Pricing Info'!$K:$K)</f>
        <v>0</v>
      </c>
      <c r="L4" s="121" t="str">
        <f>VLOOKUP(M4,'Color Code'!$A$2:$B$7,2,FALSE)</f>
        <v>Light Blue</v>
      </c>
      <c r="M4" s="32">
        <v>2</v>
      </c>
      <c r="N4" s="3"/>
    </row>
    <row r="5" spans="1:14" ht="15.95">
      <c r="A5" s="118" t="s">
        <v>22</v>
      </c>
      <c r="B5" s="119" t="s">
        <v>23</v>
      </c>
      <c r="C5" s="74" t="s">
        <v>21</v>
      </c>
      <c r="D5" s="70" t="b">
        <v>1</v>
      </c>
      <c r="E5" s="70" t="b">
        <v>1</v>
      </c>
      <c r="F5" s="120">
        <f>G4</f>
        <v>45741</v>
      </c>
      <c r="G5" s="120">
        <f t="shared" si="0"/>
        <v>45743</v>
      </c>
      <c r="H5" s="73">
        <v>2</v>
      </c>
      <c r="I5" s="73">
        <f t="shared" si="1"/>
        <v>83</v>
      </c>
      <c r="J5" s="73">
        <f t="shared" ca="1" si="2"/>
        <v>8</v>
      </c>
      <c r="K5" s="121">
        <f>SUMIF('Pricing Info'!$L:$L,A5,'Pricing Info'!$K:$K)</f>
        <v>0</v>
      </c>
      <c r="L5" s="121" t="str">
        <f>VLOOKUP(M5,'Color Code'!$A$2:$B$7,2,FALSE)</f>
        <v>Light Blue</v>
      </c>
      <c r="M5" s="32">
        <v>2</v>
      </c>
      <c r="N5" s="3"/>
    </row>
    <row r="6" spans="1:14" ht="15.95">
      <c r="A6" s="118" t="s">
        <v>24</v>
      </c>
      <c r="B6" s="67" t="s">
        <v>25</v>
      </c>
      <c r="C6" s="66" t="str">
        <f t="shared" ref="C6:D63" si="3">C5</f>
        <v>To Do</v>
      </c>
      <c r="D6" s="70" t="b">
        <v>1</v>
      </c>
      <c r="E6" s="66" t="b">
        <v>0</v>
      </c>
      <c r="F6" s="44">
        <f t="shared" ref="F6:F63" si="4">G5</f>
        <v>45743</v>
      </c>
      <c r="G6" s="44">
        <f t="shared" si="0"/>
        <v>45744</v>
      </c>
      <c r="H6" s="45">
        <v>1</v>
      </c>
      <c r="I6" s="73">
        <f t="shared" si="1"/>
        <v>85</v>
      </c>
      <c r="J6" s="45">
        <f t="shared" ca="1" si="2"/>
        <v>20</v>
      </c>
      <c r="K6" s="46">
        <f>SUMIF('Pricing Info'!$L:$L,A6,'Pricing Info'!$K:$K)</f>
        <v>0</v>
      </c>
      <c r="L6" s="46" t="str">
        <f>VLOOKUP(M6,'Color Code'!$A$2:$B$7,2,FALSE)</f>
        <v>Grey</v>
      </c>
      <c r="M6" s="104">
        <v>3</v>
      </c>
      <c r="N6" s="3"/>
    </row>
    <row r="7" spans="1:14" ht="15.95">
      <c r="A7" s="118" t="s">
        <v>26</v>
      </c>
      <c r="B7" s="119" t="s">
        <v>27</v>
      </c>
      <c r="C7" s="74" t="str">
        <f t="shared" si="3"/>
        <v>To Do</v>
      </c>
      <c r="D7" s="70" t="b">
        <v>1</v>
      </c>
      <c r="E7" s="74" t="b">
        <f t="shared" ref="E7:E68" si="5">E6</f>
        <v>0</v>
      </c>
      <c r="F7" s="120">
        <f t="shared" si="4"/>
        <v>45744</v>
      </c>
      <c r="G7" s="120">
        <f t="shared" si="0"/>
        <v>45751</v>
      </c>
      <c r="H7" s="73">
        <v>7</v>
      </c>
      <c r="I7" s="73">
        <f t="shared" si="1"/>
        <v>86</v>
      </c>
      <c r="J7" s="73">
        <f t="shared" ca="1" si="2"/>
        <v>8</v>
      </c>
      <c r="K7" s="121">
        <f>SUMIF('Pricing Info'!$L:$L,A7,'Pricing Info'!$K:$K)</f>
        <v>0</v>
      </c>
      <c r="L7" s="121" t="str">
        <f>VLOOKUP(M7,'Color Code'!$A$2:$B$7,2,FALSE)</f>
        <v>Light Blue</v>
      </c>
      <c r="M7" s="32">
        <v>2</v>
      </c>
      <c r="N7" s="3"/>
    </row>
    <row r="8" spans="1:14" ht="15.95">
      <c r="A8" s="118" t="s">
        <v>28</v>
      </c>
      <c r="B8" s="119" t="s">
        <v>29</v>
      </c>
      <c r="C8" s="74" t="str">
        <f t="shared" si="3"/>
        <v>To Do</v>
      </c>
      <c r="D8" s="70" t="b">
        <v>1</v>
      </c>
      <c r="E8" s="74" t="b">
        <f t="shared" si="5"/>
        <v>0</v>
      </c>
      <c r="F8" s="120">
        <f t="shared" si="4"/>
        <v>45751</v>
      </c>
      <c r="G8" s="120">
        <f t="shared" si="0"/>
        <v>45756</v>
      </c>
      <c r="H8" s="73">
        <v>5</v>
      </c>
      <c r="I8" s="73">
        <f t="shared" si="1"/>
        <v>93</v>
      </c>
      <c r="J8" s="73">
        <f t="shared" ca="1" si="2"/>
        <v>15</v>
      </c>
      <c r="K8" s="121">
        <f>SUMIF('Pricing Info'!$L:$L,A8,'Pricing Info'!$K:$K)</f>
        <v>0</v>
      </c>
      <c r="L8" s="121" t="str">
        <f>VLOOKUP(M8,'Color Code'!$A$2:$B$7,2,FALSE)</f>
        <v>Cyan</v>
      </c>
      <c r="M8" s="32">
        <v>5</v>
      </c>
    </row>
    <row r="9" spans="1:14" ht="15.95">
      <c r="A9" s="118" t="s">
        <v>30</v>
      </c>
      <c r="B9" s="119" t="s">
        <v>31</v>
      </c>
      <c r="C9" s="74" t="str">
        <f t="shared" si="3"/>
        <v>To Do</v>
      </c>
      <c r="D9" s="70" t="b">
        <v>1</v>
      </c>
      <c r="E9" s="74" t="b">
        <f t="shared" si="5"/>
        <v>0</v>
      </c>
      <c r="F9" s="120">
        <f>F8</f>
        <v>45751</v>
      </c>
      <c r="G9" s="120">
        <f t="shared" si="0"/>
        <v>45756</v>
      </c>
      <c r="H9" s="73">
        <v>5</v>
      </c>
      <c r="I9" s="73">
        <f t="shared" si="1"/>
        <v>93</v>
      </c>
      <c r="J9" s="73">
        <f t="shared" ca="1" si="2"/>
        <v>17</v>
      </c>
      <c r="K9" s="121">
        <f>SUMIF('Pricing Info'!$L:$L,A9,'Pricing Info'!$K:$K)</f>
        <v>0</v>
      </c>
      <c r="L9" s="121" t="str">
        <f>VLOOKUP(M9,'Color Code'!$A$2:$B$7,2,FALSE)</f>
        <v>Cyan</v>
      </c>
      <c r="M9" s="32">
        <v>5</v>
      </c>
      <c r="N9" s="3"/>
    </row>
    <row r="10" spans="1:14" ht="15.95">
      <c r="A10" s="118" t="s">
        <v>32</v>
      </c>
      <c r="B10" s="119" t="s">
        <v>33</v>
      </c>
      <c r="C10" s="74" t="str">
        <f t="shared" si="3"/>
        <v>To Do</v>
      </c>
      <c r="D10" s="70" t="b">
        <v>1</v>
      </c>
      <c r="E10" s="74" t="b">
        <f t="shared" si="5"/>
        <v>0</v>
      </c>
      <c r="F10" s="120">
        <f>F9</f>
        <v>45751</v>
      </c>
      <c r="G10" s="120">
        <f t="shared" si="0"/>
        <v>45756</v>
      </c>
      <c r="H10" s="73">
        <v>5</v>
      </c>
      <c r="I10" s="73">
        <f t="shared" si="1"/>
        <v>93</v>
      </c>
      <c r="J10" s="73">
        <f t="shared" ca="1" si="2"/>
        <v>16</v>
      </c>
      <c r="K10" s="121">
        <f>SUMIF('Pricing Info'!$L:$L,A10,'Pricing Info'!$K:$K)</f>
        <v>21000</v>
      </c>
      <c r="L10" s="121" t="str">
        <f>VLOOKUP(M10,'Color Code'!$A$2:$B$7,2,FALSE)</f>
        <v>Cyan</v>
      </c>
      <c r="M10" s="32">
        <v>5</v>
      </c>
      <c r="N10" s="3"/>
    </row>
    <row r="11" spans="1:14" ht="15.95">
      <c r="A11" s="118" t="s">
        <v>34</v>
      </c>
      <c r="B11" s="119" t="s">
        <v>35</v>
      </c>
      <c r="C11" s="74" t="str">
        <f t="shared" si="3"/>
        <v>To Do</v>
      </c>
      <c r="D11" s="70" t="b">
        <v>1</v>
      </c>
      <c r="E11" s="74" t="b">
        <f t="shared" si="5"/>
        <v>0</v>
      </c>
      <c r="F11" s="120">
        <f>F10</f>
        <v>45751</v>
      </c>
      <c r="G11" s="120">
        <f t="shared" si="0"/>
        <v>45756</v>
      </c>
      <c r="H11" s="73">
        <v>5</v>
      </c>
      <c r="I11" s="73">
        <f t="shared" si="1"/>
        <v>93</v>
      </c>
      <c r="J11" s="73">
        <f t="shared" ca="1" si="2"/>
        <v>6</v>
      </c>
      <c r="K11" s="121">
        <f>SUMIF('Pricing Info'!$L:$L,A11,'Pricing Info'!$K:$K)</f>
        <v>9045</v>
      </c>
      <c r="L11" s="121" t="str">
        <f>VLOOKUP(M11,'Color Code'!$A$2:$B$7,2,FALSE)</f>
        <v>Cyan</v>
      </c>
      <c r="M11" s="32">
        <v>5</v>
      </c>
      <c r="N11" s="3"/>
    </row>
    <row r="12" spans="1:14" ht="15.95">
      <c r="A12" s="118" t="s">
        <v>36</v>
      </c>
      <c r="B12" s="67" t="s">
        <v>37</v>
      </c>
      <c r="C12" s="66" t="str">
        <f t="shared" si="3"/>
        <v>To Do</v>
      </c>
      <c r="D12" s="70" t="b">
        <v>1</v>
      </c>
      <c r="E12" s="66" t="b">
        <f t="shared" si="5"/>
        <v>0</v>
      </c>
      <c r="F12" s="44">
        <f>G11</f>
        <v>45756</v>
      </c>
      <c r="G12" s="44">
        <f t="shared" si="0"/>
        <v>45757</v>
      </c>
      <c r="H12" s="45">
        <v>1</v>
      </c>
      <c r="I12" s="73">
        <f t="shared" si="1"/>
        <v>98</v>
      </c>
      <c r="J12" s="45">
        <f t="shared" ca="1" si="2"/>
        <v>19</v>
      </c>
      <c r="K12" s="46">
        <f>SUMIF('Pricing Info'!$L:$L,A12,'Pricing Info'!$K:$K)</f>
        <v>0</v>
      </c>
      <c r="L12" s="46" t="str">
        <f>VLOOKUP(M12,'Color Code'!$A$2:$B$7,2,FALSE)</f>
        <v>Blue</v>
      </c>
      <c r="M12" s="104">
        <v>4</v>
      </c>
    </row>
    <row r="13" spans="1:14" ht="15.95">
      <c r="A13" s="118" t="s">
        <v>38</v>
      </c>
      <c r="B13" s="119" t="s">
        <v>39</v>
      </c>
      <c r="C13" s="74" t="str">
        <f t="shared" si="3"/>
        <v>To Do</v>
      </c>
      <c r="D13" s="70" t="b">
        <v>1</v>
      </c>
      <c r="E13" s="74" t="b">
        <f t="shared" si="5"/>
        <v>0</v>
      </c>
      <c r="F13" s="120">
        <f>F12</f>
        <v>45756</v>
      </c>
      <c r="G13" s="120">
        <f t="shared" si="0"/>
        <v>45770</v>
      </c>
      <c r="H13" s="73">
        <v>14</v>
      </c>
      <c r="I13" s="73">
        <f t="shared" si="1"/>
        <v>98</v>
      </c>
      <c r="J13" s="73">
        <f t="shared" ca="1" si="2"/>
        <v>2</v>
      </c>
      <c r="K13" s="121">
        <f>SUMIF('Pricing Info'!$L:$L,A13,'Pricing Info'!$K:$K)</f>
        <v>1750</v>
      </c>
      <c r="L13" s="121" t="str">
        <f>VLOOKUP(M13,'Color Code'!$A$2:$B$7,2,FALSE)</f>
        <v>Blue</v>
      </c>
      <c r="M13" s="32">
        <v>4</v>
      </c>
    </row>
    <row r="14" spans="1:14" ht="15.95">
      <c r="A14" s="118" t="s">
        <v>40</v>
      </c>
      <c r="B14" s="119" t="s">
        <v>41</v>
      </c>
      <c r="C14" s="74" t="str">
        <f t="shared" si="3"/>
        <v>To Do</v>
      </c>
      <c r="D14" s="70" t="b">
        <v>1</v>
      </c>
      <c r="E14" s="74" t="b">
        <f t="shared" si="5"/>
        <v>0</v>
      </c>
      <c r="F14" s="120">
        <f>F13</f>
        <v>45756</v>
      </c>
      <c r="G14" s="120">
        <f t="shared" si="0"/>
        <v>45758</v>
      </c>
      <c r="H14" s="73">
        <v>2</v>
      </c>
      <c r="I14" s="73">
        <f t="shared" si="1"/>
        <v>98</v>
      </c>
      <c r="J14" s="73">
        <f t="shared" ca="1" si="2"/>
        <v>11</v>
      </c>
      <c r="K14" s="121">
        <f>SUMIF('Pricing Info'!$L:$L,A14,'Pricing Info'!$K:$K)</f>
        <v>0</v>
      </c>
      <c r="L14" s="121" t="str">
        <f>VLOOKUP(M14,'Color Code'!$A$2:$B$7,2,FALSE)</f>
        <v>Blue</v>
      </c>
      <c r="M14" s="32">
        <v>4</v>
      </c>
    </row>
    <row r="15" spans="1:14" ht="15.95">
      <c r="A15" s="118" t="s">
        <v>42</v>
      </c>
      <c r="B15" s="119" t="s">
        <v>43</v>
      </c>
      <c r="C15" s="74" t="str">
        <f t="shared" si="3"/>
        <v>To Do</v>
      </c>
      <c r="D15" s="70" t="b">
        <v>1</v>
      </c>
      <c r="E15" s="74" t="b">
        <f t="shared" si="5"/>
        <v>0</v>
      </c>
      <c r="F15" s="120">
        <f t="shared" si="4"/>
        <v>45758</v>
      </c>
      <c r="G15" s="120">
        <f t="shared" si="0"/>
        <v>45759</v>
      </c>
      <c r="H15" s="73">
        <v>1</v>
      </c>
      <c r="I15" s="73">
        <f t="shared" si="1"/>
        <v>100</v>
      </c>
      <c r="J15" s="73">
        <f t="shared" ca="1" si="2"/>
        <v>2</v>
      </c>
      <c r="K15" s="121">
        <f>SUMIF('Pricing Info'!$L:$L,A15,'Pricing Info'!$K:$K)</f>
        <v>2000</v>
      </c>
      <c r="L15" s="121" t="str">
        <f>VLOOKUP(M15,'Color Code'!$A$2:$B$7,2,FALSE)</f>
        <v>Blue</v>
      </c>
      <c r="M15" s="32">
        <v>4</v>
      </c>
    </row>
    <row r="16" spans="1:14" ht="15.95">
      <c r="A16" s="118" t="s">
        <v>44</v>
      </c>
      <c r="B16" s="119" t="s">
        <v>45</v>
      </c>
      <c r="C16" s="74" t="str">
        <f t="shared" si="3"/>
        <v>To Do</v>
      </c>
      <c r="D16" s="70" t="b">
        <v>1</v>
      </c>
      <c r="E16" s="74" t="b">
        <f t="shared" si="5"/>
        <v>0</v>
      </c>
      <c r="F16" s="120">
        <f t="shared" si="4"/>
        <v>45759</v>
      </c>
      <c r="G16" s="120">
        <f t="shared" si="0"/>
        <v>45766</v>
      </c>
      <c r="H16" s="73">
        <v>7</v>
      </c>
      <c r="I16" s="73">
        <f t="shared" si="1"/>
        <v>101</v>
      </c>
      <c r="J16" s="73">
        <f t="shared" ca="1" si="2"/>
        <v>16</v>
      </c>
      <c r="K16" s="121">
        <f>SUMIF('Pricing Info'!$L:$L,A16,'Pricing Info'!$K:$K)</f>
        <v>34000</v>
      </c>
      <c r="L16" s="121" t="str">
        <f>VLOOKUP(M16,'Color Code'!$A$2:$B$7,2,FALSE)</f>
        <v>Blue</v>
      </c>
      <c r="M16" s="32">
        <v>4</v>
      </c>
    </row>
    <row r="17" spans="1:13" ht="15.95">
      <c r="A17" s="118" t="s">
        <v>46</v>
      </c>
      <c r="B17" s="119" t="s">
        <v>47</v>
      </c>
      <c r="C17" s="74" t="str">
        <f t="shared" si="3"/>
        <v>To Do</v>
      </c>
      <c r="D17" s="70" t="b">
        <v>1</v>
      </c>
      <c r="E17" s="74" t="b">
        <f t="shared" si="5"/>
        <v>0</v>
      </c>
      <c r="F17" s="120">
        <f>F16</f>
        <v>45759</v>
      </c>
      <c r="G17" s="120">
        <f t="shared" si="0"/>
        <v>45766</v>
      </c>
      <c r="H17" s="73">
        <v>7</v>
      </c>
      <c r="I17" s="73">
        <f t="shared" si="1"/>
        <v>101</v>
      </c>
      <c r="J17" s="73">
        <f t="shared" ca="1" si="2"/>
        <v>9</v>
      </c>
      <c r="K17" s="121">
        <f>SUMIF('Pricing Info'!$L:$L,A17,'Pricing Info'!$K:$K)</f>
        <v>9500</v>
      </c>
      <c r="L17" s="121" t="str">
        <f>VLOOKUP(M17,'Color Code'!$A$2:$B$7,2,FALSE)</f>
        <v>Blue</v>
      </c>
      <c r="M17" s="32">
        <v>4</v>
      </c>
    </row>
    <row r="18" spans="1:13" ht="15.95">
      <c r="A18" s="118" t="s">
        <v>48</v>
      </c>
      <c r="B18" s="119" t="s">
        <v>49</v>
      </c>
      <c r="C18" s="74" t="str">
        <f t="shared" si="3"/>
        <v>To Do</v>
      </c>
      <c r="D18" s="70" t="b">
        <v>1</v>
      </c>
      <c r="E18" s="74" t="b">
        <f t="shared" si="5"/>
        <v>0</v>
      </c>
      <c r="F18" s="120">
        <f t="shared" si="4"/>
        <v>45766</v>
      </c>
      <c r="G18" s="120">
        <f t="shared" si="0"/>
        <v>45768</v>
      </c>
      <c r="H18" s="73">
        <v>2</v>
      </c>
      <c r="I18" s="73">
        <f t="shared" si="1"/>
        <v>108</v>
      </c>
      <c r="J18" s="73">
        <f t="shared" ca="1" si="2"/>
        <v>0</v>
      </c>
      <c r="K18" s="121">
        <f>SUMIF('Pricing Info'!$L:$L,A18,'Pricing Info'!$K:$K)</f>
        <v>11400</v>
      </c>
      <c r="L18" s="121" t="str">
        <f>VLOOKUP(M18,'Color Code'!$A$2:$B$7,2,FALSE)</f>
        <v>Blue</v>
      </c>
      <c r="M18" s="32">
        <v>4</v>
      </c>
    </row>
    <row r="19" spans="1:13" ht="15.95">
      <c r="A19" s="118" t="s">
        <v>50</v>
      </c>
      <c r="B19" s="119" t="s">
        <v>51</v>
      </c>
      <c r="C19" s="74" t="str">
        <f t="shared" si="3"/>
        <v>To Do</v>
      </c>
      <c r="D19" s="70" t="b">
        <v>1</v>
      </c>
      <c r="E19" s="74" t="b">
        <f t="shared" si="5"/>
        <v>0</v>
      </c>
      <c r="F19" s="120">
        <f t="shared" si="4"/>
        <v>45768</v>
      </c>
      <c r="G19" s="120">
        <f t="shared" si="0"/>
        <v>45770</v>
      </c>
      <c r="H19" s="73">
        <v>2</v>
      </c>
      <c r="I19" s="73">
        <f t="shared" si="1"/>
        <v>110</v>
      </c>
      <c r="J19" s="73">
        <f t="shared" ca="1" si="2"/>
        <v>14</v>
      </c>
      <c r="K19" s="121">
        <f>SUMIF('Pricing Info'!$L:$L,A19,'Pricing Info'!$K:$K)</f>
        <v>0</v>
      </c>
      <c r="L19" s="121" t="str">
        <f>VLOOKUP(M19,'Color Code'!$A$2:$B$7,2,FALSE)</f>
        <v>Blue</v>
      </c>
      <c r="M19" s="32">
        <v>4</v>
      </c>
    </row>
    <row r="20" spans="1:13" ht="15.95">
      <c r="A20" s="118" t="s">
        <v>52</v>
      </c>
      <c r="B20" s="67" t="s">
        <v>53</v>
      </c>
      <c r="C20" s="66" t="str">
        <f t="shared" si="3"/>
        <v>To Do</v>
      </c>
      <c r="D20" s="70" t="b">
        <v>1</v>
      </c>
      <c r="E20" s="66" t="b">
        <f t="shared" si="5"/>
        <v>0</v>
      </c>
      <c r="F20" s="44">
        <f t="shared" si="4"/>
        <v>45770</v>
      </c>
      <c r="G20" s="44">
        <f t="shared" si="0"/>
        <v>45771</v>
      </c>
      <c r="H20" s="45">
        <v>1</v>
      </c>
      <c r="I20" s="73">
        <f t="shared" si="1"/>
        <v>112</v>
      </c>
      <c r="J20" s="45">
        <f t="shared" ca="1" si="2"/>
        <v>0</v>
      </c>
      <c r="K20" s="46">
        <f>SUMIF('Pricing Info'!$L:$L,A20,'Pricing Info'!$K:$K)</f>
        <v>0</v>
      </c>
      <c r="L20" s="46" t="str">
        <f>VLOOKUP(M20,'Color Code'!$A$2:$B$7,2,FALSE)</f>
        <v>Grey</v>
      </c>
      <c r="M20" s="104">
        <v>3</v>
      </c>
    </row>
    <row r="21" spans="1:13" ht="15.95">
      <c r="A21" s="118" t="s">
        <v>54</v>
      </c>
      <c r="B21" s="119" t="s">
        <v>55</v>
      </c>
      <c r="C21" s="74" t="str">
        <f t="shared" si="3"/>
        <v>To Do</v>
      </c>
      <c r="D21" s="70" t="b">
        <v>1</v>
      </c>
      <c r="E21" s="74" t="b">
        <f t="shared" si="5"/>
        <v>0</v>
      </c>
      <c r="F21" s="120">
        <f t="shared" si="4"/>
        <v>45771</v>
      </c>
      <c r="G21" s="120">
        <f t="shared" si="0"/>
        <v>45776</v>
      </c>
      <c r="H21" s="73">
        <v>5</v>
      </c>
      <c r="I21" s="73">
        <f t="shared" si="1"/>
        <v>113</v>
      </c>
      <c r="J21" s="73">
        <f t="shared" ca="1" si="2"/>
        <v>9</v>
      </c>
      <c r="K21" s="121">
        <f>SUMIF('Pricing Info'!$L:$L,A21,'Pricing Info'!$K:$K)</f>
        <v>0</v>
      </c>
      <c r="L21" s="121" t="str">
        <f>VLOOKUP(M21,'Color Code'!$A$2:$B$7,2,FALSE)</f>
        <v>Blue</v>
      </c>
      <c r="M21" s="32">
        <v>4</v>
      </c>
    </row>
    <row r="22" spans="1:13" ht="15.95">
      <c r="A22" s="118" t="s">
        <v>56</v>
      </c>
      <c r="B22" s="119" t="s">
        <v>57</v>
      </c>
      <c r="C22" s="74" t="str">
        <f t="shared" si="3"/>
        <v>To Do</v>
      </c>
      <c r="D22" s="70" t="b">
        <v>1</v>
      </c>
      <c r="E22" s="74" t="b">
        <f t="shared" si="5"/>
        <v>0</v>
      </c>
      <c r="F22" s="120">
        <f t="shared" si="4"/>
        <v>45776</v>
      </c>
      <c r="G22" s="120">
        <f t="shared" si="0"/>
        <v>45778</v>
      </c>
      <c r="H22" s="73">
        <v>2</v>
      </c>
      <c r="I22" s="73">
        <f t="shared" si="1"/>
        <v>118</v>
      </c>
      <c r="J22" s="73">
        <f t="shared" ca="1" si="2"/>
        <v>15</v>
      </c>
      <c r="K22" s="121">
        <f>SUMIF('Pricing Info'!$L:$L,A22,'Pricing Info'!$K:$K)</f>
        <v>0</v>
      </c>
      <c r="L22" s="121" t="str">
        <f>VLOOKUP(M22,'Color Code'!$A$2:$B$7,2,FALSE)</f>
        <v>Blue</v>
      </c>
      <c r="M22" s="32">
        <v>4</v>
      </c>
    </row>
    <row r="23" spans="1:13" ht="15.95">
      <c r="A23" s="118" t="s">
        <v>58</v>
      </c>
      <c r="B23" s="119" t="s">
        <v>59</v>
      </c>
      <c r="C23" s="74" t="str">
        <f t="shared" si="3"/>
        <v>To Do</v>
      </c>
      <c r="D23" s="70" t="b">
        <v>1</v>
      </c>
      <c r="E23" s="74" t="b">
        <f t="shared" si="5"/>
        <v>0</v>
      </c>
      <c r="F23" s="120">
        <f t="shared" si="4"/>
        <v>45778</v>
      </c>
      <c r="G23" s="120">
        <f t="shared" si="0"/>
        <v>45783</v>
      </c>
      <c r="H23" s="73">
        <v>5</v>
      </c>
      <c r="I23" s="73">
        <f t="shared" si="1"/>
        <v>120</v>
      </c>
      <c r="J23" s="73">
        <f t="shared" ca="1" si="2"/>
        <v>7</v>
      </c>
      <c r="K23" s="121">
        <f>SUMIF('Pricing Info'!$L:$L,A23,'Pricing Info'!$K:$K)</f>
        <v>0</v>
      </c>
      <c r="L23" s="121" t="str">
        <f>VLOOKUP(M23,'Color Code'!$A$2:$B$7,2,FALSE)</f>
        <v>Blue</v>
      </c>
      <c r="M23" s="32">
        <v>4</v>
      </c>
    </row>
    <row r="24" spans="1:13" ht="15.95">
      <c r="A24" s="118" t="s">
        <v>60</v>
      </c>
      <c r="B24" s="67" t="s">
        <v>61</v>
      </c>
      <c r="C24" s="66" t="str">
        <f t="shared" si="3"/>
        <v>To Do</v>
      </c>
      <c r="D24" s="70" t="b">
        <v>1</v>
      </c>
      <c r="E24" s="66" t="b">
        <f t="shared" si="5"/>
        <v>0</v>
      </c>
      <c r="F24" s="44">
        <f t="shared" si="4"/>
        <v>45783</v>
      </c>
      <c r="G24" s="44">
        <f t="shared" si="0"/>
        <v>45784</v>
      </c>
      <c r="H24" s="45">
        <v>1</v>
      </c>
      <c r="I24" s="73">
        <f t="shared" si="1"/>
        <v>125</v>
      </c>
      <c r="J24" s="45">
        <f t="shared" ca="1" si="2"/>
        <v>10</v>
      </c>
      <c r="K24" s="46">
        <f>SUMIF('Pricing Info'!$L:$L,A24,'Pricing Info'!$K:$K)</f>
        <v>0</v>
      </c>
      <c r="L24" s="46" t="str">
        <f>VLOOKUP(M24,'Color Code'!$A$2:$B$7,2,FALSE)</f>
        <v>Grey</v>
      </c>
      <c r="M24" s="104">
        <v>3</v>
      </c>
    </row>
    <row r="25" spans="1:13" ht="15.95">
      <c r="A25" s="118" t="s">
        <v>62</v>
      </c>
      <c r="B25" s="119" t="s">
        <v>63</v>
      </c>
      <c r="C25" s="74" t="str">
        <f t="shared" si="3"/>
        <v>To Do</v>
      </c>
      <c r="D25" s="70" t="b">
        <v>1</v>
      </c>
      <c r="E25" s="74" t="b">
        <f t="shared" si="5"/>
        <v>0</v>
      </c>
      <c r="F25" s="120">
        <f t="shared" si="4"/>
        <v>45784</v>
      </c>
      <c r="G25" s="120">
        <f t="shared" si="0"/>
        <v>45785</v>
      </c>
      <c r="H25" s="73">
        <v>1</v>
      </c>
      <c r="I25" s="73">
        <f t="shared" si="1"/>
        <v>126</v>
      </c>
      <c r="J25" s="73">
        <f t="shared" ca="1" si="2"/>
        <v>0</v>
      </c>
      <c r="K25" s="121">
        <f>SUMIF('Pricing Info'!$L:$L,A25,'Pricing Info'!$K:$K)</f>
        <v>19645</v>
      </c>
      <c r="L25" s="121" t="str">
        <f>VLOOKUP(M25,'Color Code'!$A$2:$B$7,2,FALSE)</f>
        <v>Blue</v>
      </c>
      <c r="M25" s="32">
        <v>4</v>
      </c>
    </row>
    <row r="26" spans="1:13" ht="15.95">
      <c r="A26" s="118" t="s">
        <v>64</v>
      </c>
      <c r="B26" s="119" t="s">
        <v>65</v>
      </c>
      <c r="C26" s="74" t="str">
        <f t="shared" si="3"/>
        <v>To Do</v>
      </c>
      <c r="D26" s="70" t="b">
        <v>1</v>
      </c>
      <c r="E26" s="74" t="b">
        <f t="shared" si="5"/>
        <v>0</v>
      </c>
      <c r="F26" s="120">
        <f t="shared" si="4"/>
        <v>45785</v>
      </c>
      <c r="G26" s="120">
        <f t="shared" si="0"/>
        <v>45799</v>
      </c>
      <c r="H26" s="73">
        <v>14</v>
      </c>
      <c r="I26" s="73">
        <f t="shared" si="1"/>
        <v>127</v>
      </c>
      <c r="J26" s="73">
        <f t="shared" ca="1" si="2"/>
        <v>11</v>
      </c>
      <c r="K26" s="121">
        <f>SUMIF('Pricing Info'!$L:$L,A26,'Pricing Info'!$K:$K)</f>
        <v>56200</v>
      </c>
      <c r="L26" s="121" t="str">
        <f>VLOOKUP(M26,'Color Code'!$A$2:$B$7,2,FALSE)</f>
        <v>Blue</v>
      </c>
      <c r="M26" s="32">
        <v>4</v>
      </c>
    </row>
    <row r="27" spans="1:13" ht="15.95">
      <c r="A27" s="118" t="s">
        <v>66</v>
      </c>
      <c r="B27" s="119" t="s">
        <v>67</v>
      </c>
      <c r="C27" s="74" t="str">
        <f t="shared" si="3"/>
        <v>To Do</v>
      </c>
      <c r="D27" s="70" t="b">
        <v>1</v>
      </c>
      <c r="E27" s="74" t="b">
        <f t="shared" si="5"/>
        <v>0</v>
      </c>
      <c r="F27" s="120">
        <f t="shared" si="4"/>
        <v>45799</v>
      </c>
      <c r="G27" s="120">
        <f t="shared" si="0"/>
        <v>45801</v>
      </c>
      <c r="H27" s="73">
        <v>2</v>
      </c>
      <c r="I27" s="73">
        <f t="shared" si="1"/>
        <v>141</v>
      </c>
      <c r="J27" s="73">
        <f t="shared" ca="1" si="2"/>
        <v>4</v>
      </c>
      <c r="K27" s="121">
        <f>SUMIF('Pricing Info'!$L:$L,A27,'Pricing Info'!$K:$K)</f>
        <v>7825</v>
      </c>
      <c r="L27" s="121" t="str">
        <f>VLOOKUP(M27,'Color Code'!$A$2:$B$7,2,FALSE)</f>
        <v>Blue</v>
      </c>
      <c r="M27" s="32">
        <v>4</v>
      </c>
    </row>
    <row r="28" spans="1:13" ht="15.95">
      <c r="A28" s="118" t="s">
        <v>68</v>
      </c>
      <c r="B28" s="119" t="s">
        <v>69</v>
      </c>
      <c r="C28" s="74" t="str">
        <f t="shared" si="3"/>
        <v>To Do</v>
      </c>
      <c r="D28" s="70" t="b">
        <v>1</v>
      </c>
      <c r="E28" s="74" t="b">
        <f t="shared" si="5"/>
        <v>0</v>
      </c>
      <c r="F28" s="120">
        <f t="shared" si="4"/>
        <v>45801</v>
      </c>
      <c r="G28" s="120">
        <f t="shared" si="0"/>
        <v>45808</v>
      </c>
      <c r="H28" s="73">
        <v>7</v>
      </c>
      <c r="I28" s="73">
        <f t="shared" si="1"/>
        <v>143</v>
      </c>
      <c r="J28" s="73">
        <f t="shared" ca="1" si="2"/>
        <v>5</v>
      </c>
      <c r="K28" s="121">
        <f>SUMIF('Pricing Info'!$L:$L,A28,'Pricing Info'!$K:$K)</f>
        <v>83617</v>
      </c>
      <c r="L28" s="121" t="str">
        <f>VLOOKUP(M28,'Color Code'!$A$2:$B$7,2,FALSE)</f>
        <v>Blue</v>
      </c>
      <c r="M28" s="32">
        <v>4</v>
      </c>
    </row>
    <row r="29" spans="1:13" ht="15.95">
      <c r="A29" s="118" t="s">
        <v>70</v>
      </c>
      <c r="B29" s="119" t="s">
        <v>71</v>
      </c>
      <c r="C29" s="74" t="str">
        <f t="shared" si="3"/>
        <v>To Do</v>
      </c>
      <c r="D29" s="70" t="b">
        <v>1</v>
      </c>
      <c r="E29" s="74" t="b">
        <f t="shared" si="5"/>
        <v>0</v>
      </c>
      <c r="F29" s="120">
        <f t="shared" si="4"/>
        <v>45808</v>
      </c>
      <c r="G29" s="120">
        <f t="shared" si="0"/>
        <v>45810</v>
      </c>
      <c r="H29" s="73">
        <v>2</v>
      </c>
      <c r="I29" s="73">
        <f t="shared" si="1"/>
        <v>150</v>
      </c>
      <c r="J29" s="73">
        <f t="shared" ca="1" si="2"/>
        <v>1</v>
      </c>
      <c r="K29" s="121">
        <f>SUMIF('Pricing Info'!$L:$L,A29,'Pricing Info'!$K:$K)</f>
        <v>14000</v>
      </c>
      <c r="L29" s="121" t="str">
        <f>VLOOKUP(M29,'Color Code'!$A$2:$B$7,2,FALSE)</f>
        <v>Blue</v>
      </c>
      <c r="M29" s="32">
        <v>4</v>
      </c>
    </row>
    <row r="30" spans="1:13" ht="15.95">
      <c r="A30" s="118" t="s">
        <v>72</v>
      </c>
      <c r="B30" s="67" t="s">
        <v>73</v>
      </c>
      <c r="C30" s="66" t="str">
        <f t="shared" si="3"/>
        <v>To Do</v>
      </c>
      <c r="D30" s="70" t="b">
        <v>1</v>
      </c>
      <c r="E30" s="66" t="b">
        <f t="shared" si="5"/>
        <v>0</v>
      </c>
      <c r="F30" s="44">
        <f t="shared" si="4"/>
        <v>45810</v>
      </c>
      <c r="G30" s="44">
        <f t="shared" si="0"/>
        <v>45811</v>
      </c>
      <c r="H30" s="45">
        <v>1</v>
      </c>
      <c r="I30" s="73">
        <f t="shared" si="1"/>
        <v>152</v>
      </c>
      <c r="J30" s="45">
        <f t="shared" ca="1" si="2"/>
        <v>16</v>
      </c>
      <c r="K30" s="46">
        <f>SUMIF('Pricing Info'!$L:$L,A30,'Pricing Info'!$K:$K)</f>
        <v>0</v>
      </c>
      <c r="L30" s="46" t="str">
        <f>VLOOKUP(M30,'Color Code'!$A$2:$B$7,2,FALSE)</f>
        <v>Grey</v>
      </c>
      <c r="M30" s="104">
        <v>3</v>
      </c>
    </row>
    <row r="31" spans="1:13" ht="15.95">
      <c r="A31" s="118" t="s">
        <v>74</v>
      </c>
      <c r="B31" s="119" t="s">
        <v>75</v>
      </c>
      <c r="C31" s="74" t="str">
        <f t="shared" si="3"/>
        <v>To Do</v>
      </c>
      <c r="D31" s="70" t="b">
        <v>1</v>
      </c>
      <c r="E31" s="74" t="b">
        <f t="shared" si="5"/>
        <v>0</v>
      </c>
      <c r="F31" s="120">
        <f t="shared" si="4"/>
        <v>45811</v>
      </c>
      <c r="G31" s="120">
        <f t="shared" si="0"/>
        <v>45818</v>
      </c>
      <c r="H31" s="73">
        <v>7</v>
      </c>
      <c r="I31" s="73">
        <f t="shared" si="1"/>
        <v>153</v>
      </c>
      <c r="J31" s="73">
        <f t="shared" ca="1" si="2"/>
        <v>18</v>
      </c>
      <c r="K31" s="121">
        <f>SUMIF('Pricing Info'!$L:$L,A31,'Pricing Info'!$K:$K)</f>
        <v>2800</v>
      </c>
      <c r="L31" s="121" t="str">
        <f>VLOOKUP(M31,'Color Code'!$A$2:$B$7,2,FALSE)</f>
        <v>Blue</v>
      </c>
      <c r="M31" s="32">
        <v>4</v>
      </c>
    </row>
    <row r="32" spans="1:13" ht="15.95">
      <c r="A32" s="118" t="s">
        <v>76</v>
      </c>
      <c r="B32" s="119" t="s">
        <v>77</v>
      </c>
      <c r="C32" s="74" t="str">
        <f t="shared" si="3"/>
        <v>To Do</v>
      </c>
      <c r="D32" s="70" t="b">
        <v>1</v>
      </c>
      <c r="E32" s="74" t="b">
        <f t="shared" si="5"/>
        <v>0</v>
      </c>
      <c r="F32" s="120">
        <f t="shared" si="4"/>
        <v>45818</v>
      </c>
      <c r="G32" s="120">
        <f t="shared" si="0"/>
        <v>45832</v>
      </c>
      <c r="H32" s="73">
        <v>14</v>
      </c>
      <c r="I32" s="73">
        <f t="shared" si="1"/>
        <v>160</v>
      </c>
      <c r="J32" s="73">
        <f t="shared" ca="1" si="2"/>
        <v>16</v>
      </c>
      <c r="K32" s="121">
        <f>SUMIF('Pricing Info'!$L:$L,A32,'Pricing Info'!$K:$K)</f>
        <v>91426</v>
      </c>
      <c r="L32" s="121" t="str">
        <f>VLOOKUP(M32,'Color Code'!$A$2:$B$7,2,FALSE)</f>
        <v>Blue</v>
      </c>
      <c r="M32" s="32">
        <v>4</v>
      </c>
    </row>
    <row r="33" spans="1:13" ht="15.95">
      <c r="A33" s="118" t="s">
        <v>78</v>
      </c>
      <c r="B33" s="119" t="s">
        <v>79</v>
      </c>
      <c r="C33" s="74" t="str">
        <f t="shared" si="3"/>
        <v>To Do</v>
      </c>
      <c r="D33" s="70" t="b">
        <v>1</v>
      </c>
      <c r="E33" s="74" t="b">
        <f t="shared" si="5"/>
        <v>0</v>
      </c>
      <c r="F33" s="120">
        <f t="shared" si="4"/>
        <v>45832</v>
      </c>
      <c r="G33" s="120">
        <f t="shared" si="0"/>
        <v>45846</v>
      </c>
      <c r="H33" s="73">
        <v>14</v>
      </c>
      <c r="I33" s="73">
        <f t="shared" si="1"/>
        <v>174</v>
      </c>
      <c r="J33" s="73">
        <f t="shared" ca="1" si="2"/>
        <v>8</v>
      </c>
      <c r="K33" s="121">
        <f>SUMIF('Pricing Info'!$L:$L,A33,'Pricing Info'!$K:$K)</f>
        <v>59760</v>
      </c>
      <c r="L33" s="121" t="str">
        <f>VLOOKUP(M33,'Color Code'!$A$2:$B$7,2,FALSE)</f>
        <v>Blue</v>
      </c>
      <c r="M33" s="32">
        <v>4</v>
      </c>
    </row>
    <row r="34" spans="1:13" ht="15.95">
      <c r="A34" s="118" t="s">
        <v>80</v>
      </c>
      <c r="B34" s="67" t="s">
        <v>81</v>
      </c>
      <c r="C34" s="66" t="str">
        <f t="shared" si="3"/>
        <v>To Do</v>
      </c>
      <c r="D34" s="70" t="b">
        <v>1</v>
      </c>
      <c r="E34" s="66" t="b">
        <f t="shared" si="5"/>
        <v>0</v>
      </c>
      <c r="F34" s="44">
        <f t="shared" si="4"/>
        <v>45846</v>
      </c>
      <c r="G34" s="44">
        <f t="shared" si="0"/>
        <v>45847</v>
      </c>
      <c r="H34" s="45">
        <v>1</v>
      </c>
      <c r="I34" s="73">
        <f t="shared" si="1"/>
        <v>188</v>
      </c>
      <c r="J34" s="45">
        <f t="shared" ca="1" si="2"/>
        <v>12</v>
      </c>
      <c r="K34" s="46">
        <f>SUMIF('Pricing Info'!$L:$L,A34,'Pricing Info'!$K:$K)</f>
        <v>0</v>
      </c>
      <c r="L34" s="46" t="str">
        <f>VLOOKUP(M34,'Color Code'!$A$2:$B$7,2,FALSE)</f>
        <v>Grey</v>
      </c>
      <c r="M34" s="104">
        <v>3</v>
      </c>
    </row>
    <row r="35" spans="1:13" ht="15.95">
      <c r="A35" s="118" t="s">
        <v>82</v>
      </c>
      <c r="B35" s="119" t="s">
        <v>83</v>
      </c>
      <c r="C35" s="74" t="str">
        <f t="shared" si="3"/>
        <v>To Do</v>
      </c>
      <c r="D35" s="70" t="b">
        <v>1</v>
      </c>
      <c r="E35" s="74" t="b">
        <f t="shared" si="5"/>
        <v>0</v>
      </c>
      <c r="F35" s="120">
        <f t="shared" si="4"/>
        <v>45847</v>
      </c>
      <c r="G35" s="120">
        <f t="shared" si="0"/>
        <v>45854</v>
      </c>
      <c r="H35" s="73">
        <v>7</v>
      </c>
      <c r="I35" s="73">
        <f t="shared" si="1"/>
        <v>189</v>
      </c>
      <c r="J35" s="73">
        <f t="shared" ca="1" si="2"/>
        <v>15</v>
      </c>
      <c r="K35" s="121">
        <f>SUMIF('Pricing Info'!$L:$L,A35,'Pricing Info'!$K:$K)</f>
        <v>54740</v>
      </c>
      <c r="L35" s="121" t="str">
        <f>VLOOKUP(M35,'Color Code'!$A$2:$B$7,2,FALSE)</f>
        <v>Blue</v>
      </c>
      <c r="M35" s="32">
        <v>4</v>
      </c>
    </row>
    <row r="36" spans="1:13" ht="15.95">
      <c r="A36" s="118" t="s">
        <v>84</v>
      </c>
      <c r="B36" s="119" t="s">
        <v>85</v>
      </c>
      <c r="C36" s="74" t="str">
        <f t="shared" si="3"/>
        <v>To Do</v>
      </c>
      <c r="D36" s="70" t="b">
        <v>1</v>
      </c>
      <c r="E36" s="74" t="b">
        <f t="shared" si="5"/>
        <v>0</v>
      </c>
      <c r="F36" s="120">
        <f t="shared" si="4"/>
        <v>45854</v>
      </c>
      <c r="G36" s="120">
        <f t="shared" si="0"/>
        <v>45868</v>
      </c>
      <c r="H36" s="73">
        <v>14</v>
      </c>
      <c r="I36" s="73">
        <f t="shared" si="1"/>
        <v>196</v>
      </c>
      <c r="J36" s="73">
        <f t="shared" ca="1" si="2"/>
        <v>8</v>
      </c>
      <c r="K36" s="121">
        <f>SUMIF('Pricing Info'!$L:$L,A36,'Pricing Info'!$K:$K)</f>
        <v>31500</v>
      </c>
      <c r="L36" s="121" t="str">
        <f>VLOOKUP(M36,'Color Code'!$A$2:$B$7,2,FALSE)</f>
        <v>Blue</v>
      </c>
      <c r="M36" s="32">
        <v>4</v>
      </c>
    </row>
    <row r="37" spans="1:13" ht="15.95">
      <c r="A37" s="118" t="s">
        <v>86</v>
      </c>
      <c r="B37" s="119" t="s">
        <v>87</v>
      </c>
      <c r="C37" s="74" t="str">
        <f t="shared" si="3"/>
        <v>To Do</v>
      </c>
      <c r="D37" s="70" t="b">
        <v>1</v>
      </c>
      <c r="E37" s="74" t="b">
        <f t="shared" si="5"/>
        <v>0</v>
      </c>
      <c r="F37" s="120">
        <f t="shared" si="4"/>
        <v>45868</v>
      </c>
      <c r="G37" s="120">
        <f t="shared" si="0"/>
        <v>45873</v>
      </c>
      <c r="H37" s="73">
        <v>5</v>
      </c>
      <c r="I37" s="73">
        <f t="shared" si="1"/>
        <v>210</v>
      </c>
      <c r="J37" s="73">
        <f t="shared" ca="1" si="2"/>
        <v>4</v>
      </c>
      <c r="K37" s="121">
        <f>SUMIF('Pricing Info'!$L:$L,A37,'Pricing Info'!$K:$K)</f>
        <v>59765</v>
      </c>
      <c r="L37" s="121" t="str">
        <f>VLOOKUP(M37,'Color Code'!$A$2:$B$7,2,FALSE)</f>
        <v>Blue</v>
      </c>
      <c r="M37" s="32">
        <v>4</v>
      </c>
    </row>
    <row r="38" spans="1:13" ht="15.95">
      <c r="A38" s="118" t="s">
        <v>88</v>
      </c>
      <c r="B38" s="119" t="s">
        <v>89</v>
      </c>
      <c r="C38" s="74" t="str">
        <f t="shared" si="3"/>
        <v>To Do</v>
      </c>
      <c r="D38" s="70" t="b">
        <v>1</v>
      </c>
      <c r="E38" s="74" t="b">
        <f t="shared" si="5"/>
        <v>0</v>
      </c>
      <c r="F38" s="120">
        <f>F37</f>
        <v>45868</v>
      </c>
      <c r="G38" s="120">
        <f t="shared" si="0"/>
        <v>45873</v>
      </c>
      <c r="H38" s="73">
        <v>5</v>
      </c>
      <c r="I38" s="73">
        <f t="shared" si="1"/>
        <v>210</v>
      </c>
      <c r="J38" s="73">
        <f t="shared" ca="1" si="2"/>
        <v>5</v>
      </c>
      <c r="K38" s="121">
        <f>SUMIF('Pricing Info'!$L:$L,A38,'Pricing Info'!$K:$K)</f>
        <v>6258</v>
      </c>
      <c r="L38" s="121" t="s">
        <v>90</v>
      </c>
      <c r="M38" s="32">
        <v>4</v>
      </c>
    </row>
    <row r="39" spans="1:13" ht="15.95">
      <c r="A39" s="118" t="s">
        <v>91</v>
      </c>
      <c r="B39" s="119" t="s">
        <v>92</v>
      </c>
      <c r="C39" s="74" t="str">
        <f t="shared" si="3"/>
        <v>To Do</v>
      </c>
      <c r="D39" s="70" t="b">
        <v>1</v>
      </c>
      <c r="E39" s="74" t="b">
        <f t="shared" si="5"/>
        <v>0</v>
      </c>
      <c r="F39" s="120">
        <f t="shared" si="4"/>
        <v>45873</v>
      </c>
      <c r="G39" s="120">
        <f t="shared" si="0"/>
        <v>45880</v>
      </c>
      <c r="H39" s="73">
        <v>7</v>
      </c>
      <c r="I39" s="73">
        <f t="shared" si="1"/>
        <v>215</v>
      </c>
      <c r="J39" s="73">
        <f t="shared" ca="1" si="2"/>
        <v>16</v>
      </c>
      <c r="K39" s="121">
        <f>SUMIF('Pricing Info'!$L:$L,A39,'Pricing Info'!$K:$K)</f>
        <v>17204</v>
      </c>
      <c r="L39" s="121" t="str">
        <f>VLOOKUP(M39,'Color Code'!$A$2:$B$7,2,FALSE)</f>
        <v>Blue</v>
      </c>
      <c r="M39" s="32">
        <v>4</v>
      </c>
    </row>
    <row r="40" spans="1:13" ht="15.95">
      <c r="A40" s="118" t="s">
        <v>93</v>
      </c>
      <c r="B40" s="119" t="s">
        <v>94</v>
      </c>
      <c r="C40" s="74" t="str">
        <f t="shared" si="3"/>
        <v>To Do</v>
      </c>
      <c r="D40" s="70" t="b">
        <v>1</v>
      </c>
      <c r="E40" s="74" t="b">
        <f t="shared" si="5"/>
        <v>0</v>
      </c>
      <c r="F40" s="120">
        <f>F39</f>
        <v>45873</v>
      </c>
      <c r="G40" s="120">
        <f t="shared" si="0"/>
        <v>45880</v>
      </c>
      <c r="H40" s="73">
        <v>7</v>
      </c>
      <c r="I40" s="73">
        <f t="shared" si="1"/>
        <v>215</v>
      </c>
      <c r="J40" s="73">
        <f t="shared" ca="1" si="2"/>
        <v>4</v>
      </c>
      <c r="K40" s="121">
        <f>SUMIF('Pricing Info'!$L:$L,A40,'Pricing Info'!$K:$K)</f>
        <v>5880</v>
      </c>
      <c r="L40" s="121" t="str">
        <f>VLOOKUP(M40,'Color Code'!$A$2:$B$7,2,FALSE)</f>
        <v>Blue</v>
      </c>
      <c r="M40" s="32">
        <v>4</v>
      </c>
    </row>
    <row r="41" spans="1:13" ht="15.95">
      <c r="A41" s="118" t="s">
        <v>95</v>
      </c>
      <c r="B41" s="119" t="s">
        <v>96</v>
      </c>
      <c r="C41" s="74" t="str">
        <f t="shared" si="3"/>
        <v>To Do</v>
      </c>
      <c r="D41" s="70" t="b">
        <v>1</v>
      </c>
      <c r="E41" s="74" t="b">
        <f t="shared" si="5"/>
        <v>0</v>
      </c>
      <c r="F41" s="120">
        <f t="shared" si="4"/>
        <v>45880</v>
      </c>
      <c r="G41" s="120">
        <f t="shared" si="0"/>
        <v>45882</v>
      </c>
      <c r="H41" s="73">
        <v>2</v>
      </c>
      <c r="I41" s="73">
        <f t="shared" si="1"/>
        <v>222</v>
      </c>
      <c r="J41" s="73">
        <f t="shared" ca="1" si="2"/>
        <v>0</v>
      </c>
      <c r="K41" s="121">
        <f>SUMIF('Pricing Info'!$L:$L,A41,'Pricing Info'!$K:$K)</f>
        <v>1800</v>
      </c>
      <c r="L41" s="121" t="str">
        <f>VLOOKUP(M41,'Color Code'!$A$2:$B$7,2,FALSE)</f>
        <v>Blue</v>
      </c>
      <c r="M41" s="32">
        <v>4</v>
      </c>
    </row>
    <row r="42" spans="1:13" ht="15.95">
      <c r="A42" s="118" t="s">
        <v>97</v>
      </c>
      <c r="B42" s="67" t="s">
        <v>98</v>
      </c>
      <c r="C42" s="66" t="str">
        <f t="shared" si="3"/>
        <v>To Do</v>
      </c>
      <c r="D42" s="70" t="b">
        <v>1</v>
      </c>
      <c r="E42" s="66" t="b">
        <f t="shared" si="5"/>
        <v>0</v>
      </c>
      <c r="F42" s="44">
        <f t="shared" si="4"/>
        <v>45882</v>
      </c>
      <c r="G42" s="44">
        <f t="shared" si="0"/>
        <v>45887</v>
      </c>
      <c r="H42" s="45">
        <v>5</v>
      </c>
      <c r="I42" s="73">
        <f t="shared" si="1"/>
        <v>224</v>
      </c>
      <c r="J42" s="45">
        <f t="shared" ca="1" si="2"/>
        <v>18</v>
      </c>
      <c r="K42" s="46">
        <f>SUMIF('Pricing Info'!$L:$L,A42,'Pricing Info'!$K:$K)</f>
        <v>0</v>
      </c>
      <c r="L42" s="46" t="str">
        <f>VLOOKUP(M42,'Color Code'!$A$2:$B$7,2,FALSE)</f>
        <v>Grey</v>
      </c>
      <c r="M42" s="104">
        <v>3</v>
      </c>
    </row>
    <row r="43" spans="1:13" ht="15.95">
      <c r="A43" s="118" t="s">
        <v>99</v>
      </c>
      <c r="B43" s="119" t="s">
        <v>100</v>
      </c>
      <c r="C43" s="74" t="str">
        <f t="shared" si="3"/>
        <v>To Do</v>
      </c>
      <c r="D43" s="70" t="b">
        <v>1</v>
      </c>
      <c r="E43" s="74" t="b">
        <f t="shared" si="5"/>
        <v>0</v>
      </c>
      <c r="F43" s="120">
        <f t="shared" si="4"/>
        <v>45887</v>
      </c>
      <c r="G43" s="120">
        <f t="shared" si="0"/>
        <v>45894</v>
      </c>
      <c r="H43" s="73">
        <v>7</v>
      </c>
      <c r="I43" s="73">
        <f t="shared" si="1"/>
        <v>229</v>
      </c>
      <c r="J43" s="73">
        <f t="shared" ca="1" si="2"/>
        <v>16</v>
      </c>
      <c r="K43" s="121">
        <f>SUMIF('Pricing Info'!$L:$L,A43,'Pricing Info'!$K:$K)</f>
        <v>0</v>
      </c>
      <c r="L43" s="121" t="str">
        <f>VLOOKUP(M43,'Color Code'!$A$2:$B$7,2,FALSE)</f>
        <v>Light Blue</v>
      </c>
      <c r="M43" s="32">
        <v>2</v>
      </c>
    </row>
    <row r="44" spans="1:13" ht="15.95">
      <c r="A44" s="118" t="s">
        <v>101</v>
      </c>
      <c r="B44" s="119" t="s">
        <v>102</v>
      </c>
      <c r="C44" s="74" t="str">
        <f t="shared" si="3"/>
        <v>To Do</v>
      </c>
      <c r="D44" s="70" t="b">
        <v>1</v>
      </c>
      <c r="E44" s="74" t="b">
        <f t="shared" si="5"/>
        <v>0</v>
      </c>
      <c r="F44" s="120">
        <f t="shared" si="4"/>
        <v>45894</v>
      </c>
      <c r="G44" s="120">
        <f t="shared" si="0"/>
        <v>45895</v>
      </c>
      <c r="H44" s="73">
        <v>1</v>
      </c>
      <c r="I44" s="73">
        <f t="shared" si="1"/>
        <v>236</v>
      </c>
      <c r="J44" s="73">
        <f t="shared" ca="1" si="2"/>
        <v>4</v>
      </c>
      <c r="K44" s="121">
        <f>SUMIF('Pricing Info'!$L:$L,A44,'Pricing Info'!$K:$K)</f>
        <v>0</v>
      </c>
      <c r="L44" s="121" t="str">
        <f>VLOOKUP(M44,'Color Code'!$A$2:$B$7,2,FALSE)</f>
        <v>Cyan</v>
      </c>
      <c r="M44" s="32">
        <v>5</v>
      </c>
    </row>
    <row r="45" spans="1:13" ht="15.95">
      <c r="A45" s="118" t="s">
        <v>103</v>
      </c>
      <c r="B45" s="119" t="s">
        <v>104</v>
      </c>
      <c r="C45" s="74" t="str">
        <f t="shared" si="3"/>
        <v>To Do</v>
      </c>
      <c r="D45" s="70" t="b">
        <v>1</v>
      </c>
      <c r="E45" s="74" t="b">
        <f t="shared" si="5"/>
        <v>0</v>
      </c>
      <c r="F45" s="120">
        <f t="shared" si="4"/>
        <v>45895</v>
      </c>
      <c r="G45" s="120">
        <f t="shared" si="0"/>
        <v>45896</v>
      </c>
      <c r="H45" s="73">
        <v>1</v>
      </c>
      <c r="I45" s="73">
        <f t="shared" si="1"/>
        <v>237</v>
      </c>
      <c r="J45" s="73">
        <f t="shared" ca="1" si="2"/>
        <v>11</v>
      </c>
      <c r="K45" s="121">
        <f>SUMIF('Pricing Info'!$L:$L,A45,'Pricing Info'!$K:$K)</f>
        <v>0</v>
      </c>
      <c r="L45" s="121" t="str">
        <f>VLOOKUP(M45,'Color Code'!$A$2:$B$7,2,FALSE)</f>
        <v>Blue</v>
      </c>
      <c r="M45" s="32">
        <v>4</v>
      </c>
    </row>
    <row r="46" spans="1:13" ht="15.95">
      <c r="A46" s="118" t="s">
        <v>105</v>
      </c>
      <c r="B46" s="119" t="s">
        <v>106</v>
      </c>
      <c r="C46" s="74" t="str">
        <f t="shared" si="3"/>
        <v>To Do</v>
      </c>
      <c r="D46" s="70" t="b">
        <v>1</v>
      </c>
      <c r="E46" s="74" t="b">
        <f t="shared" si="5"/>
        <v>0</v>
      </c>
      <c r="F46" s="120">
        <f t="shared" si="4"/>
        <v>45896</v>
      </c>
      <c r="G46" s="120">
        <f t="shared" si="0"/>
        <v>45901</v>
      </c>
      <c r="H46" s="73">
        <v>5</v>
      </c>
      <c r="I46" s="73">
        <f t="shared" si="1"/>
        <v>238</v>
      </c>
      <c r="J46" s="73">
        <f t="shared" ca="1" si="2"/>
        <v>17</v>
      </c>
      <c r="K46" s="121">
        <f>SUMIF('Pricing Info'!$L:$L,A46,'Pricing Info'!$K:$K)</f>
        <v>18250</v>
      </c>
      <c r="L46" s="121" t="str">
        <f>VLOOKUP(M46,'Color Code'!$A$2:$B$7,2,FALSE)</f>
        <v>Blue</v>
      </c>
      <c r="M46" s="32">
        <v>4</v>
      </c>
    </row>
    <row r="47" spans="1:13" ht="15.95">
      <c r="A47" s="118" t="s">
        <v>107</v>
      </c>
      <c r="B47" s="119" t="s">
        <v>108</v>
      </c>
      <c r="C47" s="74" t="str">
        <f t="shared" si="3"/>
        <v>To Do</v>
      </c>
      <c r="D47" s="70" t="b">
        <v>1</v>
      </c>
      <c r="E47" s="74" t="b">
        <f t="shared" si="5"/>
        <v>0</v>
      </c>
      <c r="F47" s="120">
        <f t="shared" si="4"/>
        <v>45901</v>
      </c>
      <c r="G47" s="120">
        <f t="shared" si="0"/>
        <v>45906</v>
      </c>
      <c r="H47" s="73">
        <v>5</v>
      </c>
      <c r="I47" s="73">
        <f t="shared" si="1"/>
        <v>243</v>
      </c>
      <c r="J47" s="73">
        <f t="shared" ca="1" si="2"/>
        <v>4</v>
      </c>
      <c r="K47" s="121">
        <f>SUMIF('Pricing Info'!$L:$L,A47,'Pricing Info'!$K:$K)</f>
        <v>0</v>
      </c>
      <c r="L47" s="121" t="str">
        <f>VLOOKUP(M47,'Color Code'!$A$2:$B$7,2,FALSE)</f>
        <v>Blue</v>
      </c>
      <c r="M47" s="32">
        <v>4</v>
      </c>
    </row>
    <row r="48" spans="1:13" ht="15.95">
      <c r="A48" s="118" t="s">
        <v>109</v>
      </c>
      <c r="B48" s="119" t="s">
        <v>110</v>
      </c>
      <c r="C48" s="74" t="str">
        <f t="shared" si="3"/>
        <v>To Do</v>
      </c>
      <c r="D48" s="70" t="b">
        <v>1</v>
      </c>
      <c r="E48" s="74" t="b">
        <f t="shared" si="5"/>
        <v>0</v>
      </c>
      <c r="F48" s="120">
        <f t="shared" si="4"/>
        <v>45906</v>
      </c>
      <c r="G48" s="120">
        <f t="shared" si="0"/>
        <v>45908</v>
      </c>
      <c r="H48" s="73">
        <v>2</v>
      </c>
      <c r="I48" s="73">
        <f t="shared" si="1"/>
        <v>248</v>
      </c>
      <c r="J48" s="73">
        <f t="shared" ca="1" si="2"/>
        <v>14</v>
      </c>
      <c r="K48" s="121">
        <f>SUMIF('Pricing Info'!$L:$L,A48,'Pricing Info'!$K:$K)</f>
        <v>26826</v>
      </c>
      <c r="L48" s="121" t="str">
        <f>VLOOKUP(M48,'Color Code'!$A$2:$B$7,2,FALSE)</f>
        <v>Blue</v>
      </c>
      <c r="M48" s="32">
        <v>4</v>
      </c>
    </row>
    <row r="49" spans="1:13" ht="15.95">
      <c r="A49" s="118" t="s">
        <v>111</v>
      </c>
      <c r="B49" s="119" t="s">
        <v>112</v>
      </c>
      <c r="C49" s="74" t="str">
        <f t="shared" si="3"/>
        <v>To Do</v>
      </c>
      <c r="D49" s="70" t="b">
        <v>1</v>
      </c>
      <c r="E49" s="74" t="b">
        <f t="shared" si="5"/>
        <v>0</v>
      </c>
      <c r="F49" s="120">
        <f>F48</f>
        <v>45906</v>
      </c>
      <c r="G49" s="120">
        <f t="shared" si="0"/>
        <v>45908</v>
      </c>
      <c r="H49" s="73">
        <v>2</v>
      </c>
      <c r="I49" s="73">
        <f t="shared" si="1"/>
        <v>248</v>
      </c>
      <c r="J49" s="73">
        <f t="shared" ca="1" si="2"/>
        <v>19</v>
      </c>
      <c r="K49" s="121">
        <f>SUMIF('Pricing Info'!$L:$L,A49,'Pricing Info'!$K:$K)</f>
        <v>7840</v>
      </c>
      <c r="L49" s="121" t="str">
        <f>VLOOKUP(M49,'Color Code'!$A$2:$B$7,2,FALSE)</f>
        <v>Blue</v>
      </c>
      <c r="M49" s="32">
        <v>4</v>
      </c>
    </row>
    <row r="50" spans="1:13" ht="15.95">
      <c r="A50" s="118" t="s">
        <v>113</v>
      </c>
      <c r="B50" s="119" t="s">
        <v>114</v>
      </c>
      <c r="C50" s="74" t="str">
        <f t="shared" si="3"/>
        <v>To Do</v>
      </c>
      <c r="D50" s="70" t="b">
        <v>1</v>
      </c>
      <c r="E50" s="74" t="b">
        <f t="shared" si="5"/>
        <v>0</v>
      </c>
      <c r="F50" s="120">
        <f>F49</f>
        <v>45906</v>
      </c>
      <c r="G50" s="120">
        <f t="shared" si="0"/>
        <v>45911</v>
      </c>
      <c r="H50" s="73">
        <v>5</v>
      </c>
      <c r="I50" s="73">
        <f t="shared" si="1"/>
        <v>248</v>
      </c>
      <c r="J50" s="73">
        <f t="shared" ca="1" si="2"/>
        <v>13</v>
      </c>
      <c r="K50" s="121">
        <f>SUMIF('Pricing Info'!$L:$L,A50,'Pricing Info'!$K:$K)</f>
        <v>70986</v>
      </c>
      <c r="L50" s="121" t="str">
        <f>VLOOKUP(M50,'Color Code'!$A$2:$B$7,2,FALSE)</f>
        <v>Blue</v>
      </c>
      <c r="M50" s="32">
        <v>4</v>
      </c>
    </row>
    <row r="51" spans="1:13" ht="15.95">
      <c r="A51" s="118" t="s">
        <v>115</v>
      </c>
      <c r="B51" s="119" t="s">
        <v>116</v>
      </c>
      <c r="C51" s="74" t="str">
        <f t="shared" si="3"/>
        <v>To Do</v>
      </c>
      <c r="D51" s="70" t="b">
        <v>1</v>
      </c>
      <c r="E51" s="74" t="b">
        <f t="shared" si="5"/>
        <v>0</v>
      </c>
      <c r="F51" s="120">
        <f t="shared" si="4"/>
        <v>45911</v>
      </c>
      <c r="G51" s="120">
        <f t="shared" si="0"/>
        <v>45925</v>
      </c>
      <c r="H51" s="73">
        <v>14</v>
      </c>
      <c r="I51" s="73">
        <f t="shared" si="1"/>
        <v>253</v>
      </c>
      <c r="J51" s="73">
        <f t="shared" ca="1" si="2"/>
        <v>7</v>
      </c>
      <c r="K51" s="121">
        <f>SUMIF('Pricing Info'!$L:$L,A51,'Pricing Info'!$K:$K)</f>
        <v>31275</v>
      </c>
      <c r="L51" s="121" t="str">
        <f>VLOOKUP(M51,'Color Code'!$A$2:$B$7,2,FALSE)</f>
        <v>Blue</v>
      </c>
      <c r="M51" s="32">
        <v>4</v>
      </c>
    </row>
    <row r="52" spans="1:13" ht="15.95">
      <c r="A52" s="118" t="s">
        <v>117</v>
      </c>
      <c r="B52" s="119" t="s">
        <v>118</v>
      </c>
      <c r="C52" s="74" t="str">
        <f t="shared" si="3"/>
        <v>To Do</v>
      </c>
      <c r="D52" s="70" t="b">
        <v>1</v>
      </c>
      <c r="E52" s="74" t="b">
        <f t="shared" si="5"/>
        <v>0</v>
      </c>
      <c r="F52" s="120">
        <f t="shared" si="4"/>
        <v>45925</v>
      </c>
      <c r="G52" s="120">
        <f t="shared" si="0"/>
        <v>45930</v>
      </c>
      <c r="H52" s="73">
        <v>5</v>
      </c>
      <c r="I52" s="73">
        <f t="shared" si="1"/>
        <v>267</v>
      </c>
      <c r="J52" s="73">
        <f t="shared" ca="1" si="2"/>
        <v>9</v>
      </c>
      <c r="K52" s="121">
        <f>SUMIF('Pricing Info'!$L:$L,A52,'Pricing Info'!$K:$K)</f>
        <v>21590</v>
      </c>
      <c r="L52" s="121" t="str">
        <f>VLOOKUP(M52,'Color Code'!$A$2:$B$7,2,FALSE)</f>
        <v>Blue</v>
      </c>
      <c r="M52" s="32">
        <v>4</v>
      </c>
    </row>
    <row r="53" spans="1:13" ht="15.95">
      <c r="A53" s="118" t="s">
        <v>119</v>
      </c>
      <c r="B53" s="119" t="s">
        <v>120</v>
      </c>
      <c r="C53" s="74" t="str">
        <f t="shared" si="3"/>
        <v>To Do</v>
      </c>
      <c r="D53" s="70" t="b">
        <v>1</v>
      </c>
      <c r="E53" s="74" t="b">
        <f t="shared" si="5"/>
        <v>0</v>
      </c>
      <c r="F53" s="120">
        <f>F52</f>
        <v>45925</v>
      </c>
      <c r="G53" s="120">
        <f t="shared" si="0"/>
        <v>45930</v>
      </c>
      <c r="H53" s="73">
        <v>5</v>
      </c>
      <c r="I53" s="73">
        <f t="shared" si="1"/>
        <v>267</v>
      </c>
      <c r="J53" s="73">
        <f t="shared" ca="1" si="2"/>
        <v>17</v>
      </c>
      <c r="K53" s="121">
        <f>SUMIF('Pricing Info'!$L:$L,A53,'Pricing Info'!$K:$K)</f>
        <v>5900</v>
      </c>
      <c r="L53" s="121" t="str">
        <f>VLOOKUP(M53,'Color Code'!$A$2:$B$7,2,FALSE)</f>
        <v>Blue</v>
      </c>
      <c r="M53" s="32">
        <v>4</v>
      </c>
    </row>
    <row r="54" spans="1:13" ht="15.95">
      <c r="A54" s="118" t="s">
        <v>121</v>
      </c>
      <c r="B54" s="119" t="s">
        <v>122</v>
      </c>
      <c r="C54" s="74" t="str">
        <f t="shared" si="3"/>
        <v>To Do</v>
      </c>
      <c r="D54" s="70" t="b">
        <v>1</v>
      </c>
      <c r="E54" s="74" t="b">
        <f t="shared" si="5"/>
        <v>0</v>
      </c>
      <c r="F54" s="120">
        <f>F53</f>
        <v>45925</v>
      </c>
      <c r="G54" s="120">
        <f t="shared" si="0"/>
        <v>45930</v>
      </c>
      <c r="H54" s="73">
        <v>5</v>
      </c>
      <c r="I54" s="73">
        <f t="shared" si="1"/>
        <v>267</v>
      </c>
      <c r="J54" s="73">
        <f t="shared" ca="1" si="2"/>
        <v>20</v>
      </c>
      <c r="K54" s="121">
        <f>SUMIF('Pricing Info'!$L:$L,A54,'Pricing Info'!$K:$K)</f>
        <v>0</v>
      </c>
      <c r="L54" s="121" t="str">
        <f>VLOOKUP(M54,'Color Code'!$A$2:$B$7,2,FALSE)</f>
        <v>Blue</v>
      </c>
      <c r="M54" s="32">
        <v>4</v>
      </c>
    </row>
    <row r="55" spans="1:13" ht="15.95">
      <c r="A55" s="118" t="s">
        <v>123</v>
      </c>
      <c r="B55" s="119" t="s">
        <v>124</v>
      </c>
      <c r="C55" s="74" t="str">
        <f t="shared" si="3"/>
        <v>To Do</v>
      </c>
      <c r="D55" s="70" t="b">
        <v>1</v>
      </c>
      <c r="E55" s="74" t="b">
        <f t="shared" si="5"/>
        <v>0</v>
      </c>
      <c r="F55" s="120">
        <f t="shared" si="4"/>
        <v>45930</v>
      </c>
      <c r="G55" s="120">
        <f t="shared" si="0"/>
        <v>45931</v>
      </c>
      <c r="H55" s="73">
        <v>1</v>
      </c>
      <c r="I55" s="73">
        <f t="shared" si="1"/>
        <v>272</v>
      </c>
      <c r="J55" s="73">
        <f t="shared" ca="1" si="2"/>
        <v>7</v>
      </c>
      <c r="K55" s="121">
        <f>SUMIF('Pricing Info'!$L:$L,A55,'Pricing Info'!$K:$K)</f>
        <v>2600</v>
      </c>
      <c r="L55" s="121" t="str">
        <f>VLOOKUP(M55,'Color Code'!$A$2:$B$7,2,FALSE)</f>
        <v>Blue</v>
      </c>
      <c r="M55" s="32">
        <v>4</v>
      </c>
    </row>
    <row r="56" spans="1:13" ht="15.95">
      <c r="A56" s="118" t="s">
        <v>125</v>
      </c>
      <c r="B56" s="119" t="s">
        <v>126</v>
      </c>
      <c r="C56" s="74" t="str">
        <f t="shared" si="3"/>
        <v>To Do</v>
      </c>
      <c r="D56" s="70" t="b">
        <v>1</v>
      </c>
      <c r="E56" s="74" t="b">
        <f t="shared" si="5"/>
        <v>0</v>
      </c>
      <c r="F56" s="120">
        <f t="shared" si="4"/>
        <v>45931</v>
      </c>
      <c r="G56" s="120">
        <f t="shared" si="0"/>
        <v>45933</v>
      </c>
      <c r="H56" s="73">
        <v>2</v>
      </c>
      <c r="I56" s="73">
        <f t="shared" si="1"/>
        <v>273</v>
      </c>
      <c r="J56" s="73">
        <f t="shared" ca="1" si="2"/>
        <v>17</v>
      </c>
      <c r="K56" s="121">
        <f>SUMIF('Pricing Info'!$L:$L,A56,'Pricing Info'!$K:$K)</f>
        <v>3500</v>
      </c>
      <c r="L56" s="121" t="str">
        <f>VLOOKUP(M56,'Color Code'!$A$2:$B$7,2,FALSE)</f>
        <v>Blue</v>
      </c>
      <c r="M56" s="32">
        <v>4</v>
      </c>
    </row>
    <row r="57" spans="1:13" ht="15.95">
      <c r="A57" s="118" t="s">
        <v>127</v>
      </c>
      <c r="B57" s="119" t="s">
        <v>128</v>
      </c>
      <c r="C57" s="74" t="str">
        <f t="shared" si="3"/>
        <v>To Do</v>
      </c>
      <c r="D57" s="70" t="b">
        <v>1</v>
      </c>
      <c r="E57" s="74" t="b">
        <f t="shared" si="5"/>
        <v>0</v>
      </c>
      <c r="F57" s="120">
        <f>F56</f>
        <v>45931</v>
      </c>
      <c r="G57" s="120">
        <f t="shared" si="0"/>
        <v>45933</v>
      </c>
      <c r="H57" s="73">
        <v>2</v>
      </c>
      <c r="I57" s="73">
        <f t="shared" si="1"/>
        <v>273</v>
      </c>
      <c r="J57" s="73">
        <f t="shared" ca="1" si="2"/>
        <v>15</v>
      </c>
      <c r="K57" s="121">
        <f>SUMIF('Pricing Info'!$L:$L,A57,'Pricing Info'!$K:$K)</f>
        <v>0</v>
      </c>
      <c r="L57" s="121" t="str">
        <f>VLOOKUP(M57,'Color Code'!$A$2:$B$7,2,FALSE)</f>
        <v>Blue</v>
      </c>
      <c r="M57" s="32">
        <v>4</v>
      </c>
    </row>
    <row r="58" spans="1:13" ht="15.95">
      <c r="A58" s="118" t="s">
        <v>129</v>
      </c>
      <c r="B58" s="119" t="s">
        <v>130</v>
      </c>
      <c r="C58" s="74" t="str">
        <f t="shared" si="3"/>
        <v>To Do</v>
      </c>
      <c r="D58" s="70" t="b">
        <v>1</v>
      </c>
      <c r="E58" s="74" t="b">
        <f t="shared" si="5"/>
        <v>0</v>
      </c>
      <c r="F58" s="120">
        <f t="shared" si="4"/>
        <v>45933</v>
      </c>
      <c r="G58" s="120">
        <f t="shared" si="0"/>
        <v>45935</v>
      </c>
      <c r="H58" s="73">
        <v>2</v>
      </c>
      <c r="I58" s="73">
        <f t="shared" si="1"/>
        <v>275</v>
      </c>
      <c r="J58" s="73">
        <f t="shared" ca="1" si="2"/>
        <v>4</v>
      </c>
      <c r="K58" s="121">
        <f>SUMIF('Pricing Info'!$L:$L,A58,'Pricing Info'!$K:$K)</f>
        <v>0</v>
      </c>
      <c r="L58" s="121" t="str">
        <f>VLOOKUP(M58,'Color Code'!$A$2:$B$7,2,FALSE)</f>
        <v>Blue</v>
      </c>
      <c r="M58" s="32">
        <v>4</v>
      </c>
    </row>
    <row r="59" spans="1:13" ht="15.95">
      <c r="A59" s="118" t="s">
        <v>131</v>
      </c>
      <c r="B59" s="119" t="s">
        <v>132</v>
      </c>
      <c r="C59" s="74" t="str">
        <f t="shared" si="3"/>
        <v>To Do</v>
      </c>
      <c r="D59" s="70" t="b">
        <v>1</v>
      </c>
      <c r="E59" s="74" t="b">
        <f t="shared" si="5"/>
        <v>0</v>
      </c>
      <c r="F59" s="120">
        <f t="shared" si="4"/>
        <v>45935</v>
      </c>
      <c r="G59" s="120">
        <f t="shared" si="0"/>
        <v>45940</v>
      </c>
      <c r="H59" s="73">
        <v>5</v>
      </c>
      <c r="I59" s="73">
        <f t="shared" si="1"/>
        <v>277</v>
      </c>
      <c r="J59" s="73">
        <f t="shared" ca="1" si="2"/>
        <v>6</v>
      </c>
      <c r="K59" s="121">
        <f>SUMIF('Pricing Info'!$L:$L,A59,'Pricing Info'!$K:$K)</f>
        <v>0</v>
      </c>
      <c r="L59" s="121" t="str">
        <f>VLOOKUP(M59,'Color Code'!$A$2:$B$7,2,FALSE)</f>
        <v>Blue</v>
      </c>
      <c r="M59" s="32">
        <v>4</v>
      </c>
    </row>
    <row r="60" spans="1:13" ht="15.95">
      <c r="A60" s="118" t="s">
        <v>133</v>
      </c>
      <c r="B60" s="119" t="s">
        <v>134</v>
      </c>
      <c r="C60" s="74" t="str">
        <f>C59</f>
        <v>To Do</v>
      </c>
      <c r="D60" s="70" t="b">
        <v>1</v>
      </c>
      <c r="E60" s="74" t="b">
        <f>E59</f>
        <v>0</v>
      </c>
      <c r="F60" s="120">
        <f>F59</f>
        <v>45935</v>
      </c>
      <c r="G60" s="120">
        <f t="shared" si="0"/>
        <v>45942</v>
      </c>
      <c r="H60" s="73">
        <v>7</v>
      </c>
      <c r="I60" s="73">
        <f t="shared" si="1"/>
        <v>277</v>
      </c>
      <c r="J60" s="73">
        <f t="shared" ca="1" si="2"/>
        <v>3</v>
      </c>
      <c r="K60" s="121">
        <f>SUMIF('Pricing Info'!$L:$L,A60,'Pricing Info'!$K:$K)</f>
        <v>0</v>
      </c>
      <c r="L60" s="121" t="str">
        <f>VLOOKUP(M60,'Color Code'!$A$2:$B$7,2,FALSE)</f>
        <v>Blue</v>
      </c>
      <c r="M60" s="32">
        <v>4</v>
      </c>
    </row>
    <row r="61" spans="1:13" ht="15.95">
      <c r="A61" s="118" t="s">
        <v>135</v>
      </c>
      <c r="B61" s="119" t="s">
        <v>136</v>
      </c>
      <c r="C61" s="74" t="str">
        <f t="shared" si="3"/>
        <v>To Do</v>
      </c>
      <c r="D61" s="70" t="b">
        <v>1</v>
      </c>
      <c r="E61" s="74" t="b">
        <f t="shared" si="5"/>
        <v>0</v>
      </c>
      <c r="F61" s="120">
        <f>F60</f>
        <v>45935</v>
      </c>
      <c r="G61" s="120">
        <f t="shared" si="0"/>
        <v>45942</v>
      </c>
      <c r="H61" s="73">
        <v>7</v>
      </c>
      <c r="I61" s="73">
        <f t="shared" si="1"/>
        <v>277</v>
      </c>
      <c r="J61" s="73">
        <f t="shared" ca="1" si="2"/>
        <v>1</v>
      </c>
      <c r="K61" s="121">
        <f>SUMIF('Pricing Info'!$L:$L,A61,'Pricing Info'!$K:$K)</f>
        <v>0</v>
      </c>
      <c r="L61" s="121" t="str">
        <f>VLOOKUP(M61,'Color Code'!$A$2:$B$7,2,FALSE)</f>
        <v>Blue</v>
      </c>
      <c r="M61" s="32">
        <v>4</v>
      </c>
    </row>
    <row r="62" spans="1:13" ht="15.95">
      <c r="A62" s="118" t="s">
        <v>137</v>
      </c>
      <c r="B62" s="119" t="s">
        <v>138</v>
      </c>
      <c r="C62" s="74" t="str">
        <f t="shared" si="3"/>
        <v>To Do</v>
      </c>
      <c r="D62" s="70" t="b">
        <v>1</v>
      </c>
      <c r="E62" s="74" t="b">
        <f t="shared" si="5"/>
        <v>0</v>
      </c>
      <c r="F62" s="120">
        <f t="shared" si="4"/>
        <v>45942</v>
      </c>
      <c r="G62" s="120">
        <f t="shared" si="0"/>
        <v>45944</v>
      </c>
      <c r="H62" s="73">
        <v>2</v>
      </c>
      <c r="I62" s="73">
        <f t="shared" si="1"/>
        <v>284</v>
      </c>
      <c r="J62" s="73">
        <f t="shared" ca="1" si="2"/>
        <v>14</v>
      </c>
      <c r="K62" s="121">
        <f>SUMIF('Pricing Info'!$L:$L,A62,'Pricing Info'!$K:$K)</f>
        <v>18900</v>
      </c>
      <c r="L62" s="121" t="str">
        <f>VLOOKUP(M62,'Color Code'!$A$2:$B$7,2,FALSE)</f>
        <v>Blue</v>
      </c>
      <c r="M62" s="32">
        <v>4</v>
      </c>
    </row>
    <row r="63" spans="1:13" ht="15.95">
      <c r="A63" s="118" t="s">
        <v>139</v>
      </c>
      <c r="B63" s="119" t="s">
        <v>140</v>
      </c>
      <c r="C63" s="74" t="str">
        <f t="shared" si="3"/>
        <v>To Do</v>
      </c>
      <c r="D63" s="70" t="b">
        <v>1</v>
      </c>
      <c r="E63" s="74" t="b">
        <f t="shared" si="5"/>
        <v>0</v>
      </c>
      <c r="F63" s="120">
        <f t="shared" si="4"/>
        <v>45944</v>
      </c>
      <c r="G63" s="120">
        <f t="shared" si="0"/>
        <v>45949</v>
      </c>
      <c r="H63" s="73">
        <v>5</v>
      </c>
      <c r="I63" s="73">
        <f t="shared" si="1"/>
        <v>286</v>
      </c>
      <c r="J63" s="73">
        <f t="shared" ca="1" si="2"/>
        <v>6</v>
      </c>
      <c r="K63" s="121">
        <f>SUMIF('Pricing Info'!$L:$L,A63,'Pricing Info'!$K:$K)</f>
        <v>0</v>
      </c>
      <c r="L63" s="121" t="str">
        <f>VLOOKUP(M63,'Color Code'!$A$2:$B$7,2,FALSE)</f>
        <v>Blue</v>
      </c>
      <c r="M63" s="32">
        <v>4</v>
      </c>
    </row>
    <row r="64" spans="1:13" ht="15.95">
      <c r="A64" s="118" t="s">
        <v>141</v>
      </c>
      <c r="B64" s="119" t="s">
        <v>142</v>
      </c>
      <c r="C64" s="74" t="str">
        <f>C63</f>
        <v>To Do</v>
      </c>
      <c r="D64" s="70" t="b">
        <f>D63</f>
        <v>1</v>
      </c>
      <c r="E64" s="74" t="b">
        <f>E63</f>
        <v>0</v>
      </c>
      <c r="F64" s="120">
        <f>G63</f>
        <v>45949</v>
      </c>
      <c r="G64" s="120">
        <f t="shared" si="0"/>
        <v>45951</v>
      </c>
      <c r="H64" s="73">
        <v>2</v>
      </c>
      <c r="I64" s="73">
        <f t="shared" si="1"/>
        <v>291</v>
      </c>
      <c r="J64" s="73">
        <f t="shared" ca="1" si="2"/>
        <v>0</v>
      </c>
      <c r="K64" s="121">
        <f>SUMIF('Pricing Info'!$L:$L,A64,'Pricing Info'!$K:$K)</f>
        <v>3000</v>
      </c>
      <c r="L64" s="121" t="str">
        <f>VLOOKUP(M64,'Color Code'!$A$2:$B$7,2,FALSE)</f>
        <v>Blue</v>
      </c>
      <c r="M64" s="32">
        <v>4</v>
      </c>
    </row>
    <row r="65" spans="1:13" ht="15.75">
      <c r="A65" s="118" t="s">
        <v>143</v>
      </c>
      <c r="B65" s="119" t="s">
        <v>144</v>
      </c>
      <c r="C65" s="74" t="str">
        <f>C63</f>
        <v>To Do</v>
      </c>
      <c r="D65" s="70" t="b">
        <f>D63</f>
        <v>1</v>
      </c>
      <c r="E65" s="74" t="b">
        <f>E63</f>
        <v>0</v>
      </c>
      <c r="F65" s="120">
        <f>G64</f>
        <v>45951</v>
      </c>
      <c r="G65" s="120">
        <f t="shared" si="0"/>
        <v>45952</v>
      </c>
      <c r="H65" s="73">
        <v>1</v>
      </c>
      <c r="I65" s="73">
        <f t="shared" si="1"/>
        <v>293</v>
      </c>
      <c r="J65" s="73">
        <f t="shared" ca="1" si="2"/>
        <v>17</v>
      </c>
      <c r="K65" s="121">
        <f>SUMIF('Pricing Info'!$L:$L,A65,'Pricing Info'!$K:$K)</f>
        <v>0</v>
      </c>
      <c r="L65" s="121" t="str">
        <f>VLOOKUP(M65,'Color Code'!$A$2:$B$7,2,FALSE)</f>
        <v>Dark Blue</v>
      </c>
      <c r="M65" s="32">
        <v>1</v>
      </c>
    </row>
    <row r="66" spans="1:13" ht="15.95">
      <c r="A66" s="118" t="s">
        <v>145</v>
      </c>
      <c r="B66" s="67" t="s">
        <v>146</v>
      </c>
      <c r="C66" s="66" t="str">
        <f>C63</f>
        <v>To Do</v>
      </c>
      <c r="D66" s="70" t="b">
        <v>1</v>
      </c>
      <c r="E66" s="66" t="b">
        <f>E63</f>
        <v>0</v>
      </c>
      <c r="F66" s="44">
        <f>G65</f>
        <v>45952</v>
      </c>
      <c r="G66" s="44">
        <f t="shared" si="0"/>
        <v>45953</v>
      </c>
      <c r="H66" s="45">
        <v>1</v>
      </c>
      <c r="I66" s="73">
        <f t="shared" si="1"/>
        <v>294</v>
      </c>
      <c r="J66" s="45">
        <f t="shared" ref="J66:J69" ca="1" si="6">RANDBETWEEN(0,20)</f>
        <v>10</v>
      </c>
      <c r="K66" s="46">
        <f>SUMIF('Pricing Info'!$L:$L,A66,'Pricing Info'!$K:$K)</f>
        <v>0</v>
      </c>
      <c r="L66" s="46" t="str">
        <f>VLOOKUP(M66,'Color Code'!$A$2:$B$7,2,FALSE)</f>
        <v>Grey</v>
      </c>
      <c r="M66" s="104">
        <v>3</v>
      </c>
    </row>
    <row r="67" spans="1:13" ht="15.95">
      <c r="A67" s="122" t="s">
        <v>147</v>
      </c>
      <c r="B67" s="67" t="s">
        <v>148</v>
      </c>
      <c r="C67" s="66" t="str">
        <f t="shared" ref="C67" si="7">C66</f>
        <v>To Do</v>
      </c>
      <c r="D67" s="70" t="b">
        <v>1</v>
      </c>
      <c r="E67" s="66" t="b">
        <f t="shared" ref="E67" si="8">E66</f>
        <v>0</v>
      </c>
      <c r="F67" s="44">
        <f t="shared" ref="F67:F68" si="9">G66</f>
        <v>45953</v>
      </c>
      <c r="G67" s="44">
        <f t="shared" ref="G67:G68" si="10">F67+H67</f>
        <v>45954</v>
      </c>
      <c r="H67" s="45">
        <v>1</v>
      </c>
      <c r="I67" s="73">
        <f t="shared" si="1"/>
        <v>295</v>
      </c>
      <c r="J67" s="45">
        <f t="shared" ca="1" si="6"/>
        <v>7</v>
      </c>
      <c r="K67" s="46">
        <f>SUMIF('Pricing Info'!$L:$L,A67,'Pricing Info'!$K:$K)</f>
        <v>0</v>
      </c>
      <c r="L67" s="46" t="str">
        <f>VLOOKUP(M67,'Color Code'!$A$2:$B$7,2,FALSE)</f>
        <v>Grey</v>
      </c>
      <c r="M67" s="104">
        <v>3</v>
      </c>
    </row>
    <row r="68" spans="1:13" ht="15.95">
      <c r="A68" s="122" t="s">
        <v>149</v>
      </c>
      <c r="B68" s="119" t="s">
        <v>150</v>
      </c>
      <c r="C68" s="74" t="str">
        <f t="shared" ref="C68" si="11">C67</f>
        <v>To Do</v>
      </c>
      <c r="D68" s="70" t="b">
        <v>1</v>
      </c>
      <c r="E68" s="74" t="b">
        <f t="shared" si="5"/>
        <v>0</v>
      </c>
      <c r="F68" s="120">
        <f t="shared" si="9"/>
        <v>45954</v>
      </c>
      <c r="G68" s="120">
        <f t="shared" si="10"/>
        <v>45955</v>
      </c>
      <c r="H68" s="73">
        <v>1</v>
      </c>
      <c r="I68" s="73">
        <f t="shared" si="1"/>
        <v>296</v>
      </c>
      <c r="J68" s="73">
        <f t="shared" ca="1" si="6"/>
        <v>2</v>
      </c>
      <c r="K68" s="121">
        <f>SUMIF('Pricing Info'!$L:$L,A68,'Pricing Info'!$K:$K)</f>
        <v>0</v>
      </c>
      <c r="L68" s="121" t="str">
        <f>VLOOKUP(M68,'Color Code'!$A$2:$B$7,2,FALSE)</f>
        <v>Blue</v>
      </c>
      <c r="M68" s="32">
        <v>4</v>
      </c>
    </row>
    <row r="69" spans="1:13" ht="15.95">
      <c r="A69" s="122" t="s">
        <v>151</v>
      </c>
      <c r="B69" s="105" t="s">
        <v>152</v>
      </c>
      <c r="C69" s="106" t="str">
        <f t="shared" ref="C69" si="12">C68</f>
        <v>To Do</v>
      </c>
      <c r="D69" s="107" t="b">
        <v>1</v>
      </c>
      <c r="E69" s="106" t="b">
        <f t="shared" ref="E69" si="13">E68</f>
        <v>0</v>
      </c>
      <c r="F69" s="108">
        <f t="shared" ref="F69" si="14">G68</f>
        <v>45955</v>
      </c>
      <c r="G69" s="108">
        <f t="shared" ref="G69" si="15">F69+H69</f>
        <v>45956</v>
      </c>
      <c r="H69" s="109">
        <v>1</v>
      </c>
      <c r="I69" s="78">
        <f t="shared" si="1"/>
        <v>297</v>
      </c>
      <c r="J69" s="109">
        <f t="shared" ca="1" si="6"/>
        <v>0</v>
      </c>
      <c r="K69" s="110">
        <f>SUMIF('Pricing Info'!$L:$L,A69,'Pricing Info'!$K:$K)</f>
        <v>0</v>
      </c>
      <c r="L69" s="110" t="str">
        <f>VLOOKUP(M69,'Color Code'!$A$2:$B$7,2,FALSE)</f>
        <v>Blue</v>
      </c>
      <c r="M69" s="111">
        <v>4</v>
      </c>
    </row>
    <row r="70" spans="1:13">
      <c r="A70" s="4"/>
      <c r="B70" s="4"/>
      <c r="C70" s="5"/>
      <c r="D70" s="5"/>
      <c r="E70" s="5"/>
      <c r="F70" s="133"/>
      <c r="G70" s="133"/>
      <c r="H70" s="4"/>
      <c r="I70" s="4"/>
      <c r="J70" s="4"/>
      <c r="K70" s="13"/>
      <c r="L70" s="10"/>
      <c r="M70" s="11"/>
    </row>
    <row r="71" spans="1:13">
      <c r="A71" s="6"/>
      <c r="B71" s="4"/>
      <c r="C71" s="7"/>
      <c r="D71" s="7"/>
      <c r="E71" s="7"/>
      <c r="F71" s="134"/>
      <c r="G71" s="134"/>
      <c r="H71" s="8"/>
      <c r="I71" s="8"/>
      <c r="J71" s="8"/>
      <c r="K71" s="12"/>
      <c r="L71" s="12"/>
      <c r="M71" s="10"/>
    </row>
    <row r="72" spans="1:13">
      <c r="A72" s="8"/>
      <c r="B72" s="8"/>
      <c r="C72" s="9"/>
      <c r="D72" s="9"/>
      <c r="E72" s="9"/>
      <c r="F72" s="8"/>
      <c r="G72" s="8"/>
      <c r="H72" s="8"/>
      <c r="I72" s="8"/>
      <c r="J72" s="8"/>
      <c r="K72" s="12"/>
      <c r="L72" s="12"/>
      <c r="M72" s="8"/>
    </row>
    <row r="73" spans="1:13">
      <c r="A73" s="4"/>
      <c r="B73" s="4"/>
      <c r="C73" s="5"/>
      <c r="D73" s="5"/>
      <c r="E73" s="5"/>
      <c r="F73" s="135"/>
      <c r="G73" s="136"/>
      <c r="H73" s="8"/>
      <c r="I73" s="8"/>
      <c r="J73" s="8"/>
      <c r="K73" s="132"/>
      <c r="L73" s="132"/>
      <c r="M73" s="132"/>
    </row>
    <row r="74" spans="1:13">
      <c r="A74" s="4"/>
      <c r="B74" s="4"/>
      <c r="C74" s="5"/>
      <c r="D74" s="5"/>
      <c r="E74" s="5"/>
      <c r="F74" s="135"/>
      <c r="G74" s="136"/>
      <c r="H74" s="8"/>
      <c r="I74" s="8"/>
      <c r="J74" s="8"/>
      <c r="K74" s="12"/>
      <c r="L74" s="12"/>
      <c r="M74" s="13"/>
    </row>
    <row r="75" spans="1:13">
      <c r="A75" s="6"/>
      <c r="B75" s="4"/>
      <c r="C75" s="7"/>
      <c r="D75" s="7"/>
      <c r="E75" s="7"/>
      <c r="F75" s="130"/>
      <c r="G75" s="131"/>
      <c r="H75" s="8"/>
      <c r="I75" s="8"/>
      <c r="J75" s="8"/>
      <c r="K75" s="12"/>
      <c r="L75" s="12"/>
      <c r="M75" s="13"/>
    </row>
  </sheetData>
  <mergeCells count="6">
    <mergeCell ref="F75:G75"/>
    <mergeCell ref="K73:M73"/>
    <mergeCell ref="F70:G70"/>
    <mergeCell ref="F71:G71"/>
    <mergeCell ref="F73:G73"/>
    <mergeCell ref="F74:G74"/>
  </mergeCells>
  <conditionalFormatting sqref="C2:C69 E2:E3 E6:E69">
    <cfRule type="containsText" dxfId="7" priority="2" operator="containsText" text="Done">
      <formula>NOT(ISERROR(SEARCH("Done",C2)))</formula>
    </cfRule>
  </conditionalFormatting>
  <printOptions horizontalCentered="1" verticalCentered="1"/>
  <pageMargins left="0.25" right="0.25" top="0.75" bottom="0.75" header="0.3" footer="0.3"/>
  <pageSetup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5ED9-16DC-48E9-B668-8F9EDFB442E8}">
  <dimension ref="A1:M71"/>
  <sheetViews>
    <sheetView showGridLines="0" workbookViewId="0">
      <selection activeCell="Q22" sqref="Q22"/>
    </sheetView>
  </sheetViews>
  <sheetFormatPr defaultColWidth="8.85546875" defaultRowHeight="15.75" customHeight="1"/>
  <cols>
    <col min="1" max="1" width="40.7109375" style="36" bestFit="1" customWidth="1"/>
    <col min="2" max="2" width="13.42578125" style="36" customWidth="1"/>
    <col min="3" max="3" width="17.85546875" style="36" customWidth="1"/>
    <col min="4" max="4" width="18.85546875" style="37" customWidth="1"/>
    <col min="5" max="5" width="16" style="36" customWidth="1"/>
    <col min="6" max="6" width="28.7109375" style="36" bestFit="1" customWidth="1"/>
    <col min="7" max="7" width="16" style="36" customWidth="1"/>
    <col min="8" max="8" width="16.5703125" style="36" bestFit="1" customWidth="1"/>
    <col min="9" max="9" width="16" style="36" customWidth="1"/>
    <col min="10" max="10" width="16.42578125" style="36" customWidth="1"/>
    <col min="11" max="11" width="21.140625" style="36" bestFit="1" customWidth="1"/>
    <col min="12" max="12" width="14.28515625" style="38" bestFit="1" customWidth="1"/>
    <col min="13" max="13" width="30.5703125" style="36" hidden="1" customWidth="1"/>
    <col min="14" max="16384" width="8.85546875" style="36"/>
  </cols>
  <sheetData>
    <row r="1" spans="1:13" ht="15" customHeight="1">
      <c r="A1" s="14" t="s">
        <v>153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36"/>
    </row>
    <row r="2" spans="1:13" ht="30">
      <c r="A2" s="137" t="s">
        <v>154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36"/>
    </row>
    <row r="3" spans="1:13" ht="17.4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36"/>
    </row>
    <row r="4" spans="1:13" ht="17.45" customHeight="1">
      <c r="A4" s="16" t="s">
        <v>155</v>
      </c>
      <c r="B4" s="17">
        <f ca="1">TODAY()</f>
        <v>45740</v>
      </c>
      <c r="C4" s="17"/>
      <c r="D4" s="17"/>
      <c r="E4" s="17"/>
      <c r="F4" s="34" t="s">
        <v>156</v>
      </c>
      <c r="G4" s="15"/>
      <c r="H4" s="18">
        <f>Data!G69</f>
        <v>45956</v>
      </c>
      <c r="I4" s="20"/>
      <c r="J4" s="20"/>
      <c r="K4" s="15"/>
      <c r="L4" s="36"/>
    </row>
    <row r="5" spans="1:13" ht="17.45" customHeight="1">
      <c r="A5" s="16" t="s">
        <v>157</v>
      </c>
      <c r="B5" s="17">
        <v>45658</v>
      </c>
      <c r="C5" s="17"/>
      <c r="D5" s="17"/>
      <c r="E5" s="17"/>
      <c r="F5" s="34" t="s">
        <v>158</v>
      </c>
      <c r="G5" s="15"/>
      <c r="H5" s="71">
        <f>Data!I69*8</f>
        <v>2376</v>
      </c>
      <c r="I5" s="18"/>
      <c r="J5" s="15"/>
      <c r="K5" s="15"/>
      <c r="L5" s="36"/>
    </row>
    <row r="6" spans="1:13" ht="17.45" customHeight="1">
      <c r="A6" s="18"/>
      <c r="B6" s="19"/>
      <c r="C6" s="19"/>
      <c r="D6" s="19"/>
      <c r="E6" s="19"/>
      <c r="F6" s="15"/>
      <c r="G6" s="15"/>
      <c r="H6" s="35"/>
      <c r="I6" s="35"/>
      <c r="J6" s="15"/>
      <c r="K6" s="15"/>
      <c r="L6" s="36"/>
    </row>
    <row r="7" spans="1:13" ht="17.45" customHeight="1">
      <c r="A7" s="16" t="s">
        <v>159</v>
      </c>
      <c r="B7" s="20">
        <v>43560</v>
      </c>
      <c r="C7" s="20"/>
      <c r="D7" s="20"/>
      <c r="E7" s="21"/>
      <c r="F7" s="34" t="s">
        <v>160</v>
      </c>
      <c r="G7" s="15"/>
      <c r="H7" s="37">
        <f>K51-H8</f>
        <v>690014.7</v>
      </c>
      <c r="I7" s="37"/>
      <c r="J7" s="15"/>
      <c r="K7" s="43" t="s">
        <v>161</v>
      </c>
      <c r="L7" s="39">
        <v>0.75</v>
      </c>
    </row>
    <row r="8" spans="1:13" ht="17.45" customHeight="1">
      <c r="A8" s="16" t="s">
        <v>162</v>
      </c>
      <c r="B8" s="20">
        <v>4000</v>
      </c>
      <c r="C8" s="20"/>
      <c r="D8" s="20"/>
      <c r="E8" s="21"/>
      <c r="F8" s="34" t="s">
        <v>163</v>
      </c>
      <c r="G8" s="42">
        <v>0.15</v>
      </c>
      <c r="H8" s="37">
        <f>K51*G8</f>
        <v>121767.29999999999</v>
      </c>
      <c r="I8" s="37"/>
      <c r="J8" s="15"/>
      <c r="K8" s="39" t="s">
        <v>164</v>
      </c>
      <c r="L8" s="39">
        <v>0.85</v>
      </c>
    </row>
    <row r="9" spans="1:13" ht="17.45" customHeight="1">
      <c r="A9" s="16" t="s">
        <v>165</v>
      </c>
      <c r="B9" s="20">
        <v>2</v>
      </c>
      <c r="C9" s="20"/>
      <c r="D9" s="20"/>
      <c r="E9" s="21"/>
      <c r="F9" s="34" t="s">
        <v>166</v>
      </c>
      <c r="G9" s="42">
        <v>0.05</v>
      </c>
      <c r="H9" s="37">
        <f>H7*G9</f>
        <v>34500.735000000001</v>
      </c>
      <c r="I9" s="37"/>
      <c r="J9" s="15"/>
      <c r="K9" s="59" t="s">
        <v>167</v>
      </c>
      <c r="L9" s="59">
        <v>1</v>
      </c>
    </row>
    <row r="10" spans="1:13" ht="17.45" customHeight="1">
      <c r="A10" s="16" t="s">
        <v>168</v>
      </c>
      <c r="B10" s="20">
        <f>B8*0.85</f>
        <v>3400</v>
      </c>
      <c r="C10" s="20"/>
      <c r="D10" s="20"/>
      <c r="E10" s="21"/>
      <c r="F10" s="34" t="s">
        <v>169</v>
      </c>
      <c r="G10" s="15"/>
      <c r="H10" s="37">
        <f>SUM(H7:H9)</f>
        <v>846282.73499999999</v>
      </c>
      <c r="I10" s="37"/>
      <c r="J10" s="15"/>
      <c r="K10" s="39" t="s">
        <v>170</v>
      </c>
      <c r="L10" s="39">
        <v>1.1499999999999999</v>
      </c>
    </row>
    <row r="11" spans="1:13" ht="17.45" customHeight="1">
      <c r="A11" s="16" t="s">
        <v>171</v>
      </c>
      <c r="B11" s="20">
        <f>SUM(B8-B10)</f>
        <v>600</v>
      </c>
      <c r="C11" s="20"/>
      <c r="D11" s="20"/>
      <c r="E11" s="21"/>
      <c r="F11" s="34" t="s">
        <v>172</v>
      </c>
      <c r="G11" s="15"/>
      <c r="H11" s="72">
        <f>H10/B8</f>
        <v>211.57068375</v>
      </c>
      <c r="I11" s="37"/>
      <c r="J11" s="15"/>
      <c r="K11" s="34" t="s">
        <v>173</v>
      </c>
      <c r="L11" s="39">
        <v>1.25</v>
      </c>
    </row>
    <row r="12" spans="1:13" ht="17.4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36"/>
    </row>
    <row r="13" spans="1:13" ht="17.45" customHeight="1">
      <c r="A13" s="57" t="s">
        <v>174</v>
      </c>
      <c r="B13" s="40" t="s">
        <v>175</v>
      </c>
      <c r="C13" s="40" t="s">
        <v>176</v>
      </c>
      <c r="D13" s="40" t="s">
        <v>177</v>
      </c>
      <c r="E13" s="51" t="s">
        <v>178</v>
      </c>
      <c r="F13" s="51" t="s">
        <v>179</v>
      </c>
      <c r="G13" s="51" t="s">
        <v>180</v>
      </c>
      <c r="H13" s="40" t="s">
        <v>181</v>
      </c>
      <c r="I13" s="40" t="s">
        <v>182</v>
      </c>
      <c r="J13" s="51" t="s">
        <v>183</v>
      </c>
      <c r="K13" s="40" t="s">
        <v>184</v>
      </c>
      <c r="L13" s="41" t="s">
        <v>185</v>
      </c>
      <c r="M13" s="41" t="s">
        <v>186</v>
      </c>
    </row>
    <row r="14" spans="1:13" ht="17.45" customHeight="1">
      <c r="A14" s="62" t="s">
        <v>187</v>
      </c>
      <c r="B14" s="75">
        <v>0</v>
      </c>
      <c r="C14" s="49">
        <f>L9</f>
        <v>1</v>
      </c>
      <c r="D14" s="50">
        <f>B14*C14</f>
        <v>0</v>
      </c>
      <c r="E14" s="64">
        <v>1</v>
      </c>
      <c r="F14" s="50">
        <f>D14*E14</f>
        <v>0</v>
      </c>
      <c r="G14" s="52">
        <v>0</v>
      </c>
      <c r="H14" s="50">
        <f t="shared" ref="H14:H50" si="0">F14*G14</f>
        <v>0</v>
      </c>
      <c r="I14" s="50">
        <f t="shared" ref="I14:I50" si="1">SUM(D14*E14)+H14</f>
        <v>0</v>
      </c>
      <c r="J14" s="81">
        <f t="shared" ref="J14:J50" si="2">I14*0</f>
        <v>0</v>
      </c>
      <c r="K14" s="82">
        <f t="shared" ref="K14:K50" si="3">SUM(I14:J14)</f>
        <v>0</v>
      </c>
      <c r="L14" s="123" t="s">
        <v>17</v>
      </c>
      <c r="M14" s="124" t="str">
        <f>VLOOKUP(L14,Data!$A$2:$B$69,2,FALSE)</f>
        <v>Initial Site Survey</v>
      </c>
    </row>
    <row r="15" spans="1:13" ht="17.45" customHeight="1">
      <c r="A15" s="87" t="s">
        <v>188</v>
      </c>
      <c r="B15" s="83">
        <v>2000</v>
      </c>
      <c r="C15" s="48">
        <f>C14</f>
        <v>1</v>
      </c>
      <c r="D15" s="31">
        <f t="shared" ref="D15:D50" si="4">B15*C15</f>
        <v>2000</v>
      </c>
      <c r="E15" s="30">
        <f>E14</f>
        <v>1</v>
      </c>
      <c r="F15" s="31">
        <f t="shared" ref="F15:F50" si="5">D15*E15</f>
        <v>2000</v>
      </c>
      <c r="G15" s="53">
        <v>0</v>
      </c>
      <c r="H15" s="31">
        <f t="shared" si="0"/>
        <v>0</v>
      </c>
      <c r="I15" s="31">
        <f t="shared" si="1"/>
        <v>2000</v>
      </c>
      <c r="J15" s="65">
        <f t="shared" si="2"/>
        <v>0</v>
      </c>
      <c r="K15" s="68">
        <f t="shared" si="3"/>
        <v>2000</v>
      </c>
      <c r="L15" s="125" t="s">
        <v>42</v>
      </c>
      <c r="M15" s="126" t="str">
        <f>VLOOKUP(L15,Data!$A$2:$B$69,2,FALSE)</f>
        <v>Temporary Utility Instillation</v>
      </c>
    </row>
    <row r="16" spans="1:13" ht="17.45" customHeight="1">
      <c r="A16" s="87" t="s">
        <v>189</v>
      </c>
      <c r="B16" s="83">
        <v>34000</v>
      </c>
      <c r="C16" s="48">
        <f t="shared" ref="C16:C50" si="6">C15</f>
        <v>1</v>
      </c>
      <c r="D16" s="31">
        <f t="shared" si="4"/>
        <v>34000</v>
      </c>
      <c r="E16" s="30">
        <f t="shared" ref="E16:E50" si="7">E15</f>
        <v>1</v>
      </c>
      <c r="F16" s="31">
        <f t="shared" si="5"/>
        <v>34000</v>
      </c>
      <c r="G16" s="53">
        <v>0</v>
      </c>
      <c r="H16" s="31">
        <f t="shared" si="0"/>
        <v>0</v>
      </c>
      <c r="I16" s="31">
        <f t="shared" si="1"/>
        <v>34000</v>
      </c>
      <c r="J16" s="65">
        <f t="shared" si="2"/>
        <v>0</v>
      </c>
      <c r="K16" s="68">
        <f t="shared" si="3"/>
        <v>34000</v>
      </c>
      <c r="L16" s="125" t="s">
        <v>44</v>
      </c>
      <c r="M16" s="126" t="str">
        <f>VLOOKUP(L16,Data!$A$2:$B$69,2,FALSE)</f>
        <v>Demolition of Structure</v>
      </c>
    </row>
    <row r="17" spans="1:13" ht="17.45" customHeight="1">
      <c r="A17" s="58" t="s">
        <v>190</v>
      </c>
      <c r="B17" s="83">
        <v>9500</v>
      </c>
      <c r="C17" s="48">
        <f t="shared" si="6"/>
        <v>1</v>
      </c>
      <c r="D17" s="31">
        <f t="shared" si="4"/>
        <v>9500</v>
      </c>
      <c r="E17" s="30">
        <f t="shared" si="7"/>
        <v>1</v>
      </c>
      <c r="F17" s="31">
        <f t="shared" si="5"/>
        <v>9500</v>
      </c>
      <c r="G17" s="53">
        <v>0</v>
      </c>
      <c r="H17" s="31">
        <f t="shared" si="0"/>
        <v>0</v>
      </c>
      <c r="I17" s="31">
        <f t="shared" si="1"/>
        <v>9500</v>
      </c>
      <c r="J17" s="65">
        <f t="shared" si="2"/>
        <v>0</v>
      </c>
      <c r="K17" s="68">
        <f t="shared" si="3"/>
        <v>9500</v>
      </c>
      <c r="L17" s="125" t="s">
        <v>46</v>
      </c>
      <c r="M17" s="126" t="str">
        <f>VLOOKUP(L17,Data!$A$2:$B$69,2,FALSE)</f>
        <v>Carting (Waste Materials)</v>
      </c>
    </row>
    <row r="18" spans="1:13" ht="17.45" customHeight="1">
      <c r="A18" s="87" t="s">
        <v>191</v>
      </c>
      <c r="B18" s="83">
        <v>11400</v>
      </c>
      <c r="C18" s="48">
        <f t="shared" si="6"/>
        <v>1</v>
      </c>
      <c r="D18" s="31">
        <f t="shared" si="4"/>
        <v>11400</v>
      </c>
      <c r="E18" s="30">
        <f t="shared" si="7"/>
        <v>1</v>
      </c>
      <c r="F18" s="31">
        <f t="shared" si="5"/>
        <v>11400</v>
      </c>
      <c r="G18" s="53">
        <v>0</v>
      </c>
      <c r="H18" s="31">
        <f t="shared" si="0"/>
        <v>0</v>
      </c>
      <c r="I18" s="31">
        <f t="shared" si="1"/>
        <v>11400</v>
      </c>
      <c r="J18" s="65">
        <f t="shared" si="2"/>
        <v>0</v>
      </c>
      <c r="K18" s="68">
        <f t="shared" si="3"/>
        <v>11400</v>
      </c>
      <c r="L18" s="125" t="s">
        <v>48</v>
      </c>
      <c r="M18" s="126" t="str">
        <f>VLOOKUP(L18,Data!$A$2:$B$69,2,FALSE)</f>
        <v>Rear Footing &amp; Step Instillation</v>
      </c>
    </row>
    <row r="19" spans="1:13" ht="17.45" customHeight="1">
      <c r="A19" s="87" t="s">
        <v>192</v>
      </c>
      <c r="B19" s="83">
        <v>19645</v>
      </c>
      <c r="C19" s="48">
        <f t="shared" si="6"/>
        <v>1</v>
      </c>
      <c r="D19" s="31">
        <f t="shared" si="4"/>
        <v>19645</v>
      </c>
      <c r="E19" s="30">
        <f t="shared" si="7"/>
        <v>1</v>
      </c>
      <c r="F19" s="31">
        <f t="shared" si="5"/>
        <v>19645</v>
      </c>
      <c r="G19" s="53">
        <v>0</v>
      </c>
      <c r="H19" s="31">
        <f t="shared" si="0"/>
        <v>0</v>
      </c>
      <c r="I19" s="31">
        <f t="shared" si="1"/>
        <v>19645</v>
      </c>
      <c r="J19" s="65">
        <f t="shared" si="2"/>
        <v>0</v>
      </c>
      <c r="K19" s="68">
        <f t="shared" si="3"/>
        <v>19645</v>
      </c>
      <c r="L19" s="125" t="s">
        <v>62</v>
      </c>
      <c r="M19" s="126" t="str">
        <f>VLOOKUP(L19,Data!$A$2:$B$69,2,FALSE)</f>
        <v>Strucural Steel Instillation</v>
      </c>
    </row>
    <row r="20" spans="1:13" ht="17.45" customHeight="1">
      <c r="A20" s="87" t="s">
        <v>193</v>
      </c>
      <c r="B20" s="83">
        <v>18900</v>
      </c>
      <c r="C20" s="48">
        <f t="shared" si="6"/>
        <v>1</v>
      </c>
      <c r="D20" s="31">
        <f t="shared" si="4"/>
        <v>18900</v>
      </c>
      <c r="E20" s="30">
        <f t="shared" si="7"/>
        <v>1</v>
      </c>
      <c r="F20" s="31">
        <f t="shared" si="5"/>
        <v>18900</v>
      </c>
      <c r="G20" s="53">
        <v>0</v>
      </c>
      <c r="H20" s="31">
        <f t="shared" si="0"/>
        <v>0</v>
      </c>
      <c r="I20" s="31">
        <f t="shared" si="1"/>
        <v>18900</v>
      </c>
      <c r="J20" s="65">
        <f t="shared" si="2"/>
        <v>0</v>
      </c>
      <c r="K20" s="68">
        <f t="shared" si="3"/>
        <v>18900</v>
      </c>
      <c r="L20" s="125" t="s">
        <v>137</v>
      </c>
      <c r="M20" s="126" t="str">
        <f>VLOOKUP(L20,Data!$A$2:$B$69,2,FALSE)</f>
        <v>Blue Stone Patio Instillation</v>
      </c>
    </row>
    <row r="21" spans="1:13" ht="17.45" customHeight="1">
      <c r="A21" s="87" t="s">
        <v>194</v>
      </c>
      <c r="B21" s="83">
        <v>7840</v>
      </c>
      <c r="C21" s="48">
        <f t="shared" si="6"/>
        <v>1</v>
      </c>
      <c r="D21" s="31">
        <f t="shared" si="4"/>
        <v>7840</v>
      </c>
      <c r="E21" s="30">
        <f t="shared" si="7"/>
        <v>1</v>
      </c>
      <c r="F21" s="31">
        <f t="shared" si="5"/>
        <v>7840</v>
      </c>
      <c r="G21" s="53">
        <v>0</v>
      </c>
      <c r="H21" s="31">
        <f t="shared" si="0"/>
        <v>0</v>
      </c>
      <c r="I21" s="31">
        <f t="shared" si="1"/>
        <v>7840</v>
      </c>
      <c r="J21" s="65">
        <f t="shared" si="2"/>
        <v>0</v>
      </c>
      <c r="K21" s="68">
        <f t="shared" si="3"/>
        <v>7840</v>
      </c>
      <c r="L21" s="125" t="s">
        <v>111</v>
      </c>
      <c r="M21" s="126" t="str">
        <f>VLOOKUP(L21,Data!$A$2:$B$69,2,FALSE)</f>
        <v>Interior Rail Instillation</v>
      </c>
    </row>
    <row r="22" spans="1:13" ht="17.45" customHeight="1">
      <c r="A22" s="87" t="s">
        <v>195</v>
      </c>
      <c r="B22" s="83">
        <v>56200</v>
      </c>
      <c r="C22" s="48">
        <f t="shared" si="6"/>
        <v>1</v>
      </c>
      <c r="D22" s="31">
        <f t="shared" si="4"/>
        <v>56200</v>
      </c>
      <c r="E22" s="30">
        <f t="shared" si="7"/>
        <v>1</v>
      </c>
      <c r="F22" s="31">
        <f t="shared" si="5"/>
        <v>56200</v>
      </c>
      <c r="G22" s="53">
        <v>0</v>
      </c>
      <c r="H22" s="31">
        <f t="shared" si="0"/>
        <v>0</v>
      </c>
      <c r="I22" s="31">
        <f t="shared" si="1"/>
        <v>56200</v>
      </c>
      <c r="J22" s="65">
        <f t="shared" si="2"/>
        <v>0</v>
      </c>
      <c r="K22" s="68">
        <f t="shared" si="3"/>
        <v>56200</v>
      </c>
      <c r="L22" s="125" t="s">
        <v>64</v>
      </c>
      <c r="M22" s="126" t="str">
        <f>VLOOKUP(L22,Data!$A$2:$B$69,2,FALSE)</f>
        <v>Framing (Structure)</v>
      </c>
    </row>
    <row r="23" spans="1:13" ht="17.45" customHeight="1">
      <c r="A23" s="87" t="s">
        <v>196</v>
      </c>
      <c r="B23" s="83">
        <v>91426</v>
      </c>
      <c r="C23" s="48">
        <f t="shared" si="6"/>
        <v>1</v>
      </c>
      <c r="D23" s="31">
        <f t="shared" si="4"/>
        <v>91426</v>
      </c>
      <c r="E23" s="30">
        <f t="shared" si="7"/>
        <v>1</v>
      </c>
      <c r="F23" s="31">
        <f t="shared" si="5"/>
        <v>91426</v>
      </c>
      <c r="G23" s="53">
        <v>0</v>
      </c>
      <c r="H23" s="31">
        <f t="shared" si="0"/>
        <v>0</v>
      </c>
      <c r="I23" s="31">
        <f t="shared" si="1"/>
        <v>91426</v>
      </c>
      <c r="J23" s="65">
        <f t="shared" si="2"/>
        <v>0</v>
      </c>
      <c r="K23" s="68">
        <f t="shared" si="3"/>
        <v>91426</v>
      </c>
      <c r="L23" s="125" t="s">
        <v>76</v>
      </c>
      <c r="M23" s="126" t="str">
        <f>VLOOKUP(L23,Data!$A$2:$B$69,2,FALSE)</f>
        <v>Rough Electrial Instillation</v>
      </c>
    </row>
    <row r="24" spans="1:13" ht="17.45" customHeight="1">
      <c r="A24" s="87" t="s">
        <v>197</v>
      </c>
      <c r="B24" s="83">
        <v>17204</v>
      </c>
      <c r="C24" s="48">
        <f t="shared" si="6"/>
        <v>1</v>
      </c>
      <c r="D24" s="31">
        <f t="shared" si="4"/>
        <v>17204</v>
      </c>
      <c r="E24" s="30">
        <f t="shared" si="7"/>
        <v>1</v>
      </c>
      <c r="F24" s="31">
        <f t="shared" si="5"/>
        <v>17204</v>
      </c>
      <c r="G24" s="53">
        <v>0</v>
      </c>
      <c r="H24" s="31">
        <f t="shared" si="0"/>
        <v>0</v>
      </c>
      <c r="I24" s="31">
        <f t="shared" si="1"/>
        <v>17204</v>
      </c>
      <c r="J24" s="65">
        <f t="shared" si="2"/>
        <v>0</v>
      </c>
      <c r="K24" s="68">
        <f t="shared" si="3"/>
        <v>17204</v>
      </c>
      <c r="L24" s="125" t="s">
        <v>91</v>
      </c>
      <c r="M24" s="126" t="str">
        <f>VLOOKUP(L24,Data!$A$2:$B$69,2,FALSE)</f>
        <v>Insulation Instillation (Frame)</v>
      </c>
    </row>
    <row r="25" spans="1:13" ht="17.45" customHeight="1">
      <c r="A25" s="87" t="s">
        <v>198</v>
      </c>
      <c r="B25" s="83">
        <v>54740</v>
      </c>
      <c r="C25" s="48">
        <f>C24</f>
        <v>1</v>
      </c>
      <c r="D25" s="31">
        <f t="shared" si="4"/>
        <v>54740</v>
      </c>
      <c r="E25" s="30">
        <f>E24</f>
        <v>1</v>
      </c>
      <c r="F25" s="31">
        <f t="shared" si="5"/>
        <v>54740</v>
      </c>
      <c r="G25" s="53">
        <v>0</v>
      </c>
      <c r="H25" s="31">
        <f t="shared" si="0"/>
        <v>0</v>
      </c>
      <c r="I25" s="31">
        <f t="shared" si="1"/>
        <v>54740</v>
      </c>
      <c r="J25" s="65">
        <f t="shared" si="2"/>
        <v>0</v>
      </c>
      <c r="K25" s="68">
        <f t="shared" si="3"/>
        <v>54740</v>
      </c>
      <c r="L25" s="32" t="s">
        <v>82</v>
      </c>
      <c r="M25" s="126" t="str">
        <f>VLOOKUP(L25,Data!$A$2:$B$69,2,FALSE)</f>
        <v>HVAC Duct Work Instillation</v>
      </c>
    </row>
    <row r="26" spans="1:13" ht="17.45" customHeight="1">
      <c r="A26" s="87" t="s">
        <v>199</v>
      </c>
      <c r="B26" s="83">
        <v>59760</v>
      </c>
      <c r="C26" s="48">
        <f t="shared" si="6"/>
        <v>1</v>
      </c>
      <c r="D26" s="31">
        <f t="shared" si="4"/>
        <v>59760</v>
      </c>
      <c r="E26" s="30">
        <f t="shared" si="7"/>
        <v>1</v>
      </c>
      <c r="F26" s="31">
        <f t="shared" si="5"/>
        <v>59760</v>
      </c>
      <c r="G26" s="53">
        <v>0</v>
      </c>
      <c r="H26" s="31">
        <f t="shared" si="0"/>
        <v>0</v>
      </c>
      <c r="I26" s="31">
        <f t="shared" si="1"/>
        <v>59760</v>
      </c>
      <c r="J26" s="65">
        <f t="shared" si="2"/>
        <v>0</v>
      </c>
      <c r="K26" s="68">
        <f t="shared" si="3"/>
        <v>59760</v>
      </c>
      <c r="L26" s="32" t="s">
        <v>78</v>
      </c>
      <c r="M26" s="126" t="str">
        <f>VLOOKUP(L26,Data!$A$2:$B$69,2,FALSE)</f>
        <v>Rough Plumbing Instillation</v>
      </c>
    </row>
    <row r="27" spans="1:13" ht="17.45" customHeight="1">
      <c r="A27" s="87" t="s">
        <v>200</v>
      </c>
      <c r="B27" s="83">
        <v>21000</v>
      </c>
      <c r="C27" s="48">
        <f t="shared" si="6"/>
        <v>1</v>
      </c>
      <c r="D27" s="31">
        <f t="shared" si="4"/>
        <v>21000</v>
      </c>
      <c r="E27" s="30">
        <f t="shared" si="7"/>
        <v>1</v>
      </c>
      <c r="F27" s="31">
        <f t="shared" si="5"/>
        <v>21000</v>
      </c>
      <c r="G27" s="53">
        <v>0</v>
      </c>
      <c r="H27" s="31">
        <f t="shared" si="0"/>
        <v>0</v>
      </c>
      <c r="I27" s="31">
        <f t="shared" si="1"/>
        <v>21000</v>
      </c>
      <c r="J27" s="65">
        <f t="shared" si="2"/>
        <v>0</v>
      </c>
      <c r="K27" s="68">
        <f t="shared" si="3"/>
        <v>21000</v>
      </c>
      <c r="L27" s="32" t="s">
        <v>32</v>
      </c>
      <c r="M27" s="126" t="str">
        <f>VLOOKUP(L27,Data!$A$2:$B$69,2,FALSE)</f>
        <v>Order Hardware &amp; Fixtures</v>
      </c>
    </row>
    <row r="28" spans="1:13" ht="17.45" customHeight="1">
      <c r="A28" s="87" t="s">
        <v>201</v>
      </c>
      <c r="B28" s="83">
        <v>18250</v>
      </c>
      <c r="C28" s="48">
        <f t="shared" si="6"/>
        <v>1</v>
      </c>
      <c r="D28" s="31">
        <f t="shared" si="4"/>
        <v>18250</v>
      </c>
      <c r="E28" s="30">
        <f t="shared" si="7"/>
        <v>1</v>
      </c>
      <c r="F28" s="31">
        <f t="shared" si="5"/>
        <v>18250</v>
      </c>
      <c r="G28" s="53">
        <v>0</v>
      </c>
      <c r="H28" s="31">
        <f t="shared" si="0"/>
        <v>0</v>
      </c>
      <c r="I28" s="31">
        <f t="shared" si="1"/>
        <v>18250</v>
      </c>
      <c r="J28" s="65">
        <f t="shared" si="2"/>
        <v>0</v>
      </c>
      <c r="K28" s="68">
        <f t="shared" si="3"/>
        <v>18250</v>
      </c>
      <c r="L28" s="125" t="s">
        <v>105</v>
      </c>
      <c r="M28" s="126" t="str">
        <f>VLOOKUP(L28,Data!$A$2:$B$69,2,FALSE)</f>
        <v>Drywall Instillation</v>
      </c>
    </row>
    <row r="29" spans="1:13" ht="17.45" customHeight="1">
      <c r="A29" s="87" t="s">
        <v>202</v>
      </c>
      <c r="B29" s="83">
        <v>2800</v>
      </c>
      <c r="C29" s="48">
        <f t="shared" si="6"/>
        <v>1</v>
      </c>
      <c r="D29" s="31">
        <f t="shared" si="4"/>
        <v>2800</v>
      </c>
      <c r="E29" s="30">
        <f t="shared" si="7"/>
        <v>1</v>
      </c>
      <c r="F29" s="31">
        <f t="shared" si="5"/>
        <v>2800</v>
      </c>
      <c r="G29" s="53">
        <v>0</v>
      </c>
      <c r="H29" s="31">
        <f t="shared" si="0"/>
        <v>0</v>
      </c>
      <c r="I29" s="31">
        <f t="shared" si="1"/>
        <v>2800</v>
      </c>
      <c r="J29" s="65">
        <f t="shared" si="2"/>
        <v>0</v>
      </c>
      <c r="K29" s="68">
        <f t="shared" si="3"/>
        <v>2800</v>
      </c>
      <c r="L29" s="32" t="s">
        <v>74</v>
      </c>
      <c r="M29" s="126" t="str">
        <f>VLOOKUP(L29,Data!$A$2:$B$69,2,FALSE)</f>
        <v>Roof Shingle Instillation</v>
      </c>
    </row>
    <row r="30" spans="1:13" ht="17.45" customHeight="1">
      <c r="A30" s="87" t="s">
        <v>203</v>
      </c>
      <c r="B30" s="83">
        <v>7825</v>
      </c>
      <c r="C30" s="48">
        <f t="shared" si="6"/>
        <v>1</v>
      </c>
      <c r="D30" s="31">
        <f t="shared" si="4"/>
        <v>7825</v>
      </c>
      <c r="E30" s="30">
        <f t="shared" si="7"/>
        <v>1</v>
      </c>
      <c r="F30" s="31">
        <f t="shared" si="5"/>
        <v>7825</v>
      </c>
      <c r="G30" s="53">
        <v>0</v>
      </c>
      <c r="H30" s="31">
        <f t="shared" si="0"/>
        <v>0</v>
      </c>
      <c r="I30" s="31">
        <f t="shared" si="1"/>
        <v>7825</v>
      </c>
      <c r="J30" s="65">
        <f t="shared" si="2"/>
        <v>0</v>
      </c>
      <c r="K30" s="68">
        <f t="shared" si="3"/>
        <v>7825</v>
      </c>
      <c r="L30" s="125" t="s">
        <v>66</v>
      </c>
      <c r="M30" s="126" t="str">
        <f>VLOOKUP(L30,Data!$A$2:$B$69,2,FALSE)</f>
        <v>Copper Flashing Instillation</v>
      </c>
    </row>
    <row r="31" spans="1:13" ht="17.45" customHeight="1">
      <c r="A31" s="87" t="s">
        <v>204</v>
      </c>
      <c r="B31" s="83">
        <v>83617</v>
      </c>
      <c r="C31" s="48">
        <f t="shared" si="6"/>
        <v>1</v>
      </c>
      <c r="D31" s="31">
        <f t="shared" si="4"/>
        <v>83617</v>
      </c>
      <c r="E31" s="30">
        <f t="shared" si="7"/>
        <v>1</v>
      </c>
      <c r="F31" s="31">
        <f t="shared" si="5"/>
        <v>83617</v>
      </c>
      <c r="G31" s="53">
        <v>0</v>
      </c>
      <c r="H31" s="31">
        <f t="shared" si="0"/>
        <v>0</v>
      </c>
      <c r="I31" s="31">
        <f t="shared" si="1"/>
        <v>83617</v>
      </c>
      <c r="J31" s="65">
        <f t="shared" si="2"/>
        <v>0</v>
      </c>
      <c r="K31" s="68">
        <f t="shared" si="3"/>
        <v>83617</v>
      </c>
      <c r="L31" s="125" t="s">
        <v>68</v>
      </c>
      <c r="M31" s="126" t="str">
        <f>VLOOKUP(L31,Data!$A$2:$B$69,2,FALSE)</f>
        <v>Door &amp; Window Instillation</v>
      </c>
    </row>
    <row r="32" spans="1:13" ht="17.45" customHeight="1">
      <c r="A32" s="87" t="s">
        <v>205</v>
      </c>
      <c r="B32" s="83">
        <v>6258</v>
      </c>
      <c r="C32" s="48">
        <f t="shared" si="6"/>
        <v>1</v>
      </c>
      <c r="D32" s="31">
        <f t="shared" si="4"/>
        <v>6258</v>
      </c>
      <c r="E32" s="30">
        <f t="shared" si="7"/>
        <v>1</v>
      </c>
      <c r="F32" s="31">
        <f t="shared" si="5"/>
        <v>6258</v>
      </c>
      <c r="G32" s="53">
        <v>0</v>
      </c>
      <c r="H32" s="31">
        <f t="shared" si="0"/>
        <v>0</v>
      </c>
      <c r="I32" s="31">
        <f t="shared" si="1"/>
        <v>6258</v>
      </c>
      <c r="J32" s="65">
        <f t="shared" si="2"/>
        <v>0</v>
      </c>
      <c r="K32" s="68">
        <f t="shared" si="3"/>
        <v>6258</v>
      </c>
      <c r="L32" s="125" t="s">
        <v>88</v>
      </c>
      <c r="M32" s="126" t="str">
        <f>VLOOKUP(L32,Data!$A$2:$B$69,2,FALSE)</f>
        <v>Composite Shutter Instillation</v>
      </c>
    </row>
    <row r="33" spans="1:13" ht="17.45" customHeight="1">
      <c r="A33" s="87" t="s">
        <v>206</v>
      </c>
      <c r="B33" s="83">
        <v>44465</v>
      </c>
      <c r="C33" s="48">
        <f t="shared" si="6"/>
        <v>1</v>
      </c>
      <c r="D33" s="31">
        <f t="shared" si="4"/>
        <v>44465</v>
      </c>
      <c r="E33" s="30">
        <f t="shared" si="7"/>
        <v>1</v>
      </c>
      <c r="F33" s="31">
        <f t="shared" si="5"/>
        <v>44465</v>
      </c>
      <c r="G33" s="53">
        <v>0</v>
      </c>
      <c r="H33" s="31">
        <f t="shared" si="0"/>
        <v>0</v>
      </c>
      <c r="I33" s="31">
        <f t="shared" si="1"/>
        <v>44465</v>
      </c>
      <c r="J33" s="65">
        <f t="shared" si="2"/>
        <v>0</v>
      </c>
      <c r="K33" s="68">
        <f t="shared" si="3"/>
        <v>44465</v>
      </c>
      <c r="L33" s="32" t="s">
        <v>86</v>
      </c>
      <c r="M33" s="126" t="str">
        <f>VLOOKUP(L33,Data!$A$2:$B$69,2,FALSE)</f>
        <v>Exterior Trim Instillation</v>
      </c>
    </row>
    <row r="34" spans="1:13" ht="17.45" customHeight="1">
      <c r="A34" s="87" t="s">
        <v>207</v>
      </c>
      <c r="B34" s="83">
        <v>14000</v>
      </c>
      <c r="C34" s="48">
        <f t="shared" si="6"/>
        <v>1</v>
      </c>
      <c r="D34" s="31">
        <f t="shared" si="4"/>
        <v>14000</v>
      </c>
      <c r="E34" s="30">
        <f t="shared" si="7"/>
        <v>1</v>
      </c>
      <c r="F34" s="31">
        <f t="shared" si="5"/>
        <v>14000</v>
      </c>
      <c r="G34" s="53">
        <v>0</v>
      </c>
      <c r="H34" s="31">
        <f t="shared" si="0"/>
        <v>0</v>
      </c>
      <c r="I34" s="31">
        <f t="shared" si="1"/>
        <v>14000</v>
      </c>
      <c r="J34" s="65">
        <f t="shared" si="2"/>
        <v>0</v>
      </c>
      <c r="K34" s="68">
        <f t="shared" si="3"/>
        <v>14000</v>
      </c>
      <c r="L34" s="125" t="s">
        <v>70</v>
      </c>
      <c r="M34" s="126" t="str">
        <f>VLOOKUP(L34,Data!$A$2:$B$69,2,FALSE)</f>
        <v>Garage Door Instillation</v>
      </c>
    </row>
    <row r="35" spans="1:13" ht="17.45" customHeight="1">
      <c r="A35" s="87" t="s">
        <v>208</v>
      </c>
      <c r="B35" s="83">
        <v>5880</v>
      </c>
      <c r="C35" s="48">
        <f t="shared" si="6"/>
        <v>1</v>
      </c>
      <c r="D35" s="31">
        <f t="shared" si="4"/>
        <v>5880</v>
      </c>
      <c r="E35" s="30">
        <f t="shared" si="7"/>
        <v>1</v>
      </c>
      <c r="F35" s="31">
        <f t="shared" si="5"/>
        <v>5880</v>
      </c>
      <c r="G35" s="53">
        <v>0</v>
      </c>
      <c r="H35" s="31">
        <f t="shared" si="0"/>
        <v>0</v>
      </c>
      <c r="I35" s="31">
        <f t="shared" si="1"/>
        <v>5880</v>
      </c>
      <c r="J35" s="65">
        <f t="shared" si="2"/>
        <v>0</v>
      </c>
      <c r="K35" s="68">
        <f t="shared" si="3"/>
        <v>5880</v>
      </c>
      <c r="L35" s="125" t="s">
        <v>93</v>
      </c>
      <c r="M35" s="126" t="str">
        <f>VLOOKUP(L35,Data!$A$2:$B$69,2,FALSE)</f>
        <v>Gutter &amp; Leader Instillation</v>
      </c>
    </row>
    <row r="36" spans="1:13" ht="17.45" customHeight="1">
      <c r="A36" s="87" t="s">
        <v>209</v>
      </c>
      <c r="B36" s="83">
        <v>1800</v>
      </c>
      <c r="C36" s="48">
        <f t="shared" si="6"/>
        <v>1</v>
      </c>
      <c r="D36" s="31">
        <f t="shared" si="4"/>
        <v>1800</v>
      </c>
      <c r="E36" s="30">
        <f t="shared" si="7"/>
        <v>1</v>
      </c>
      <c r="F36" s="31">
        <f t="shared" si="5"/>
        <v>1800</v>
      </c>
      <c r="G36" s="53">
        <v>0</v>
      </c>
      <c r="H36" s="31">
        <f t="shared" si="0"/>
        <v>0</v>
      </c>
      <c r="I36" s="31">
        <f t="shared" si="1"/>
        <v>1800</v>
      </c>
      <c r="J36" s="65">
        <f t="shared" si="2"/>
        <v>0</v>
      </c>
      <c r="K36" s="68">
        <f t="shared" si="3"/>
        <v>1800</v>
      </c>
      <c r="L36" s="125" t="s">
        <v>95</v>
      </c>
      <c r="M36" s="126" t="str">
        <f>VLOOKUP(L36,Data!$A$2:$B$69,2,FALSE)</f>
        <v>Vapor Barrier &amp; Flashing</v>
      </c>
    </row>
    <row r="37" spans="1:13" ht="17.45" customHeight="1">
      <c r="A37" s="87" t="s">
        <v>210</v>
      </c>
      <c r="B37" s="83">
        <v>31500</v>
      </c>
      <c r="C37" s="48">
        <f t="shared" si="6"/>
        <v>1</v>
      </c>
      <c r="D37" s="31">
        <f t="shared" si="4"/>
        <v>31500</v>
      </c>
      <c r="E37" s="30">
        <f t="shared" si="7"/>
        <v>1</v>
      </c>
      <c r="F37" s="31">
        <f t="shared" si="5"/>
        <v>31500</v>
      </c>
      <c r="G37" s="53">
        <v>0</v>
      </c>
      <c r="H37" s="31">
        <f t="shared" si="0"/>
        <v>0</v>
      </c>
      <c r="I37" s="31">
        <f t="shared" si="1"/>
        <v>31500</v>
      </c>
      <c r="J37" s="65">
        <f t="shared" si="2"/>
        <v>0</v>
      </c>
      <c r="K37" s="68">
        <f t="shared" si="3"/>
        <v>31500</v>
      </c>
      <c r="L37" s="125" t="s">
        <v>84</v>
      </c>
      <c r="M37" s="126" t="str">
        <f>VLOOKUP(L37,Data!$A$2:$B$69,2,FALSE)</f>
        <v>Exterior Siding &amp; Paint</v>
      </c>
    </row>
    <row r="38" spans="1:13" ht="17.45" customHeight="1">
      <c r="A38" s="87" t="s">
        <v>211</v>
      </c>
      <c r="B38" s="83">
        <v>15300</v>
      </c>
      <c r="C38" s="48">
        <f t="shared" si="6"/>
        <v>1</v>
      </c>
      <c r="D38" s="31">
        <f t="shared" si="4"/>
        <v>15300</v>
      </c>
      <c r="E38" s="30">
        <f t="shared" si="7"/>
        <v>1</v>
      </c>
      <c r="F38" s="31">
        <f t="shared" si="5"/>
        <v>15300</v>
      </c>
      <c r="G38" s="53">
        <v>0</v>
      </c>
      <c r="H38" s="31">
        <f t="shared" si="0"/>
        <v>0</v>
      </c>
      <c r="I38" s="31">
        <f t="shared" si="1"/>
        <v>15300</v>
      </c>
      <c r="J38" s="65">
        <f t="shared" si="2"/>
        <v>0</v>
      </c>
      <c r="K38" s="68">
        <f t="shared" si="3"/>
        <v>15300</v>
      </c>
      <c r="L38" s="125" t="s">
        <v>86</v>
      </c>
      <c r="M38" s="126" t="str">
        <f>VLOOKUP(L38,Data!$A$2:$B$69,2,FALSE)</f>
        <v>Exterior Trim Instillation</v>
      </c>
    </row>
    <row r="39" spans="1:13" ht="17.45" customHeight="1">
      <c r="A39" s="87" t="s">
        <v>212</v>
      </c>
      <c r="B39" s="83">
        <v>9045</v>
      </c>
      <c r="C39" s="48">
        <f t="shared" si="6"/>
        <v>1</v>
      </c>
      <c r="D39" s="31">
        <f t="shared" si="4"/>
        <v>9045</v>
      </c>
      <c r="E39" s="30">
        <f t="shared" si="7"/>
        <v>1</v>
      </c>
      <c r="F39" s="31">
        <f t="shared" si="5"/>
        <v>9045</v>
      </c>
      <c r="G39" s="53">
        <v>0</v>
      </c>
      <c r="H39" s="31">
        <f t="shared" si="0"/>
        <v>0</v>
      </c>
      <c r="I39" s="31">
        <f t="shared" si="1"/>
        <v>9045</v>
      </c>
      <c r="J39" s="65">
        <f t="shared" si="2"/>
        <v>0</v>
      </c>
      <c r="K39" s="68">
        <f t="shared" si="3"/>
        <v>9045</v>
      </c>
      <c r="L39" s="32" t="s">
        <v>34</v>
      </c>
      <c r="M39" s="126" t="str">
        <f>VLOOKUP(L39,Data!$A$2:$B$69,2,FALSE)</f>
        <v>Order Tile &amp; Backsplash</v>
      </c>
    </row>
    <row r="40" spans="1:13" ht="17.45" customHeight="1">
      <c r="A40" s="87" t="s">
        <v>213</v>
      </c>
      <c r="B40" s="83">
        <v>21590</v>
      </c>
      <c r="C40" s="48">
        <f t="shared" si="6"/>
        <v>1</v>
      </c>
      <c r="D40" s="31">
        <f t="shared" si="4"/>
        <v>21590</v>
      </c>
      <c r="E40" s="30">
        <f t="shared" si="7"/>
        <v>1</v>
      </c>
      <c r="F40" s="31">
        <f t="shared" si="5"/>
        <v>21590</v>
      </c>
      <c r="G40" s="53">
        <v>0</v>
      </c>
      <c r="H40" s="31">
        <f t="shared" si="0"/>
        <v>0</v>
      </c>
      <c r="I40" s="31">
        <f t="shared" si="1"/>
        <v>21590</v>
      </c>
      <c r="J40" s="65">
        <f t="shared" si="2"/>
        <v>0</v>
      </c>
      <c r="K40" s="68">
        <f t="shared" si="3"/>
        <v>21590</v>
      </c>
      <c r="L40" s="32" t="s">
        <v>117</v>
      </c>
      <c r="M40" s="126" t="str">
        <f>VLOOKUP(L40,Data!$A$2:$B$69,2,FALSE)</f>
        <v>Tile &amp; Backsplaash Instillation</v>
      </c>
    </row>
    <row r="41" spans="1:13" ht="17.45" customHeight="1">
      <c r="A41" s="87" t="s">
        <v>214</v>
      </c>
      <c r="B41" s="83">
        <v>26826</v>
      </c>
      <c r="C41" s="48">
        <f t="shared" si="6"/>
        <v>1</v>
      </c>
      <c r="D41" s="31">
        <f t="shared" si="4"/>
        <v>26826</v>
      </c>
      <c r="E41" s="30">
        <f t="shared" si="7"/>
        <v>1</v>
      </c>
      <c r="F41" s="31">
        <f t="shared" si="5"/>
        <v>26826</v>
      </c>
      <c r="G41" s="53">
        <v>0</v>
      </c>
      <c r="H41" s="31">
        <f t="shared" si="0"/>
        <v>0</v>
      </c>
      <c r="I41" s="31">
        <f t="shared" si="1"/>
        <v>26826</v>
      </c>
      <c r="J41" s="65">
        <f t="shared" si="2"/>
        <v>0</v>
      </c>
      <c r="K41" s="68">
        <f t="shared" si="3"/>
        <v>26826</v>
      </c>
      <c r="L41" s="32" t="s">
        <v>109</v>
      </c>
      <c r="M41" s="126" t="str">
        <f>VLOOKUP(L41,Data!$A$2:$B$69,2,FALSE)</f>
        <v>Hardwood Floor Instillation</v>
      </c>
    </row>
    <row r="42" spans="1:13" ht="17.45" customHeight="1">
      <c r="A42" s="87" t="s">
        <v>215</v>
      </c>
      <c r="B42" s="83">
        <v>70986</v>
      </c>
      <c r="C42" s="48">
        <f t="shared" si="6"/>
        <v>1</v>
      </c>
      <c r="D42" s="31">
        <f t="shared" si="4"/>
        <v>70986</v>
      </c>
      <c r="E42" s="30">
        <f t="shared" si="7"/>
        <v>1</v>
      </c>
      <c r="F42" s="31">
        <f t="shared" si="5"/>
        <v>70986</v>
      </c>
      <c r="G42" s="53">
        <v>0</v>
      </c>
      <c r="H42" s="31">
        <f t="shared" si="0"/>
        <v>0</v>
      </c>
      <c r="I42" s="31">
        <f t="shared" si="1"/>
        <v>70986</v>
      </c>
      <c r="J42" s="65">
        <f t="shared" si="2"/>
        <v>0</v>
      </c>
      <c r="K42" s="68">
        <f t="shared" si="3"/>
        <v>70986</v>
      </c>
      <c r="L42" s="125" t="s">
        <v>113</v>
      </c>
      <c r="M42" s="126" t="str">
        <f>VLOOKUP(L42,Data!$A$2:$B$69,2,FALSE)</f>
        <v>Interior Trim Instillation</v>
      </c>
    </row>
    <row r="43" spans="1:13" ht="17.45" customHeight="1">
      <c r="A43" s="87" t="s">
        <v>216</v>
      </c>
      <c r="B43" s="83">
        <v>31275</v>
      </c>
      <c r="C43" s="48">
        <f t="shared" si="6"/>
        <v>1</v>
      </c>
      <c r="D43" s="31">
        <f t="shared" si="4"/>
        <v>31275</v>
      </c>
      <c r="E43" s="30">
        <f t="shared" si="7"/>
        <v>1</v>
      </c>
      <c r="F43" s="31">
        <f t="shared" si="5"/>
        <v>31275</v>
      </c>
      <c r="G43" s="53">
        <v>0</v>
      </c>
      <c r="H43" s="31">
        <f t="shared" si="0"/>
        <v>0</v>
      </c>
      <c r="I43" s="31">
        <f t="shared" si="1"/>
        <v>31275</v>
      </c>
      <c r="J43" s="65">
        <f t="shared" si="2"/>
        <v>0</v>
      </c>
      <c r="K43" s="68">
        <f t="shared" si="3"/>
        <v>31275</v>
      </c>
      <c r="L43" s="32" t="s">
        <v>115</v>
      </c>
      <c r="M43" s="126" t="str">
        <f>VLOOKUP(L43,Data!$A$2:$B$69,2,FALSE)</f>
        <v>Paint Walls, Trim &amp; Ceilings</v>
      </c>
    </row>
    <row r="44" spans="1:13" ht="17.45" customHeight="1">
      <c r="A44" s="87" t="s">
        <v>217</v>
      </c>
      <c r="B44" s="83">
        <v>2700</v>
      </c>
      <c r="C44" s="48">
        <f>C43</f>
        <v>1</v>
      </c>
      <c r="D44" s="31">
        <f t="shared" si="4"/>
        <v>2700</v>
      </c>
      <c r="E44" s="30">
        <f>E43</f>
        <v>1</v>
      </c>
      <c r="F44" s="31">
        <f t="shared" si="5"/>
        <v>2700</v>
      </c>
      <c r="G44" s="53">
        <v>0</v>
      </c>
      <c r="H44" s="31">
        <f t="shared" si="0"/>
        <v>0</v>
      </c>
      <c r="I44" s="31">
        <f t="shared" si="1"/>
        <v>2700</v>
      </c>
      <c r="J44" s="65">
        <f t="shared" si="2"/>
        <v>0</v>
      </c>
      <c r="K44" s="68">
        <f t="shared" si="3"/>
        <v>2700</v>
      </c>
      <c r="L44" s="32" t="s">
        <v>119</v>
      </c>
      <c r="M44" s="126" t="str">
        <f>VLOOKUP(L44,Data!$A$2:$B$69,2,FALSE)</f>
        <v>Appliance &amp; Vanity Instillation</v>
      </c>
    </row>
    <row r="45" spans="1:13" ht="17.45" customHeight="1">
      <c r="A45" s="87" t="s">
        <v>218</v>
      </c>
      <c r="B45" s="83">
        <v>3500</v>
      </c>
      <c r="C45" s="48">
        <f t="shared" si="6"/>
        <v>1</v>
      </c>
      <c r="D45" s="31">
        <f t="shared" si="4"/>
        <v>3500</v>
      </c>
      <c r="E45" s="30">
        <f t="shared" si="7"/>
        <v>1</v>
      </c>
      <c r="F45" s="31">
        <f t="shared" si="5"/>
        <v>3500</v>
      </c>
      <c r="G45" s="53">
        <v>0</v>
      </c>
      <c r="H45" s="31">
        <f t="shared" si="0"/>
        <v>0</v>
      </c>
      <c r="I45" s="31">
        <f t="shared" si="1"/>
        <v>3500</v>
      </c>
      <c r="J45" s="65">
        <f t="shared" si="2"/>
        <v>0</v>
      </c>
      <c r="K45" s="68">
        <f t="shared" si="3"/>
        <v>3500</v>
      </c>
      <c r="L45" s="32" t="s">
        <v>125</v>
      </c>
      <c r="M45" s="126" t="str">
        <f>VLOOKUP(L45,Data!$A$2:$B$69,2,FALSE)</f>
        <v>Fixture &amp; Hardware Instillation</v>
      </c>
    </row>
    <row r="46" spans="1:13" ht="17.45" customHeight="1">
      <c r="A46" s="87" t="s">
        <v>219</v>
      </c>
      <c r="B46" s="83">
        <v>3200</v>
      </c>
      <c r="C46" s="48">
        <f t="shared" si="6"/>
        <v>1</v>
      </c>
      <c r="D46" s="31">
        <f t="shared" si="4"/>
        <v>3200</v>
      </c>
      <c r="E46" s="30">
        <f t="shared" si="7"/>
        <v>1</v>
      </c>
      <c r="F46" s="31">
        <f t="shared" si="5"/>
        <v>3200</v>
      </c>
      <c r="G46" s="53">
        <v>0</v>
      </c>
      <c r="H46" s="31">
        <f t="shared" si="0"/>
        <v>0</v>
      </c>
      <c r="I46" s="31">
        <f t="shared" si="1"/>
        <v>3200</v>
      </c>
      <c r="J46" s="65">
        <f t="shared" si="2"/>
        <v>0</v>
      </c>
      <c r="K46" s="68">
        <f t="shared" si="3"/>
        <v>3200</v>
      </c>
      <c r="L46" s="32" t="s">
        <v>119</v>
      </c>
      <c r="M46" s="126" t="str">
        <f>VLOOKUP(L46,Data!$A$2:$B$69,2,FALSE)</f>
        <v>Appliance &amp; Vanity Instillation</v>
      </c>
    </row>
    <row r="47" spans="1:13" ht="17.45" customHeight="1">
      <c r="A47" s="87" t="s">
        <v>220</v>
      </c>
      <c r="B47" s="83">
        <v>2600</v>
      </c>
      <c r="C47" s="48">
        <f t="shared" si="6"/>
        <v>1</v>
      </c>
      <c r="D47" s="31">
        <f t="shared" si="4"/>
        <v>2600</v>
      </c>
      <c r="E47" s="30">
        <f t="shared" si="7"/>
        <v>1</v>
      </c>
      <c r="F47" s="31">
        <f t="shared" si="5"/>
        <v>2600</v>
      </c>
      <c r="G47" s="53">
        <v>0</v>
      </c>
      <c r="H47" s="31">
        <f t="shared" si="0"/>
        <v>0</v>
      </c>
      <c r="I47" s="31">
        <f t="shared" si="1"/>
        <v>2600</v>
      </c>
      <c r="J47" s="65">
        <f t="shared" si="2"/>
        <v>0</v>
      </c>
      <c r="K47" s="68">
        <f t="shared" si="3"/>
        <v>2600</v>
      </c>
      <c r="L47" s="32" t="s">
        <v>123</v>
      </c>
      <c r="M47" s="126" t="str">
        <f>VLOOKUP(L47,Data!$A$2:$B$69,2,FALSE)</f>
        <v>Mirror &amp; Accessory Instillation</v>
      </c>
    </row>
    <row r="48" spans="1:13" ht="17.45" customHeight="1">
      <c r="A48" s="87" t="s">
        <v>221</v>
      </c>
      <c r="B48" s="83">
        <v>3000</v>
      </c>
      <c r="C48" s="48">
        <f>C47</f>
        <v>1</v>
      </c>
      <c r="D48" s="31">
        <f t="shared" si="4"/>
        <v>3000</v>
      </c>
      <c r="E48" s="30">
        <f>E47</f>
        <v>1</v>
      </c>
      <c r="F48" s="31">
        <f t="shared" si="5"/>
        <v>3000</v>
      </c>
      <c r="G48" s="53">
        <v>0</v>
      </c>
      <c r="H48" s="31">
        <f t="shared" si="0"/>
        <v>0</v>
      </c>
      <c r="I48" s="31">
        <f t="shared" si="1"/>
        <v>3000</v>
      </c>
      <c r="J48" s="65">
        <f t="shared" si="2"/>
        <v>0</v>
      </c>
      <c r="K48" s="68">
        <f t="shared" si="3"/>
        <v>3000</v>
      </c>
      <c r="L48" s="125" t="s">
        <v>141</v>
      </c>
      <c r="M48" s="126" t="str">
        <f>VLOOKUP(L48,Data!$A$2:$B$69,2,FALSE)</f>
        <v>Final Site Cleanup</v>
      </c>
    </row>
    <row r="49" spans="1:13" ht="17.45" customHeight="1">
      <c r="A49" s="87" t="s">
        <v>39</v>
      </c>
      <c r="B49" s="83">
        <v>1000</v>
      </c>
      <c r="C49" s="48">
        <f t="shared" si="6"/>
        <v>1</v>
      </c>
      <c r="D49" s="31">
        <f t="shared" si="4"/>
        <v>1000</v>
      </c>
      <c r="E49" s="30">
        <f t="shared" si="7"/>
        <v>1</v>
      </c>
      <c r="F49" s="31">
        <f t="shared" si="5"/>
        <v>1000</v>
      </c>
      <c r="G49" s="53">
        <v>0</v>
      </c>
      <c r="H49" s="31">
        <f t="shared" si="0"/>
        <v>0</v>
      </c>
      <c r="I49" s="31">
        <f t="shared" si="1"/>
        <v>1000</v>
      </c>
      <c r="J49" s="65">
        <f t="shared" si="2"/>
        <v>0</v>
      </c>
      <c r="K49" s="68">
        <f t="shared" si="3"/>
        <v>1000</v>
      </c>
      <c r="L49" s="32" t="s">
        <v>38</v>
      </c>
      <c r="M49" s="126" t="str">
        <f>VLOOKUP(L49,Data!$A$2:$B$69,2,FALSE)</f>
        <v>Equipment / Tool Rental</v>
      </c>
    </row>
    <row r="50" spans="1:13" ht="17.45" customHeight="1">
      <c r="A50" s="88" t="s">
        <v>222</v>
      </c>
      <c r="B50" s="84">
        <v>750</v>
      </c>
      <c r="C50" s="54">
        <f t="shared" si="6"/>
        <v>1</v>
      </c>
      <c r="D50" s="55">
        <f t="shared" si="4"/>
        <v>750</v>
      </c>
      <c r="E50" s="33">
        <f t="shared" si="7"/>
        <v>1</v>
      </c>
      <c r="F50" s="55">
        <f t="shared" si="5"/>
        <v>750</v>
      </c>
      <c r="G50" s="56">
        <v>0</v>
      </c>
      <c r="H50" s="55">
        <f t="shared" si="0"/>
        <v>0</v>
      </c>
      <c r="I50" s="55">
        <f t="shared" si="1"/>
        <v>750</v>
      </c>
      <c r="J50" s="85">
        <f t="shared" si="2"/>
        <v>0</v>
      </c>
      <c r="K50" s="86">
        <f t="shared" si="3"/>
        <v>750</v>
      </c>
      <c r="L50" s="47" t="s">
        <v>38</v>
      </c>
      <c r="M50" s="89" t="str">
        <f>VLOOKUP(L50,Data!$A$2:$B$69,2,FALSE)</f>
        <v>Equipment / Tool Rental</v>
      </c>
    </row>
    <row r="51" spans="1:13" ht="15.75" customHeight="1">
      <c r="B51" s="60"/>
      <c r="I51" s="61"/>
      <c r="J51" s="61">
        <f>SUM(J14:J50)</f>
        <v>0</v>
      </c>
      <c r="K51" s="139">
        <f>SUM(K14:K50)</f>
        <v>811782</v>
      </c>
      <c r="L51" s="140"/>
      <c r="M51" s="90"/>
    </row>
    <row r="54" spans="1:13" ht="15.75" customHeight="1">
      <c r="A54" s="79" t="s">
        <v>223</v>
      </c>
      <c r="B54" s="40" t="s">
        <v>175</v>
      </c>
      <c r="C54" s="40" t="s">
        <v>176</v>
      </c>
      <c r="D54" s="40" t="s">
        <v>177</v>
      </c>
      <c r="E54" s="51" t="s">
        <v>178</v>
      </c>
      <c r="F54" s="51" t="s">
        <v>179</v>
      </c>
      <c r="G54" s="51" t="s">
        <v>180</v>
      </c>
      <c r="H54" s="40" t="s">
        <v>181</v>
      </c>
      <c r="I54" s="40" t="s">
        <v>182</v>
      </c>
      <c r="J54" s="40" t="s">
        <v>224</v>
      </c>
      <c r="K54" s="40" t="s">
        <v>184</v>
      </c>
      <c r="L54" s="41" t="s">
        <v>185</v>
      </c>
      <c r="M54" s="80" t="s">
        <v>186</v>
      </c>
    </row>
    <row r="55" spans="1:13" ht="15.75" customHeight="1">
      <c r="A55" s="58" t="s">
        <v>225</v>
      </c>
      <c r="B55" s="75">
        <v>0</v>
      </c>
      <c r="C55" s="49">
        <f>C43</f>
        <v>1</v>
      </c>
      <c r="D55" s="50">
        <f t="shared" ref="D55:D70" si="8">B55*C55</f>
        <v>0</v>
      </c>
      <c r="E55" s="64">
        <v>1</v>
      </c>
      <c r="F55" s="50">
        <f>D55*E55</f>
        <v>0</v>
      </c>
      <c r="G55" s="52">
        <v>0</v>
      </c>
      <c r="H55" s="50">
        <f>F55*G55</f>
        <v>0</v>
      </c>
      <c r="I55" s="50">
        <f>SUM(D55*E55)+H55</f>
        <v>0</v>
      </c>
      <c r="J55" s="50">
        <f>I55*0.1</f>
        <v>0</v>
      </c>
      <c r="K55" s="113">
        <f>SUM(I55:J55)</f>
        <v>0</v>
      </c>
      <c r="L55" s="114" t="s">
        <v>139</v>
      </c>
      <c r="M55" s="127" t="str">
        <f>VLOOKUP(L55,Data!$A$2:$B$69,2,FALSE)</f>
        <v>Perimeter Fencing Instillation</v>
      </c>
    </row>
    <row r="56" spans="1:13" ht="15.75" customHeight="1">
      <c r="A56" s="58" t="s">
        <v>226</v>
      </c>
      <c r="B56" s="76">
        <v>0</v>
      </c>
      <c r="C56" s="48">
        <f>C55</f>
        <v>1</v>
      </c>
      <c r="D56" s="31">
        <f t="shared" si="8"/>
        <v>0</v>
      </c>
      <c r="E56" s="30">
        <f>E55</f>
        <v>1</v>
      </c>
      <c r="F56" s="31">
        <f t="shared" ref="F56:F70" si="9">D56*E56</f>
        <v>0</v>
      </c>
      <c r="G56" s="53">
        <v>0</v>
      </c>
      <c r="H56" s="31">
        <f t="shared" ref="H56:H70" si="10">F56*G56</f>
        <v>0</v>
      </c>
      <c r="I56" s="31">
        <f t="shared" ref="I56:I70" si="11">SUM(D56*E56)+H56</f>
        <v>0</v>
      </c>
      <c r="J56" s="31">
        <f t="shared" ref="J56:J70" si="12">I56*0.1</f>
        <v>0</v>
      </c>
      <c r="K56" s="91">
        <f t="shared" ref="K56:K70" si="13">SUM(I56:J56)</f>
        <v>0</v>
      </c>
      <c r="L56" s="32" t="s">
        <v>28</v>
      </c>
      <c r="M56" s="128" t="str">
        <f>VLOOKUP(L56,Data!$A$2:$B$69,2,FALSE)</f>
        <v>Order Appliances &amp; Vanities</v>
      </c>
    </row>
    <row r="57" spans="1:13" ht="15.75" customHeight="1">
      <c r="A57" s="58" t="s">
        <v>227</v>
      </c>
      <c r="B57" s="76">
        <v>0</v>
      </c>
      <c r="C57" s="48">
        <f t="shared" ref="C57:C69" si="14">C56</f>
        <v>1</v>
      </c>
      <c r="D57" s="31">
        <f t="shared" si="8"/>
        <v>0</v>
      </c>
      <c r="E57" s="30">
        <f t="shared" ref="E57:F69" si="15">E56</f>
        <v>1</v>
      </c>
      <c r="F57" s="31">
        <f t="shared" si="9"/>
        <v>0</v>
      </c>
      <c r="G57" s="53">
        <v>0</v>
      </c>
      <c r="H57" s="31">
        <f t="shared" si="10"/>
        <v>0</v>
      </c>
      <c r="I57" s="31">
        <f t="shared" si="11"/>
        <v>0</v>
      </c>
      <c r="J57" s="31">
        <f t="shared" si="12"/>
        <v>0</v>
      </c>
      <c r="K57" s="91">
        <f t="shared" si="13"/>
        <v>0</v>
      </c>
      <c r="L57" s="32" t="s">
        <v>30</v>
      </c>
      <c r="M57" s="128" t="str">
        <f>VLOOKUP(L57,Data!$A$2:$B$69,2,FALSE)</f>
        <v>Order Cabinetry (Full Home)</v>
      </c>
    </row>
    <row r="58" spans="1:13" ht="15.75" customHeight="1">
      <c r="A58" s="58" t="s">
        <v>228</v>
      </c>
      <c r="B58" s="76">
        <v>0</v>
      </c>
      <c r="C58" s="48">
        <f t="shared" si="14"/>
        <v>1</v>
      </c>
      <c r="D58" s="31">
        <f t="shared" si="8"/>
        <v>0</v>
      </c>
      <c r="E58" s="30">
        <f t="shared" si="15"/>
        <v>1</v>
      </c>
      <c r="F58" s="31">
        <f t="shared" si="9"/>
        <v>0</v>
      </c>
      <c r="G58" s="53">
        <v>0</v>
      </c>
      <c r="H58" s="31">
        <f t="shared" si="10"/>
        <v>0</v>
      </c>
      <c r="I58" s="31">
        <f t="shared" si="11"/>
        <v>0</v>
      </c>
      <c r="J58" s="31">
        <f t="shared" si="12"/>
        <v>0</v>
      </c>
      <c r="K58" s="91">
        <f t="shared" si="13"/>
        <v>0</v>
      </c>
      <c r="L58" s="32" t="s">
        <v>28</v>
      </c>
      <c r="M58" s="128" t="str">
        <f>VLOOKUP(L58,Data!$A$2:$B$69,2,FALSE)</f>
        <v>Order Appliances &amp; Vanities</v>
      </c>
    </row>
    <row r="59" spans="1:13" ht="15.75" customHeight="1">
      <c r="A59" s="58" t="s">
        <v>229</v>
      </c>
      <c r="B59" s="76">
        <v>0</v>
      </c>
      <c r="C59" s="48">
        <f t="shared" si="14"/>
        <v>1</v>
      </c>
      <c r="D59" s="31">
        <f t="shared" si="8"/>
        <v>0</v>
      </c>
      <c r="E59" s="30">
        <f t="shared" si="15"/>
        <v>1</v>
      </c>
      <c r="F59" s="31">
        <f t="shared" si="9"/>
        <v>0</v>
      </c>
      <c r="G59" s="53">
        <v>0</v>
      </c>
      <c r="H59" s="31">
        <f t="shared" si="10"/>
        <v>0</v>
      </c>
      <c r="I59" s="31">
        <f t="shared" si="11"/>
        <v>0</v>
      </c>
      <c r="J59" s="31">
        <f t="shared" si="12"/>
        <v>0</v>
      </c>
      <c r="K59" s="91">
        <f t="shared" si="13"/>
        <v>0</v>
      </c>
      <c r="L59" s="32" t="s">
        <v>32</v>
      </c>
      <c r="M59" s="128" t="str">
        <f>VLOOKUP(L59,Data!$A$2:$B$69,2,FALSE)</f>
        <v>Order Hardware &amp; Fixtures</v>
      </c>
    </row>
    <row r="60" spans="1:13" ht="15.75" customHeight="1">
      <c r="A60" s="58" t="s">
        <v>230</v>
      </c>
      <c r="B60" s="76">
        <v>0</v>
      </c>
      <c r="C60" s="48">
        <f t="shared" si="14"/>
        <v>1</v>
      </c>
      <c r="D60" s="31">
        <f t="shared" si="8"/>
        <v>0</v>
      </c>
      <c r="E60" s="30">
        <f t="shared" si="15"/>
        <v>1</v>
      </c>
      <c r="F60" s="31">
        <f t="shared" si="9"/>
        <v>0</v>
      </c>
      <c r="G60" s="53">
        <v>0</v>
      </c>
      <c r="H60" s="31">
        <f t="shared" si="10"/>
        <v>0</v>
      </c>
      <c r="I60" s="31">
        <f t="shared" si="11"/>
        <v>0</v>
      </c>
      <c r="J60" s="31">
        <f t="shared" si="12"/>
        <v>0</v>
      </c>
      <c r="K60" s="91">
        <f t="shared" si="13"/>
        <v>0</v>
      </c>
      <c r="L60" s="32" t="s">
        <v>34</v>
      </c>
      <c r="M60" s="128" t="str">
        <f>VLOOKUP(L60,Data!$A$2:$B$69,2,FALSE)</f>
        <v>Order Tile &amp; Backsplash</v>
      </c>
    </row>
    <row r="61" spans="1:13" ht="15.75" customHeight="1">
      <c r="A61" s="58" t="s">
        <v>231</v>
      </c>
      <c r="B61" s="76">
        <v>0</v>
      </c>
      <c r="C61" s="48">
        <f t="shared" si="14"/>
        <v>1</v>
      </c>
      <c r="D61" s="31">
        <f t="shared" si="8"/>
        <v>0</v>
      </c>
      <c r="E61" s="30">
        <f t="shared" si="15"/>
        <v>1</v>
      </c>
      <c r="F61" s="31">
        <f t="shared" si="9"/>
        <v>0</v>
      </c>
      <c r="G61" s="53">
        <v>0</v>
      </c>
      <c r="H61" s="31">
        <f t="shared" si="10"/>
        <v>0</v>
      </c>
      <c r="I61" s="31">
        <f t="shared" si="11"/>
        <v>0</v>
      </c>
      <c r="J61" s="31">
        <f t="shared" si="12"/>
        <v>0</v>
      </c>
      <c r="K61" s="91">
        <f t="shared" si="13"/>
        <v>0</v>
      </c>
      <c r="L61" s="32" t="s">
        <v>133</v>
      </c>
      <c r="M61" s="128" t="str">
        <f>VLOOKUP(L61,Data!$A$2:$B$69,2,FALSE)</f>
        <v>Final Grading &amp; Landscaping</v>
      </c>
    </row>
    <row r="62" spans="1:13" ht="15.75" customHeight="1">
      <c r="A62" s="58" t="s">
        <v>232</v>
      </c>
      <c r="B62" s="76">
        <v>0</v>
      </c>
      <c r="C62" s="48">
        <f t="shared" si="14"/>
        <v>1</v>
      </c>
      <c r="D62" s="31">
        <f t="shared" si="8"/>
        <v>0</v>
      </c>
      <c r="E62" s="30">
        <f t="shared" si="15"/>
        <v>1</v>
      </c>
      <c r="F62" s="31">
        <f t="shared" si="9"/>
        <v>0</v>
      </c>
      <c r="G62" s="53">
        <v>0</v>
      </c>
      <c r="H62" s="31">
        <f t="shared" si="10"/>
        <v>0</v>
      </c>
      <c r="I62" s="31">
        <f t="shared" si="11"/>
        <v>0</v>
      </c>
      <c r="J62" s="31">
        <f t="shared" si="12"/>
        <v>0</v>
      </c>
      <c r="K62" s="91">
        <f t="shared" si="13"/>
        <v>0</v>
      </c>
      <c r="L62" s="32" t="s">
        <v>135</v>
      </c>
      <c r="M62" s="128" t="str">
        <f>VLOOKUP(L62,Data!$A$2:$B$69,2,FALSE)</f>
        <v>Irrigation Instillation</v>
      </c>
    </row>
    <row r="63" spans="1:13" ht="15.75" customHeight="1">
      <c r="A63" s="58" t="s">
        <v>233</v>
      </c>
      <c r="B63" s="76">
        <v>0</v>
      </c>
      <c r="C63" s="48">
        <f t="shared" si="14"/>
        <v>1</v>
      </c>
      <c r="D63" s="31">
        <f t="shared" si="8"/>
        <v>0</v>
      </c>
      <c r="E63" s="30">
        <f t="shared" si="15"/>
        <v>1</v>
      </c>
      <c r="F63" s="31">
        <f t="shared" si="9"/>
        <v>0</v>
      </c>
      <c r="G63" s="53">
        <v>0</v>
      </c>
      <c r="H63" s="31">
        <f t="shared" si="10"/>
        <v>0</v>
      </c>
      <c r="I63" s="31">
        <f t="shared" si="11"/>
        <v>0</v>
      </c>
      <c r="J63" s="31">
        <f t="shared" si="12"/>
        <v>0</v>
      </c>
      <c r="K63" s="91">
        <f t="shared" si="13"/>
        <v>0</v>
      </c>
      <c r="L63" s="32" t="s">
        <v>139</v>
      </c>
      <c r="M63" s="128" t="str">
        <f>VLOOKUP(L63,Data!$A$2:$B$69,2,FALSE)</f>
        <v>Perimeter Fencing Instillation</v>
      </c>
    </row>
    <row r="64" spans="1:13" ht="15.75" customHeight="1">
      <c r="A64" s="58" t="s">
        <v>234</v>
      </c>
      <c r="B64" s="76">
        <v>0</v>
      </c>
      <c r="C64" s="48">
        <f t="shared" si="14"/>
        <v>1</v>
      </c>
      <c r="D64" s="31">
        <f t="shared" si="8"/>
        <v>0</v>
      </c>
      <c r="E64" s="30">
        <f t="shared" si="15"/>
        <v>1</v>
      </c>
      <c r="F64" s="31">
        <f t="shared" si="9"/>
        <v>0</v>
      </c>
      <c r="G64" s="53">
        <v>0</v>
      </c>
      <c r="H64" s="31">
        <f t="shared" si="10"/>
        <v>0</v>
      </c>
      <c r="I64" s="31">
        <f t="shared" si="11"/>
        <v>0</v>
      </c>
      <c r="J64" s="31">
        <f t="shared" si="12"/>
        <v>0</v>
      </c>
      <c r="K64" s="91">
        <f t="shared" si="13"/>
        <v>0</v>
      </c>
      <c r="L64" s="32" t="s">
        <v>151</v>
      </c>
      <c r="M64" s="128" t="str">
        <f>VLOOKUP(L64,Data!$A$2:$B$69,2,FALSE)</f>
        <v>Final Contractor Payment Due</v>
      </c>
    </row>
    <row r="65" spans="1:13" ht="15.75" customHeight="1">
      <c r="A65" s="58" t="s">
        <v>235</v>
      </c>
      <c r="B65" s="76">
        <v>0</v>
      </c>
      <c r="C65" s="48">
        <f t="shared" si="14"/>
        <v>1</v>
      </c>
      <c r="D65" s="31">
        <f t="shared" si="8"/>
        <v>0</v>
      </c>
      <c r="E65" s="30">
        <f t="shared" si="15"/>
        <v>1</v>
      </c>
      <c r="F65" s="31">
        <f t="shared" si="9"/>
        <v>0</v>
      </c>
      <c r="G65" s="53">
        <v>0</v>
      </c>
      <c r="H65" s="31">
        <f t="shared" si="10"/>
        <v>0</v>
      </c>
      <c r="I65" s="31">
        <f t="shared" si="11"/>
        <v>0</v>
      </c>
      <c r="J65" s="31">
        <f t="shared" si="12"/>
        <v>0</v>
      </c>
      <c r="K65" s="91">
        <f t="shared" si="13"/>
        <v>0</v>
      </c>
      <c r="L65" s="32" t="s">
        <v>151</v>
      </c>
      <c r="M65" s="128" t="str">
        <f>VLOOKUP(L65,Data!$A$2:$B$69,2,FALSE)</f>
        <v>Final Contractor Payment Due</v>
      </c>
    </row>
    <row r="66" spans="1:13" ht="15.75" customHeight="1">
      <c r="A66" s="58" t="s">
        <v>18</v>
      </c>
      <c r="B66" s="76">
        <v>0</v>
      </c>
      <c r="C66" s="48">
        <f>C64</f>
        <v>1</v>
      </c>
      <c r="D66" s="31">
        <f t="shared" ref="D66" si="16">B66*C66</f>
        <v>0</v>
      </c>
      <c r="E66" s="30">
        <f>E64</f>
        <v>1</v>
      </c>
      <c r="F66" s="31">
        <f t="shared" ref="F66" si="17">D66*E66</f>
        <v>0</v>
      </c>
      <c r="G66" s="53">
        <v>0</v>
      </c>
      <c r="H66" s="31">
        <f t="shared" ref="H66" si="18">F66*G66</f>
        <v>0</v>
      </c>
      <c r="I66" s="31">
        <f t="shared" ref="I66" si="19">SUM(D66*E66)+H66</f>
        <v>0</v>
      </c>
      <c r="J66" s="31">
        <f t="shared" ref="J66" si="20">I66*0.1</f>
        <v>0</v>
      </c>
      <c r="K66" s="91">
        <f t="shared" ref="K66" si="21">SUM(I66:J66)</f>
        <v>0</v>
      </c>
      <c r="L66" s="32" t="s">
        <v>143</v>
      </c>
      <c r="M66" s="128"/>
    </row>
    <row r="67" spans="1:13" ht="15.75" customHeight="1">
      <c r="A67" s="58" t="s">
        <v>236</v>
      </c>
      <c r="B67" s="76">
        <v>0</v>
      </c>
      <c r="C67" s="48">
        <f>C65</f>
        <v>1</v>
      </c>
      <c r="D67" s="31">
        <f t="shared" si="8"/>
        <v>0</v>
      </c>
      <c r="E67" s="30">
        <f>E65</f>
        <v>1</v>
      </c>
      <c r="F67" s="31">
        <f t="shared" si="9"/>
        <v>0</v>
      </c>
      <c r="G67" s="53">
        <v>0</v>
      </c>
      <c r="H67" s="31">
        <f t="shared" si="10"/>
        <v>0</v>
      </c>
      <c r="I67" s="31">
        <f t="shared" si="11"/>
        <v>0</v>
      </c>
      <c r="J67" s="31">
        <f t="shared" si="12"/>
        <v>0</v>
      </c>
      <c r="K67" s="91">
        <f t="shared" si="13"/>
        <v>0</v>
      </c>
      <c r="L67" s="32" t="s">
        <v>143</v>
      </c>
      <c r="M67" s="128" t="str">
        <f>VLOOKUP(L67,Data!$A$2:$B$69,2,FALSE)</f>
        <v>Site Survey (Pre C of O)</v>
      </c>
    </row>
    <row r="68" spans="1:13" ht="15.75" customHeight="1">
      <c r="A68" s="58" t="s">
        <v>237</v>
      </c>
      <c r="B68" s="76">
        <v>0</v>
      </c>
      <c r="C68" s="48">
        <f t="shared" si="14"/>
        <v>1</v>
      </c>
      <c r="D68" s="31">
        <f t="shared" si="8"/>
        <v>0</v>
      </c>
      <c r="E68" s="30">
        <f t="shared" si="15"/>
        <v>1</v>
      </c>
      <c r="F68" s="31">
        <f t="shared" si="9"/>
        <v>0</v>
      </c>
      <c r="G68" s="53">
        <v>0</v>
      </c>
      <c r="H68" s="31">
        <f t="shared" si="10"/>
        <v>0</v>
      </c>
      <c r="I68" s="31">
        <f t="shared" si="11"/>
        <v>0</v>
      </c>
      <c r="J68" s="31">
        <f t="shared" si="12"/>
        <v>0</v>
      </c>
      <c r="K68" s="91">
        <f t="shared" si="13"/>
        <v>0</v>
      </c>
      <c r="L68" s="32" t="s">
        <v>147</v>
      </c>
      <c r="M68" s="128" t="str">
        <f>VLOOKUP(L68,Data!$A$2:$B$69,2,FALSE)</f>
        <v>Final Inspection (C of O)</v>
      </c>
    </row>
    <row r="69" spans="1:13" ht="15.75" customHeight="1">
      <c r="A69" s="58" t="s">
        <v>238</v>
      </c>
      <c r="B69" s="76">
        <v>0</v>
      </c>
      <c r="C69" s="48">
        <f t="shared" si="14"/>
        <v>1</v>
      </c>
      <c r="D69" s="31">
        <f t="shared" si="8"/>
        <v>0</v>
      </c>
      <c r="E69" s="30">
        <f t="shared" si="15"/>
        <v>1</v>
      </c>
      <c r="F69" s="31">
        <f t="shared" si="15"/>
        <v>0</v>
      </c>
      <c r="G69" s="53">
        <v>0</v>
      </c>
      <c r="H69" s="31">
        <f t="shared" si="10"/>
        <v>0</v>
      </c>
      <c r="I69" s="31">
        <f t="shared" si="11"/>
        <v>0</v>
      </c>
      <c r="J69" s="65">
        <f t="shared" ref="J69" si="22">I69*0</f>
        <v>0</v>
      </c>
      <c r="K69" s="68">
        <f t="shared" si="13"/>
        <v>0</v>
      </c>
      <c r="L69" s="32" t="s">
        <v>127</v>
      </c>
      <c r="M69" s="129"/>
    </row>
    <row r="70" spans="1:13" ht="15.75" customHeight="1">
      <c r="A70" s="63" t="s">
        <v>239</v>
      </c>
      <c r="B70" s="77">
        <v>0</v>
      </c>
      <c r="C70" s="54">
        <f>C68</f>
        <v>1</v>
      </c>
      <c r="D70" s="55">
        <f t="shared" si="8"/>
        <v>0</v>
      </c>
      <c r="E70" s="33">
        <f>E68</f>
        <v>1</v>
      </c>
      <c r="F70" s="55">
        <f t="shared" si="9"/>
        <v>0</v>
      </c>
      <c r="G70" s="56">
        <v>0</v>
      </c>
      <c r="H70" s="55">
        <f t="shared" si="10"/>
        <v>0</v>
      </c>
      <c r="I70" s="55">
        <f t="shared" si="11"/>
        <v>0</v>
      </c>
      <c r="J70" s="55">
        <f t="shared" si="12"/>
        <v>0</v>
      </c>
      <c r="K70" s="112">
        <f t="shared" si="13"/>
        <v>0</v>
      </c>
      <c r="L70" s="115" t="s">
        <v>24</v>
      </c>
      <c r="M70" s="129" t="str">
        <f>VLOOKUP(L70,Data!$A$2:$B$69,2,FALSE)</f>
        <v>Obtain Building Permits</v>
      </c>
    </row>
    <row r="71" spans="1:13" ht="15.75" customHeight="1">
      <c r="B71" s="60"/>
      <c r="I71" s="37"/>
      <c r="J71" s="61">
        <f>SUM(J55:J70)</f>
        <v>0</v>
      </c>
      <c r="K71" s="141">
        <f>SUM(K55:K70)</f>
        <v>0</v>
      </c>
      <c r="L71" s="142"/>
      <c r="M71" s="116"/>
    </row>
  </sheetData>
  <mergeCells count="3">
    <mergeCell ref="A2:K2"/>
    <mergeCell ref="K51:L51"/>
    <mergeCell ref="K71:L71"/>
  </mergeCells>
  <conditionalFormatting sqref="B14 D14:K50">
    <cfRule type="cellIs" dxfId="6" priority="16" stopIfTrue="1" operator="equal">
      <formula>0</formula>
    </cfRule>
  </conditionalFormatting>
  <conditionalFormatting sqref="E70:K70 E55:K68">
    <cfRule type="cellIs" dxfId="5" priority="14" stopIfTrue="1" operator="equal">
      <formula>0</formula>
    </cfRule>
  </conditionalFormatting>
  <conditionalFormatting sqref="K9:L9">
    <cfRule type="cellIs" dxfId="4" priority="30" operator="equal">
      <formula>1</formula>
    </cfRule>
  </conditionalFormatting>
  <conditionalFormatting sqref="B70 B55:B68">
    <cfRule type="cellIs" dxfId="3" priority="5" stopIfTrue="1" operator="equal">
      <formula>0</formula>
    </cfRule>
  </conditionalFormatting>
  <conditionalFormatting sqref="D70 D55:D68">
    <cfRule type="cellIs" dxfId="2" priority="3" stopIfTrue="1" operator="equal">
      <formula>0</formula>
    </cfRule>
  </conditionalFormatting>
  <conditionalFormatting sqref="D69:K69">
    <cfRule type="cellIs" dxfId="1" priority="2" stopIfTrue="1" operator="equal">
      <formula>0</formula>
    </cfRule>
  </conditionalFormatting>
  <conditionalFormatting sqref="B69">
    <cfRule type="cellIs" dxfId="0" priority="1" stopIfTrue="1" operator="equal">
      <formula>0</formula>
    </cfRule>
  </conditionalFormatting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0932-1FBD-F84B-80D0-6007521E7235}">
  <dimension ref="A1:B7"/>
  <sheetViews>
    <sheetView workbookViewId="0">
      <selection activeCell="B13" sqref="B13"/>
    </sheetView>
  </sheetViews>
  <sheetFormatPr defaultColWidth="11.42578125" defaultRowHeight="15"/>
  <cols>
    <col min="1" max="2" width="20.7109375" customWidth="1"/>
  </cols>
  <sheetData>
    <row r="1" spans="1:2" ht="15.95">
      <c r="A1" s="29" t="s">
        <v>12</v>
      </c>
      <c r="B1" s="29" t="s">
        <v>240</v>
      </c>
    </row>
    <row r="2" spans="1:2" ht="15.95">
      <c r="A2" s="22">
        <v>0</v>
      </c>
      <c r="B2" s="23" t="s">
        <v>16</v>
      </c>
    </row>
    <row r="3" spans="1:2" ht="15.95">
      <c r="A3" s="22">
        <v>1</v>
      </c>
      <c r="B3" s="24" t="s">
        <v>241</v>
      </c>
    </row>
    <row r="4" spans="1:2" ht="15.95">
      <c r="A4" s="22">
        <v>2</v>
      </c>
      <c r="B4" s="25" t="s">
        <v>242</v>
      </c>
    </row>
    <row r="5" spans="1:2" ht="15.95">
      <c r="A5" s="22">
        <v>3</v>
      </c>
      <c r="B5" s="26" t="s">
        <v>243</v>
      </c>
    </row>
    <row r="6" spans="1:2" ht="15.95">
      <c r="A6" s="22">
        <v>4</v>
      </c>
      <c r="B6" s="27" t="s">
        <v>90</v>
      </c>
    </row>
    <row r="7" spans="1:2" ht="15.95">
      <c r="A7" s="22">
        <v>5</v>
      </c>
      <c r="B7" s="2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2025-03-20T01:06:03Z</dcterms:created>
  <dcterms:modified xsi:type="dcterms:W3CDTF">2025-03-24T18:11:31Z</dcterms:modified>
  <cp:category/>
  <cp:contentStatus/>
</cp:coreProperties>
</file>