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mc:AlternateContent xmlns:mc="http://schemas.openxmlformats.org/markup-compatibility/2006">
    <mc:Choice Requires="x15">
      <x15ac:absPath xmlns:x15ac="http://schemas.microsoft.com/office/spreadsheetml/2010/11/ac" url="/Users/aaronkonigsberg/Documents/Light-Projects/LightPortfolio/public/punchlists/"/>
    </mc:Choice>
  </mc:AlternateContent>
  <xr:revisionPtr revIDLastSave="0" documentId="8_{02CC969B-DE89-4D4D-8844-0749B97A445C}" xr6:coauthVersionLast="47" xr6:coauthVersionMax="47" xr10:uidLastSave="{00000000-0000-0000-0000-000000000000}"/>
  <bookViews>
    <workbookView xWindow="240" yWindow="500" windowWidth="26980" windowHeight="21900" firstSheet="1" xr2:uid="{00000000-000D-0000-FFFF-FFFF00000000}"/>
  </bookViews>
  <sheets>
    <sheet name="Data" sheetId="1" r:id="rId1"/>
    <sheet name="Pricing" sheetId="4" r:id="rId2"/>
    <sheet name="Pricing (2)" sheetId="5" r:id="rId3"/>
    <sheet name="Color Code" sheetId="2" r:id="rId4"/>
  </sheets>
  <definedNames>
    <definedName name="_xlnm._FilterDatabase" localSheetId="1" hidden="1">Pricing!$A$13:$K$115</definedName>
    <definedName name="_xlnm._FilterDatabase" localSheetId="2" hidden="1">'Pricing (2)'!$A$13:$K$115</definedName>
    <definedName name="_xlnm.Print_Area" localSheetId="0">Data!$A$1:$K$100</definedName>
    <definedName name="_xlnm.Print_Area" localSheetId="1">Pricing!$A$1:$K$115</definedName>
    <definedName name="_xlnm.Print_Area" localSheetId="2">'Pricing (2)'!$A$1:$K$115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4" l="1"/>
  <c r="D14" i="4"/>
  <c r="E14" i="4"/>
  <c r="G14" i="4"/>
  <c r="H14" i="4"/>
  <c r="I14" i="4"/>
  <c r="J14" i="4"/>
  <c r="C15" i="4"/>
  <c r="D15" i="4"/>
  <c r="E15" i="4"/>
  <c r="G15" i="4"/>
  <c r="H15" i="4"/>
  <c r="I15" i="4"/>
  <c r="J15" i="4"/>
  <c r="C16" i="4"/>
  <c r="D16" i="4"/>
  <c r="E16" i="4"/>
  <c r="G16" i="4"/>
  <c r="H16" i="4"/>
  <c r="I16" i="4"/>
  <c r="J16" i="4"/>
  <c r="C17" i="4"/>
  <c r="D17" i="4"/>
  <c r="E17" i="4"/>
  <c r="G17" i="4"/>
  <c r="H17" i="4"/>
  <c r="I17" i="4"/>
  <c r="J17" i="4"/>
  <c r="C18" i="4"/>
  <c r="D18" i="4"/>
  <c r="G18" i="4"/>
  <c r="H18" i="4"/>
  <c r="I18" i="4"/>
  <c r="J18" i="4"/>
  <c r="C19" i="4"/>
  <c r="D19" i="4"/>
  <c r="G19" i="4"/>
  <c r="H19" i="4"/>
  <c r="I19" i="4"/>
  <c r="J19" i="4"/>
  <c r="C20" i="4"/>
  <c r="D20" i="4"/>
  <c r="E20" i="4"/>
  <c r="G20" i="4"/>
  <c r="H20" i="4"/>
  <c r="I20" i="4"/>
  <c r="J20" i="4"/>
  <c r="C21" i="4"/>
  <c r="D21" i="4"/>
  <c r="G21" i="4"/>
  <c r="H21" i="4"/>
  <c r="I21" i="4"/>
  <c r="J21" i="4"/>
  <c r="C22" i="4"/>
  <c r="D22" i="4"/>
  <c r="G22" i="4"/>
  <c r="H22" i="4"/>
  <c r="I22" i="4"/>
  <c r="J22" i="4"/>
  <c r="C23" i="4"/>
  <c r="D23" i="4"/>
  <c r="E23" i="4"/>
  <c r="G23" i="4"/>
  <c r="H23" i="4"/>
  <c r="I23" i="4"/>
  <c r="J23" i="4"/>
  <c r="C24" i="4"/>
  <c r="D24" i="4"/>
  <c r="E24" i="4"/>
  <c r="G24" i="4"/>
  <c r="H24" i="4"/>
  <c r="I24" i="4"/>
  <c r="J24" i="4"/>
  <c r="C25" i="4"/>
  <c r="D25" i="4"/>
  <c r="G25" i="4"/>
  <c r="H25" i="4"/>
  <c r="I25" i="4"/>
  <c r="J25" i="4"/>
  <c r="C26" i="4"/>
  <c r="D26" i="4"/>
  <c r="G26" i="4"/>
  <c r="H26" i="4"/>
  <c r="I26" i="4"/>
  <c r="J26" i="4"/>
  <c r="C27" i="4"/>
  <c r="D27" i="4"/>
  <c r="E27" i="4"/>
  <c r="G27" i="4"/>
  <c r="H27" i="4"/>
  <c r="I27" i="4"/>
  <c r="J27" i="4"/>
  <c r="C28" i="4"/>
  <c r="D28" i="4"/>
  <c r="E28" i="4"/>
  <c r="G28" i="4"/>
  <c r="H28" i="4"/>
  <c r="I28" i="4"/>
  <c r="J28" i="4"/>
  <c r="C29" i="4"/>
  <c r="D29" i="4"/>
  <c r="E29" i="4"/>
  <c r="G29" i="4"/>
  <c r="H29" i="4"/>
  <c r="I29" i="4"/>
  <c r="J29" i="4"/>
  <c r="C30" i="4"/>
  <c r="E30" i="4"/>
  <c r="H30" i="4"/>
  <c r="C31" i="4"/>
  <c r="E31" i="4"/>
  <c r="G31" i="4"/>
  <c r="H31" i="4"/>
  <c r="C32" i="4"/>
  <c r="E32" i="4"/>
  <c r="G32" i="4"/>
  <c r="H32" i="4"/>
  <c r="C33" i="4"/>
  <c r="G33" i="4"/>
  <c r="H33" i="4"/>
  <c r="C34" i="4"/>
  <c r="E34" i="4"/>
  <c r="G34" i="4"/>
  <c r="H34" i="4"/>
  <c r="C35" i="4"/>
  <c r="D35" i="4"/>
  <c r="E35" i="4"/>
  <c r="G35" i="4"/>
  <c r="H35" i="4"/>
  <c r="I35" i="4"/>
  <c r="J35" i="4"/>
  <c r="C36" i="4"/>
  <c r="D36" i="4"/>
  <c r="E36" i="4"/>
  <c r="G36" i="4"/>
  <c r="H36" i="4"/>
  <c r="I36" i="4"/>
  <c r="J36" i="4"/>
  <c r="C37" i="4"/>
  <c r="D37" i="4"/>
  <c r="E37" i="4"/>
  <c r="G37" i="4"/>
  <c r="H37" i="4"/>
  <c r="I37" i="4"/>
  <c r="J37" i="4"/>
  <c r="C38" i="4"/>
  <c r="D38" i="4"/>
  <c r="E38" i="4"/>
  <c r="G38" i="4"/>
  <c r="H38" i="4"/>
  <c r="I38" i="4"/>
  <c r="J38" i="4"/>
  <c r="C39" i="4"/>
  <c r="D39" i="4"/>
  <c r="E39" i="4"/>
  <c r="G39" i="4"/>
  <c r="H39" i="4"/>
  <c r="I39" i="4"/>
  <c r="J39" i="4"/>
  <c r="C40" i="4"/>
  <c r="D40" i="4"/>
  <c r="E40" i="4"/>
  <c r="G40" i="4"/>
  <c r="H40" i="4"/>
  <c r="I40" i="4"/>
  <c r="J40" i="4"/>
  <c r="C41" i="4"/>
  <c r="D41" i="4"/>
  <c r="E41" i="4"/>
  <c r="G41" i="4"/>
  <c r="H41" i="4"/>
  <c r="I41" i="4"/>
  <c r="J41" i="4"/>
  <c r="C42" i="4"/>
  <c r="D42" i="4"/>
  <c r="E42" i="4"/>
  <c r="G42" i="4"/>
  <c r="H42" i="4"/>
  <c r="I42" i="4"/>
  <c r="J42" i="4"/>
  <c r="C43" i="4"/>
  <c r="D43" i="4"/>
  <c r="E43" i="4"/>
  <c r="G43" i="4"/>
  <c r="H43" i="4"/>
  <c r="I43" i="4"/>
  <c r="J43" i="4"/>
  <c r="C44" i="4"/>
  <c r="D44" i="4"/>
  <c r="G44" i="4"/>
  <c r="H44" i="4"/>
  <c r="I44" i="4"/>
  <c r="J44" i="4"/>
  <c r="C45" i="4"/>
  <c r="D45" i="4"/>
  <c r="E45" i="4"/>
  <c r="G45" i="4"/>
  <c r="H45" i="4"/>
  <c r="I45" i="4"/>
  <c r="J45" i="4"/>
  <c r="C46" i="4"/>
  <c r="D46" i="4"/>
  <c r="E46" i="4"/>
  <c r="G46" i="4"/>
  <c r="H46" i="4"/>
  <c r="I46" i="4"/>
  <c r="J46" i="4"/>
  <c r="C47" i="4"/>
  <c r="D47" i="4"/>
  <c r="G47" i="4"/>
  <c r="H47" i="4"/>
  <c r="I47" i="4"/>
  <c r="J47" i="4"/>
  <c r="C48" i="4"/>
  <c r="D48" i="4"/>
  <c r="E48" i="4"/>
  <c r="G48" i="4"/>
  <c r="H48" i="4"/>
  <c r="I48" i="4"/>
  <c r="J48" i="4"/>
  <c r="B49" i="4"/>
  <c r="C49" i="4"/>
  <c r="D49" i="4"/>
  <c r="E49" i="4"/>
  <c r="G49" i="4"/>
  <c r="H49" i="4"/>
  <c r="I49" i="4"/>
  <c r="J49" i="4"/>
  <c r="C50" i="4"/>
  <c r="D50" i="4"/>
  <c r="G50" i="4"/>
  <c r="H50" i="4"/>
  <c r="I50" i="4"/>
  <c r="J50" i="4"/>
  <c r="C51" i="4"/>
  <c r="D51" i="4"/>
  <c r="E51" i="4"/>
  <c r="G51" i="4"/>
  <c r="H51" i="4"/>
  <c r="I51" i="4"/>
  <c r="J51" i="4"/>
  <c r="C52" i="4"/>
  <c r="D52" i="4"/>
  <c r="E52" i="4"/>
  <c r="G52" i="4"/>
  <c r="H52" i="4"/>
  <c r="I52" i="4"/>
  <c r="J52" i="4"/>
  <c r="C53" i="4"/>
  <c r="D53" i="4"/>
  <c r="E53" i="4"/>
  <c r="G53" i="4"/>
  <c r="H53" i="4"/>
  <c r="I53" i="4"/>
  <c r="J53" i="4"/>
  <c r="C54" i="4"/>
  <c r="D54" i="4"/>
  <c r="C55" i="4"/>
  <c r="D55" i="4"/>
  <c r="C56" i="4"/>
  <c r="D56" i="4"/>
  <c r="E56" i="4"/>
  <c r="E55" i="4" s="1"/>
  <c r="G56" i="4"/>
  <c r="H56" i="4"/>
  <c r="I56" i="4"/>
  <c r="J56" i="4"/>
  <c r="C57" i="4"/>
  <c r="D57" i="4"/>
  <c r="C58" i="4"/>
  <c r="D58" i="4"/>
  <c r="E58" i="4"/>
  <c r="G58" i="4"/>
  <c r="H58" i="4"/>
  <c r="I58" i="4"/>
  <c r="J58" i="4"/>
  <c r="C59" i="4"/>
  <c r="D59" i="4"/>
  <c r="E59" i="4"/>
  <c r="G59" i="4"/>
  <c r="H59" i="4"/>
  <c r="I59" i="4"/>
  <c r="J59" i="4"/>
  <c r="C60" i="4"/>
  <c r="D60" i="4"/>
  <c r="E60" i="4"/>
  <c r="G60" i="4"/>
  <c r="H60" i="4"/>
  <c r="I60" i="4"/>
  <c r="J60" i="4"/>
  <c r="C61" i="4"/>
  <c r="D61" i="4"/>
  <c r="E61" i="4"/>
  <c r="G61" i="4"/>
  <c r="H61" i="4"/>
  <c r="I61" i="4"/>
  <c r="J61" i="4"/>
  <c r="C62" i="4"/>
  <c r="D62" i="4"/>
  <c r="E62" i="4"/>
  <c r="G62" i="4"/>
  <c r="H62" i="4"/>
  <c r="I62" i="4"/>
  <c r="J62" i="4"/>
  <c r="C63" i="4"/>
  <c r="D63" i="4"/>
  <c r="E63" i="4"/>
  <c r="G63" i="4"/>
  <c r="H63" i="4"/>
  <c r="I63" i="4"/>
  <c r="J63" i="4"/>
  <c r="C64" i="4"/>
  <c r="D64" i="4"/>
  <c r="E64" i="4"/>
  <c r="G64" i="4"/>
  <c r="H64" i="4"/>
  <c r="I64" i="4"/>
  <c r="J64" i="4"/>
  <c r="C65" i="4"/>
  <c r="D65" i="4"/>
  <c r="G65" i="4"/>
  <c r="H65" i="4"/>
  <c r="I65" i="4"/>
  <c r="J65" i="4"/>
  <c r="C66" i="4"/>
  <c r="D66" i="4"/>
  <c r="G66" i="4"/>
  <c r="H66" i="4"/>
  <c r="I66" i="4"/>
  <c r="J66" i="4"/>
  <c r="C67" i="4"/>
  <c r="D67" i="4"/>
  <c r="G67" i="4"/>
  <c r="H67" i="4"/>
  <c r="I67" i="4"/>
  <c r="J67" i="4"/>
  <c r="C68" i="4"/>
  <c r="D68" i="4"/>
  <c r="E68" i="4"/>
  <c r="G68" i="4"/>
  <c r="H68" i="4"/>
  <c r="I68" i="4"/>
  <c r="J68" i="4"/>
  <c r="C69" i="4"/>
  <c r="D69" i="4"/>
  <c r="E69" i="4"/>
  <c r="G69" i="4"/>
  <c r="H69" i="4"/>
  <c r="I69" i="4"/>
  <c r="J69" i="4"/>
  <c r="C70" i="4"/>
  <c r="D70" i="4"/>
  <c r="E70" i="4"/>
  <c r="G70" i="4"/>
  <c r="H70" i="4"/>
  <c r="I70" i="4"/>
  <c r="J70" i="4"/>
  <c r="C71" i="4"/>
  <c r="D71" i="4"/>
  <c r="G71" i="4"/>
  <c r="H71" i="4"/>
  <c r="I71" i="4"/>
  <c r="J71" i="4"/>
  <c r="C72" i="4"/>
  <c r="D72" i="4"/>
  <c r="G72" i="4"/>
  <c r="H72" i="4"/>
  <c r="I72" i="4"/>
  <c r="J72" i="4"/>
  <c r="C73" i="4"/>
  <c r="D73" i="4"/>
  <c r="E73" i="4"/>
  <c r="G73" i="4"/>
  <c r="H73" i="4"/>
  <c r="I73" i="4"/>
  <c r="J73" i="4"/>
  <c r="C74" i="4"/>
  <c r="D74" i="4"/>
  <c r="E74" i="4"/>
  <c r="G74" i="4"/>
  <c r="H74" i="4"/>
  <c r="I74" i="4"/>
  <c r="J74" i="4"/>
  <c r="C75" i="4"/>
  <c r="D75" i="4"/>
  <c r="E75" i="4"/>
  <c r="G75" i="4"/>
  <c r="H75" i="4"/>
  <c r="I75" i="4"/>
  <c r="J75" i="4"/>
  <c r="C76" i="4"/>
  <c r="D76" i="4"/>
  <c r="E76" i="4"/>
  <c r="G76" i="4"/>
  <c r="H76" i="4"/>
  <c r="I76" i="4"/>
  <c r="J76" i="4"/>
  <c r="C77" i="4"/>
  <c r="D77" i="4"/>
  <c r="H77" i="4"/>
  <c r="I77" i="4"/>
  <c r="J77" i="4"/>
  <c r="C78" i="4"/>
  <c r="D78" i="4"/>
  <c r="E78" i="4"/>
  <c r="G78" i="4"/>
  <c r="H78" i="4"/>
  <c r="I78" i="4"/>
  <c r="J78" i="4"/>
  <c r="C79" i="4"/>
  <c r="D79" i="4"/>
  <c r="E79" i="4"/>
  <c r="G79" i="4"/>
  <c r="H79" i="4"/>
  <c r="I79" i="4"/>
  <c r="J79" i="4"/>
  <c r="C80" i="4"/>
  <c r="D80" i="4"/>
  <c r="E80" i="4"/>
  <c r="G80" i="4"/>
  <c r="H80" i="4"/>
  <c r="I80" i="4"/>
  <c r="J80" i="4"/>
  <c r="C81" i="4"/>
  <c r="D81" i="4"/>
  <c r="E81" i="4"/>
  <c r="G81" i="4"/>
  <c r="H81" i="4"/>
  <c r="I81" i="4"/>
  <c r="J81" i="4"/>
  <c r="C82" i="4"/>
  <c r="D82" i="4"/>
  <c r="E82" i="4"/>
  <c r="G82" i="4"/>
  <c r="H82" i="4"/>
  <c r="I82" i="4"/>
  <c r="J82" i="4"/>
  <c r="C83" i="4"/>
  <c r="D83" i="4"/>
  <c r="E83" i="4"/>
  <c r="G83" i="4"/>
  <c r="H83" i="4"/>
  <c r="I83" i="4"/>
  <c r="J83" i="4"/>
  <c r="C84" i="4"/>
  <c r="D84" i="4"/>
  <c r="E84" i="4"/>
  <c r="G84" i="4"/>
  <c r="H84" i="4"/>
  <c r="I84" i="4"/>
  <c r="J84" i="4"/>
  <c r="C85" i="4"/>
  <c r="D85" i="4"/>
  <c r="E85" i="4"/>
  <c r="G85" i="4"/>
  <c r="H85" i="4"/>
  <c r="I85" i="4"/>
  <c r="J85" i="4"/>
  <c r="C86" i="4"/>
  <c r="D86" i="4"/>
  <c r="E86" i="4"/>
  <c r="G86" i="4"/>
  <c r="H86" i="4"/>
  <c r="I86" i="4"/>
  <c r="J86" i="4"/>
  <c r="C87" i="4"/>
  <c r="D87" i="4"/>
  <c r="H87" i="4"/>
  <c r="I87" i="4"/>
  <c r="J87" i="4"/>
  <c r="C88" i="4"/>
  <c r="D88" i="4"/>
  <c r="H88" i="4"/>
  <c r="I88" i="4"/>
  <c r="J88" i="4"/>
  <c r="C89" i="4"/>
  <c r="D89" i="4"/>
  <c r="H89" i="4"/>
  <c r="I89" i="4"/>
  <c r="J89" i="4"/>
  <c r="C90" i="4"/>
  <c r="D90" i="4"/>
  <c r="H90" i="4"/>
  <c r="I90" i="4"/>
  <c r="J90" i="4"/>
  <c r="C91" i="4"/>
  <c r="D91" i="4"/>
  <c r="E91" i="4"/>
  <c r="G91" i="4"/>
  <c r="H91" i="4"/>
  <c r="I91" i="4"/>
  <c r="J91" i="4"/>
  <c r="C92" i="4"/>
  <c r="D92" i="4"/>
  <c r="E92" i="4"/>
  <c r="G92" i="4"/>
  <c r="H92" i="4"/>
  <c r="I92" i="4"/>
  <c r="J92" i="4"/>
  <c r="C93" i="4"/>
  <c r="D93" i="4"/>
  <c r="E93" i="4"/>
  <c r="G93" i="4"/>
  <c r="H93" i="4"/>
  <c r="I93" i="4"/>
  <c r="J93" i="4"/>
  <c r="C94" i="4"/>
  <c r="D94" i="4"/>
  <c r="E94" i="4"/>
  <c r="G94" i="4"/>
  <c r="H94" i="4"/>
  <c r="I94" i="4"/>
  <c r="J94" i="4"/>
  <c r="C95" i="4"/>
  <c r="D95" i="4"/>
  <c r="E95" i="4"/>
  <c r="G95" i="4"/>
  <c r="H95" i="4"/>
  <c r="I95" i="4"/>
  <c r="J95" i="4"/>
  <c r="C96" i="4"/>
  <c r="D96" i="4"/>
  <c r="E96" i="4"/>
  <c r="G96" i="4"/>
  <c r="H96" i="4"/>
  <c r="I96" i="4"/>
  <c r="J96" i="4"/>
  <c r="C97" i="4"/>
  <c r="D97" i="4"/>
  <c r="E97" i="4"/>
  <c r="G97" i="4"/>
  <c r="H97" i="4"/>
  <c r="I97" i="4"/>
  <c r="J97" i="4"/>
  <c r="C98" i="4"/>
  <c r="D98" i="4"/>
  <c r="E98" i="4"/>
  <c r="G98" i="4"/>
  <c r="H98" i="4"/>
  <c r="I98" i="4"/>
  <c r="J98" i="4"/>
  <c r="C99" i="4"/>
  <c r="D99" i="4"/>
  <c r="E99" i="4"/>
  <c r="G99" i="4"/>
  <c r="H99" i="4"/>
  <c r="I99" i="4"/>
  <c r="J99" i="4"/>
  <c r="C100" i="4"/>
  <c r="D100" i="4"/>
  <c r="E100" i="4"/>
  <c r="G100" i="4"/>
  <c r="H100" i="4"/>
  <c r="I100" i="4"/>
  <c r="J100" i="4"/>
  <c r="C101" i="4"/>
  <c r="D101" i="4"/>
  <c r="E101" i="4"/>
  <c r="G101" i="4"/>
  <c r="H101" i="4"/>
  <c r="I101" i="4"/>
  <c r="J101" i="4"/>
  <c r="C102" i="4"/>
  <c r="D102" i="4"/>
  <c r="E102" i="4"/>
  <c r="G102" i="4"/>
  <c r="H102" i="4"/>
  <c r="I102" i="4"/>
  <c r="J102" i="4"/>
  <c r="C103" i="4"/>
  <c r="D103" i="4"/>
  <c r="E103" i="4"/>
  <c r="G103" i="4"/>
  <c r="H103" i="4"/>
  <c r="I103" i="4"/>
  <c r="J103" i="4"/>
  <c r="C104" i="4"/>
  <c r="D104" i="4"/>
  <c r="E104" i="4"/>
  <c r="G104" i="4"/>
  <c r="H104" i="4"/>
  <c r="I104" i="4"/>
  <c r="J104" i="4"/>
  <c r="C105" i="4"/>
  <c r="D105" i="4"/>
  <c r="E105" i="4"/>
  <c r="G105" i="4"/>
  <c r="H105" i="4"/>
  <c r="I105" i="4"/>
  <c r="J105" i="4"/>
  <c r="C106" i="4"/>
  <c r="D106" i="4"/>
  <c r="E106" i="4"/>
  <c r="G106" i="4"/>
  <c r="H106" i="4"/>
  <c r="I106" i="4"/>
  <c r="J106" i="4"/>
  <c r="C107" i="4"/>
  <c r="D107" i="4"/>
  <c r="E107" i="4"/>
  <c r="G107" i="4"/>
  <c r="H107" i="4"/>
  <c r="I107" i="4"/>
  <c r="J107" i="4"/>
  <c r="C108" i="4"/>
  <c r="D108" i="4"/>
  <c r="E108" i="4"/>
  <c r="G108" i="4"/>
  <c r="H108" i="4"/>
  <c r="I108" i="4"/>
  <c r="J108" i="4"/>
  <c r="C109" i="4"/>
  <c r="D109" i="4"/>
  <c r="E109" i="4"/>
  <c r="G109" i="4"/>
  <c r="H109" i="4"/>
  <c r="I109" i="4"/>
  <c r="J109" i="4"/>
  <c r="C110" i="4"/>
  <c r="D110" i="4"/>
  <c r="E110" i="4"/>
  <c r="G110" i="4"/>
  <c r="H110" i="4"/>
  <c r="I110" i="4"/>
  <c r="J110" i="4"/>
  <c r="C111" i="4"/>
  <c r="D111" i="4"/>
  <c r="E111" i="4"/>
  <c r="G111" i="4"/>
  <c r="H111" i="4"/>
  <c r="I111" i="4"/>
  <c r="J111" i="4"/>
  <c r="C112" i="4"/>
  <c r="D112" i="4"/>
  <c r="E112" i="4"/>
  <c r="G112" i="4"/>
  <c r="H112" i="4"/>
  <c r="I112" i="4"/>
  <c r="J112" i="4"/>
  <c r="C113" i="4"/>
  <c r="D113" i="4"/>
  <c r="E113" i="4"/>
  <c r="G113" i="4"/>
  <c r="H113" i="4"/>
  <c r="I113" i="4"/>
  <c r="J113" i="4"/>
  <c r="C114" i="4"/>
  <c r="D114" i="4"/>
  <c r="E114" i="4"/>
  <c r="G114" i="4"/>
  <c r="H114" i="4"/>
  <c r="I114" i="4"/>
  <c r="J114" i="4"/>
  <c r="C115" i="4"/>
  <c r="D115" i="4"/>
  <c r="E115" i="4"/>
  <c r="G115" i="4"/>
  <c r="H115" i="4"/>
  <c r="I115" i="4"/>
  <c r="J115" i="4"/>
  <c r="H15" i="5"/>
  <c r="I15" i="5"/>
  <c r="J15" i="5"/>
  <c r="H16" i="5"/>
  <c r="I16" i="5"/>
  <c r="J16" i="5"/>
  <c r="H17" i="5"/>
  <c r="I17" i="5"/>
  <c r="J17" i="5"/>
  <c r="H18" i="5"/>
  <c r="I18" i="5"/>
  <c r="J18" i="5"/>
  <c r="H19" i="5"/>
  <c r="I19" i="5"/>
  <c r="J19" i="5"/>
  <c r="H20" i="5"/>
  <c r="I20" i="5"/>
  <c r="J20" i="5"/>
  <c r="H21" i="5"/>
  <c r="I21" i="5"/>
  <c r="J21" i="5"/>
  <c r="H22" i="5"/>
  <c r="I22" i="5"/>
  <c r="J22" i="5"/>
  <c r="H23" i="5"/>
  <c r="I23" i="5"/>
  <c r="J23" i="5"/>
  <c r="H24" i="5"/>
  <c r="I24" i="5"/>
  <c r="J24" i="5"/>
  <c r="H25" i="5"/>
  <c r="I25" i="5"/>
  <c r="J25" i="5"/>
  <c r="H26" i="5"/>
  <c r="I26" i="5"/>
  <c r="J26" i="5"/>
  <c r="H27" i="5"/>
  <c r="I27" i="5"/>
  <c r="J27" i="5"/>
  <c r="H28" i="5"/>
  <c r="I28" i="5"/>
  <c r="J28" i="5"/>
  <c r="H29" i="5"/>
  <c r="I29" i="5"/>
  <c r="J29" i="5"/>
  <c r="H30" i="5"/>
  <c r="H31" i="5"/>
  <c r="H32" i="5"/>
  <c r="H33" i="5"/>
  <c r="H34" i="5"/>
  <c r="H35" i="5"/>
  <c r="I35" i="5"/>
  <c r="J35" i="5"/>
  <c r="H36" i="5"/>
  <c r="I36" i="5"/>
  <c r="J36" i="5"/>
  <c r="H37" i="5"/>
  <c r="I37" i="5"/>
  <c r="J37" i="5"/>
  <c r="H38" i="5"/>
  <c r="I38" i="5"/>
  <c r="J38" i="5"/>
  <c r="H39" i="5"/>
  <c r="I39" i="5"/>
  <c r="J39" i="5"/>
  <c r="H40" i="5"/>
  <c r="I40" i="5"/>
  <c r="J40" i="5"/>
  <c r="H41" i="5"/>
  <c r="I41" i="5"/>
  <c r="J41" i="5"/>
  <c r="H42" i="5"/>
  <c r="I42" i="5"/>
  <c r="J42" i="5"/>
  <c r="H43" i="5"/>
  <c r="I43" i="5"/>
  <c r="J43" i="5"/>
  <c r="H44" i="5"/>
  <c r="I44" i="5"/>
  <c r="J44" i="5"/>
  <c r="H45" i="5"/>
  <c r="I45" i="5"/>
  <c r="J45" i="5"/>
  <c r="H46" i="5"/>
  <c r="I46" i="5"/>
  <c r="J46" i="5"/>
  <c r="H47" i="5"/>
  <c r="I47" i="5"/>
  <c r="J47" i="5"/>
  <c r="H48" i="5"/>
  <c r="I48" i="5"/>
  <c r="J48" i="5"/>
  <c r="H49" i="5"/>
  <c r="I49" i="5"/>
  <c r="J49" i="5"/>
  <c r="H50" i="5"/>
  <c r="I50" i="5"/>
  <c r="J50" i="5"/>
  <c r="H51" i="5"/>
  <c r="I51" i="5"/>
  <c r="J51" i="5"/>
  <c r="H52" i="5"/>
  <c r="I52" i="5"/>
  <c r="J52" i="5"/>
  <c r="H53" i="5"/>
  <c r="I53" i="5"/>
  <c r="J53" i="5"/>
  <c r="H54" i="5"/>
  <c r="I54" i="5"/>
  <c r="J54" i="5"/>
  <c r="H55" i="5"/>
  <c r="I55" i="5"/>
  <c r="J55" i="5"/>
  <c r="H56" i="5"/>
  <c r="I56" i="5"/>
  <c r="J56" i="5"/>
  <c r="H57" i="5"/>
  <c r="I57" i="5"/>
  <c r="J57" i="5"/>
  <c r="H58" i="5"/>
  <c r="I58" i="5"/>
  <c r="J58" i="5"/>
  <c r="H59" i="5"/>
  <c r="I59" i="5"/>
  <c r="J59" i="5"/>
  <c r="H60" i="5"/>
  <c r="I60" i="5"/>
  <c r="J60" i="5"/>
  <c r="H61" i="5"/>
  <c r="I61" i="5"/>
  <c r="J61" i="5"/>
  <c r="H62" i="5"/>
  <c r="I62" i="5"/>
  <c r="J62" i="5"/>
  <c r="H63" i="5"/>
  <c r="I63" i="5"/>
  <c r="J63" i="5"/>
  <c r="H64" i="5"/>
  <c r="I64" i="5"/>
  <c r="J64" i="5"/>
  <c r="H65" i="5"/>
  <c r="I65" i="5"/>
  <c r="J65" i="5"/>
  <c r="H66" i="5"/>
  <c r="I66" i="5"/>
  <c r="J66" i="5"/>
  <c r="H67" i="5"/>
  <c r="I67" i="5"/>
  <c r="J67" i="5"/>
  <c r="H68" i="5"/>
  <c r="I68" i="5"/>
  <c r="J68" i="5"/>
  <c r="H69" i="5"/>
  <c r="I69" i="5"/>
  <c r="J69" i="5"/>
  <c r="H70" i="5"/>
  <c r="I70" i="5"/>
  <c r="J70" i="5"/>
  <c r="H71" i="5"/>
  <c r="I71" i="5"/>
  <c r="J71" i="5"/>
  <c r="H72" i="5"/>
  <c r="I72" i="5"/>
  <c r="J72" i="5"/>
  <c r="H73" i="5"/>
  <c r="I73" i="5"/>
  <c r="J73" i="5"/>
  <c r="H74" i="5"/>
  <c r="I74" i="5"/>
  <c r="J74" i="5"/>
  <c r="H75" i="5"/>
  <c r="I75" i="5"/>
  <c r="J75" i="5"/>
  <c r="H76" i="5"/>
  <c r="I76" i="5"/>
  <c r="J76" i="5"/>
  <c r="H77" i="5"/>
  <c r="I77" i="5"/>
  <c r="J77" i="5"/>
  <c r="H78" i="5"/>
  <c r="I78" i="5"/>
  <c r="J78" i="5"/>
  <c r="H79" i="5"/>
  <c r="I79" i="5"/>
  <c r="J79" i="5"/>
  <c r="H80" i="5"/>
  <c r="I80" i="5"/>
  <c r="J80" i="5"/>
  <c r="H81" i="5"/>
  <c r="I81" i="5"/>
  <c r="J81" i="5"/>
  <c r="H82" i="5"/>
  <c r="I82" i="5"/>
  <c r="J82" i="5"/>
  <c r="H83" i="5"/>
  <c r="I83" i="5"/>
  <c r="J83" i="5"/>
  <c r="H84" i="5"/>
  <c r="I84" i="5"/>
  <c r="J84" i="5"/>
  <c r="H85" i="5"/>
  <c r="I85" i="5"/>
  <c r="J85" i="5"/>
  <c r="H86" i="5"/>
  <c r="I86" i="5"/>
  <c r="J86" i="5"/>
  <c r="H87" i="5"/>
  <c r="I87" i="5"/>
  <c r="J87" i="5"/>
  <c r="H88" i="5"/>
  <c r="I88" i="5"/>
  <c r="J88" i="5"/>
  <c r="H89" i="5"/>
  <c r="I89" i="5"/>
  <c r="J89" i="5"/>
  <c r="H90" i="5"/>
  <c r="I90" i="5"/>
  <c r="J90" i="5"/>
  <c r="H91" i="5"/>
  <c r="I91" i="5"/>
  <c r="J91" i="5"/>
  <c r="H92" i="5"/>
  <c r="I92" i="5"/>
  <c r="J92" i="5"/>
  <c r="H93" i="5"/>
  <c r="I93" i="5"/>
  <c r="J93" i="5"/>
  <c r="H94" i="5"/>
  <c r="I94" i="5"/>
  <c r="J94" i="5"/>
  <c r="H95" i="5"/>
  <c r="I95" i="5"/>
  <c r="J95" i="5"/>
  <c r="H96" i="5"/>
  <c r="I96" i="5"/>
  <c r="J96" i="5"/>
  <c r="H97" i="5"/>
  <c r="I97" i="5"/>
  <c r="J97" i="5"/>
  <c r="H98" i="5"/>
  <c r="I98" i="5"/>
  <c r="J98" i="5"/>
  <c r="H99" i="5"/>
  <c r="I99" i="5"/>
  <c r="J99" i="5"/>
  <c r="H100" i="5"/>
  <c r="I100" i="5"/>
  <c r="J100" i="5"/>
  <c r="H101" i="5"/>
  <c r="I101" i="5"/>
  <c r="J101" i="5"/>
  <c r="H102" i="5"/>
  <c r="I102" i="5"/>
  <c r="J102" i="5"/>
  <c r="H103" i="5"/>
  <c r="I103" i="5"/>
  <c r="J103" i="5"/>
  <c r="H104" i="5"/>
  <c r="I104" i="5"/>
  <c r="J104" i="5"/>
  <c r="H105" i="5"/>
  <c r="I105" i="5"/>
  <c r="J105" i="5"/>
  <c r="H106" i="5"/>
  <c r="I106" i="5"/>
  <c r="J106" i="5"/>
  <c r="H107" i="5"/>
  <c r="I107" i="5"/>
  <c r="J107" i="5"/>
  <c r="H108" i="5"/>
  <c r="I108" i="5"/>
  <c r="J108" i="5"/>
  <c r="H109" i="5"/>
  <c r="I109" i="5"/>
  <c r="J109" i="5"/>
  <c r="H110" i="5"/>
  <c r="I110" i="5"/>
  <c r="J110" i="5"/>
  <c r="H111" i="5"/>
  <c r="I111" i="5"/>
  <c r="J111" i="5"/>
  <c r="H112" i="5"/>
  <c r="I112" i="5"/>
  <c r="J112" i="5"/>
  <c r="H113" i="5"/>
  <c r="I113" i="5"/>
  <c r="J113" i="5"/>
  <c r="H114" i="5"/>
  <c r="I114" i="5"/>
  <c r="J114" i="5"/>
  <c r="H115" i="5"/>
  <c r="I115" i="5"/>
  <c r="J115" i="5"/>
  <c r="I14" i="5"/>
  <c r="J14" i="5"/>
  <c r="H14" i="5"/>
  <c r="C14" i="5"/>
  <c r="D14" i="5"/>
  <c r="E14" i="5"/>
  <c r="G14" i="5"/>
  <c r="C15" i="5"/>
  <c r="D15" i="5"/>
  <c r="E15" i="5"/>
  <c r="G15" i="5"/>
  <c r="C16" i="5"/>
  <c r="D16" i="5"/>
  <c r="E16" i="5"/>
  <c r="G16" i="5"/>
  <c r="C17" i="5"/>
  <c r="D17" i="5"/>
  <c r="E17" i="5"/>
  <c r="G17" i="5"/>
  <c r="C18" i="5"/>
  <c r="D18" i="5"/>
  <c r="G18" i="5"/>
  <c r="C19" i="5"/>
  <c r="D19" i="5"/>
  <c r="G19" i="5"/>
  <c r="C20" i="5"/>
  <c r="D20" i="5"/>
  <c r="E20" i="5"/>
  <c r="G20" i="5"/>
  <c r="C21" i="5"/>
  <c r="D21" i="5"/>
  <c r="G21" i="5"/>
  <c r="C22" i="5"/>
  <c r="D22" i="5"/>
  <c r="G22" i="5"/>
  <c r="C23" i="5"/>
  <c r="D23" i="5"/>
  <c r="E23" i="5"/>
  <c r="G23" i="5"/>
  <c r="C24" i="5"/>
  <c r="D24" i="5"/>
  <c r="E24" i="5"/>
  <c r="G24" i="5"/>
  <c r="C25" i="5"/>
  <c r="D25" i="5"/>
  <c r="G25" i="5"/>
  <c r="C26" i="5"/>
  <c r="D26" i="5"/>
  <c r="G26" i="5"/>
  <c r="C27" i="5"/>
  <c r="D27" i="5"/>
  <c r="E27" i="5"/>
  <c r="G27" i="5"/>
  <c r="C28" i="5"/>
  <c r="D28" i="5"/>
  <c r="E28" i="5"/>
  <c r="G28" i="5"/>
  <c r="C29" i="5"/>
  <c r="D29" i="5"/>
  <c r="E29" i="5"/>
  <c r="G29" i="5"/>
  <c r="C30" i="5"/>
  <c r="E30" i="5"/>
  <c r="C31" i="5"/>
  <c r="E31" i="5"/>
  <c r="G31" i="5"/>
  <c r="C32" i="5"/>
  <c r="E32" i="5"/>
  <c r="G32" i="5"/>
  <c r="C33" i="5"/>
  <c r="G33" i="5"/>
  <c r="C34" i="5"/>
  <c r="E34" i="5"/>
  <c r="G34" i="5"/>
  <c r="C35" i="5"/>
  <c r="D35" i="5"/>
  <c r="E35" i="5"/>
  <c r="G35" i="5"/>
  <c r="C36" i="5"/>
  <c r="D36" i="5"/>
  <c r="E36" i="5"/>
  <c r="G36" i="5"/>
  <c r="C37" i="5"/>
  <c r="D37" i="5"/>
  <c r="E37" i="5"/>
  <c r="G37" i="5"/>
  <c r="C38" i="5"/>
  <c r="D38" i="5"/>
  <c r="E38" i="5"/>
  <c r="G38" i="5"/>
  <c r="C39" i="5"/>
  <c r="D39" i="5"/>
  <c r="E39" i="5"/>
  <c r="G39" i="5"/>
  <c r="C40" i="5"/>
  <c r="D40" i="5"/>
  <c r="E40" i="5"/>
  <c r="G40" i="5"/>
  <c r="C41" i="5"/>
  <c r="D41" i="5"/>
  <c r="E41" i="5"/>
  <c r="G41" i="5"/>
  <c r="C42" i="5"/>
  <c r="D42" i="5"/>
  <c r="E42" i="5"/>
  <c r="G42" i="5"/>
  <c r="C43" i="5"/>
  <c r="D43" i="5"/>
  <c r="E43" i="5"/>
  <c r="G43" i="5"/>
  <c r="C44" i="5"/>
  <c r="D44" i="5"/>
  <c r="G44" i="5"/>
  <c r="C45" i="5"/>
  <c r="D45" i="5"/>
  <c r="E45" i="5"/>
  <c r="G45" i="5"/>
  <c r="C46" i="5"/>
  <c r="D46" i="5"/>
  <c r="C47" i="5"/>
  <c r="D47" i="5"/>
  <c r="G47" i="5"/>
  <c r="C48" i="5"/>
  <c r="D48" i="5"/>
  <c r="B49" i="5"/>
  <c r="C49" i="5"/>
  <c r="D49" i="5"/>
  <c r="C50" i="5"/>
  <c r="D50" i="5"/>
  <c r="G50" i="5"/>
  <c r="C51" i="5"/>
  <c r="D51" i="5"/>
  <c r="E51" i="5"/>
  <c r="G51" i="5"/>
  <c r="C52" i="5"/>
  <c r="D52" i="5"/>
  <c r="E52" i="5"/>
  <c r="G52" i="5"/>
  <c r="C53" i="5"/>
  <c r="D53" i="5"/>
  <c r="C54" i="5"/>
  <c r="D54" i="5"/>
  <c r="C55" i="5"/>
  <c r="D55" i="5"/>
  <c r="C56" i="5"/>
  <c r="D56" i="5"/>
  <c r="E56" i="5"/>
  <c r="E55" i="5" s="1"/>
  <c r="G56" i="5"/>
  <c r="C57" i="5"/>
  <c r="D57" i="5"/>
  <c r="C58" i="5"/>
  <c r="D58" i="5"/>
  <c r="E58" i="5"/>
  <c r="G58" i="5"/>
  <c r="C59" i="5"/>
  <c r="D59" i="5"/>
  <c r="E59" i="5"/>
  <c r="G59" i="5"/>
  <c r="C60" i="5"/>
  <c r="D60" i="5"/>
  <c r="E60" i="5"/>
  <c r="G60" i="5"/>
  <c r="C61" i="5"/>
  <c r="D61" i="5"/>
  <c r="E61" i="5"/>
  <c r="G61" i="5"/>
  <c r="C62" i="5"/>
  <c r="D62" i="5"/>
  <c r="E62" i="5"/>
  <c r="G62" i="5"/>
  <c r="C63" i="5"/>
  <c r="D63" i="5"/>
  <c r="E63" i="5"/>
  <c r="G63" i="5"/>
  <c r="C64" i="5"/>
  <c r="D64" i="5"/>
  <c r="E64" i="5"/>
  <c r="G64" i="5"/>
  <c r="C65" i="5"/>
  <c r="D65" i="5"/>
  <c r="G65" i="5"/>
  <c r="C66" i="5"/>
  <c r="D66" i="5"/>
  <c r="G66" i="5"/>
  <c r="C67" i="5"/>
  <c r="D67" i="5"/>
  <c r="G67" i="5"/>
  <c r="C68" i="5"/>
  <c r="D68" i="5"/>
  <c r="E68" i="5"/>
  <c r="G68" i="5"/>
  <c r="C69" i="5"/>
  <c r="D69" i="5"/>
  <c r="E69" i="5"/>
  <c r="G69" i="5"/>
  <c r="C70" i="5"/>
  <c r="D70" i="5"/>
  <c r="E70" i="5"/>
  <c r="G70" i="5"/>
  <c r="C71" i="5"/>
  <c r="D71" i="5"/>
  <c r="G71" i="5"/>
  <c r="C72" i="5"/>
  <c r="D72" i="5"/>
  <c r="G72" i="5"/>
  <c r="C73" i="5"/>
  <c r="D73" i="5"/>
  <c r="E73" i="5"/>
  <c r="G73" i="5"/>
  <c r="C74" i="5"/>
  <c r="D74" i="5"/>
  <c r="E74" i="5"/>
  <c r="G74" i="5"/>
  <c r="C75" i="5"/>
  <c r="D75" i="5"/>
  <c r="E75" i="5"/>
  <c r="G75" i="5"/>
  <c r="C76" i="5"/>
  <c r="D76" i="5"/>
  <c r="E76" i="5"/>
  <c r="G76" i="5"/>
  <c r="C77" i="5"/>
  <c r="D77" i="5"/>
  <c r="C78" i="5"/>
  <c r="D78" i="5"/>
  <c r="E78" i="5"/>
  <c r="G78" i="5"/>
  <c r="C79" i="5"/>
  <c r="D79" i="5"/>
  <c r="E79" i="5"/>
  <c r="G79" i="5"/>
  <c r="C80" i="5"/>
  <c r="D80" i="5"/>
  <c r="E80" i="5"/>
  <c r="G80" i="5"/>
  <c r="C81" i="5"/>
  <c r="D81" i="5"/>
  <c r="E81" i="5"/>
  <c r="G81" i="5"/>
  <c r="C82" i="5"/>
  <c r="D82" i="5"/>
  <c r="E82" i="5"/>
  <c r="G82" i="5"/>
  <c r="C83" i="5"/>
  <c r="D83" i="5"/>
  <c r="C84" i="5"/>
  <c r="D84" i="5"/>
  <c r="E84" i="5"/>
  <c r="G84" i="5"/>
  <c r="C85" i="5"/>
  <c r="D85" i="5"/>
  <c r="E85" i="5"/>
  <c r="G85" i="5"/>
  <c r="C86" i="5"/>
  <c r="D86" i="5"/>
  <c r="E86" i="5"/>
  <c r="G86" i="5"/>
  <c r="C87" i="5"/>
  <c r="D87" i="5"/>
  <c r="C88" i="5"/>
  <c r="D88" i="5"/>
  <c r="C89" i="5"/>
  <c r="D89" i="5"/>
  <c r="C90" i="5"/>
  <c r="D90" i="5"/>
  <c r="C91" i="5"/>
  <c r="D91" i="5"/>
  <c r="E91" i="5"/>
  <c r="G91" i="5"/>
  <c r="C92" i="5"/>
  <c r="D92" i="5"/>
  <c r="E92" i="5"/>
  <c r="G92" i="5"/>
  <c r="C93" i="5"/>
  <c r="D93" i="5"/>
  <c r="E93" i="5"/>
  <c r="G93" i="5"/>
  <c r="C94" i="5"/>
  <c r="D94" i="5"/>
  <c r="E94" i="5"/>
  <c r="G94" i="5"/>
  <c r="C95" i="5"/>
  <c r="D95" i="5"/>
  <c r="E95" i="5"/>
  <c r="G95" i="5"/>
  <c r="C96" i="5"/>
  <c r="D96" i="5"/>
  <c r="E96" i="5"/>
  <c r="G96" i="5"/>
  <c r="C97" i="5"/>
  <c r="D97" i="5"/>
  <c r="E97" i="5"/>
  <c r="G97" i="5"/>
  <c r="C98" i="5"/>
  <c r="D98" i="5"/>
  <c r="E98" i="5"/>
  <c r="G98" i="5"/>
  <c r="C99" i="5"/>
  <c r="D99" i="5"/>
  <c r="E99" i="5"/>
  <c r="G99" i="5"/>
  <c r="C100" i="5"/>
  <c r="D100" i="5"/>
  <c r="E100" i="5"/>
  <c r="G100" i="5"/>
  <c r="C101" i="5"/>
  <c r="D101" i="5"/>
  <c r="E101" i="5"/>
  <c r="G101" i="5"/>
  <c r="C102" i="5"/>
  <c r="D102" i="5"/>
  <c r="E102" i="5"/>
  <c r="G102" i="5"/>
  <c r="C103" i="5"/>
  <c r="D103" i="5"/>
  <c r="E103" i="5"/>
  <c r="G103" i="5"/>
  <c r="C104" i="5"/>
  <c r="D104" i="5"/>
  <c r="E104" i="5"/>
  <c r="G104" i="5"/>
  <c r="C105" i="5"/>
  <c r="D105" i="5"/>
  <c r="E105" i="5"/>
  <c r="G105" i="5"/>
  <c r="C106" i="5"/>
  <c r="D106" i="5"/>
  <c r="E106" i="5"/>
  <c r="G106" i="5"/>
  <c r="C107" i="5"/>
  <c r="D107" i="5"/>
  <c r="E107" i="5"/>
  <c r="G107" i="5"/>
  <c r="C108" i="5"/>
  <c r="D108" i="5"/>
  <c r="E108" i="5"/>
  <c r="G108" i="5"/>
  <c r="C109" i="5"/>
  <c r="D109" i="5"/>
  <c r="E109" i="5"/>
  <c r="G109" i="5"/>
  <c r="C110" i="5"/>
  <c r="D110" i="5"/>
  <c r="E110" i="5"/>
  <c r="G110" i="5"/>
  <c r="C111" i="5"/>
  <c r="D111" i="5"/>
  <c r="E111" i="5"/>
  <c r="G111" i="5"/>
  <c r="C112" i="5"/>
  <c r="D112" i="5"/>
  <c r="E112" i="5"/>
  <c r="G112" i="5"/>
  <c r="C113" i="5"/>
  <c r="D113" i="5"/>
  <c r="E113" i="5"/>
  <c r="G113" i="5"/>
  <c r="C114" i="5"/>
  <c r="D114" i="5"/>
  <c r="E114" i="5"/>
  <c r="G114" i="5"/>
  <c r="C115" i="5"/>
  <c r="D115" i="5"/>
  <c r="B10" i="5"/>
  <c r="B11" i="5"/>
  <c r="E53" i="5" s="1"/>
  <c r="B4" i="5"/>
  <c r="H5" i="5"/>
  <c r="D24" i="1"/>
  <c r="C28" i="1"/>
  <c r="J25" i="1"/>
  <c r="I25" i="1"/>
  <c r="D25" i="1"/>
  <c r="C25" i="1"/>
  <c r="J24" i="1"/>
  <c r="I24" i="1"/>
  <c r="J23" i="1"/>
  <c r="I23" i="1"/>
  <c r="J22" i="1"/>
  <c r="I22" i="1"/>
  <c r="E22" i="1"/>
  <c r="J20" i="1"/>
  <c r="J19" i="1"/>
  <c r="J18" i="1"/>
  <c r="J17" i="1"/>
  <c r="E17" i="1"/>
  <c r="D17" i="1"/>
  <c r="D18" i="1" s="1"/>
  <c r="D19" i="1" s="1"/>
  <c r="G32" i="1"/>
  <c r="G33" i="1" s="1"/>
  <c r="G34" i="1" s="1"/>
  <c r="G35" i="1" s="1"/>
  <c r="G36" i="1" s="1"/>
  <c r="G37" i="1" s="1"/>
  <c r="G31" i="1"/>
  <c r="F11" i="1"/>
  <c r="E12" i="1" s="1"/>
  <c r="E13" i="1" s="1"/>
  <c r="E11" i="1"/>
  <c r="F10" i="1"/>
  <c r="E10" i="1"/>
  <c r="E8" i="1"/>
  <c r="E7" i="1"/>
  <c r="E6" i="1"/>
  <c r="J83" i="1"/>
  <c r="I83" i="1"/>
  <c r="D83" i="1"/>
  <c r="B10" i="4"/>
  <c r="J32" i="1"/>
  <c r="J33" i="1"/>
  <c r="J34" i="1"/>
  <c r="J35" i="1"/>
  <c r="J31" i="1"/>
  <c r="J36" i="1"/>
  <c r="J65" i="1"/>
  <c r="J62" i="1"/>
  <c r="J50" i="1"/>
  <c r="J45" i="1"/>
  <c r="J37" i="1"/>
  <c r="H10" i="1"/>
  <c r="H11" i="1"/>
  <c r="J15" i="1"/>
  <c r="J6" i="1"/>
  <c r="J89" i="1"/>
  <c r="J85" i="1"/>
  <c r="B4" i="4"/>
  <c r="D3" i="1"/>
  <c r="D4" i="1" s="1"/>
  <c r="D5" i="1" s="1"/>
  <c r="C27" i="1"/>
  <c r="J39" i="1"/>
  <c r="J40" i="1"/>
  <c r="J41" i="1"/>
  <c r="J42" i="1"/>
  <c r="J43" i="1"/>
  <c r="J44" i="1"/>
  <c r="J46" i="1"/>
  <c r="J47" i="1"/>
  <c r="J48" i="1"/>
  <c r="J49" i="1"/>
  <c r="J51" i="1"/>
  <c r="J52" i="1"/>
  <c r="J53" i="1"/>
  <c r="J54" i="1"/>
  <c r="J56" i="1"/>
  <c r="J57" i="1"/>
  <c r="J58" i="1"/>
  <c r="J60" i="1"/>
  <c r="J55" i="1"/>
  <c r="J61" i="1"/>
  <c r="J64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59" i="1"/>
  <c r="J81" i="1"/>
  <c r="J82" i="1"/>
  <c r="J63" i="1"/>
  <c r="J86" i="1"/>
  <c r="J87" i="1"/>
  <c r="J88" i="1"/>
  <c r="J90" i="1"/>
  <c r="J91" i="1"/>
  <c r="J30" i="1"/>
  <c r="H2" i="1"/>
  <c r="J3" i="1"/>
  <c r="J4" i="1"/>
  <c r="J5" i="1"/>
  <c r="J7" i="1"/>
  <c r="J9" i="1"/>
  <c r="J12" i="1"/>
  <c r="J14" i="1"/>
  <c r="J8" i="1"/>
  <c r="J13" i="1"/>
  <c r="J26" i="1"/>
  <c r="J27" i="1"/>
  <c r="J21" i="1"/>
  <c r="J28" i="1"/>
  <c r="J29" i="1"/>
  <c r="F2" i="1"/>
  <c r="E54" i="4" l="1"/>
  <c r="E57" i="4"/>
  <c r="G55" i="4"/>
  <c r="H55" i="4" s="1"/>
  <c r="I55" i="4"/>
  <c r="J55" i="4"/>
  <c r="G53" i="5"/>
  <c r="E46" i="5"/>
  <c r="E83" i="5"/>
  <c r="E115" i="5"/>
  <c r="E54" i="5"/>
  <c r="E57" i="5"/>
  <c r="G55" i="5"/>
  <c r="C29" i="1"/>
  <c r="C30" i="1" s="1"/>
  <c r="C31" i="1" s="1"/>
  <c r="C32" i="1" s="1"/>
  <c r="C33" i="1" s="1"/>
  <c r="C34" i="1" s="1"/>
  <c r="C35" i="1" s="1"/>
  <c r="C36" i="1" s="1"/>
  <c r="C22" i="1"/>
  <c r="C23" i="1" s="1"/>
  <c r="E23" i="1"/>
  <c r="H22" i="1"/>
  <c r="F22" i="1"/>
  <c r="E18" i="1"/>
  <c r="H17" i="1"/>
  <c r="F17" i="1"/>
  <c r="C39" i="1"/>
  <c r="C40" i="1" s="1"/>
  <c r="C41" i="1" s="1"/>
  <c r="C42" i="1" s="1"/>
  <c r="C43" i="1" s="1"/>
  <c r="C44" i="1" s="1"/>
  <c r="C37" i="1"/>
  <c r="C38" i="1" s="1"/>
  <c r="D7" i="1"/>
  <c r="D9" i="1" s="1"/>
  <c r="D12" i="1" s="1"/>
  <c r="D14" i="1" s="1"/>
  <c r="D6" i="1"/>
  <c r="B11" i="4"/>
  <c r="E3" i="1"/>
  <c r="H3" i="1" s="1"/>
  <c r="F3" i="1"/>
  <c r="E4" i="1"/>
  <c r="G57" i="4" l="1"/>
  <c r="H57" i="4" s="1"/>
  <c r="I57" i="4"/>
  <c r="J57" i="4"/>
  <c r="G54" i="4"/>
  <c r="H54" i="4" s="1"/>
  <c r="I54" i="4"/>
  <c r="J54" i="4"/>
  <c r="B30" i="4" s="1"/>
  <c r="G57" i="5"/>
  <c r="G54" i="5"/>
  <c r="G115" i="5"/>
  <c r="G83" i="5"/>
  <c r="G46" i="5"/>
  <c r="E48" i="5"/>
  <c r="H23" i="1"/>
  <c r="F23" i="1"/>
  <c r="E24" i="1" s="1"/>
  <c r="H18" i="1"/>
  <c r="F18" i="1"/>
  <c r="E19" i="1" s="1"/>
  <c r="C46" i="1"/>
  <c r="C47" i="1" s="1"/>
  <c r="C48" i="1" s="1"/>
  <c r="C49" i="1" s="1"/>
  <c r="C45" i="1"/>
  <c r="D16" i="1"/>
  <c r="D15" i="1"/>
  <c r="E5" i="1"/>
  <c r="H4" i="1"/>
  <c r="F4" i="1"/>
  <c r="D30" i="4" l="1"/>
  <c r="B31" i="4"/>
  <c r="G48" i="5"/>
  <c r="G49" i="5" s="1"/>
  <c r="E49" i="5"/>
  <c r="H4" i="5"/>
  <c r="E25" i="1"/>
  <c r="H24" i="1"/>
  <c r="F24" i="1"/>
  <c r="H19" i="1"/>
  <c r="F19" i="1"/>
  <c r="E20" i="1" s="1"/>
  <c r="C51" i="1"/>
  <c r="C52" i="1" s="1"/>
  <c r="C53" i="1" s="1"/>
  <c r="C54" i="1" s="1"/>
  <c r="C56" i="1" s="1"/>
  <c r="C57" i="1" s="1"/>
  <c r="C58" i="1" s="1"/>
  <c r="C60" i="1" s="1"/>
  <c r="C55" i="1" s="1"/>
  <c r="C61" i="1" s="1"/>
  <c r="C64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59" i="1" s="1"/>
  <c r="C81" i="1" s="1"/>
  <c r="C82" i="1" s="1"/>
  <c r="C50" i="1"/>
  <c r="D8" i="1"/>
  <c r="H5" i="1"/>
  <c r="F5" i="1"/>
  <c r="D31" i="4" l="1"/>
  <c r="B32" i="4"/>
  <c r="I30" i="4"/>
  <c r="J30" i="4"/>
  <c r="B30" i="5"/>
  <c r="H25" i="1"/>
  <c r="F25" i="1"/>
  <c r="D13" i="1"/>
  <c r="C63" i="1"/>
  <c r="C84" i="1" s="1"/>
  <c r="C83" i="1"/>
  <c r="H20" i="1"/>
  <c r="F20" i="1"/>
  <c r="C85" i="1"/>
  <c r="C86" i="1" s="1"/>
  <c r="C87" i="1" s="1"/>
  <c r="C88" i="1" s="1"/>
  <c r="C89" i="1" s="1"/>
  <c r="C90" i="1" s="1"/>
  <c r="C91" i="1" s="1"/>
  <c r="C62" i="1"/>
  <c r="C65" i="1" s="1"/>
  <c r="D39" i="1"/>
  <c r="D40" i="1" s="1"/>
  <c r="D41" i="1" s="1"/>
  <c r="D42" i="1" s="1"/>
  <c r="D43" i="1" s="1"/>
  <c r="D44" i="1" s="1"/>
  <c r="D37" i="1"/>
  <c r="D38" i="1" s="1"/>
  <c r="F6" i="1"/>
  <c r="H6" i="1"/>
  <c r="H7" i="1"/>
  <c r="D32" i="4" l="1"/>
  <c r="B33" i="4"/>
  <c r="I31" i="4"/>
  <c r="J31" i="4"/>
  <c r="I19" i="1" s="1"/>
  <c r="D30" i="5"/>
  <c r="B31" i="5"/>
  <c r="D27" i="1"/>
  <c r="D29" i="1"/>
  <c r="D30" i="1" s="1"/>
  <c r="D31" i="1" s="1"/>
  <c r="D32" i="1" s="1"/>
  <c r="D33" i="1" s="1"/>
  <c r="D34" i="1" s="1"/>
  <c r="D35" i="1" s="1"/>
  <c r="D36" i="1" s="1"/>
  <c r="D46" i="1"/>
  <c r="D47" i="1" s="1"/>
  <c r="D48" i="1" s="1"/>
  <c r="D49" i="1" s="1"/>
  <c r="D45" i="1"/>
  <c r="F7" i="1"/>
  <c r="E9" i="1"/>
  <c r="H9" i="1" s="1"/>
  <c r="D33" i="4" l="1"/>
  <c r="B34" i="4"/>
  <c r="D34" i="4" s="1"/>
  <c r="I32" i="4"/>
  <c r="J32" i="4"/>
  <c r="I20" i="1" s="1"/>
  <c r="I30" i="5"/>
  <c r="J30" i="5"/>
  <c r="D31" i="5"/>
  <c r="B32" i="5"/>
  <c r="D51" i="1"/>
  <c r="D52" i="1" s="1"/>
  <c r="D53" i="1" s="1"/>
  <c r="D54" i="1" s="1"/>
  <c r="D56" i="1" s="1"/>
  <c r="D57" i="1" s="1"/>
  <c r="D58" i="1" s="1"/>
  <c r="D60" i="1" s="1"/>
  <c r="D55" i="1" s="1"/>
  <c r="D61" i="1" s="1"/>
  <c r="D64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59" i="1" s="1"/>
  <c r="D81" i="1" s="1"/>
  <c r="D82" i="1" s="1"/>
  <c r="D63" i="1" s="1"/>
  <c r="D84" i="1" s="1"/>
  <c r="D50" i="1"/>
  <c r="F9" i="1"/>
  <c r="H12" i="1"/>
  <c r="I34" i="4" l="1"/>
  <c r="J34" i="4"/>
  <c r="I18" i="1" s="1"/>
  <c r="I33" i="4"/>
  <c r="J33" i="4"/>
  <c r="I17" i="1" s="1"/>
  <c r="I31" i="5"/>
  <c r="J31" i="5"/>
  <c r="D32" i="5"/>
  <c r="B33" i="5"/>
  <c r="D85" i="1"/>
  <c r="D86" i="1" s="1"/>
  <c r="D87" i="1" s="1"/>
  <c r="D88" i="1" s="1"/>
  <c r="D89" i="1" s="1"/>
  <c r="D90" i="1" s="1"/>
  <c r="D91" i="1" s="1"/>
  <c r="D62" i="1"/>
  <c r="D65" i="1" s="1"/>
  <c r="E14" i="1"/>
  <c r="F12" i="1"/>
  <c r="I32" i="5" l="1"/>
  <c r="J32" i="5"/>
  <c r="D33" i="5"/>
  <c r="B34" i="5"/>
  <c r="H14" i="1"/>
  <c r="E15" i="1"/>
  <c r="F14" i="1"/>
  <c r="I33" i="5" l="1"/>
  <c r="J33" i="5"/>
  <c r="D34" i="5"/>
  <c r="F15" i="1"/>
  <c r="E16" i="1" s="1"/>
  <c r="H15" i="1"/>
  <c r="I34" i="5" l="1"/>
  <c r="J34" i="5"/>
  <c r="J116" i="5" s="1"/>
  <c r="H7" i="5" s="1"/>
  <c r="H8" i="5"/>
  <c r="H9" i="5"/>
  <c r="H10" i="5"/>
  <c r="H11" i="5" s="1"/>
  <c r="F16" i="1"/>
  <c r="H16" i="1"/>
  <c r="F8" i="1" l="1"/>
  <c r="H8" i="1"/>
  <c r="H13" i="1"/>
  <c r="F13" i="1" l="1"/>
  <c r="E21" i="1" l="1"/>
  <c r="F21" i="1" l="1"/>
  <c r="H21" i="1"/>
  <c r="E26" i="1" l="1"/>
  <c r="E27" i="1" l="1"/>
  <c r="H26" i="1"/>
  <c r="F26" i="1"/>
  <c r="F27" i="1" l="1"/>
  <c r="E28" i="1" s="1"/>
  <c r="H27" i="1"/>
  <c r="F28" i="1" l="1"/>
  <c r="E29" i="1" s="1"/>
  <c r="H28" i="1"/>
  <c r="F29" i="1" l="1"/>
  <c r="E30" i="1" s="1"/>
  <c r="H29" i="1"/>
  <c r="E31" i="1" l="1"/>
  <c r="F30" i="1"/>
  <c r="H30" i="1"/>
  <c r="E32" i="1" l="1"/>
  <c r="F31" i="1"/>
  <c r="H31" i="1"/>
  <c r="E33" i="1" l="1"/>
  <c r="H32" i="1"/>
  <c r="F32" i="1"/>
  <c r="E34" i="1" l="1"/>
  <c r="F33" i="1"/>
  <c r="H33" i="1"/>
  <c r="E35" i="1" l="1"/>
  <c r="F34" i="1"/>
  <c r="H34" i="1"/>
  <c r="E36" i="1" l="1"/>
  <c r="F35" i="1"/>
  <c r="H35" i="1"/>
  <c r="E37" i="1" l="1"/>
  <c r="H36" i="1"/>
  <c r="F36" i="1"/>
  <c r="F37" i="1" l="1"/>
  <c r="E38" i="1" s="1"/>
  <c r="H37" i="1"/>
  <c r="F38" i="1" l="1"/>
  <c r="E39" i="1" s="1"/>
  <c r="H38" i="1"/>
  <c r="F39" i="1" l="1"/>
  <c r="E40" i="1"/>
  <c r="H39" i="1"/>
  <c r="F40" i="1" l="1"/>
  <c r="E41" i="1" s="1"/>
  <c r="H40" i="1"/>
  <c r="F41" i="1" l="1"/>
  <c r="E42" i="1" s="1"/>
  <c r="H41" i="1"/>
  <c r="E43" i="1" l="1"/>
  <c r="F42" i="1"/>
  <c r="H42" i="1"/>
  <c r="F43" i="1" l="1"/>
  <c r="H43" i="1"/>
  <c r="E44" i="1"/>
  <c r="F44" i="1" l="1"/>
  <c r="H44" i="1"/>
  <c r="E46" i="1" l="1"/>
  <c r="E45" i="1"/>
  <c r="H45" i="1" l="1"/>
  <c r="F45" i="1"/>
  <c r="F46" i="1"/>
  <c r="E47" i="1" s="1"/>
  <c r="H46" i="1"/>
  <c r="F47" i="1" l="1"/>
  <c r="E48" i="1" s="1"/>
  <c r="H47" i="1"/>
  <c r="F48" i="1" l="1"/>
  <c r="E49" i="1" s="1"/>
  <c r="H48" i="1"/>
  <c r="F49" i="1" l="1"/>
  <c r="H49" i="1"/>
  <c r="E51" i="1" l="1"/>
  <c r="E50" i="1"/>
  <c r="H50" i="1" l="1"/>
  <c r="F50" i="1"/>
  <c r="F51" i="1"/>
  <c r="E52" i="1" s="1"/>
  <c r="H51" i="1"/>
  <c r="F52" i="1" l="1"/>
  <c r="E53" i="1" s="1"/>
  <c r="H52" i="1"/>
  <c r="F53" i="1" l="1"/>
  <c r="E54" i="1" s="1"/>
  <c r="H53" i="1"/>
  <c r="F54" i="1" l="1"/>
  <c r="H54" i="1"/>
  <c r="E56" i="1" l="1"/>
  <c r="E55" i="1"/>
  <c r="F55" i="1" l="1"/>
  <c r="H55" i="1"/>
  <c r="F56" i="1"/>
  <c r="E57" i="1" s="1"/>
  <c r="H56" i="1"/>
  <c r="F57" i="1" l="1"/>
  <c r="E58" i="1" s="1"/>
  <c r="H57" i="1"/>
  <c r="F58" i="1" l="1"/>
  <c r="E59" i="1" s="1"/>
  <c r="H58" i="1"/>
  <c r="F59" i="1" l="1"/>
  <c r="E60" i="1" s="1"/>
  <c r="H59" i="1"/>
  <c r="F60" i="1" l="1"/>
  <c r="E61" i="1" s="1"/>
  <c r="H60" i="1"/>
  <c r="F61" i="1" l="1"/>
  <c r="E62" i="1" s="1"/>
  <c r="H61" i="1"/>
  <c r="H62" i="1" l="1"/>
  <c r="F62" i="1"/>
  <c r="E63" i="1" s="1"/>
  <c r="E64" i="1" s="1"/>
  <c r="F63" i="1"/>
  <c r="H63" i="1"/>
  <c r="F64" i="1" l="1"/>
  <c r="E65" i="1" s="1"/>
  <c r="H64" i="1"/>
  <c r="F65" i="1" l="1"/>
  <c r="E66" i="1" s="1"/>
  <c r="H65" i="1"/>
  <c r="E67" i="1" l="1"/>
  <c r="F66" i="1"/>
  <c r="H66" i="1"/>
  <c r="F67" i="1" l="1"/>
  <c r="H67" i="1"/>
  <c r="E68" i="1"/>
  <c r="E69" i="1" l="1"/>
  <c r="F68" i="1"/>
  <c r="H68" i="1"/>
  <c r="F69" i="1" l="1"/>
  <c r="H69" i="1"/>
  <c r="E70" i="1"/>
  <c r="E71" i="1" l="1"/>
  <c r="E72" i="1"/>
  <c r="F70" i="1"/>
  <c r="H70" i="1"/>
  <c r="F72" i="1" l="1"/>
  <c r="H72" i="1"/>
  <c r="E73" i="1"/>
  <c r="F71" i="1"/>
  <c r="H71" i="1"/>
  <c r="F73" i="1" l="1"/>
  <c r="H73" i="1"/>
  <c r="E74" i="1"/>
  <c r="E75" i="1" l="1"/>
  <c r="F74" i="1"/>
  <c r="H74" i="1"/>
  <c r="F75" i="1" l="1"/>
  <c r="E76" i="1" s="1"/>
  <c r="H75" i="1"/>
  <c r="F76" i="1" l="1"/>
  <c r="E77" i="1" s="1"/>
  <c r="H76" i="1"/>
  <c r="F77" i="1" l="1"/>
  <c r="E78" i="1" s="1"/>
  <c r="H77" i="1"/>
  <c r="E79" i="1" l="1"/>
  <c r="F78" i="1"/>
  <c r="H78" i="1"/>
  <c r="F79" i="1" l="1"/>
  <c r="E80" i="1" s="1"/>
  <c r="H79" i="1"/>
  <c r="I91" i="1"/>
  <c r="I11" i="1"/>
  <c r="I21" i="1"/>
  <c r="I77" i="1"/>
  <c r="I14" i="1"/>
  <c r="I43" i="1"/>
  <c r="I68" i="1"/>
  <c r="I60" i="1"/>
  <c r="I69" i="1"/>
  <c r="I70" i="1"/>
  <c r="I38" i="1"/>
  <c r="I49" i="1"/>
  <c r="I66" i="1"/>
  <c r="I30" i="1"/>
  <c r="I37" i="1"/>
  <c r="I82" i="1"/>
  <c r="I63" i="1"/>
  <c r="I48" i="1"/>
  <c r="I81" i="1"/>
  <c r="I56" i="1"/>
  <c r="I61" i="1"/>
  <c r="I40" i="1"/>
  <c r="I28" i="1"/>
  <c r="I64" i="1"/>
  <c r="I79" i="1"/>
  <c r="I78" i="1"/>
  <c r="I65" i="1"/>
  <c r="I62" i="1"/>
  <c r="I59" i="1"/>
  <c r="I74" i="1"/>
  <c r="I57" i="1"/>
  <c r="I72" i="1"/>
  <c r="I44" i="1"/>
  <c r="I46" i="1"/>
  <c r="I51" i="1"/>
  <c r="I36" i="1"/>
  <c r="I29" i="1"/>
  <c r="I53" i="1"/>
  <c r="I39" i="1"/>
  <c r="I41" i="1"/>
  <c r="I54" i="1"/>
  <c r="I50" i="1"/>
  <c r="I34" i="1"/>
  <c r="I76" i="1"/>
  <c r="I58" i="1"/>
  <c r="I27" i="1"/>
  <c r="I55" i="1"/>
  <c r="I6" i="1"/>
  <c r="I10" i="1"/>
  <c r="I15" i="1"/>
  <c r="I16" i="1"/>
  <c r="I45" i="1"/>
  <c r="I33" i="1"/>
  <c r="I32" i="1"/>
  <c r="I84" i="1"/>
  <c r="I86" i="1"/>
  <c r="I90" i="1"/>
  <c r="I89" i="1"/>
  <c r="I88" i="1"/>
  <c r="I87" i="1"/>
  <c r="I85" i="1"/>
  <c r="I73" i="1"/>
  <c r="I71" i="1"/>
  <c r="I26" i="1"/>
  <c r="I13" i="1"/>
  <c r="I8" i="1"/>
  <c r="I12" i="1"/>
  <c r="I9" i="1"/>
  <c r="I7" i="1"/>
  <c r="F80" i="1" l="1"/>
  <c r="E81" i="1" s="1"/>
  <c r="H80" i="1"/>
  <c r="E82" i="1" l="1"/>
  <c r="F81" i="1"/>
  <c r="H81" i="1"/>
  <c r="I31" i="1"/>
  <c r="H4" i="4"/>
  <c r="E83" i="1" l="1"/>
  <c r="F82" i="1"/>
  <c r="E84" i="1" s="1"/>
  <c r="H82" i="1"/>
  <c r="I3" i="1"/>
  <c r="F84" i="1" l="1"/>
  <c r="E85" i="1" s="1"/>
  <c r="H84" i="1"/>
  <c r="H83" i="1"/>
  <c r="F83" i="1"/>
  <c r="I4" i="1"/>
  <c r="I75" i="1"/>
  <c r="F85" i="1" l="1"/>
  <c r="E86" i="1" s="1"/>
  <c r="H85" i="1"/>
  <c r="F86" i="1" l="1"/>
  <c r="E87" i="1" s="1"/>
  <c r="H86" i="1"/>
  <c r="I5" i="1"/>
  <c r="F87" i="1" l="1"/>
  <c r="E88" i="1" s="1"/>
  <c r="H87" i="1"/>
  <c r="I2" i="1"/>
  <c r="F88" i="1" l="1"/>
  <c r="E89" i="1" s="1"/>
  <c r="H88" i="1"/>
  <c r="F89" i="1" l="1"/>
  <c r="E90" i="1" s="1"/>
  <c r="H89" i="1"/>
  <c r="I52" i="1"/>
  <c r="F90" i="1" l="1"/>
  <c r="E91" i="1" s="1"/>
  <c r="H90" i="1"/>
  <c r="I42" i="1"/>
  <c r="F91" i="1" l="1"/>
  <c r="H5" i="4" s="1"/>
  <c r="H91" i="1"/>
  <c r="I67" i="1" l="1"/>
  <c r="I80" i="1" l="1"/>
  <c r="I47" i="1" l="1"/>
  <c r="I35" i="1" l="1"/>
  <c r="J116" i="4" l="1"/>
  <c r="H7" i="4" s="1"/>
  <c r="H9" i="4" l="1"/>
  <c r="H8" i="4"/>
  <c r="H10" i="4" s="1"/>
  <c r="H11" i="4" s="1"/>
</calcChain>
</file>

<file path=xl/sharedStrings.xml><?xml version="1.0" encoding="utf-8"?>
<sst xmlns="http://schemas.openxmlformats.org/spreadsheetml/2006/main" count="699" uniqueCount="335">
  <si>
    <t>Item Key</t>
  </si>
  <si>
    <t>Summary of Initiatives</t>
  </si>
  <si>
    <t>Status</t>
  </si>
  <si>
    <t>Active</t>
  </si>
  <si>
    <t>Start Date</t>
  </si>
  <si>
    <t>End Date</t>
  </si>
  <si>
    <t>Duration</t>
  </si>
  <si>
    <t>Offset Days</t>
  </si>
  <si>
    <t>Total Cost</t>
  </si>
  <si>
    <t>Item Color</t>
  </si>
  <si>
    <t>Code</t>
  </si>
  <si>
    <t>SE11-01</t>
  </si>
  <si>
    <t>Punchlist Project Proposal</t>
  </si>
  <si>
    <t>Done</t>
  </si>
  <si>
    <t>Purple</t>
  </si>
  <si>
    <t>SE11-02</t>
  </si>
  <si>
    <t>Initial Site Visit - Architect</t>
  </si>
  <si>
    <t>SE11-03</t>
  </si>
  <si>
    <t>Initial Site Visit - Designer</t>
  </si>
  <si>
    <t>SE11-04</t>
  </si>
  <si>
    <t>Initial Site Visit - GC</t>
  </si>
  <si>
    <t>SE11-05</t>
  </si>
  <si>
    <t>Send Architectural RFP</t>
  </si>
  <si>
    <t>SE11-06</t>
  </si>
  <si>
    <t>Architectural Due Diligence &amp; Proposal</t>
  </si>
  <si>
    <t>SE11-07</t>
  </si>
  <si>
    <t>Engineering Due Diligence &amp; Proposal</t>
  </si>
  <si>
    <t>SE11-08</t>
  </si>
  <si>
    <t>Landscaping Due Diligence &amp; Proposal</t>
  </si>
  <si>
    <t>SE11-09</t>
  </si>
  <si>
    <t>Hire Architect / Engineer</t>
  </si>
  <si>
    <t>Light Blue</t>
  </si>
  <si>
    <t>SE11-10</t>
  </si>
  <si>
    <t>Architectual Drafting and Review</t>
  </si>
  <si>
    <t>SE11-11</t>
  </si>
  <si>
    <t>Building Permit Application</t>
  </si>
  <si>
    <t>SE11-12</t>
  </si>
  <si>
    <t>Architectural Plan Revisions</t>
  </si>
  <si>
    <t>SE11-13</t>
  </si>
  <si>
    <t>Engineering Plan Revisions</t>
  </si>
  <si>
    <t>SE11-14</t>
  </si>
  <si>
    <t>Landscaping Plan Revisions</t>
  </si>
  <si>
    <t>SE11-15</t>
  </si>
  <si>
    <t>Send Contractor RFP</t>
  </si>
  <si>
    <t>SE11-16</t>
  </si>
  <si>
    <t>Planning Board Review - Site / Civil</t>
  </si>
  <si>
    <t>SE11-17</t>
  </si>
  <si>
    <t>Zoning Board Review</t>
  </si>
  <si>
    <t>SE11-18</t>
  </si>
  <si>
    <t>Architecture Board Review</t>
  </si>
  <si>
    <t>SE11-19</t>
  </si>
  <si>
    <t>Building Department Review</t>
  </si>
  <si>
    <t>To Do</t>
  </si>
  <si>
    <t>SE11-20</t>
  </si>
  <si>
    <t>Punchlist Value Engineer</t>
  </si>
  <si>
    <t>SE11-21</t>
  </si>
  <si>
    <t>GC Due Diligence &amp; Proposal</t>
  </si>
  <si>
    <t>SE11-22</t>
  </si>
  <si>
    <t>Design Due Diligence &amp; Proposal</t>
  </si>
  <si>
    <t>SE11-23</t>
  </si>
  <si>
    <t>Review GC Proposals</t>
  </si>
  <si>
    <t>SE11-24</t>
  </si>
  <si>
    <t>Review Design Proposals</t>
  </si>
  <si>
    <t>SE11-25</t>
  </si>
  <si>
    <t>Site Visit (#2) - Contactor</t>
  </si>
  <si>
    <t>SE11-26</t>
  </si>
  <si>
    <t>Site Visit (#2) - Designer</t>
  </si>
  <si>
    <t>SE11-27</t>
  </si>
  <si>
    <t>Accept Proposals &amp; Sign Contracts</t>
  </si>
  <si>
    <t>SE11-28</t>
  </si>
  <si>
    <t>Obtain Building Permits</t>
  </si>
  <si>
    <t>SE11-29</t>
  </si>
  <si>
    <t>Order Kitchen Appliances</t>
  </si>
  <si>
    <t>SE11-30</t>
  </si>
  <si>
    <t>Order Windows &amp; Siding</t>
  </si>
  <si>
    <t>SE11-31</t>
  </si>
  <si>
    <t>Order Cabinetry (Kitchen / Bath)</t>
  </si>
  <si>
    <t>SE11-32</t>
  </si>
  <si>
    <t>Order Countertops &amp; Tiling</t>
  </si>
  <si>
    <t>SE11-33</t>
  </si>
  <si>
    <t>Order Above Grade Flooring</t>
  </si>
  <si>
    <t>SE11-34</t>
  </si>
  <si>
    <t>Order Bathroom Vanities</t>
  </si>
  <si>
    <t>SE11-35</t>
  </si>
  <si>
    <t>Order Hardware &amp; Fixtures</t>
  </si>
  <si>
    <t>SE11-36</t>
  </si>
  <si>
    <t>Order HVAC Unit</t>
  </si>
  <si>
    <t>SE11-37</t>
  </si>
  <si>
    <t>Shut off of Utilities</t>
  </si>
  <si>
    <t>Blue</t>
  </si>
  <si>
    <t>SE11-38</t>
  </si>
  <si>
    <t>Demolition of Existing Structure</t>
  </si>
  <si>
    <t>SE11-39</t>
  </si>
  <si>
    <t>Land Clearing &amp; Site Grading</t>
  </si>
  <si>
    <t>SE11-40</t>
  </si>
  <si>
    <t>Excavation for Foundation &amp; Utilities</t>
  </si>
  <si>
    <t>SE11-41</t>
  </si>
  <si>
    <t>Install OnSite Hospitalities</t>
  </si>
  <si>
    <t>SE11-42</t>
  </si>
  <si>
    <t>Install Drainage &amp; Stormwater System</t>
  </si>
  <si>
    <t>SE11-43</t>
  </si>
  <si>
    <t>Form &amp; Pour Foundation Footings</t>
  </si>
  <si>
    <t>SE11-44</t>
  </si>
  <si>
    <t>Foundation Inspection #1</t>
  </si>
  <si>
    <t>SE11-45</t>
  </si>
  <si>
    <t>Build Foundation Walls / Slab</t>
  </si>
  <si>
    <t>SE11-46</t>
  </si>
  <si>
    <t>Waterproof Foundation &amp; Backfill</t>
  </si>
  <si>
    <t>SE11-47</t>
  </si>
  <si>
    <t>Foundation Utility Tie-In</t>
  </si>
  <si>
    <t>SE11-48</t>
  </si>
  <si>
    <t>Foundation Inspection #2</t>
  </si>
  <si>
    <t>SE11-49</t>
  </si>
  <si>
    <t>Civil Engineering Inspection</t>
  </si>
  <si>
    <t>SE11-50</t>
  </si>
  <si>
    <t>Frame Floors &amp; Subfloors</t>
  </si>
  <si>
    <t>SE11-51</t>
  </si>
  <si>
    <t>Frame Exterior &amp; Interior Walls</t>
  </si>
  <si>
    <t>SE11-52</t>
  </si>
  <si>
    <t>Frame Roof &amp; Install Sheating</t>
  </si>
  <si>
    <t>SE11-53</t>
  </si>
  <si>
    <t>Install Windows &amp; Exterior Doors</t>
  </si>
  <si>
    <t>SE11-54</t>
  </si>
  <si>
    <t>Framing Inspection</t>
  </si>
  <si>
    <t>SE11-55</t>
  </si>
  <si>
    <t>Install Roof Shingles</t>
  </si>
  <si>
    <t>SE11-56</t>
  </si>
  <si>
    <t>Install Rough Plumbing</t>
  </si>
  <si>
    <t>SE11-57</t>
  </si>
  <si>
    <t>Install Rough Electrical</t>
  </si>
  <si>
    <t>SE11-58</t>
  </si>
  <si>
    <t>Plumbing &amp; Electrical Inspection</t>
  </si>
  <si>
    <t>SE11-59</t>
  </si>
  <si>
    <t>Install Rough HVAC Ductwork</t>
  </si>
  <si>
    <t>SE11-60</t>
  </si>
  <si>
    <t>Install Exterior Siding &amp; Insulation</t>
  </si>
  <si>
    <t>SE11-61</t>
  </si>
  <si>
    <t>Weatherproof Structure Inspection</t>
  </si>
  <si>
    <t>SE11-62</t>
  </si>
  <si>
    <t>Install Decks, Patios, &amp; Fences</t>
  </si>
  <si>
    <t>SE11-63</t>
  </si>
  <si>
    <t>Install Interior Drywall</t>
  </si>
  <si>
    <t>SE11-64</t>
  </si>
  <si>
    <t>Install Hardwood / Stone Floors</t>
  </si>
  <si>
    <t>SE11-65</t>
  </si>
  <si>
    <t>Prime Walls &amp; Ceilings (1st Coat)</t>
  </si>
  <si>
    <t>SE11-66</t>
  </si>
  <si>
    <t>Install Interior &amp; Exterior Trim</t>
  </si>
  <si>
    <t>SE11-67</t>
  </si>
  <si>
    <t>Install Cabinetry (Kitchen &amp; Bath)</t>
  </si>
  <si>
    <t>SE11-68</t>
  </si>
  <si>
    <t>Install Countertops &amp; Tiling</t>
  </si>
  <si>
    <t>SE11-69</t>
  </si>
  <si>
    <t>Install Closet Shelving</t>
  </si>
  <si>
    <t>SE11-70</t>
  </si>
  <si>
    <t>Install Kitchen Appliances</t>
  </si>
  <si>
    <t>SE11-71</t>
  </si>
  <si>
    <t>Install Interior Hardware</t>
  </si>
  <si>
    <t>SE11-72</t>
  </si>
  <si>
    <t>Install Plumbing Fixtures</t>
  </si>
  <si>
    <t>SE11-73</t>
  </si>
  <si>
    <t>Install Electrical Fixtures</t>
  </si>
  <si>
    <t>SE11-74</t>
  </si>
  <si>
    <t>Install HVAC Units &amp; Thermostats</t>
  </si>
  <si>
    <t>SE11-75</t>
  </si>
  <si>
    <t>Paint Walls &amp; Ceilings (2nd Coat)</t>
  </si>
  <si>
    <t>SE11-76</t>
  </si>
  <si>
    <t>Stain Hardwood Floors (1st Coat)</t>
  </si>
  <si>
    <t>SE11-77</t>
  </si>
  <si>
    <t>Stain Hardwood Floors (2nd Coat)</t>
  </si>
  <si>
    <t>SE11-78</t>
  </si>
  <si>
    <t>Install Flooring (Carpet &amp; LVF)</t>
  </si>
  <si>
    <t>SE11-79</t>
  </si>
  <si>
    <t>Order Exterior Landscaping</t>
  </si>
  <si>
    <t>SE11-80</t>
  </si>
  <si>
    <t>Pour Driveway &amp; Walkways</t>
  </si>
  <si>
    <t>SE11-81</t>
  </si>
  <si>
    <t>Install Exterior Landscaping</t>
  </si>
  <si>
    <t>SE11-82</t>
  </si>
  <si>
    <t>Final Site Survey</t>
  </si>
  <si>
    <t>SE11-83</t>
  </si>
  <si>
    <t>Deck and Patio Inspection</t>
  </si>
  <si>
    <t>Grey</t>
  </si>
  <si>
    <t>SE11-84</t>
  </si>
  <si>
    <t>Interior &amp; Exterior Touch-ups</t>
  </si>
  <si>
    <t>SE11-85</t>
  </si>
  <si>
    <t>C of O Final Inspection</t>
  </si>
  <si>
    <t>SE11-86</t>
  </si>
  <si>
    <t>Obtain Certificate of Occupancy</t>
  </si>
  <si>
    <t>SE11-87</t>
  </si>
  <si>
    <t>Moving Services (1 Week)</t>
  </si>
  <si>
    <t>SE11-88</t>
  </si>
  <si>
    <t>Final Touch-ups &amp; Repairs</t>
  </si>
  <si>
    <t>SE11-89</t>
  </si>
  <si>
    <t>Cleanup &amp; Debris Removal</t>
  </si>
  <si>
    <t>SE11-90</t>
  </si>
  <si>
    <t>Final Punchlist Walk-Through</t>
  </si>
  <si>
    <t>`</t>
  </si>
  <si>
    <t>11 Clinton Lane - Project Information</t>
  </si>
  <si>
    <t>Current Date:</t>
  </si>
  <si>
    <t>Total Project Duation (Hrs)</t>
  </si>
  <si>
    <t>Project Start:</t>
  </si>
  <si>
    <t>Expected Completion Date</t>
  </si>
  <si>
    <t>Lot Size</t>
  </si>
  <si>
    <t>Construction Cost</t>
  </si>
  <si>
    <t>Builder Grade (%)</t>
  </si>
  <si>
    <t>Building SF</t>
  </si>
  <si>
    <t>GC Fee (%)</t>
  </si>
  <si>
    <t>Market Grade (%)</t>
  </si>
  <si>
    <t># of Stories</t>
  </si>
  <si>
    <t>Punchlist Fee (%)</t>
  </si>
  <si>
    <t>Punchlist Grade (%)</t>
  </si>
  <si>
    <t>Above Grade SF</t>
  </si>
  <si>
    <t>Total Project Cost</t>
  </si>
  <si>
    <t>Design Grade (%)</t>
  </si>
  <si>
    <t>Below Grade SF</t>
  </si>
  <si>
    <t>$ per SF Cost</t>
  </si>
  <si>
    <t>Luxuary Grade (%)</t>
  </si>
  <si>
    <t>Unit / Service Desciption</t>
  </si>
  <si>
    <t>Unit Cost (1)</t>
  </si>
  <si>
    <t>% Market Grade</t>
  </si>
  <si>
    <t>Unit Cost + Grade</t>
  </si>
  <si>
    <t>Total Units / SF</t>
  </si>
  <si>
    <t>Labor Rate (Hr)</t>
  </si>
  <si>
    <t>Expected Hours</t>
  </si>
  <si>
    <t>Labor + Materials</t>
  </si>
  <si>
    <t>Waste (10.00%)</t>
  </si>
  <si>
    <t>Total Item Cost</t>
  </si>
  <si>
    <t>Initiative Key</t>
  </si>
  <si>
    <t>Aluminum Sheathing</t>
  </si>
  <si>
    <t>Appliances (36" Range)</t>
  </si>
  <si>
    <t>Appliances (48” Range)</t>
  </si>
  <si>
    <t>Appliances (60" Range)</t>
  </si>
  <si>
    <t>Appliances (Dishwasher)</t>
  </si>
  <si>
    <t>Appliances (30" Oven)</t>
  </si>
  <si>
    <t>Appliances (30" Oven x2)</t>
  </si>
  <si>
    <t>Appliances (Microwave)</t>
  </si>
  <si>
    <t>Appliances (Range, Electic)</t>
  </si>
  <si>
    <t>Appliances (Range, Gas)</t>
  </si>
  <si>
    <t>Appliances (Range, Induction)</t>
  </si>
  <si>
    <t>Appliances (Freezer)</t>
  </si>
  <si>
    <t>Appliances (Fridge)</t>
  </si>
  <si>
    <t>Appliances (Fridge / Freezer)</t>
  </si>
  <si>
    <t>Appliances (Fridge / Mini)</t>
  </si>
  <si>
    <t>Appliances (Warming Drawer)</t>
  </si>
  <si>
    <t>Approvals (Landscaping)</t>
  </si>
  <si>
    <t>Approvals (Architectual)</t>
  </si>
  <si>
    <t>Approvals (Engineering)</t>
  </si>
  <si>
    <t>Approvals (Zoning)</t>
  </si>
  <si>
    <t>Approvals (Site-Plan)</t>
  </si>
  <si>
    <t>Cabinetry (Kitchen)</t>
  </si>
  <si>
    <t>Copper (Gutters)</t>
  </si>
  <si>
    <t>Copper (Wiring)</t>
  </si>
  <si>
    <t>Deck (Hardwood)</t>
  </si>
  <si>
    <t>Deck (Vinyl)</t>
  </si>
  <si>
    <t>Driveway (Asphault)</t>
  </si>
  <si>
    <t>Driveway (Crushed Gravel)</t>
  </si>
  <si>
    <t>Driveway (Pavers)</t>
  </si>
  <si>
    <t>Electrical (Circuit Breaker)</t>
  </si>
  <si>
    <t>Electrical (Generator)</t>
  </si>
  <si>
    <t>Flooring (Carpet)</t>
  </si>
  <si>
    <t>Flooring (Hardwood)</t>
  </si>
  <si>
    <t>Flooring (LVF)</t>
  </si>
  <si>
    <t>Flooring (Wood Stain)</t>
  </si>
  <si>
    <t>Flooring (Wood Stain #2)</t>
  </si>
  <si>
    <t>Flooring (Stone)</t>
  </si>
  <si>
    <t>Flooring (Vinyl)</t>
  </si>
  <si>
    <t>Foundations (Concrete)</t>
  </si>
  <si>
    <t>Foundations (Steel)</t>
  </si>
  <si>
    <t>Hardware (Blinds)</t>
  </si>
  <si>
    <t>Hardware (Door Knobs)</t>
  </si>
  <si>
    <t>Hardware (Doors)</t>
  </si>
  <si>
    <t>Hardware (Shades)</t>
  </si>
  <si>
    <t>Hardware (Windows)</t>
  </si>
  <si>
    <t>HVAC (Central AC)</t>
  </si>
  <si>
    <t>HVAC (Heated Floors)</t>
  </si>
  <si>
    <t>HVAC (Split System)</t>
  </si>
  <si>
    <t>HVAC (Duct Wok)</t>
  </si>
  <si>
    <t>Insulation (Foam)</t>
  </si>
  <si>
    <t>Insulation (Fiber Glass)</t>
  </si>
  <si>
    <t>Labor (Architect)</t>
  </si>
  <si>
    <t>Labor (Designer)</t>
  </si>
  <si>
    <t>Labor (GC)</t>
  </si>
  <si>
    <t>Landscaping (Dirt)</t>
  </si>
  <si>
    <t>Landscaping (Grass Seed)</t>
  </si>
  <si>
    <t>Landscaping (Grass Sod)</t>
  </si>
  <si>
    <t>Landscaping (Mailbox)</t>
  </si>
  <si>
    <t>Landscaping (Rock)</t>
  </si>
  <si>
    <t>Landscaping (Shade Trees)</t>
  </si>
  <si>
    <t>Landscaping (Shrubs)</t>
  </si>
  <si>
    <t>Light Switches</t>
  </si>
  <si>
    <t>Lighting Fixtures</t>
  </si>
  <si>
    <t>Municipal Inspection</t>
  </si>
  <si>
    <t>Paint (2nd Coat)</t>
  </si>
  <si>
    <t>Paint (1st Coat / Primer)</t>
  </si>
  <si>
    <t>Patio (Blue Stone)</t>
  </si>
  <si>
    <t>Patio (Brick)</t>
  </si>
  <si>
    <t>Patio (Gravel)</t>
  </si>
  <si>
    <t>Plywood / Subboard</t>
  </si>
  <si>
    <t>PVC Pipes</t>
  </si>
  <si>
    <t>Recessed Lighting</t>
  </si>
  <si>
    <t>Sealant (Caulking)</t>
  </si>
  <si>
    <t>Site Visit (Architect)</t>
  </si>
  <si>
    <t>Site Visit (Contractor)</t>
  </si>
  <si>
    <t>Site Visit (Designer)</t>
  </si>
  <si>
    <t>Site Vist (Punchlist)</t>
  </si>
  <si>
    <t>Sheetrock</t>
  </si>
  <si>
    <t>Shelving (Closets)</t>
  </si>
  <si>
    <t>Shingels (Asphalt)</t>
  </si>
  <si>
    <t>Shinges (Metal)</t>
  </si>
  <si>
    <t>Shinges (Slate)</t>
  </si>
  <si>
    <t>Shingles (Wood)</t>
  </si>
  <si>
    <t>Siding (Brick)</t>
  </si>
  <si>
    <t>Siding (Hardie Board)</t>
  </si>
  <si>
    <t>Siding (Shutters)</t>
  </si>
  <si>
    <t>Siding (Stone)</t>
  </si>
  <si>
    <t>Siding (Wood)</t>
  </si>
  <si>
    <t>Support Beams (Steel)</t>
  </si>
  <si>
    <t>Support Beams (Wood)</t>
  </si>
  <si>
    <t>Trim (Baseboard Molding)</t>
  </si>
  <si>
    <t>Trim (Crown Molding)</t>
  </si>
  <si>
    <t>Trim (Exterior)</t>
  </si>
  <si>
    <t>Trim (Finshes)</t>
  </si>
  <si>
    <t>Temporary Utilities</t>
  </si>
  <si>
    <t>Tyveck / Waterproofing</t>
  </si>
  <si>
    <t>Vanity (Bathtub)</t>
  </si>
  <si>
    <t>Vanity (Bathtub/Shower)</t>
  </si>
  <si>
    <t>Vanity (Bidet)</t>
  </si>
  <si>
    <t>Vanity (Double Sink)</t>
  </si>
  <si>
    <t>Vanity (Shower)</t>
  </si>
  <si>
    <t>Vanity (Sink)</t>
  </si>
  <si>
    <t>Instillation Cost</t>
  </si>
  <si>
    <t>Color</t>
  </si>
  <si>
    <t>Dark Blue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</si>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</sst>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_(* #,##0_);_(* \(#,##0\);_(* &quot;-&quot;??_);_(@_)"/>
    <numFmt numFmtId="166" formatCode="&quot; &quot;* #,##0&quot; &quot;;&quot; &quot;* \(#,##0\);&quot; &quot;* &quot;-&quot;??&quot; &quot;"/>
  </numFmts>
  <fonts count="18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</font>
    <font>
      <b/>
      <sz val="12"/>
      <color indexed="8"/>
      <name val="Times New Roman"/>
    </font>
    <font>
      <sz val="12"/>
      <color indexed="8"/>
      <name val="Times New Roman"/>
    </font>
    <font>
      <b/>
      <sz val="12"/>
      <color indexed="9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  <font>
      <b/>
      <sz val="12"/>
      <color theme="0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</font>
    <font>
      <sz val="12"/>
      <color theme="3" tint="0.249977111117893"/>
      <name val="Times New Roman"/>
    </font>
    <font>
      <b/>
      <sz val="24"/>
      <color rgb="FF000000"/>
      <name val="Times New Roman"/>
    </font>
    <font>
      <sz val="24"/>
      <color theme="1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A25E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000000"/>
      </top>
      <bottom style="thin">
        <color theme="2" tint="-9.9978637043366805E-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9A9A9A"/>
      </left>
      <right/>
      <top style="thin">
        <color rgb="FF000000"/>
      </top>
      <bottom style="thin">
        <color theme="2" tint="-9.9978637043366805E-2"/>
      </bottom>
      <diagonal/>
    </border>
    <border>
      <left style="thin">
        <color rgb="FF9A9A9A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9A9A9A"/>
      </left>
      <right/>
      <top style="thin">
        <color theme="2" tint="-9.9978637043366805E-2"/>
      </top>
      <bottom style="thin">
        <color rgb="FF9A9A9A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2" tint="-9.9978637043366805E-2"/>
      </right>
      <top style="thin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rgb="FF000000"/>
      </top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1"/>
      </bottom>
      <diagonal/>
    </border>
    <border>
      <left style="thin">
        <color theme="1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vertical="center"/>
    </xf>
    <xf numFmtId="164" fontId="3" fillId="0" borderId="0" xfId="0" applyNumberFormat="1" applyFont="1" applyAlignment="1">
      <alignment vertical="center"/>
    </xf>
    <xf numFmtId="49" fontId="7" fillId="10" borderId="0" xfId="0" applyNumberFormat="1" applyFont="1" applyFill="1" applyAlignment="1">
      <alignment vertical="center"/>
    </xf>
    <xf numFmtId="0" fontId="7" fillId="10" borderId="0" xfId="0" applyFont="1" applyFill="1" applyAlignment="1">
      <alignment vertical="center"/>
    </xf>
    <xf numFmtId="49" fontId="6" fillId="10" borderId="0" xfId="0" applyNumberFormat="1" applyFont="1" applyFill="1" applyAlignment="1">
      <alignment vertical="center"/>
    </xf>
    <xf numFmtId="14" fontId="7" fillId="10" borderId="0" xfId="0" applyNumberFormat="1" applyFont="1" applyFill="1" applyAlignment="1">
      <alignment horizontal="right" vertical="center"/>
    </xf>
    <xf numFmtId="14" fontId="7" fillId="10" borderId="0" xfId="0" applyNumberFormat="1" applyFont="1" applyFill="1" applyAlignment="1">
      <alignment vertical="center"/>
    </xf>
    <xf numFmtId="14" fontId="7" fillId="10" borderId="0" xfId="0" applyNumberFormat="1" applyFont="1" applyFill="1" applyAlignment="1">
      <alignment horizontal="left" vertical="center"/>
    </xf>
    <xf numFmtId="166" fontId="7" fillId="10" borderId="0" xfId="0" applyNumberFormat="1" applyFont="1" applyFill="1" applyAlignment="1">
      <alignment vertical="center"/>
    </xf>
    <xf numFmtId="166" fontId="7" fillId="10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66" fontId="7" fillId="0" borderId="2" xfId="0" applyNumberFormat="1" applyFont="1" applyBorder="1" applyAlignment="1">
      <alignment horizontal="right" vertical="center" wrapText="1"/>
    </xf>
    <xf numFmtId="8" fontId="9" fillId="0" borderId="2" xfId="0" applyNumberFormat="1" applyFont="1" applyBorder="1" applyAlignment="1">
      <alignment vertical="center"/>
    </xf>
    <xf numFmtId="166" fontId="7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vertical="center" wrapText="1"/>
    </xf>
    <xf numFmtId="0" fontId="6" fillId="10" borderId="0" xfId="0" applyFont="1" applyFill="1" applyAlignment="1">
      <alignment vertical="center"/>
    </xf>
    <xf numFmtId="164" fontId="7" fillId="10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49" fontId="8" fillId="2" borderId="3" xfId="0" applyNumberFormat="1" applyFont="1" applyFill="1" applyBorder="1" applyAlignment="1">
      <alignment vertical="center"/>
    </xf>
    <xf numFmtId="10" fontId="5" fillId="0" borderId="0" xfId="0" applyNumberFormat="1" applyFont="1" applyAlignment="1">
      <alignment vertical="center"/>
    </xf>
    <xf numFmtId="10" fontId="10" fillId="0" borderId="0" xfId="0" applyNumberFormat="1" applyFont="1" applyAlignment="1">
      <alignment vertical="center"/>
    </xf>
    <xf numFmtId="49" fontId="6" fillId="9" borderId="7" xfId="0" applyNumberFormat="1" applyFont="1" applyFill="1" applyBorder="1" applyAlignment="1">
      <alignment vertical="center"/>
    </xf>
    <xf numFmtId="49" fontId="6" fillId="9" borderId="4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8" fillId="2" borderId="8" xfId="0" applyNumberFormat="1" applyFont="1" applyFill="1" applyBorder="1" applyAlignment="1">
      <alignment horizontal="right" vertical="center"/>
    </xf>
    <xf numFmtId="10" fontId="15" fillId="10" borderId="0" xfId="0" applyNumberFormat="1" applyFont="1" applyFill="1" applyAlignment="1">
      <alignment horizontal="center" vertical="center"/>
    </xf>
    <xf numFmtId="164" fontId="10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/>
    </xf>
    <xf numFmtId="164" fontId="12" fillId="0" borderId="6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164" fontId="13" fillId="0" borderId="2" xfId="0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164" fontId="12" fillId="0" borderId="2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16" fillId="10" borderId="0" xfId="0" applyNumberFormat="1" applyFont="1" applyFill="1" applyAlignment="1">
      <alignment horizontal="left" vertical="top"/>
    </xf>
    <xf numFmtId="0" fontId="17" fillId="10" borderId="0" xfId="0" applyFont="1" applyFill="1" applyAlignment="1">
      <alignment horizontal="left" vertical="top"/>
    </xf>
    <xf numFmtId="164" fontId="10" fillId="11" borderId="4" xfId="0" applyNumberFormat="1" applyFont="1" applyFill="1" applyBorder="1" applyAlignment="1">
      <alignment horizontal="center" vertical="center"/>
    </xf>
    <xf numFmtId="164" fontId="10" fillId="11" borderId="5" xfId="0" applyNumberFormat="1" applyFont="1" applyFill="1" applyBorder="1" applyAlignment="1">
      <alignment horizontal="center" vertical="center"/>
    </xf>
    <xf numFmtId="0" fontId="14" fillId="0" borderId="10" xfId="0" applyFont="1" applyBorder="1"/>
    <xf numFmtId="0" fontId="9" fillId="0" borderId="11" xfId="0" applyFont="1" applyBorder="1"/>
    <xf numFmtId="0" fontId="14" fillId="0" borderId="11" xfId="0" applyFont="1" applyBorder="1"/>
    <xf numFmtId="0" fontId="14" fillId="0" borderId="12" xfId="0" applyFont="1" applyBorder="1"/>
    <xf numFmtId="0" fontId="2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12" fillId="0" borderId="15" xfId="0" applyFont="1" applyBorder="1" applyAlignment="1">
      <alignment horizontal="right"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horizontal="right" vertical="center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14" fontId="12" fillId="0" borderId="19" xfId="0" applyNumberFormat="1" applyFont="1" applyBorder="1" applyAlignment="1">
      <alignment horizontal="right" vertical="center"/>
    </xf>
    <xf numFmtId="0" fontId="12" fillId="0" borderId="19" xfId="0" applyFont="1" applyBorder="1" applyAlignment="1">
      <alignment horizontal="right" vertical="center"/>
    </xf>
    <xf numFmtId="164" fontId="12" fillId="0" borderId="19" xfId="0" applyNumberFormat="1" applyFont="1" applyBorder="1" applyAlignment="1">
      <alignment horizontal="right" vertical="center"/>
    </xf>
    <xf numFmtId="0" fontId="12" fillId="0" borderId="20" xfId="0" applyFont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166" fontId="7" fillId="0" borderId="19" xfId="0" applyNumberFormat="1" applyFont="1" applyBorder="1" applyAlignment="1">
      <alignment horizontal="right" vertical="center" wrapText="1"/>
    </xf>
    <xf numFmtId="8" fontId="9" fillId="0" borderId="19" xfId="0" applyNumberFormat="1" applyFont="1" applyBorder="1" applyAlignment="1">
      <alignment vertical="center"/>
    </xf>
    <xf numFmtId="166" fontId="7" fillId="0" borderId="19" xfId="0" applyNumberFormat="1" applyFont="1" applyBorder="1" applyAlignment="1">
      <alignment horizontal="right" vertical="center"/>
    </xf>
    <xf numFmtId="164" fontId="7" fillId="0" borderId="19" xfId="0" applyNumberFormat="1" applyFont="1" applyBorder="1" applyAlignment="1">
      <alignment vertical="center" wrapText="1"/>
    </xf>
    <xf numFmtId="0" fontId="9" fillId="0" borderId="20" xfId="0" applyFont="1" applyBorder="1" applyAlignment="1">
      <alignment horizontal="right" vertical="center"/>
    </xf>
    <xf numFmtId="10" fontId="9" fillId="0" borderId="2" xfId="0" applyNumberFormat="1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9" fillId="0" borderId="17" xfId="0" applyFont="1" applyBorder="1" applyAlignment="1">
      <alignment horizontal="right"/>
    </xf>
    <xf numFmtId="10" fontId="9" fillId="0" borderId="19" xfId="0" applyNumberFormat="1" applyFont="1" applyBorder="1" applyAlignment="1">
      <alignment vertical="center"/>
    </xf>
    <xf numFmtId="164" fontId="9" fillId="0" borderId="19" xfId="0" applyNumberFormat="1" applyFont="1" applyBorder="1" applyAlignment="1">
      <alignment vertical="center"/>
    </xf>
    <xf numFmtId="8" fontId="9" fillId="0" borderId="21" xfId="0" applyNumberFormat="1" applyFont="1" applyBorder="1" applyAlignment="1">
      <alignment vertical="center"/>
    </xf>
    <xf numFmtId="10" fontId="9" fillId="0" borderId="22" xfId="0" applyNumberFormat="1" applyFont="1" applyBorder="1" applyAlignment="1">
      <alignment vertical="center"/>
    </xf>
    <xf numFmtId="164" fontId="9" fillId="0" borderId="22" xfId="0" applyNumberFormat="1" applyFont="1" applyBorder="1" applyAlignment="1">
      <alignment vertical="center"/>
    </xf>
    <xf numFmtId="166" fontId="7" fillId="0" borderId="22" xfId="0" applyNumberFormat="1" applyFont="1" applyBorder="1" applyAlignment="1">
      <alignment horizontal="right" vertical="center"/>
    </xf>
    <xf numFmtId="8" fontId="9" fillId="0" borderId="22" xfId="0" applyNumberFormat="1" applyFont="1" applyBorder="1" applyAlignment="1">
      <alignment vertical="center"/>
    </xf>
    <xf numFmtId="164" fontId="7" fillId="0" borderId="22" xfId="0" applyNumberFormat="1" applyFont="1" applyBorder="1" applyAlignment="1">
      <alignment vertical="center" wrapText="1"/>
    </xf>
    <xf numFmtId="0" fontId="9" fillId="0" borderId="23" xfId="0" applyFont="1" applyBorder="1" applyAlignment="1">
      <alignment horizontal="right" vertical="center"/>
    </xf>
    <xf numFmtId="8" fontId="9" fillId="0" borderId="16" xfId="0" applyNumberFormat="1" applyFont="1" applyBorder="1" applyAlignment="1">
      <alignment vertical="center"/>
    </xf>
    <xf numFmtId="8" fontId="9" fillId="0" borderId="18" xfId="0" applyNumberFormat="1" applyFont="1" applyBorder="1" applyAlignment="1">
      <alignment vertical="center"/>
    </xf>
  </cellXfs>
  <cellStyles count="1">
    <cellStyle name="Normal" xfId="0" builtinId="0"/>
  </cellStyles>
  <dxfs count="6">
    <dxf>
      <font>
        <b/>
        <i val="0"/>
        <color theme="1"/>
      </font>
    </dxf>
    <dxf>
      <font>
        <i/>
        <color rgb="FFAEAEAE"/>
      </font>
    </dxf>
    <dxf>
      <font>
        <i/>
        <color rgb="FFAEAEAE"/>
      </font>
    </dxf>
    <dxf>
      <font>
        <b/>
        <i val="0"/>
        <color theme="1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Medium9"/>
  <colors>
    <mruColors>
      <color rgb="FF00FFFC"/>
      <color rgb="FFA2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"/>
  <sheetViews>
    <sheetView tabSelected="1" topLeftCell="A67" workbookViewId="0">
      <selection activeCell="K81" sqref="K81"/>
    </sheetView>
  </sheetViews>
  <sheetFormatPr defaultColWidth="8.85546875" defaultRowHeight="15"/>
  <cols>
    <col min="1" max="1" width="9.42578125" bestFit="1" customWidth="1"/>
    <col min="2" max="2" width="43" bestFit="1" customWidth="1"/>
    <col min="3" max="3" width="7.140625" style="1" bestFit="1" customWidth="1"/>
    <col min="4" max="4" width="8.28515625" style="1" bestFit="1" customWidth="1"/>
    <col min="5" max="8" width="15.7109375" customWidth="1"/>
    <col min="9" max="10" width="15.7109375" style="2" customWidth="1"/>
    <col min="11" max="11" width="5.7109375" bestFit="1" customWidth="1"/>
  </cols>
  <sheetData>
    <row r="1" spans="1:12" ht="15.75">
      <c r="A1" s="49" t="s">
        <v>0</v>
      </c>
      <c r="B1" s="77" t="s">
        <v>1</v>
      </c>
      <c r="C1" s="78" t="s">
        <v>2</v>
      </c>
      <c r="D1" s="78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80" t="s">
        <v>8</v>
      </c>
      <c r="J1" s="80" t="s">
        <v>9</v>
      </c>
      <c r="K1" s="81" t="s">
        <v>10</v>
      </c>
    </row>
    <row r="2" spans="1:12" ht="15.75">
      <c r="A2" s="73" t="s">
        <v>11</v>
      </c>
      <c r="B2" s="82" t="s">
        <v>12</v>
      </c>
      <c r="C2" s="50" t="s">
        <v>13</v>
      </c>
      <c r="D2" s="50" t="b">
        <v>0</v>
      </c>
      <c r="E2" s="51">
        <v>45658</v>
      </c>
      <c r="F2" s="51">
        <f>E2+G2</f>
        <v>45665</v>
      </c>
      <c r="G2" s="52">
        <v>7</v>
      </c>
      <c r="H2" s="52">
        <f>E2-$E$2</f>
        <v>0</v>
      </c>
      <c r="I2" s="53">
        <f>SUMIF(Pricing!$K:$K,A2,Pricing!$J:$J)</f>
        <v>0</v>
      </c>
      <c r="J2" s="53" t="s">
        <v>14</v>
      </c>
      <c r="K2" s="83">
        <v>0</v>
      </c>
      <c r="L2" s="3"/>
    </row>
    <row r="3" spans="1:12" ht="15.75">
      <c r="A3" s="74" t="s">
        <v>15</v>
      </c>
      <c r="B3" s="84" t="s">
        <v>16</v>
      </c>
      <c r="C3" s="54" t="s">
        <v>13</v>
      </c>
      <c r="D3" s="54" t="b">
        <f>D2</f>
        <v>0</v>
      </c>
      <c r="E3" s="55">
        <f>F2</f>
        <v>45665</v>
      </c>
      <c r="F3" s="55">
        <f t="shared" ref="F3:F81" si="0">E3+G3</f>
        <v>45666</v>
      </c>
      <c r="G3" s="56">
        <v>1</v>
      </c>
      <c r="H3" s="56">
        <f t="shared" ref="H3:H81" si="1">E3-$E$2</f>
        <v>7</v>
      </c>
      <c r="I3" s="57">
        <f>SUMIF(Pricing!$K:$K,A3,Pricing!$J:$J)</f>
        <v>0</v>
      </c>
      <c r="J3" s="57" t="str">
        <f>VLOOKUP(K3,'Color Code'!$A$2:$B$7,2,FALSE)</f>
        <v>Dark Blue</v>
      </c>
      <c r="K3" s="85">
        <v>1</v>
      </c>
      <c r="L3" s="3"/>
    </row>
    <row r="4" spans="1:12" ht="15.75">
      <c r="A4" s="74" t="s">
        <v>17</v>
      </c>
      <c r="B4" s="84" t="s">
        <v>18</v>
      </c>
      <c r="C4" s="54" t="s">
        <v>13</v>
      </c>
      <c r="D4" s="54" t="b">
        <f t="shared" ref="D4:D80" si="2">D3</f>
        <v>0</v>
      </c>
      <c r="E4" s="55">
        <f>E3</f>
        <v>45665</v>
      </c>
      <c r="F4" s="55">
        <f t="shared" si="0"/>
        <v>45666</v>
      </c>
      <c r="G4" s="56">
        <v>1</v>
      </c>
      <c r="H4" s="56">
        <f t="shared" si="1"/>
        <v>7</v>
      </c>
      <c r="I4" s="57">
        <f>SUMIF(Pricing!$K:$K,A4,Pricing!$J:$J)</f>
        <v>0</v>
      </c>
      <c r="J4" s="57" t="str">
        <f>VLOOKUP(K4,'Color Code'!$A$2:$B$7,2,FALSE)</f>
        <v>Dark Blue</v>
      </c>
      <c r="K4" s="85">
        <v>1</v>
      </c>
      <c r="L4" s="3"/>
    </row>
    <row r="5" spans="1:12" ht="15.75">
      <c r="A5" s="74" t="s">
        <v>19</v>
      </c>
      <c r="B5" s="84" t="s">
        <v>20</v>
      </c>
      <c r="C5" s="54" t="s">
        <v>13</v>
      </c>
      <c r="D5" s="54" t="b">
        <f t="shared" si="2"/>
        <v>0</v>
      </c>
      <c r="E5" s="55">
        <f>E4</f>
        <v>45665</v>
      </c>
      <c r="F5" s="55">
        <f t="shared" si="0"/>
        <v>45666</v>
      </c>
      <c r="G5" s="56">
        <v>1</v>
      </c>
      <c r="H5" s="56">
        <f t="shared" si="1"/>
        <v>7</v>
      </c>
      <c r="I5" s="57">
        <f>SUMIF(Pricing!$K:$K,A5,Pricing!$J:$J)</f>
        <v>530.5</v>
      </c>
      <c r="J5" s="57" t="str">
        <f>VLOOKUP(K5,'Color Code'!$A$2:$B$7,2,FALSE)</f>
        <v>Dark Blue</v>
      </c>
      <c r="K5" s="85">
        <v>1</v>
      </c>
      <c r="L5" s="3"/>
    </row>
    <row r="6" spans="1:12" ht="15.75">
      <c r="A6" s="74" t="s">
        <v>21</v>
      </c>
      <c r="B6" s="84" t="s">
        <v>22</v>
      </c>
      <c r="C6" s="54" t="s">
        <v>13</v>
      </c>
      <c r="D6" s="54" t="b">
        <f t="shared" si="2"/>
        <v>0</v>
      </c>
      <c r="E6" s="55">
        <f>F5</f>
        <v>45666</v>
      </c>
      <c r="F6" s="55">
        <f t="shared" ref="F6" si="3">E6+G6</f>
        <v>45667</v>
      </c>
      <c r="G6" s="56">
        <v>1</v>
      </c>
      <c r="H6" s="56">
        <f t="shared" ref="H6" si="4">E6-$E$2</f>
        <v>8</v>
      </c>
      <c r="I6" s="57">
        <f>SUMIF(Pricing!$K:$K,A6,Pricing!$J:$J)</f>
        <v>0</v>
      </c>
      <c r="J6" s="57" t="str">
        <f>VLOOKUP(K6,'Color Code'!$A$2:$B$7,2,FALSE)</f>
        <v>Dark Blue</v>
      </c>
      <c r="K6" s="85">
        <v>1</v>
      </c>
      <c r="L6" s="3"/>
    </row>
    <row r="7" spans="1:12" ht="15.75">
      <c r="A7" s="74" t="s">
        <v>23</v>
      </c>
      <c r="B7" s="84" t="s">
        <v>24</v>
      </c>
      <c r="C7" s="54" t="s">
        <v>13</v>
      </c>
      <c r="D7" s="54" t="b">
        <f>D5</f>
        <v>0</v>
      </c>
      <c r="E7" s="55">
        <f>F6</f>
        <v>45667</v>
      </c>
      <c r="F7" s="55">
        <f t="shared" si="0"/>
        <v>45681</v>
      </c>
      <c r="G7" s="56">
        <v>14</v>
      </c>
      <c r="H7" s="56">
        <f t="shared" si="1"/>
        <v>9</v>
      </c>
      <c r="I7" s="57">
        <f>SUMIF(Pricing!$K:$K,A7,Pricing!$J:$J)</f>
        <v>0</v>
      </c>
      <c r="J7" s="57" t="str">
        <f>VLOOKUP(K7,'Color Code'!$A$2:$B$7,2,FALSE)</f>
        <v>Light Blue</v>
      </c>
      <c r="K7" s="85">
        <v>2</v>
      </c>
      <c r="L7" s="3"/>
    </row>
    <row r="8" spans="1:12" ht="15.75">
      <c r="A8" s="74" t="s">
        <v>25</v>
      </c>
      <c r="B8" s="84" t="s">
        <v>26</v>
      </c>
      <c r="C8" s="54" t="s">
        <v>13</v>
      </c>
      <c r="D8" s="54" t="b">
        <f>D23</f>
        <v>0</v>
      </c>
      <c r="E8" s="55">
        <f>E7</f>
        <v>45667</v>
      </c>
      <c r="F8" s="55">
        <f>E8+G8</f>
        <v>45681</v>
      </c>
      <c r="G8" s="56">
        <v>14</v>
      </c>
      <c r="H8" s="56">
        <f>E8-$E$2</f>
        <v>9</v>
      </c>
      <c r="I8" s="57">
        <f>SUMIF(Pricing!$K:$K,A8,Pricing!$J:$J)</f>
        <v>0</v>
      </c>
      <c r="J8" s="57" t="str">
        <f>VLOOKUP(K8,'Color Code'!$A$2:$B$7,2,FALSE)</f>
        <v>Light Blue</v>
      </c>
      <c r="K8" s="85">
        <v>2</v>
      </c>
    </row>
    <row r="9" spans="1:12" ht="15.75">
      <c r="A9" s="74" t="s">
        <v>27</v>
      </c>
      <c r="B9" s="84" t="s">
        <v>28</v>
      </c>
      <c r="C9" s="54" t="s">
        <v>13</v>
      </c>
      <c r="D9" s="54" t="b">
        <f>D7</f>
        <v>0</v>
      </c>
      <c r="E9" s="55">
        <f>E7</f>
        <v>45667</v>
      </c>
      <c r="F9" s="55">
        <f t="shared" si="0"/>
        <v>45681</v>
      </c>
      <c r="G9" s="56">
        <v>14</v>
      </c>
      <c r="H9" s="56">
        <f t="shared" ref="H9:H13" si="5">E9-$E$2</f>
        <v>9</v>
      </c>
      <c r="I9" s="57">
        <f>SUMIF(Pricing!$K:$K,A9,Pricing!$J:$J)</f>
        <v>0</v>
      </c>
      <c r="J9" s="57" t="str">
        <f>VLOOKUP(K9,'Color Code'!$A$2:$B$7,2,FALSE)</f>
        <v>Light Blue</v>
      </c>
      <c r="K9" s="85">
        <v>2</v>
      </c>
      <c r="L9" s="3"/>
    </row>
    <row r="10" spans="1:12" ht="15.75">
      <c r="A10" s="74" t="s">
        <v>29</v>
      </c>
      <c r="B10" s="84" t="s">
        <v>30</v>
      </c>
      <c r="C10" s="54" t="s">
        <v>13</v>
      </c>
      <c r="D10" s="54" t="b">
        <v>0</v>
      </c>
      <c r="E10" s="55">
        <f>F9</f>
        <v>45681</v>
      </c>
      <c r="F10" s="55">
        <f t="shared" si="0"/>
        <v>45695</v>
      </c>
      <c r="G10" s="56">
        <v>14</v>
      </c>
      <c r="H10" s="56">
        <f t="shared" si="5"/>
        <v>23</v>
      </c>
      <c r="I10" s="57">
        <f>SUMIF(Pricing!$K:$K,A10,Pricing!$J:$J)</f>
        <v>0</v>
      </c>
      <c r="J10" s="57" t="s">
        <v>31</v>
      </c>
      <c r="K10" s="85">
        <v>2</v>
      </c>
      <c r="L10" s="3"/>
    </row>
    <row r="11" spans="1:12" ht="15.75">
      <c r="A11" s="74" t="s">
        <v>32</v>
      </c>
      <c r="B11" s="84" t="s">
        <v>33</v>
      </c>
      <c r="C11" s="54" t="s">
        <v>13</v>
      </c>
      <c r="D11" s="54" t="b">
        <v>0</v>
      </c>
      <c r="E11" s="55">
        <f>F10</f>
        <v>45695</v>
      </c>
      <c r="F11" s="55">
        <f t="shared" si="0"/>
        <v>45725</v>
      </c>
      <c r="G11" s="56">
        <v>30</v>
      </c>
      <c r="H11" s="56">
        <f t="shared" si="5"/>
        <v>37</v>
      </c>
      <c r="I11" s="57">
        <f>SUMIF(Pricing!$K:$K,A11,Pricing!$J:$J)</f>
        <v>29400</v>
      </c>
      <c r="J11" s="57" t="s">
        <v>31</v>
      </c>
      <c r="K11" s="85">
        <v>2</v>
      </c>
      <c r="L11" s="3"/>
    </row>
    <row r="12" spans="1:12" ht="15.75">
      <c r="A12" s="74" t="s">
        <v>34</v>
      </c>
      <c r="B12" s="84" t="s">
        <v>35</v>
      </c>
      <c r="C12" s="54" t="s">
        <v>13</v>
      </c>
      <c r="D12" s="54" t="b">
        <f>D9</f>
        <v>0</v>
      </c>
      <c r="E12" s="55">
        <f>F11</f>
        <v>45725</v>
      </c>
      <c r="F12" s="55">
        <f t="shared" si="0"/>
        <v>45739</v>
      </c>
      <c r="G12" s="56">
        <v>14</v>
      </c>
      <c r="H12" s="56">
        <f t="shared" si="5"/>
        <v>67</v>
      </c>
      <c r="I12" s="57">
        <f>SUMIF(Pricing!$K:$K,A12,Pricing!$J:$J)</f>
        <v>0</v>
      </c>
      <c r="J12" s="57" t="str">
        <f>VLOOKUP(K12,'Color Code'!$A$2:$B$7,2,FALSE)</f>
        <v>Light Blue</v>
      </c>
      <c r="K12" s="85">
        <v>2</v>
      </c>
    </row>
    <row r="13" spans="1:12" ht="15.75">
      <c r="A13" s="74" t="s">
        <v>36</v>
      </c>
      <c r="B13" s="84" t="s">
        <v>37</v>
      </c>
      <c r="C13" s="54" t="s">
        <v>13</v>
      </c>
      <c r="D13" s="54" t="b">
        <f>D8</f>
        <v>0</v>
      </c>
      <c r="E13" s="55">
        <f>E12</f>
        <v>45725</v>
      </c>
      <c r="F13" s="55">
        <f>E13+G13</f>
        <v>45732</v>
      </c>
      <c r="G13" s="56">
        <v>7</v>
      </c>
      <c r="H13" s="56">
        <f t="shared" si="5"/>
        <v>67</v>
      </c>
      <c r="I13" s="57">
        <f>SUMIF(Pricing!$K:$K,A13,Pricing!$J:$J)</f>
        <v>0</v>
      </c>
      <c r="J13" s="57" t="str">
        <f>VLOOKUP(K13,'Color Code'!$A$2:$B$7,2,FALSE)</f>
        <v>Light Blue</v>
      </c>
      <c r="K13" s="85">
        <v>2</v>
      </c>
    </row>
    <row r="14" spans="1:12" ht="15.75">
      <c r="A14" s="74" t="s">
        <v>38</v>
      </c>
      <c r="B14" s="84" t="s">
        <v>39</v>
      </c>
      <c r="C14" s="54" t="s">
        <v>13</v>
      </c>
      <c r="D14" s="54" t="b">
        <f>D12</f>
        <v>0</v>
      </c>
      <c r="E14" s="55">
        <f>E12</f>
        <v>45725</v>
      </c>
      <c r="F14" s="55">
        <f t="shared" si="0"/>
        <v>45732</v>
      </c>
      <c r="G14" s="56">
        <v>7</v>
      </c>
      <c r="H14" s="56">
        <f t="shared" si="1"/>
        <v>67</v>
      </c>
      <c r="I14" s="57">
        <f>SUMIF(Pricing!$K:$K,A14,Pricing!$J:$J)</f>
        <v>0</v>
      </c>
      <c r="J14" s="57" t="str">
        <f>VLOOKUP(K14,'Color Code'!$A$2:$B$7,2,FALSE)</f>
        <v>Light Blue</v>
      </c>
      <c r="K14" s="85">
        <v>2</v>
      </c>
    </row>
    <row r="15" spans="1:12" ht="15.75">
      <c r="A15" s="74" t="s">
        <v>40</v>
      </c>
      <c r="B15" s="84" t="s">
        <v>41</v>
      </c>
      <c r="C15" s="54" t="s">
        <v>13</v>
      </c>
      <c r="D15" s="54" t="b">
        <f t="shared" si="2"/>
        <v>0</v>
      </c>
      <c r="E15" s="55">
        <f>E14</f>
        <v>45725</v>
      </c>
      <c r="F15" s="55">
        <f t="shared" ref="F15" si="6">E15+G15</f>
        <v>45732</v>
      </c>
      <c r="G15" s="56">
        <v>7</v>
      </c>
      <c r="H15" s="56">
        <f t="shared" ref="H15" si="7">E15-$E$2</f>
        <v>67</v>
      </c>
      <c r="I15" s="57">
        <f>SUMIF(Pricing!$K:$K,A15,Pricing!$J:$J)</f>
        <v>0</v>
      </c>
      <c r="J15" s="57" t="str">
        <f>VLOOKUP(K15,'Color Code'!$A$2:$B$7,2,FALSE)</f>
        <v>Light Blue</v>
      </c>
      <c r="K15" s="85">
        <v>2</v>
      </c>
    </row>
    <row r="16" spans="1:12" ht="15.75">
      <c r="A16" s="74" t="s">
        <v>42</v>
      </c>
      <c r="B16" s="84" t="s">
        <v>43</v>
      </c>
      <c r="C16" s="54" t="s">
        <v>13</v>
      </c>
      <c r="D16" s="54" t="b">
        <f>D14</f>
        <v>0</v>
      </c>
      <c r="E16" s="55">
        <f>F15</f>
        <v>45732</v>
      </c>
      <c r="F16" s="55">
        <f t="shared" ref="F16:F20" si="8">E16+G16</f>
        <v>45733</v>
      </c>
      <c r="G16" s="56">
        <v>1</v>
      </c>
      <c r="H16" s="56">
        <f t="shared" ref="H16:H20" si="9">E16-$E$2</f>
        <v>74</v>
      </c>
      <c r="I16" s="57">
        <f>SUMIF(Pricing!$K:$K,A16,Pricing!$J:$J)</f>
        <v>0</v>
      </c>
      <c r="J16" s="57" t="s">
        <v>31</v>
      </c>
      <c r="K16" s="85">
        <v>2</v>
      </c>
    </row>
    <row r="17" spans="1:11" ht="15.75">
      <c r="A17" s="75" t="s">
        <v>44</v>
      </c>
      <c r="B17" s="86" t="s">
        <v>45</v>
      </c>
      <c r="C17" s="58" t="s">
        <v>13</v>
      </c>
      <c r="D17" s="58" t="b">
        <f>D9</f>
        <v>0</v>
      </c>
      <c r="E17" s="59">
        <f>F16</f>
        <v>45733</v>
      </c>
      <c r="F17" s="59">
        <f t="shared" si="8"/>
        <v>45747</v>
      </c>
      <c r="G17" s="60">
        <v>14</v>
      </c>
      <c r="H17" s="60">
        <f t="shared" si="9"/>
        <v>75</v>
      </c>
      <c r="I17" s="61">
        <f>SUMIF(Pricing!$K:$K,A17,Pricing!$J:$J)</f>
        <v>14789.6580583125</v>
      </c>
      <c r="J17" s="61" t="str">
        <f>VLOOKUP(K17,'Color Code'!$A$2:$B$7,2,FALSE)</f>
        <v>Grey</v>
      </c>
      <c r="K17" s="87">
        <v>3</v>
      </c>
    </row>
    <row r="18" spans="1:11" ht="15.75">
      <c r="A18" s="75" t="s">
        <v>46</v>
      </c>
      <c r="B18" s="86" t="s">
        <v>47</v>
      </c>
      <c r="C18" s="58" t="s">
        <v>13</v>
      </c>
      <c r="D18" s="58" t="b">
        <f t="shared" si="2"/>
        <v>0</v>
      </c>
      <c r="E18" s="59">
        <f>E17</f>
        <v>45733</v>
      </c>
      <c r="F18" s="59">
        <f t="shared" si="8"/>
        <v>45747</v>
      </c>
      <c r="G18" s="60">
        <v>14</v>
      </c>
      <c r="H18" s="60">
        <f t="shared" si="9"/>
        <v>75</v>
      </c>
      <c r="I18" s="61">
        <f>SUMIF(Pricing!$K:$K,A18,Pricing!$J:$J)</f>
        <v>7394.8290291562498</v>
      </c>
      <c r="J18" s="61" t="str">
        <f>VLOOKUP(K18,'Color Code'!$A$2:$B$7,2,FALSE)</f>
        <v>Grey</v>
      </c>
      <c r="K18" s="87">
        <v>3</v>
      </c>
    </row>
    <row r="19" spans="1:11" ht="15.75">
      <c r="A19" s="75" t="s">
        <v>48</v>
      </c>
      <c r="B19" s="86" t="s">
        <v>49</v>
      </c>
      <c r="C19" s="58" t="s">
        <v>13</v>
      </c>
      <c r="D19" s="58" t="b">
        <f t="shared" si="2"/>
        <v>0</v>
      </c>
      <c r="E19" s="59">
        <f t="shared" ref="E19" si="10">F18</f>
        <v>45747</v>
      </c>
      <c r="F19" s="59">
        <f t="shared" si="8"/>
        <v>45761</v>
      </c>
      <c r="G19" s="60">
        <v>14</v>
      </c>
      <c r="H19" s="60">
        <f t="shared" si="9"/>
        <v>89</v>
      </c>
      <c r="I19" s="61">
        <f>SUMIF(Pricing!$K:$K,A19,Pricing!$J:$J)</f>
        <v>24194.829029156252</v>
      </c>
      <c r="J19" s="61" t="str">
        <f>VLOOKUP(K19,'Color Code'!$A$2:$B$7,2,FALSE)</f>
        <v>Grey</v>
      </c>
      <c r="K19" s="87">
        <v>3</v>
      </c>
    </row>
    <row r="20" spans="1:11" ht="15.75">
      <c r="A20" s="75" t="s">
        <v>50</v>
      </c>
      <c r="B20" s="86" t="s">
        <v>51</v>
      </c>
      <c r="C20" s="58" t="s">
        <v>52</v>
      </c>
      <c r="D20" s="58" t="b">
        <v>1</v>
      </c>
      <c r="E20" s="59">
        <f>F19</f>
        <v>45761</v>
      </c>
      <c r="F20" s="59">
        <f t="shared" si="8"/>
        <v>45775</v>
      </c>
      <c r="G20" s="60">
        <v>14</v>
      </c>
      <c r="H20" s="60">
        <f t="shared" si="9"/>
        <v>103</v>
      </c>
      <c r="I20" s="61">
        <f>SUMIF(Pricing!$K:$K,A20,Pricing!$J:$J)</f>
        <v>7394.8290291562498</v>
      </c>
      <c r="J20" s="61" t="str">
        <f>VLOOKUP(K20,'Color Code'!$A$2:$B$7,2,FALSE)</f>
        <v>Grey</v>
      </c>
      <c r="K20" s="87">
        <v>3</v>
      </c>
    </row>
    <row r="21" spans="1:11" ht="15.75">
      <c r="A21" s="75" t="s">
        <v>53</v>
      </c>
      <c r="B21" s="86" t="s">
        <v>54</v>
      </c>
      <c r="C21" s="58" t="s">
        <v>52</v>
      </c>
      <c r="D21" s="58" t="b">
        <v>1</v>
      </c>
      <c r="E21" s="59">
        <f>E20</f>
        <v>45761</v>
      </c>
      <c r="F21" s="59">
        <f>E21+G21</f>
        <v>45775</v>
      </c>
      <c r="G21" s="60">
        <v>14</v>
      </c>
      <c r="H21" s="60">
        <f>E21-$E$2</f>
        <v>103</v>
      </c>
      <c r="I21" s="61">
        <f>SUMIF(Pricing!$K:$K,A21,Pricing!$J:$J)</f>
        <v>0</v>
      </c>
      <c r="J21" s="61" t="str">
        <f>VLOOKUP(K21,'Color Code'!$A$2:$B$7,2,FALSE)</f>
        <v>Purple</v>
      </c>
      <c r="K21" s="87">
        <v>0</v>
      </c>
    </row>
    <row r="22" spans="1:11" ht="15.75">
      <c r="A22" s="74" t="s">
        <v>55</v>
      </c>
      <c r="B22" s="84" t="s">
        <v>56</v>
      </c>
      <c r="C22" s="54" t="str">
        <f>C21</f>
        <v>To Do</v>
      </c>
      <c r="D22" s="54" t="b">
        <v>0</v>
      </c>
      <c r="E22" s="55">
        <f>E21</f>
        <v>45761</v>
      </c>
      <c r="F22" s="55">
        <f>E22+G22</f>
        <v>45768</v>
      </c>
      <c r="G22" s="56">
        <v>7</v>
      </c>
      <c r="H22" s="56">
        <f>E22-$E$2</f>
        <v>103</v>
      </c>
      <c r="I22" s="57">
        <f>SUMIF(Pricing!$K:$K,A22,Pricing!$J:$J)</f>
        <v>0</v>
      </c>
      <c r="J22" s="57" t="str">
        <f>VLOOKUP(K22,'Color Code'!$A$2:$B$7,2,FALSE)</f>
        <v>Light Blue</v>
      </c>
      <c r="K22" s="85">
        <v>2</v>
      </c>
    </row>
    <row r="23" spans="1:11" ht="15.75">
      <c r="A23" s="74" t="s">
        <v>57</v>
      </c>
      <c r="B23" s="84" t="s">
        <v>58</v>
      </c>
      <c r="C23" s="54" t="str">
        <f>C22</f>
        <v>To Do</v>
      </c>
      <c r="D23" s="54" t="b">
        <v>0</v>
      </c>
      <c r="E23" s="55">
        <f>E22</f>
        <v>45761</v>
      </c>
      <c r="F23" s="55">
        <f>E23+G23</f>
        <v>45768</v>
      </c>
      <c r="G23" s="56">
        <v>7</v>
      </c>
      <c r="H23" s="56">
        <f>E23-$E$2</f>
        <v>103</v>
      </c>
      <c r="I23" s="57">
        <f>SUMIF(Pricing!$K:$K,A23,Pricing!$J:$J)</f>
        <v>0</v>
      </c>
      <c r="J23" s="57" t="str">
        <f>VLOOKUP(K23,'Color Code'!$A$2:$B$7,2,FALSE)</f>
        <v>Light Blue</v>
      </c>
      <c r="K23" s="85">
        <v>2</v>
      </c>
    </row>
    <row r="24" spans="1:11" ht="15.75">
      <c r="A24" s="74" t="s">
        <v>59</v>
      </c>
      <c r="B24" s="84" t="s">
        <v>60</v>
      </c>
      <c r="C24" s="54" t="s">
        <v>52</v>
      </c>
      <c r="D24" s="54" t="b">
        <f>D23</f>
        <v>0</v>
      </c>
      <c r="E24" s="55">
        <f>F23</f>
        <v>45768</v>
      </c>
      <c r="F24" s="55">
        <f>E24+G24</f>
        <v>45775</v>
      </c>
      <c r="G24" s="56">
        <v>7</v>
      </c>
      <c r="H24" s="56">
        <f>E24-$E$2</f>
        <v>110</v>
      </c>
      <c r="I24" s="57">
        <f>SUMIF(Pricing!$K:$K,A24,Pricing!$J:$J)</f>
        <v>0</v>
      </c>
      <c r="J24" s="57" t="str">
        <f>VLOOKUP(K24,'Color Code'!$A$2:$B$7,2,FALSE)</f>
        <v>Light Blue</v>
      </c>
      <c r="K24" s="85">
        <v>2</v>
      </c>
    </row>
    <row r="25" spans="1:11" ht="15.75">
      <c r="A25" s="74" t="s">
        <v>61</v>
      </c>
      <c r="B25" s="84" t="s">
        <v>62</v>
      </c>
      <c r="C25" s="54" t="str">
        <f>C24</f>
        <v>To Do</v>
      </c>
      <c r="D25" s="54" t="b">
        <f>D24</f>
        <v>0</v>
      </c>
      <c r="E25" s="55">
        <f>E24</f>
        <v>45768</v>
      </c>
      <c r="F25" s="55">
        <f>E25+G25</f>
        <v>45775</v>
      </c>
      <c r="G25" s="56">
        <v>7</v>
      </c>
      <c r="H25" s="56">
        <f>E25-$E$2</f>
        <v>110</v>
      </c>
      <c r="I25" s="57">
        <f>SUMIF(Pricing!$K:$K,A25,Pricing!$J:$J)</f>
        <v>0</v>
      </c>
      <c r="J25" s="57" t="str">
        <f>VLOOKUP(K25,'Color Code'!$A$2:$B$7,2,FALSE)</f>
        <v>Light Blue</v>
      </c>
      <c r="K25" s="85">
        <v>2</v>
      </c>
    </row>
    <row r="26" spans="1:11" ht="15.75">
      <c r="A26" s="74" t="s">
        <v>63</v>
      </c>
      <c r="B26" s="84" t="s">
        <v>64</v>
      </c>
      <c r="C26" s="54" t="s">
        <v>52</v>
      </c>
      <c r="D26" s="54" t="b">
        <v>0</v>
      </c>
      <c r="E26" s="55">
        <f>F25+1</f>
        <v>45776</v>
      </c>
      <c r="F26" s="55">
        <f t="shared" si="0"/>
        <v>45777</v>
      </c>
      <c r="G26" s="56">
        <v>1</v>
      </c>
      <c r="H26" s="56">
        <f t="shared" si="1"/>
        <v>118</v>
      </c>
      <c r="I26" s="57">
        <f>SUMIF(Pricing!$K:$K,A26,Pricing!$J:$J)</f>
        <v>0</v>
      </c>
      <c r="J26" s="57" t="str">
        <f>VLOOKUP(K26,'Color Code'!$A$2:$B$7,2,FALSE)</f>
        <v>Dark Blue</v>
      </c>
      <c r="K26" s="85">
        <v>1</v>
      </c>
    </row>
    <row r="27" spans="1:11" ht="15.75">
      <c r="A27" s="74" t="s">
        <v>65</v>
      </c>
      <c r="B27" s="84" t="s">
        <v>66</v>
      </c>
      <c r="C27" s="54" t="str">
        <f>C26</f>
        <v>To Do</v>
      </c>
      <c r="D27" s="54" t="b">
        <f t="shared" si="2"/>
        <v>0</v>
      </c>
      <c r="E27" s="55">
        <f>E26</f>
        <v>45776</v>
      </c>
      <c r="F27" s="55">
        <f t="shared" si="0"/>
        <v>45777</v>
      </c>
      <c r="G27" s="56">
        <v>1</v>
      </c>
      <c r="H27" s="56">
        <f t="shared" si="1"/>
        <v>118</v>
      </c>
      <c r="I27" s="57">
        <f>SUMIF(Pricing!$K:$K,A27,Pricing!$J:$J)</f>
        <v>0</v>
      </c>
      <c r="J27" s="57" t="str">
        <f>VLOOKUP(K27,'Color Code'!$A$2:$B$7,2,FALSE)</f>
        <v>Dark Blue</v>
      </c>
      <c r="K27" s="85">
        <v>1</v>
      </c>
    </row>
    <row r="28" spans="1:11" ht="15.75">
      <c r="A28" s="75" t="s">
        <v>67</v>
      </c>
      <c r="B28" s="86" t="s">
        <v>68</v>
      </c>
      <c r="C28" s="58" t="str">
        <f>C27</f>
        <v>To Do</v>
      </c>
      <c r="D28" s="58" t="b">
        <v>0</v>
      </c>
      <c r="E28" s="59">
        <f>F27</f>
        <v>45777</v>
      </c>
      <c r="F28" s="59">
        <f t="shared" si="0"/>
        <v>45778</v>
      </c>
      <c r="G28" s="60">
        <v>1</v>
      </c>
      <c r="H28" s="60">
        <f t="shared" si="1"/>
        <v>119</v>
      </c>
      <c r="I28" s="61">
        <f>SUMIF(Pricing!$K:$K,A28,Pricing!$J:$J)</f>
        <v>0</v>
      </c>
      <c r="J28" s="61" t="str">
        <f>VLOOKUP(K28,'Color Code'!$A$2:$B$7,2,FALSE)</f>
        <v>Dark Blue</v>
      </c>
      <c r="K28" s="87">
        <v>1</v>
      </c>
    </row>
    <row r="29" spans="1:11" ht="15.75">
      <c r="A29" s="75" t="s">
        <v>69</v>
      </c>
      <c r="B29" s="86" t="s">
        <v>70</v>
      </c>
      <c r="C29" s="58" t="str">
        <f t="shared" ref="C29:C91" si="11">C28</f>
        <v>To Do</v>
      </c>
      <c r="D29" s="58" t="b">
        <f t="shared" si="2"/>
        <v>0</v>
      </c>
      <c r="E29" s="59">
        <f t="shared" ref="E23:E80" si="12">F28</f>
        <v>45778</v>
      </c>
      <c r="F29" s="59">
        <f t="shared" si="0"/>
        <v>45779</v>
      </c>
      <c r="G29" s="60">
        <v>1</v>
      </c>
      <c r="H29" s="60">
        <f t="shared" si="1"/>
        <v>120</v>
      </c>
      <c r="I29" s="61">
        <f>SUMIF(Pricing!$K:$K,A29,Pricing!$J:$J)</f>
        <v>0</v>
      </c>
      <c r="J29" s="61" t="str">
        <f>VLOOKUP(K29,'Color Code'!$A$2:$B$7,2,FALSE)</f>
        <v>Grey</v>
      </c>
      <c r="K29" s="87">
        <v>3</v>
      </c>
    </row>
    <row r="30" spans="1:11" ht="15.75">
      <c r="A30" s="74" t="s">
        <v>71</v>
      </c>
      <c r="B30" s="84" t="s">
        <v>72</v>
      </c>
      <c r="C30" s="54" t="str">
        <f t="shared" si="11"/>
        <v>To Do</v>
      </c>
      <c r="D30" s="54" t="b">
        <f t="shared" si="2"/>
        <v>0</v>
      </c>
      <c r="E30" s="55">
        <f t="shared" si="12"/>
        <v>45779</v>
      </c>
      <c r="F30" s="55">
        <f t="shared" si="0"/>
        <v>45786</v>
      </c>
      <c r="G30" s="56">
        <v>7</v>
      </c>
      <c r="H30" s="56">
        <f t="shared" si="1"/>
        <v>121</v>
      </c>
      <c r="I30" s="57">
        <f>SUMIF(Pricing!$K:$K,A30,Pricing!$J:$J)</f>
        <v>34812.960000000006</v>
      </c>
      <c r="J30" s="57" t="str">
        <f>VLOOKUP(K30,'Color Code'!$A$2:$B$7,2,FALSE)</f>
        <v>Cyan</v>
      </c>
      <c r="K30" s="85">
        <v>5</v>
      </c>
    </row>
    <row r="31" spans="1:11" ht="15.75">
      <c r="A31" s="74" t="s">
        <v>73</v>
      </c>
      <c r="B31" s="84" t="s">
        <v>74</v>
      </c>
      <c r="C31" s="54" t="str">
        <f t="shared" si="11"/>
        <v>To Do</v>
      </c>
      <c r="D31" s="54" t="b">
        <f t="shared" si="2"/>
        <v>0</v>
      </c>
      <c r="E31" s="55">
        <f>E30</f>
        <v>45779</v>
      </c>
      <c r="F31" s="55">
        <f t="shared" si="0"/>
        <v>45786</v>
      </c>
      <c r="G31" s="56">
        <f>G30</f>
        <v>7</v>
      </c>
      <c r="H31" s="56">
        <f t="shared" si="1"/>
        <v>121</v>
      </c>
      <c r="I31" s="57">
        <f>SUMIF(Pricing!$K:$K,A31,Pricing!$J:$J)</f>
        <v>138972.67000000001</v>
      </c>
      <c r="J31" s="57" t="str">
        <f>VLOOKUP(K31,'Color Code'!$A$2:$B$7,2,FALSE)</f>
        <v>Cyan</v>
      </c>
      <c r="K31" s="85">
        <v>5</v>
      </c>
    </row>
    <row r="32" spans="1:11" ht="15.75">
      <c r="A32" s="74" t="s">
        <v>75</v>
      </c>
      <c r="B32" s="84" t="s">
        <v>76</v>
      </c>
      <c r="C32" s="54" t="str">
        <f t="shared" si="11"/>
        <v>To Do</v>
      </c>
      <c r="D32" s="54" t="b">
        <f t="shared" si="2"/>
        <v>0</v>
      </c>
      <c r="E32" s="55">
        <f>E31</f>
        <v>45779</v>
      </c>
      <c r="F32" s="55">
        <f t="shared" ref="F32" si="13">E32+G32</f>
        <v>45786</v>
      </c>
      <c r="G32" s="56">
        <f t="shared" ref="G32:G37" si="14">G31</f>
        <v>7</v>
      </c>
      <c r="H32" s="56">
        <f t="shared" ref="H32" si="15">E32-$E$2</f>
        <v>121</v>
      </c>
      <c r="I32" s="57">
        <f>SUMIF(Pricing!$K:$K,A32,Pricing!$J:$J)</f>
        <v>0</v>
      </c>
      <c r="J32" s="57" t="str">
        <f>VLOOKUP(K32,'Color Code'!$A$2:$B$7,2,FALSE)</f>
        <v>Cyan</v>
      </c>
      <c r="K32" s="85">
        <v>5</v>
      </c>
    </row>
    <row r="33" spans="1:11" ht="15.75">
      <c r="A33" s="74" t="s">
        <v>77</v>
      </c>
      <c r="B33" s="84" t="s">
        <v>78</v>
      </c>
      <c r="C33" s="54" t="str">
        <f t="shared" si="11"/>
        <v>To Do</v>
      </c>
      <c r="D33" s="54" t="b">
        <f t="shared" si="2"/>
        <v>0</v>
      </c>
      <c r="E33" s="55">
        <f>E32</f>
        <v>45779</v>
      </c>
      <c r="F33" s="55">
        <f t="shared" ref="F33:F36" si="16">E33+G33</f>
        <v>45786</v>
      </c>
      <c r="G33" s="56">
        <f t="shared" si="14"/>
        <v>7</v>
      </c>
      <c r="H33" s="56">
        <f t="shared" ref="H33:H36" si="17">E33-$E$2</f>
        <v>121</v>
      </c>
      <c r="I33" s="57">
        <f>SUMIF(Pricing!$K:$K,A33,Pricing!$J:$J)</f>
        <v>0</v>
      </c>
      <c r="J33" s="57" t="str">
        <f>VLOOKUP(K33,'Color Code'!$A$2:$B$7,2,FALSE)</f>
        <v>Cyan</v>
      </c>
      <c r="K33" s="85">
        <v>5</v>
      </c>
    </row>
    <row r="34" spans="1:11" ht="15.75">
      <c r="A34" s="74" t="s">
        <v>79</v>
      </c>
      <c r="B34" s="84" t="s">
        <v>80</v>
      </c>
      <c r="C34" s="54" t="str">
        <f t="shared" si="11"/>
        <v>To Do</v>
      </c>
      <c r="D34" s="54" t="b">
        <f t="shared" si="2"/>
        <v>0</v>
      </c>
      <c r="E34" s="55">
        <f>E33</f>
        <v>45779</v>
      </c>
      <c r="F34" s="55">
        <f t="shared" si="16"/>
        <v>45786</v>
      </c>
      <c r="G34" s="56">
        <f t="shared" si="14"/>
        <v>7</v>
      </c>
      <c r="H34" s="56">
        <f t="shared" si="17"/>
        <v>121</v>
      </c>
      <c r="I34" s="57">
        <f>SUMIF(Pricing!$K:$K,A34,Pricing!$J:$J)</f>
        <v>0</v>
      </c>
      <c r="J34" s="57" t="str">
        <f>VLOOKUP(K34,'Color Code'!$A$2:$B$7,2,FALSE)</f>
        <v>Cyan</v>
      </c>
      <c r="K34" s="85">
        <v>5</v>
      </c>
    </row>
    <row r="35" spans="1:11" ht="15.75">
      <c r="A35" s="74" t="s">
        <v>81</v>
      </c>
      <c r="B35" s="84" t="s">
        <v>82</v>
      </c>
      <c r="C35" s="54" t="str">
        <f t="shared" si="11"/>
        <v>To Do</v>
      </c>
      <c r="D35" s="54" t="b">
        <f t="shared" si="2"/>
        <v>0</v>
      </c>
      <c r="E35" s="55">
        <f>E34</f>
        <v>45779</v>
      </c>
      <c r="F35" s="55">
        <f t="shared" si="16"/>
        <v>45786</v>
      </c>
      <c r="G35" s="56">
        <f t="shared" si="14"/>
        <v>7</v>
      </c>
      <c r="H35" s="56">
        <f t="shared" si="17"/>
        <v>121</v>
      </c>
      <c r="I35" s="57">
        <f>SUMIF(Pricing!$K:$K,A35,Pricing!$J:$J)</f>
        <v>8258.5049999999992</v>
      </c>
      <c r="J35" s="57" t="str">
        <f>VLOOKUP(K35,'Color Code'!$A$2:$B$7,2,FALSE)</f>
        <v>Cyan</v>
      </c>
      <c r="K35" s="85">
        <v>5</v>
      </c>
    </row>
    <row r="36" spans="1:11" ht="15.75">
      <c r="A36" s="74" t="s">
        <v>83</v>
      </c>
      <c r="B36" s="84" t="s">
        <v>84</v>
      </c>
      <c r="C36" s="54" t="str">
        <f t="shared" si="11"/>
        <v>To Do</v>
      </c>
      <c r="D36" s="54" t="b">
        <f t="shared" si="2"/>
        <v>0</v>
      </c>
      <c r="E36" s="55">
        <f>E35</f>
        <v>45779</v>
      </c>
      <c r="F36" s="55">
        <f t="shared" si="16"/>
        <v>45786</v>
      </c>
      <c r="G36" s="56">
        <f t="shared" si="14"/>
        <v>7</v>
      </c>
      <c r="H36" s="56">
        <f t="shared" si="17"/>
        <v>121</v>
      </c>
      <c r="I36" s="57">
        <f>SUMIF(Pricing!$K:$K,A36,Pricing!$J:$J)</f>
        <v>4726.84</v>
      </c>
      <c r="J36" s="57" t="str">
        <f>VLOOKUP(K36,'Color Code'!$A$2:$B$7,2,FALSE)</f>
        <v>Cyan</v>
      </c>
      <c r="K36" s="85">
        <v>5</v>
      </c>
    </row>
    <row r="37" spans="1:11" ht="15.75">
      <c r="A37" s="74" t="s">
        <v>85</v>
      </c>
      <c r="B37" s="84" t="s">
        <v>86</v>
      </c>
      <c r="C37" s="54" t="str">
        <f>C35</f>
        <v>To Do</v>
      </c>
      <c r="D37" s="54" t="b">
        <f>D35</f>
        <v>0</v>
      </c>
      <c r="E37" s="55">
        <f>E36</f>
        <v>45779</v>
      </c>
      <c r="F37" s="55">
        <f t="shared" ref="F37" si="18">E37+G37</f>
        <v>45786</v>
      </c>
      <c r="G37" s="56">
        <f t="shared" si="14"/>
        <v>7</v>
      </c>
      <c r="H37" s="56">
        <f t="shared" ref="H37" si="19">E37-$E$2</f>
        <v>121</v>
      </c>
      <c r="I37" s="57">
        <f>SUMIF(Pricing!$K:$K,A37,Pricing!$J:$J)</f>
        <v>922.2</v>
      </c>
      <c r="J37" s="57" t="str">
        <f>VLOOKUP(K37,'Color Code'!$A$2:$B$7,2,FALSE)</f>
        <v>Cyan</v>
      </c>
      <c r="K37" s="85">
        <v>5</v>
      </c>
    </row>
    <row r="38" spans="1:11" ht="15.75">
      <c r="A38" s="74" t="s">
        <v>87</v>
      </c>
      <c r="B38" s="84" t="s">
        <v>88</v>
      </c>
      <c r="C38" s="54" t="str">
        <f t="shared" si="11"/>
        <v>To Do</v>
      </c>
      <c r="D38" s="54" t="b">
        <f t="shared" si="2"/>
        <v>0</v>
      </c>
      <c r="E38" s="55">
        <f t="shared" ref="E38" si="20">F37</f>
        <v>45786</v>
      </c>
      <c r="F38" s="55">
        <f t="shared" ref="F38" si="21">E38+G38</f>
        <v>45787</v>
      </c>
      <c r="G38" s="56">
        <v>1</v>
      </c>
      <c r="H38" s="56">
        <f t="shared" ref="H38" si="22">E38-$E$2</f>
        <v>128</v>
      </c>
      <c r="I38" s="57">
        <f>SUMIF(Pricing!$K:$K,A38,Pricing!$J:$J)</f>
        <v>0</v>
      </c>
      <c r="J38" s="57" t="s">
        <v>89</v>
      </c>
      <c r="K38" s="85">
        <v>4</v>
      </c>
    </row>
    <row r="39" spans="1:11" ht="15.75">
      <c r="A39" s="74" t="s">
        <v>90</v>
      </c>
      <c r="B39" s="84" t="s">
        <v>91</v>
      </c>
      <c r="C39" s="54" t="str">
        <f>C35</f>
        <v>To Do</v>
      </c>
      <c r="D39" s="54" t="b">
        <f>D35</f>
        <v>0</v>
      </c>
      <c r="E39" s="55">
        <f>F38+1</f>
        <v>45788</v>
      </c>
      <c r="F39" s="55">
        <f t="shared" si="0"/>
        <v>45802</v>
      </c>
      <c r="G39" s="56">
        <v>14</v>
      </c>
      <c r="H39" s="56">
        <f t="shared" si="1"/>
        <v>130</v>
      </c>
      <c r="I39" s="57">
        <f>SUMIF(Pricing!$K:$K,A39,Pricing!$J:$J)</f>
        <v>0</v>
      </c>
      <c r="J39" s="57" t="str">
        <f>VLOOKUP(K39,'Color Code'!$A$2:$B$7,2,FALSE)</f>
        <v>Blue</v>
      </c>
      <c r="K39" s="85">
        <v>4</v>
      </c>
    </row>
    <row r="40" spans="1:11" ht="15.75">
      <c r="A40" s="74" t="s">
        <v>92</v>
      </c>
      <c r="B40" s="84" t="s">
        <v>93</v>
      </c>
      <c r="C40" s="54" t="str">
        <f t="shared" si="11"/>
        <v>To Do</v>
      </c>
      <c r="D40" s="54" t="b">
        <f t="shared" si="2"/>
        <v>0</v>
      </c>
      <c r="E40" s="55">
        <f>E39</f>
        <v>45788</v>
      </c>
      <c r="F40" s="55">
        <f t="shared" si="0"/>
        <v>45809</v>
      </c>
      <c r="G40" s="56">
        <v>21</v>
      </c>
      <c r="H40" s="56">
        <f t="shared" si="1"/>
        <v>130</v>
      </c>
      <c r="I40" s="57">
        <f>SUMIF(Pricing!$K:$K,A40,Pricing!$J:$J)</f>
        <v>45738</v>
      </c>
      <c r="J40" s="57" t="str">
        <f>VLOOKUP(K40,'Color Code'!$A$2:$B$7,2,FALSE)</f>
        <v>Blue</v>
      </c>
      <c r="K40" s="85">
        <v>4</v>
      </c>
    </row>
    <row r="41" spans="1:11" ht="15.75">
      <c r="A41" s="74" t="s">
        <v>94</v>
      </c>
      <c r="B41" s="84" t="s">
        <v>95</v>
      </c>
      <c r="C41" s="54" t="str">
        <f t="shared" si="11"/>
        <v>To Do</v>
      </c>
      <c r="D41" s="54" t="b">
        <f t="shared" si="2"/>
        <v>0</v>
      </c>
      <c r="E41" s="55">
        <f>F40</f>
        <v>45809</v>
      </c>
      <c r="F41" s="55">
        <f t="shared" si="0"/>
        <v>45830</v>
      </c>
      <c r="G41" s="56">
        <v>21</v>
      </c>
      <c r="H41" s="56">
        <f t="shared" si="1"/>
        <v>151</v>
      </c>
      <c r="I41" s="57">
        <f>SUMIF(Pricing!$K:$K,A41,Pricing!$J:$J)</f>
        <v>0</v>
      </c>
      <c r="J41" s="57" t="str">
        <f>VLOOKUP(K41,'Color Code'!$A$2:$B$7,2,FALSE)</f>
        <v>Blue</v>
      </c>
      <c r="K41" s="85">
        <v>4</v>
      </c>
    </row>
    <row r="42" spans="1:11" ht="15.75">
      <c r="A42" s="74" t="s">
        <v>96</v>
      </c>
      <c r="B42" s="84" t="s">
        <v>97</v>
      </c>
      <c r="C42" s="54" t="str">
        <f t="shared" si="11"/>
        <v>To Do</v>
      </c>
      <c r="D42" s="54" t="b">
        <f t="shared" si="2"/>
        <v>0</v>
      </c>
      <c r="E42" s="55">
        <f t="shared" si="12"/>
        <v>45830</v>
      </c>
      <c r="F42" s="55">
        <f t="shared" si="0"/>
        <v>45831</v>
      </c>
      <c r="G42" s="56">
        <v>1</v>
      </c>
      <c r="H42" s="56">
        <f t="shared" si="1"/>
        <v>172</v>
      </c>
      <c r="I42" s="57">
        <f>SUMIF(Pricing!$K:$K,A42,Pricing!$J:$J)</f>
        <v>15605.1</v>
      </c>
      <c r="J42" s="57" t="str">
        <f>VLOOKUP(K42,'Color Code'!$A$2:$B$7,2,FALSE)</f>
        <v>Blue</v>
      </c>
      <c r="K42" s="85">
        <v>4</v>
      </c>
    </row>
    <row r="43" spans="1:11" ht="15.75">
      <c r="A43" s="74" t="s">
        <v>98</v>
      </c>
      <c r="B43" s="84" t="s">
        <v>99</v>
      </c>
      <c r="C43" s="54" t="str">
        <f t="shared" si="11"/>
        <v>To Do</v>
      </c>
      <c r="D43" s="54" t="b">
        <f t="shared" si="2"/>
        <v>0</v>
      </c>
      <c r="E43" s="55">
        <f>E42</f>
        <v>45830</v>
      </c>
      <c r="F43" s="55">
        <f t="shared" si="0"/>
        <v>45844</v>
      </c>
      <c r="G43" s="56">
        <v>14</v>
      </c>
      <c r="H43" s="56">
        <f t="shared" si="1"/>
        <v>172</v>
      </c>
      <c r="I43" s="57">
        <f>SUMIF(Pricing!$K:$K,A43,Pricing!$J:$J)</f>
        <v>0</v>
      </c>
      <c r="J43" s="57" t="str">
        <f>VLOOKUP(K43,'Color Code'!$A$2:$B$7,2,FALSE)</f>
        <v>Blue</v>
      </c>
      <c r="K43" s="85">
        <v>4</v>
      </c>
    </row>
    <row r="44" spans="1:11" ht="15.75">
      <c r="A44" s="74" t="s">
        <v>100</v>
      </c>
      <c r="B44" s="84" t="s">
        <v>101</v>
      </c>
      <c r="C44" s="54" t="str">
        <f t="shared" si="11"/>
        <v>To Do</v>
      </c>
      <c r="D44" s="54" t="b">
        <f t="shared" si="2"/>
        <v>0</v>
      </c>
      <c r="E44" s="55">
        <f>E43</f>
        <v>45830</v>
      </c>
      <c r="F44" s="55">
        <f t="shared" si="0"/>
        <v>45832</v>
      </c>
      <c r="G44" s="56">
        <v>2</v>
      </c>
      <c r="H44" s="56">
        <f t="shared" si="1"/>
        <v>172</v>
      </c>
      <c r="I44" s="57">
        <f>SUMIF(Pricing!$K:$K,A44,Pricing!$J:$J)</f>
        <v>54855</v>
      </c>
      <c r="J44" s="57" t="str">
        <f>VLOOKUP(K44,'Color Code'!$A$2:$B$7,2,FALSE)</f>
        <v>Blue</v>
      </c>
      <c r="K44" s="85">
        <v>4</v>
      </c>
    </row>
    <row r="45" spans="1:11" ht="15.75">
      <c r="A45" s="75" t="s">
        <v>102</v>
      </c>
      <c r="B45" s="86" t="s">
        <v>103</v>
      </c>
      <c r="C45" s="58" t="str">
        <f t="shared" si="11"/>
        <v>To Do</v>
      </c>
      <c r="D45" s="58" t="b">
        <f t="shared" si="2"/>
        <v>0</v>
      </c>
      <c r="E45" s="59">
        <f t="shared" ref="E45" si="23">F44</f>
        <v>45832</v>
      </c>
      <c r="F45" s="59">
        <f t="shared" ref="F45" si="24">E45+G45</f>
        <v>45833</v>
      </c>
      <c r="G45" s="60">
        <v>1</v>
      </c>
      <c r="H45" s="60">
        <f t="shared" ref="H45" si="25">E45-$E$2</f>
        <v>174</v>
      </c>
      <c r="I45" s="61">
        <f>SUMIF(Pricing!$K:$K,A45,Pricing!$J:$J)</f>
        <v>0</v>
      </c>
      <c r="J45" s="61" t="str">
        <f>VLOOKUP(K45,'Color Code'!$A$2:$B$7,2,FALSE)</f>
        <v>Grey</v>
      </c>
      <c r="K45" s="87">
        <v>3</v>
      </c>
    </row>
    <row r="46" spans="1:11" ht="15.75">
      <c r="A46" s="74" t="s">
        <v>104</v>
      </c>
      <c r="B46" s="84" t="s">
        <v>105</v>
      </c>
      <c r="C46" s="54" t="str">
        <f>C44</f>
        <v>To Do</v>
      </c>
      <c r="D46" s="54" t="b">
        <f>D44</f>
        <v>0</v>
      </c>
      <c r="E46" s="55">
        <f>F44</f>
        <v>45832</v>
      </c>
      <c r="F46" s="55">
        <f t="shared" si="0"/>
        <v>45839</v>
      </c>
      <c r="G46" s="56">
        <v>7</v>
      </c>
      <c r="H46" s="56">
        <f t="shared" si="1"/>
        <v>174</v>
      </c>
      <c r="I46" s="57">
        <f>SUMIF(Pricing!$K:$K,A46,Pricing!$J:$J)</f>
        <v>0</v>
      </c>
      <c r="J46" s="57" t="str">
        <f>VLOOKUP(K46,'Color Code'!$A$2:$B$7,2,FALSE)</f>
        <v>Blue</v>
      </c>
      <c r="K46" s="85">
        <v>4</v>
      </c>
    </row>
    <row r="47" spans="1:11" ht="15.75">
      <c r="A47" s="74" t="s">
        <v>106</v>
      </c>
      <c r="B47" s="84" t="s">
        <v>107</v>
      </c>
      <c r="C47" s="54" t="str">
        <f t="shared" si="11"/>
        <v>To Do</v>
      </c>
      <c r="D47" s="54" t="b">
        <f t="shared" si="2"/>
        <v>0</v>
      </c>
      <c r="E47" s="55">
        <f t="shared" si="12"/>
        <v>45839</v>
      </c>
      <c r="F47" s="55">
        <f t="shared" si="0"/>
        <v>45846</v>
      </c>
      <c r="G47" s="56">
        <v>7</v>
      </c>
      <c r="H47" s="56">
        <f t="shared" si="1"/>
        <v>181</v>
      </c>
      <c r="I47" s="57">
        <f>SUMIF(Pricing!$K:$K,A47,Pricing!$J:$J)</f>
        <v>18560</v>
      </c>
      <c r="J47" s="57" t="str">
        <f>VLOOKUP(K47,'Color Code'!$A$2:$B$7,2,FALSE)</f>
        <v>Blue</v>
      </c>
      <c r="K47" s="85">
        <v>4</v>
      </c>
    </row>
    <row r="48" spans="1:11" ht="15.75">
      <c r="A48" s="74" t="s">
        <v>108</v>
      </c>
      <c r="B48" s="84" t="s">
        <v>109</v>
      </c>
      <c r="C48" s="54" t="str">
        <f t="shared" si="11"/>
        <v>To Do</v>
      </c>
      <c r="D48" s="54" t="b">
        <f t="shared" si="2"/>
        <v>0</v>
      </c>
      <c r="E48" s="55">
        <f t="shared" si="12"/>
        <v>45846</v>
      </c>
      <c r="F48" s="55">
        <f t="shared" si="0"/>
        <v>45853</v>
      </c>
      <c r="G48" s="56">
        <v>7</v>
      </c>
      <c r="H48" s="56">
        <f t="shared" si="1"/>
        <v>188</v>
      </c>
      <c r="I48" s="57">
        <f>SUMIF(Pricing!$K:$K,A48,Pricing!$J:$J)</f>
        <v>0</v>
      </c>
      <c r="J48" s="57" t="str">
        <f>VLOOKUP(K48,'Color Code'!$A$2:$B$7,2,FALSE)</f>
        <v>Blue</v>
      </c>
      <c r="K48" s="85">
        <v>4</v>
      </c>
    </row>
    <row r="49" spans="1:11" ht="15.75">
      <c r="A49" s="75" t="s">
        <v>110</v>
      </c>
      <c r="B49" s="86" t="s">
        <v>111</v>
      </c>
      <c r="C49" s="58" t="str">
        <f t="shared" si="11"/>
        <v>To Do</v>
      </c>
      <c r="D49" s="58" t="b">
        <f t="shared" si="2"/>
        <v>0</v>
      </c>
      <c r="E49" s="59">
        <f t="shared" si="12"/>
        <v>45853</v>
      </c>
      <c r="F49" s="59">
        <f t="shared" si="0"/>
        <v>45854</v>
      </c>
      <c r="G49" s="60">
        <v>1</v>
      </c>
      <c r="H49" s="60">
        <f t="shared" si="1"/>
        <v>195</v>
      </c>
      <c r="I49" s="61">
        <f>SUMIF(Pricing!$K:$K,A49,Pricing!$J:$J)</f>
        <v>0</v>
      </c>
      <c r="J49" s="61" t="str">
        <f>VLOOKUP(K49,'Color Code'!$A$2:$B$7,2,FALSE)</f>
        <v>Grey</v>
      </c>
      <c r="K49" s="87">
        <v>3</v>
      </c>
    </row>
    <row r="50" spans="1:11" ht="15.75">
      <c r="A50" s="75" t="s">
        <v>112</v>
      </c>
      <c r="B50" s="86" t="s">
        <v>113</v>
      </c>
      <c r="C50" s="58" t="str">
        <f t="shared" si="11"/>
        <v>To Do</v>
      </c>
      <c r="D50" s="58" t="b">
        <f t="shared" si="2"/>
        <v>0</v>
      </c>
      <c r="E50" s="59">
        <f t="shared" ref="E50" si="26">F49</f>
        <v>45854</v>
      </c>
      <c r="F50" s="59">
        <f t="shared" ref="F50" si="27">E50+G50</f>
        <v>45855</v>
      </c>
      <c r="G50" s="60">
        <v>1</v>
      </c>
      <c r="H50" s="60">
        <f t="shared" ref="H50" si="28">E50-$E$2</f>
        <v>196</v>
      </c>
      <c r="I50" s="61">
        <f>SUMIF(Pricing!$K:$K,A50,Pricing!$J:$J)</f>
        <v>0</v>
      </c>
      <c r="J50" s="61" t="str">
        <f>VLOOKUP(K50,'Color Code'!$A$2:$B$7,2,FALSE)</f>
        <v>Grey</v>
      </c>
      <c r="K50" s="87">
        <v>3</v>
      </c>
    </row>
    <row r="51" spans="1:11" ht="15.75">
      <c r="A51" s="74" t="s">
        <v>114</v>
      </c>
      <c r="B51" s="84" t="s">
        <v>115</v>
      </c>
      <c r="C51" s="54" t="str">
        <f>C49</f>
        <v>To Do</v>
      </c>
      <c r="D51" s="54" t="b">
        <f>D49</f>
        <v>0</v>
      </c>
      <c r="E51" s="55">
        <f>F49</f>
        <v>45854</v>
      </c>
      <c r="F51" s="55">
        <f t="shared" si="0"/>
        <v>45861</v>
      </c>
      <c r="G51" s="56">
        <v>7</v>
      </c>
      <c r="H51" s="56">
        <f t="shared" si="1"/>
        <v>196</v>
      </c>
      <c r="I51" s="57">
        <f>SUMIF(Pricing!$K:$K,A51,Pricing!$J:$J)</f>
        <v>11332.2</v>
      </c>
      <c r="J51" s="57" t="str">
        <f>VLOOKUP(K51,'Color Code'!$A$2:$B$7,2,FALSE)</f>
        <v>Blue</v>
      </c>
      <c r="K51" s="85">
        <v>4</v>
      </c>
    </row>
    <row r="52" spans="1:11" ht="15.75">
      <c r="A52" s="74" t="s">
        <v>116</v>
      </c>
      <c r="B52" s="84" t="s">
        <v>117</v>
      </c>
      <c r="C52" s="54" t="str">
        <f t="shared" si="11"/>
        <v>To Do</v>
      </c>
      <c r="D52" s="54" t="b">
        <f t="shared" si="2"/>
        <v>0</v>
      </c>
      <c r="E52" s="55">
        <f t="shared" si="12"/>
        <v>45861</v>
      </c>
      <c r="F52" s="55">
        <f t="shared" si="0"/>
        <v>45868</v>
      </c>
      <c r="G52" s="56">
        <v>7</v>
      </c>
      <c r="H52" s="56">
        <f t="shared" si="1"/>
        <v>203</v>
      </c>
      <c r="I52" s="57">
        <f>SUMIF(Pricing!$K:$K,A52,Pricing!$J:$J)</f>
        <v>17671.400000000001</v>
      </c>
      <c r="J52" s="57" t="str">
        <f>VLOOKUP(K52,'Color Code'!$A$2:$B$7,2,FALSE)</f>
        <v>Blue</v>
      </c>
      <c r="K52" s="85">
        <v>4</v>
      </c>
    </row>
    <row r="53" spans="1:11" ht="15.75">
      <c r="A53" s="74" t="s">
        <v>118</v>
      </c>
      <c r="B53" s="84" t="s">
        <v>119</v>
      </c>
      <c r="C53" s="54" t="str">
        <f t="shared" si="11"/>
        <v>To Do</v>
      </c>
      <c r="D53" s="54" t="b">
        <f t="shared" si="2"/>
        <v>0</v>
      </c>
      <c r="E53" s="55">
        <f t="shared" si="12"/>
        <v>45868</v>
      </c>
      <c r="F53" s="55">
        <f t="shared" si="0"/>
        <v>45875</v>
      </c>
      <c r="G53" s="56">
        <v>7</v>
      </c>
      <c r="H53" s="56">
        <f t="shared" si="1"/>
        <v>210</v>
      </c>
      <c r="I53" s="57">
        <f>SUMIF(Pricing!$K:$K,A53,Pricing!$J:$J)</f>
        <v>5114</v>
      </c>
      <c r="J53" s="57" t="str">
        <f>VLOOKUP(K53,'Color Code'!$A$2:$B$7,2,FALSE)</f>
        <v>Blue</v>
      </c>
      <c r="K53" s="85">
        <v>4</v>
      </c>
    </row>
    <row r="54" spans="1:11" ht="15.75">
      <c r="A54" s="74" t="s">
        <v>120</v>
      </c>
      <c r="B54" s="84" t="s">
        <v>121</v>
      </c>
      <c r="C54" s="54" t="str">
        <f t="shared" si="11"/>
        <v>To Do</v>
      </c>
      <c r="D54" s="54" t="b">
        <f t="shared" si="2"/>
        <v>0</v>
      </c>
      <c r="E54" s="55">
        <f t="shared" si="12"/>
        <v>45875</v>
      </c>
      <c r="F54" s="55">
        <f t="shared" si="0"/>
        <v>45882</v>
      </c>
      <c r="G54" s="56">
        <v>7</v>
      </c>
      <c r="H54" s="56">
        <f t="shared" si="1"/>
        <v>217</v>
      </c>
      <c r="I54" s="57">
        <f>SUMIF(Pricing!$K:$K,A54,Pricing!$J:$J)</f>
        <v>1161</v>
      </c>
      <c r="J54" s="57" t="str">
        <f>VLOOKUP(K54,'Color Code'!$A$2:$B$7,2,FALSE)</f>
        <v>Blue</v>
      </c>
      <c r="K54" s="85">
        <v>4</v>
      </c>
    </row>
    <row r="55" spans="1:11" ht="15.75">
      <c r="A55" s="75" t="s">
        <v>122</v>
      </c>
      <c r="B55" s="86" t="s">
        <v>123</v>
      </c>
      <c r="C55" s="58" t="str">
        <f>C60</f>
        <v>To Do</v>
      </c>
      <c r="D55" s="58" t="b">
        <f>D60</f>
        <v>0</v>
      </c>
      <c r="E55" s="59">
        <f>F54+1</f>
        <v>45883</v>
      </c>
      <c r="F55" s="59">
        <f>E55+G55</f>
        <v>45884</v>
      </c>
      <c r="G55" s="60">
        <v>1</v>
      </c>
      <c r="H55" s="60">
        <f>E55-$E$2</f>
        <v>225</v>
      </c>
      <c r="I55" s="61">
        <f>SUMIF(Pricing!$K:$K,A55,Pricing!$J:$J)</f>
        <v>0</v>
      </c>
      <c r="J55" s="61" t="str">
        <f>VLOOKUP(K55,'Color Code'!$A$2:$B$7,2,FALSE)</f>
        <v>Grey</v>
      </c>
      <c r="K55" s="87">
        <v>3</v>
      </c>
    </row>
    <row r="56" spans="1:11" ht="15.75">
      <c r="A56" s="74" t="s">
        <v>124</v>
      </c>
      <c r="B56" s="84" t="s">
        <v>125</v>
      </c>
      <c r="C56" s="54" t="str">
        <f>C54</f>
        <v>To Do</v>
      </c>
      <c r="D56" s="54" t="b">
        <f>D54</f>
        <v>0</v>
      </c>
      <c r="E56" s="55">
        <f>F54</f>
        <v>45882</v>
      </c>
      <c r="F56" s="55">
        <f t="shared" si="0"/>
        <v>45889</v>
      </c>
      <c r="G56" s="56">
        <v>7</v>
      </c>
      <c r="H56" s="56">
        <f t="shared" si="1"/>
        <v>224</v>
      </c>
      <c r="I56" s="57">
        <f>SUMIF(Pricing!$K:$K,A56,Pricing!$J:$J)</f>
        <v>23182</v>
      </c>
      <c r="J56" s="57" t="str">
        <f>VLOOKUP(K56,'Color Code'!$A$2:$B$7,2,FALSE)</f>
        <v>Blue</v>
      </c>
      <c r="K56" s="85">
        <v>4</v>
      </c>
    </row>
    <row r="57" spans="1:11" ht="15.75">
      <c r="A57" s="74" t="s">
        <v>126</v>
      </c>
      <c r="B57" s="84" t="s">
        <v>127</v>
      </c>
      <c r="C57" s="54" t="str">
        <f t="shared" si="11"/>
        <v>To Do</v>
      </c>
      <c r="D57" s="54" t="b">
        <f t="shared" si="2"/>
        <v>0</v>
      </c>
      <c r="E57" s="55">
        <f t="shared" si="12"/>
        <v>45889</v>
      </c>
      <c r="F57" s="55">
        <f t="shared" si="0"/>
        <v>45903</v>
      </c>
      <c r="G57" s="56">
        <v>14</v>
      </c>
      <c r="H57" s="56">
        <f t="shared" si="1"/>
        <v>231</v>
      </c>
      <c r="I57" s="57">
        <f>SUMIF(Pricing!$K:$K,A57,Pricing!$J:$J)</f>
        <v>10380</v>
      </c>
      <c r="J57" s="57" t="str">
        <f>VLOOKUP(K57,'Color Code'!$A$2:$B$7,2,FALSE)</f>
        <v>Blue</v>
      </c>
      <c r="K57" s="85">
        <v>4</v>
      </c>
    </row>
    <row r="58" spans="1:11" ht="15.75">
      <c r="A58" s="74" t="s">
        <v>128</v>
      </c>
      <c r="B58" s="84" t="s">
        <v>129</v>
      </c>
      <c r="C58" s="54" t="str">
        <f t="shared" si="11"/>
        <v>To Do</v>
      </c>
      <c r="D58" s="54" t="b">
        <f t="shared" si="2"/>
        <v>0</v>
      </c>
      <c r="E58" s="55">
        <f t="shared" si="12"/>
        <v>45903</v>
      </c>
      <c r="F58" s="55">
        <f t="shared" si="0"/>
        <v>45917</v>
      </c>
      <c r="G58" s="56">
        <v>14</v>
      </c>
      <c r="H58" s="56">
        <f t="shared" si="1"/>
        <v>245</v>
      </c>
      <c r="I58" s="57">
        <f>SUMIF(Pricing!$K:$K,A58,Pricing!$J:$J)</f>
        <v>85341.89</v>
      </c>
      <c r="J58" s="57" t="str">
        <f>VLOOKUP(K58,'Color Code'!$A$2:$B$7,2,FALSE)</f>
        <v>Blue</v>
      </c>
      <c r="K58" s="85">
        <v>4</v>
      </c>
    </row>
    <row r="59" spans="1:11" ht="15.75">
      <c r="A59" s="75" t="s">
        <v>130</v>
      </c>
      <c r="B59" s="86" t="s">
        <v>131</v>
      </c>
      <c r="C59" s="58" t="str">
        <f>C80</f>
        <v>To Do</v>
      </c>
      <c r="D59" s="58" t="b">
        <f>D80</f>
        <v>0</v>
      </c>
      <c r="E59" s="59">
        <f>F58</f>
        <v>45917</v>
      </c>
      <c r="F59" s="59">
        <f>E59+G59</f>
        <v>45918</v>
      </c>
      <c r="G59" s="60">
        <v>1</v>
      </c>
      <c r="H59" s="60">
        <f>E59-$E$2</f>
        <v>259</v>
      </c>
      <c r="I59" s="61">
        <f>SUMIF(Pricing!$K:$K,A59,Pricing!$J:$J)</f>
        <v>0</v>
      </c>
      <c r="J59" s="61" t="str">
        <f>VLOOKUP(K59,'Color Code'!$A$2:$B$7,2,FALSE)</f>
        <v>Grey</v>
      </c>
      <c r="K59" s="87">
        <v>3</v>
      </c>
    </row>
    <row r="60" spans="1:11" ht="15.75">
      <c r="A60" s="74" t="s">
        <v>132</v>
      </c>
      <c r="B60" s="84" t="s">
        <v>133</v>
      </c>
      <c r="C60" s="54" t="str">
        <f>C58</f>
        <v>To Do</v>
      </c>
      <c r="D60" s="54" t="b">
        <f>D58</f>
        <v>0</v>
      </c>
      <c r="E60" s="55">
        <f>F59+1</f>
        <v>45919</v>
      </c>
      <c r="F60" s="55">
        <f t="shared" si="0"/>
        <v>45933</v>
      </c>
      <c r="G60" s="56">
        <v>14</v>
      </c>
      <c r="H60" s="56">
        <f t="shared" si="1"/>
        <v>261</v>
      </c>
      <c r="I60" s="57">
        <f>SUMIF(Pricing!$K:$K,A60,Pricing!$J:$J)</f>
        <v>0</v>
      </c>
      <c r="J60" s="57" t="str">
        <f>VLOOKUP(K60,'Color Code'!$A$2:$B$7,2,FALSE)</f>
        <v>Blue</v>
      </c>
      <c r="K60" s="85">
        <v>4</v>
      </c>
    </row>
    <row r="61" spans="1:11" ht="15.75">
      <c r="A61" s="74" t="s">
        <v>134</v>
      </c>
      <c r="B61" s="84" t="s">
        <v>135</v>
      </c>
      <c r="C61" s="54" t="str">
        <f>C55</f>
        <v>To Do</v>
      </c>
      <c r="D61" s="54" t="b">
        <f>D55</f>
        <v>0</v>
      </c>
      <c r="E61" s="55">
        <f>F60+1</f>
        <v>45934</v>
      </c>
      <c r="F61" s="55">
        <f t="shared" si="0"/>
        <v>45941</v>
      </c>
      <c r="G61" s="56">
        <v>7</v>
      </c>
      <c r="H61" s="56">
        <f t="shared" si="1"/>
        <v>276</v>
      </c>
      <c r="I61" s="57">
        <f>SUMIF(Pricing!$K:$K,A61,Pricing!$J:$J)</f>
        <v>31425</v>
      </c>
      <c r="J61" s="57" t="str">
        <f>VLOOKUP(K61,'Color Code'!$A$2:$B$7,2,FALSE)</f>
        <v>Blue</v>
      </c>
      <c r="K61" s="85">
        <v>4</v>
      </c>
    </row>
    <row r="62" spans="1:11" ht="15.75">
      <c r="A62" s="75" t="s">
        <v>136</v>
      </c>
      <c r="B62" s="86" t="s">
        <v>137</v>
      </c>
      <c r="C62" s="58" t="str">
        <f>C63</f>
        <v>To Do</v>
      </c>
      <c r="D62" s="58" t="b">
        <f>D63</f>
        <v>0</v>
      </c>
      <c r="E62" s="59">
        <f>F61+1</f>
        <v>45942</v>
      </c>
      <c r="F62" s="59">
        <f>E62+G62</f>
        <v>45943</v>
      </c>
      <c r="G62" s="60">
        <v>1</v>
      </c>
      <c r="H62" s="60">
        <f>E62-$E$2</f>
        <v>284</v>
      </c>
      <c r="I62" s="61">
        <f>SUMIF(Pricing!$K:$K,A62,Pricing!$J:$J)</f>
        <v>0</v>
      </c>
      <c r="J62" s="61" t="str">
        <f>VLOOKUP(K62,'Color Code'!$A$2:$B$7,2,FALSE)</f>
        <v>Grey</v>
      </c>
      <c r="K62" s="87">
        <v>3</v>
      </c>
    </row>
    <row r="63" spans="1:11" ht="15.75">
      <c r="A63" s="74" t="s">
        <v>138</v>
      </c>
      <c r="B63" s="84" t="s">
        <v>139</v>
      </c>
      <c r="C63" s="54" t="str">
        <f>C82</f>
        <v>To Do</v>
      </c>
      <c r="D63" s="54" t="b">
        <f>D82</f>
        <v>0</v>
      </c>
      <c r="E63" s="55">
        <f>F62</f>
        <v>45943</v>
      </c>
      <c r="F63" s="55">
        <f>E63+G63</f>
        <v>45957</v>
      </c>
      <c r="G63" s="56">
        <v>14</v>
      </c>
      <c r="H63" s="56">
        <f>E63-$E$2</f>
        <v>285</v>
      </c>
      <c r="I63" s="57">
        <f>SUMIF(Pricing!$K:$K,A63,Pricing!$J:$J)</f>
        <v>15270.2</v>
      </c>
      <c r="J63" s="57" t="str">
        <f>VLOOKUP(K63,'Color Code'!$A$2:$B$7,2,FALSE)</f>
        <v>Blue</v>
      </c>
      <c r="K63" s="85">
        <v>4</v>
      </c>
    </row>
    <row r="64" spans="1:11" ht="15.75">
      <c r="A64" s="74" t="s">
        <v>140</v>
      </c>
      <c r="B64" s="84" t="s">
        <v>141</v>
      </c>
      <c r="C64" s="54" t="str">
        <f>C61</f>
        <v>To Do</v>
      </c>
      <c r="D64" s="54" t="b">
        <f>D61</f>
        <v>0</v>
      </c>
      <c r="E64" s="55">
        <f>E63</f>
        <v>45943</v>
      </c>
      <c r="F64" s="55">
        <f t="shared" si="0"/>
        <v>45950</v>
      </c>
      <c r="G64" s="56">
        <v>7</v>
      </c>
      <c r="H64" s="56">
        <f t="shared" si="1"/>
        <v>285</v>
      </c>
      <c r="I64" s="57">
        <f>SUMIF(Pricing!$K:$K,A64,Pricing!$J:$J)</f>
        <v>44853</v>
      </c>
      <c r="J64" s="57" t="str">
        <f>VLOOKUP(K64,'Color Code'!$A$2:$B$7,2,FALSE)</f>
        <v>Blue</v>
      </c>
      <c r="K64" s="85">
        <v>4</v>
      </c>
    </row>
    <row r="65" spans="1:11" ht="15.75">
      <c r="A65" s="74" t="s">
        <v>142</v>
      </c>
      <c r="B65" s="84" t="s">
        <v>143</v>
      </c>
      <c r="C65" s="54" t="str">
        <f>C62</f>
        <v>To Do</v>
      </c>
      <c r="D65" s="54" t="b">
        <f>D62</f>
        <v>0</v>
      </c>
      <c r="E65" s="55">
        <f>F64</f>
        <v>45950</v>
      </c>
      <c r="F65" s="55">
        <f t="shared" ref="F65" si="29">E65+G65</f>
        <v>45957</v>
      </c>
      <c r="G65" s="56">
        <v>7</v>
      </c>
      <c r="H65" s="56">
        <f t="shared" ref="H65" si="30">E65-$E$2</f>
        <v>292</v>
      </c>
      <c r="I65" s="57">
        <f>SUMIF(Pricing!$K:$K,A65,Pricing!$J:$J)</f>
        <v>10612.5</v>
      </c>
      <c r="J65" s="57" t="str">
        <f>VLOOKUP(K65,'Color Code'!$A$2:$B$7,2,FALSE)</f>
        <v>Blue</v>
      </c>
      <c r="K65" s="85">
        <v>4</v>
      </c>
    </row>
    <row r="66" spans="1:11" ht="15.75">
      <c r="A66" s="74" t="s">
        <v>144</v>
      </c>
      <c r="B66" s="84" t="s">
        <v>145</v>
      </c>
      <c r="C66" s="54" t="str">
        <f>C64</f>
        <v>To Do</v>
      </c>
      <c r="D66" s="54" t="b">
        <f>D64</f>
        <v>0</v>
      </c>
      <c r="E66" s="55">
        <f>F65</f>
        <v>45957</v>
      </c>
      <c r="F66" s="55">
        <f t="shared" si="0"/>
        <v>45959</v>
      </c>
      <c r="G66" s="56">
        <v>2</v>
      </c>
      <c r="H66" s="56">
        <f t="shared" si="1"/>
        <v>299</v>
      </c>
      <c r="I66" s="57">
        <f>SUMIF(Pricing!$K:$K,A66,Pricing!$J:$J)</f>
        <v>48014.137499999997</v>
      </c>
      <c r="J66" s="57" t="str">
        <f>VLOOKUP(K66,'Color Code'!$A$2:$B$7,2,FALSE)</f>
        <v>Blue</v>
      </c>
      <c r="K66" s="85">
        <v>4</v>
      </c>
    </row>
    <row r="67" spans="1:11" ht="15.75">
      <c r="A67" s="74" t="s">
        <v>146</v>
      </c>
      <c r="B67" s="84" t="s">
        <v>147</v>
      </c>
      <c r="C67" s="54" t="str">
        <f t="shared" si="11"/>
        <v>To Do</v>
      </c>
      <c r="D67" s="54" t="b">
        <f t="shared" si="2"/>
        <v>0</v>
      </c>
      <c r="E67" s="55">
        <f>E66</f>
        <v>45957</v>
      </c>
      <c r="F67" s="55">
        <f t="shared" si="0"/>
        <v>45964</v>
      </c>
      <c r="G67" s="56">
        <v>7</v>
      </c>
      <c r="H67" s="56">
        <f t="shared" si="1"/>
        <v>299</v>
      </c>
      <c r="I67" s="57">
        <f>SUMIF(Pricing!$K:$K,A67,Pricing!$J:$J)</f>
        <v>0</v>
      </c>
      <c r="J67" s="57" t="str">
        <f>VLOOKUP(K67,'Color Code'!$A$2:$B$7,2,FALSE)</f>
        <v>Blue</v>
      </c>
      <c r="K67" s="85">
        <v>4</v>
      </c>
    </row>
    <row r="68" spans="1:11" ht="15.75">
      <c r="A68" s="74" t="s">
        <v>148</v>
      </c>
      <c r="B68" s="84" t="s">
        <v>149</v>
      </c>
      <c r="C68" s="54" t="str">
        <f t="shared" si="11"/>
        <v>To Do</v>
      </c>
      <c r="D68" s="54" t="b">
        <f t="shared" si="2"/>
        <v>0</v>
      </c>
      <c r="E68" s="55">
        <f>E67</f>
        <v>45957</v>
      </c>
      <c r="F68" s="55">
        <f t="shared" si="0"/>
        <v>45964</v>
      </c>
      <c r="G68" s="56">
        <v>7</v>
      </c>
      <c r="H68" s="56">
        <f t="shared" si="1"/>
        <v>299</v>
      </c>
      <c r="I68" s="57">
        <f>SUMIF(Pricing!$K:$K,A68,Pricing!$J:$J)</f>
        <v>0</v>
      </c>
      <c r="J68" s="57" t="str">
        <f>VLOOKUP(K68,'Color Code'!$A$2:$B$7,2,FALSE)</f>
        <v>Blue</v>
      </c>
      <c r="K68" s="85">
        <v>4</v>
      </c>
    </row>
    <row r="69" spans="1:11" ht="15.75">
      <c r="A69" s="74" t="s">
        <v>150</v>
      </c>
      <c r="B69" s="84" t="s">
        <v>151</v>
      </c>
      <c r="C69" s="54" t="str">
        <f t="shared" si="11"/>
        <v>To Do</v>
      </c>
      <c r="D69" s="54" t="b">
        <f t="shared" si="2"/>
        <v>0</v>
      </c>
      <c r="E69" s="55">
        <f>E68</f>
        <v>45957</v>
      </c>
      <c r="F69" s="55">
        <f t="shared" si="0"/>
        <v>45964</v>
      </c>
      <c r="G69" s="56">
        <v>7</v>
      </c>
      <c r="H69" s="56">
        <f t="shared" si="1"/>
        <v>299</v>
      </c>
      <c r="I69" s="57">
        <f>SUMIF(Pricing!$K:$K,A69,Pricing!$J:$J)</f>
        <v>0</v>
      </c>
      <c r="J69" s="57" t="str">
        <f>VLOOKUP(K69,'Color Code'!$A$2:$B$7,2,FALSE)</f>
        <v>Blue</v>
      </c>
      <c r="K69" s="85">
        <v>4</v>
      </c>
    </row>
    <row r="70" spans="1:11" ht="15.75">
      <c r="A70" s="74" t="s">
        <v>152</v>
      </c>
      <c r="B70" s="84" t="s">
        <v>153</v>
      </c>
      <c r="C70" s="54" t="str">
        <f t="shared" si="11"/>
        <v>To Do</v>
      </c>
      <c r="D70" s="54" t="b">
        <f t="shared" si="2"/>
        <v>0</v>
      </c>
      <c r="E70" s="55">
        <f>E69</f>
        <v>45957</v>
      </c>
      <c r="F70" s="55">
        <f t="shared" si="0"/>
        <v>45964</v>
      </c>
      <c r="G70" s="56">
        <v>7</v>
      </c>
      <c r="H70" s="56">
        <f t="shared" si="1"/>
        <v>299</v>
      </c>
      <c r="I70" s="57">
        <f>SUMIF(Pricing!$K:$K,A70,Pricing!$J:$J)</f>
        <v>0</v>
      </c>
      <c r="J70" s="57" t="str">
        <f>VLOOKUP(K70,'Color Code'!$A$2:$B$7,2,FALSE)</f>
        <v>Blue</v>
      </c>
      <c r="K70" s="85">
        <v>4</v>
      </c>
    </row>
    <row r="71" spans="1:11" ht="15.75">
      <c r="A71" s="74" t="s">
        <v>154</v>
      </c>
      <c r="B71" s="84" t="s">
        <v>155</v>
      </c>
      <c r="C71" s="54" t="str">
        <f t="shared" si="11"/>
        <v>To Do</v>
      </c>
      <c r="D71" s="54" t="b">
        <f t="shared" si="2"/>
        <v>0</v>
      </c>
      <c r="E71" s="55">
        <f>E70</f>
        <v>45957</v>
      </c>
      <c r="F71" s="55">
        <f t="shared" si="0"/>
        <v>45964</v>
      </c>
      <c r="G71" s="56">
        <v>7</v>
      </c>
      <c r="H71" s="56">
        <f t="shared" si="1"/>
        <v>299</v>
      </c>
      <c r="I71" s="57">
        <f>SUMIF(Pricing!$K:$K,A71,Pricing!$J:$J)</f>
        <v>0</v>
      </c>
      <c r="J71" s="57" t="str">
        <f>VLOOKUP(K71,'Color Code'!$A$2:$B$7,2,FALSE)</f>
        <v>Blue</v>
      </c>
      <c r="K71" s="85">
        <v>4</v>
      </c>
    </row>
    <row r="72" spans="1:11" ht="15.75">
      <c r="A72" s="74" t="s">
        <v>156</v>
      </c>
      <c r="B72" s="84" t="s">
        <v>157</v>
      </c>
      <c r="C72" s="54" t="str">
        <f t="shared" si="11"/>
        <v>To Do</v>
      </c>
      <c r="D72" s="54" t="b">
        <f t="shared" si="2"/>
        <v>0</v>
      </c>
      <c r="E72" s="55">
        <f>E70</f>
        <v>45957</v>
      </c>
      <c r="F72" s="55">
        <f t="shared" si="0"/>
        <v>45964</v>
      </c>
      <c r="G72" s="56">
        <v>7</v>
      </c>
      <c r="H72" s="56">
        <f t="shared" si="1"/>
        <v>299</v>
      </c>
      <c r="I72" s="57">
        <f>SUMIF(Pricing!$K:$K,A72,Pricing!$J:$J)</f>
        <v>0</v>
      </c>
      <c r="J72" s="57" t="str">
        <f>VLOOKUP(K72,'Color Code'!$A$2:$B$7,2,FALSE)</f>
        <v>Blue</v>
      </c>
      <c r="K72" s="85">
        <v>4</v>
      </c>
    </row>
    <row r="73" spans="1:11" ht="15.75">
      <c r="A73" s="74" t="s">
        <v>158</v>
      </c>
      <c r="B73" s="84" t="s">
        <v>159</v>
      </c>
      <c r="C73" s="54" t="str">
        <f t="shared" si="11"/>
        <v>To Do</v>
      </c>
      <c r="D73" s="54" t="b">
        <f t="shared" si="2"/>
        <v>0</v>
      </c>
      <c r="E73" s="55">
        <f>E71</f>
        <v>45957</v>
      </c>
      <c r="F73" s="55">
        <f t="shared" si="0"/>
        <v>45964</v>
      </c>
      <c r="G73" s="56">
        <v>7</v>
      </c>
      <c r="H73" s="56">
        <f t="shared" si="1"/>
        <v>299</v>
      </c>
      <c r="I73" s="57">
        <f>SUMIF(Pricing!$K:$K,A73,Pricing!$J:$J)</f>
        <v>50763.1</v>
      </c>
      <c r="J73" s="57" t="str">
        <f>VLOOKUP(K73,'Color Code'!$A$2:$B$7,2,FALSE)</f>
        <v>Blue</v>
      </c>
      <c r="K73" s="85">
        <v>4</v>
      </c>
    </row>
    <row r="74" spans="1:11" ht="15.75">
      <c r="A74" s="74" t="s">
        <v>160</v>
      </c>
      <c r="B74" s="84" t="s">
        <v>161</v>
      </c>
      <c r="C74" s="54" t="str">
        <f t="shared" si="11"/>
        <v>To Do</v>
      </c>
      <c r="D74" s="54" t="b">
        <f t="shared" si="2"/>
        <v>0</v>
      </c>
      <c r="E74" s="55">
        <f>E73</f>
        <v>45957</v>
      </c>
      <c r="F74" s="55">
        <f t="shared" si="0"/>
        <v>45964</v>
      </c>
      <c r="G74" s="56">
        <v>7</v>
      </c>
      <c r="H74" s="56">
        <f t="shared" si="1"/>
        <v>299</v>
      </c>
      <c r="I74" s="57">
        <f>SUMIF(Pricing!$K:$K,A74,Pricing!$J:$J)</f>
        <v>17750.8</v>
      </c>
      <c r="J74" s="57" t="str">
        <f>VLOOKUP(K74,'Color Code'!$A$2:$B$7,2,FALSE)</f>
        <v>Blue</v>
      </c>
      <c r="K74" s="85">
        <v>4</v>
      </c>
    </row>
    <row r="75" spans="1:11" ht="15.75">
      <c r="A75" s="74" t="s">
        <v>162</v>
      </c>
      <c r="B75" s="84" t="s">
        <v>163</v>
      </c>
      <c r="C75" s="54" t="str">
        <f t="shared" si="11"/>
        <v>To Do</v>
      </c>
      <c r="D75" s="54" t="b">
        <f t="shared" si="2"/>
        <v>0</v>
      </c>
      <c r="E75" s="55">
        <f>E74</f>
        <v>45957</v>
      </c>
      <c r="F75" s="55">
        <f t="shared" si="0"/>
        <v>45964</v>
      </c>
      <c r="G75" s="56">
        <v>7</v>
      </c>
      <c r="H75" s="56">
        <f t="shared" si="1"/>
        <v>299</v>
      </c>
      <c r="I75" s="57">
        <f>SUMIF(Pricing!$K:$K,A75,Pricing!$J:$J)</f>
        <v>9237.5</v>
      </c>
      <c r="J75" s="57" t="str">
        <f>VLOOKUP(K75,'Color Code'!$A$2:$B$7,2,FALSE)</f>
        <v>Blue</v>
      </c>
      <c r="K75" s="85">
        <v>4</v>
      </c>
    </row>
    <row r="76" spans="1:11" ht="15.75">
      <c r="A76" s="74" t="s">
        <v>164</v>
      </c>
      <c r="B76" s="84" t="s">
        <v>165</v>
      </c>
      <c r="C76" s="54" t="str">
        <f t="shared" si="11"/>
        <v>To Do</v>
      </c>
      <c r="D76" s="54" t="b">
        <f t="shared" si="2"/>
        <v>0</v>
      </c>
      <c r="E76" s="55">
        <f t="shared" si="12"/>
        <v>45964</v>
      </c>
      <c r="F76" s="55">
        <f t="shared" si="0"/>
        <v>45978</v>
      </c>
      <c r="G76" s="56">
        <v>14</v>
      </c>
      <c r="H76" s="56">
        <f t="shared" si="1"/>
        <v>306</v>
      </c>
      <c r="I76" s="57">
        <f>SUMIF(Pricing!$K:$K,A76,Pricing!$J:$J)</f>
        <v>0</v>
      </c>
      <c r="J76" s="57" t="str">
        <f>VLOOKUP(K76,'Color Code'!$A$2:$B$7,2,FALSE)</f>
        <v>Blue</v>
      </c>
      <c r="K76" s="85">
        <v>4</v>
      </c>
    </row>
    <row r="77" spans="1:11" ht="15.75">
      <c r="A77" s="74" t="s">
        <v>166</v>
      </c>
      <c r="B77" s="84" t="s">
        <v>167</v>
      </c>
      <c r="C77" s="54" t="str">
        <f t="shared" si="11"/>
        <v>To Do</v>
      </c>
      <c r="D77" s="54" t="b">
        <f t="shared" si="2"/>
        <v>0</v>
      </c>
      <c r="E77" s="55">
        <f t="shared" si="12"/>
        <v>45978</v>
      </c>
      <c r="F77" s="55">
        <f t="shared" si="0"/>
        <v>45980</v>
      </c>
      <c r="G77" s="56">
        <v>2</v>
      </c>
      <c r="H77" s="56">
        <f t="shared" si="1"/>
        <v>320</v>
      </c>
      <c r="I77" s="57">
        <f>SUMIF(Pricing!$K:$K,A77,Pricing!$J:$J)</f>
        <v>97.8</v>
      </c>
      <c r="J77" s="57" t="str">
        <f>VLOOKUP(K77,'Color Code'!$A$2:$B$7,2,FALSE)</f>
        <v>Blue</v>
      </c>
      <c r="K77" s="85">
        <v>4</v>
      </c>
    </row>
    <row r="78" spans="1:11" ht="15.75">
      <c r="A78" s="74" t="s">
        <v>168</v>
      </c>
      <c r="B78" s="84" t="s">
        <v>169</v>
      </c>
      <c r="C78" s="54" t="str">
        <f t="shared" si="11"/>
        <v>To Do</v>
      </c>
      <c r="D78" s="54" t="b">
        <f t="shared" si="2"/>
        <v>0</v>
      </c>
      <c r="E78" s="55">
        <f t="shared" si="12"/>
        <v>45980</v>
      </c>
      <c r="F78" s="55">
        <f t="shared" si="0"/>
        <v>45982</v>
      </c>
      <c r="G78" s="56">
        <v>2</v>
      </c>
      <c r="H78" s="56">
        <f t="shared" si="1"/>
        <v>322</v>
      </c>
      <c r="I78" s="57">
        <f>SUMIF(Pricing!$K:$K,A78,Pricing!$J:$J)</f>
        <v>5651</v>
      </c>
      <c r="J78" s="57" t="str">
        <f>VLOOKUP(K78,'Color Code'!$A$2:$B$7,2,FALSE)</f>
        <v>Blue</v>
      </c>
      <c r="K78" s="85">
        <v>4</v>
      </c>
    </row>
    <row r="79" spans="1:11" ht="15.75">
      <c r="A79" s="74" t="s">
        <v>170</v>
      </c>
      <c r="B79" s="84" t="s">
        <v>171</v>
      </c>
      <c r="C79" s="54" t="str">
        <f t="shared" si="11"/>
        <v>To Do</v>
      </c>
      <c r="D79" s="54" t="b">
        <f t="shared" si="2"/>
        <v>0</v>
      </c>
      <c r="E79" s="55">
        <f>E78</f>
        <v>45980</v>
      </c>
      <c r="F79" s="55">
        <f t="shared" si="0"/>
        <v>45982</v>
      </c>
      <c r="G79" s="56">
        <v>2</v>
      </c>
      <c r="H79" s="56">
        <f t="shared" si="1"/>
        <v>322</v>
      </c>
      <c r="I79" s="57">
        <f>SUMIF(Pricing!$K:$K,A79,Pricing!$J:$J)</f>
        <v>1436</v>
      </c>
      <c r="J79" s="57" t="str">
        <f>VLOOKUP(K79,'Color Code'!$A$2:$B$7,2,FALSE)</f>
        <v>Blue</v>
      </c>
      <c r="K79" s="85">
        <v>4</v>
      </c>
    </row>
    <row r="80" spans="1:11" ht="15.75">
      <c r="A80" s="74" t="s">
        <v>172</v>
      </c>
      <c r="B80" s="84" t="s">
        <v>173</v>
      </c>
      <c r="C80" s="54" t="str">
        <f t="shared" si="11"/>
        <v>To Do</v>
      </c>
      <c r="D80" s="54" t="b">
        <f t="shared" si="2"/>
        <v>0</v>
      </c>
      <c r="E80" s="55">
        <f t="shared" si="12"/>
        <v>45982</v>
      </c>
      <c r="F80" s="55">
        <f t="shared" si="0"/>
        <v>45983</v>
      </c>
      <c r="G80" s="56">
        <v>1</v>
      </c>
      <c r="H80" s="56">
        <f t="shared" si="1"/>
        <v>324</v>
      </c>
      <c r="I80" s="57">
        <f>SUMIF(Pricing!$K:$K,A80,Pricing!$J:$J)</f>
        <v>4716</v>
      </c>
      <c r="J80" s="57" t="str">
        <f>VLOOKUP(K80,'Color Code'!$A$2:$B$7,2,FALSE)</f>
        <v>Cyan</v>
      </c>
      <c r="K80" s="85">
        <v>5</v>
      </c>
    </row>
    <row r="81" spans="1:11" ht="15.75">
      <c r="A81" s="74" t="s">
        <v>174</v>
      </c>
      <c r="B81" s="84" t="s">
        <v>175</v>
      </c>
      <c r="C81" s="54" t="str">
        <f>C59</f>
        <v>To Do</v>
      </c>
      <c r="D81" s="54" t="b">
        <f>D59</f>
        <v>0</v>
      </c>
      <c r="E81" s="55">
        <f>F80</f>
        <v>45983</v>
      </c>
      <c r="F81" s="55">
        <f t="shared" si="0"/>
        <v>45985</v>
      </c>
      <c r="G81" s="56">
        <v>2</v>
      </c>
      <c r="H81" s="56">
        <f t="shared" si="1"/>
        <v>325</v>
      </c>
      <c r="I81" s="57">
        <f>SUMIF(Pricing!$K:$K,A81,Pricing!$J:$J)</f>
        <v>132875.56012500002</v>
      </c>
      <c r="J81" s="57" t="str">
        <f>VLOOKUP(K81,'Color Code'!$A$2:$B$7,2,FALSE)</f>
        <v>Blue</v>
      </c>
      <c r="K81" s="85">
        <v>4</v>
      </c>
    </row>
    <row r="82" spans="1:11" ht="15.75">
      <c r="A82" s="74" t="s">
        <v>176</v>
      </c>
      <c r="B82" s="84" t="s">
        <v>177</v>
      </c>
      <c r="C82" s="54" t="str">
        <f>C81</f>
        <v>To Do</v>
      </c>
      <c r="D82" s="54" t="b">
        <f>D81</f>
        <v>0</v>
      </c>
      <c r="E82" s="55">
        <f>E81</f>
        <v>45983</v>
      </c>
      <c r="F82" s="55">
        <f t="shared" ref="F82:F91" si="31">E82+G82</f>
        <v>45990</v>
      </c>
      <c r="G82" s="56">
        <v>7</v>
      </c>
      <c r="H82" s="56">
        <f t="shared" ref="H82:H91" si="32">E82-$E$2</f>
        <v>325</v>
      </c>
      <c r="I82" s="57">
        <f>SUMIF(Pricing!$K:$K,A82,Pricing!$J:$J)</f>
        <v>0</v>
      </c>
      <c r="J82" s="57" t="str">
        <f>VLOOKUP(K82,'Color Code'!$A$2:$B$7,2,FALSE)</f>
        <v>Blue</v>
      </c>
      <c r="K82" s="85">
        <v>4</v>
      </c>
    </row>
    <row r="83" spans="1:11" ht="15.75">
      <c r="A83" s="75" t="s">
        <v>178</v>
      </c>
      <c r="B83" s="86" t="s">
        <v>179</v>
      </c>
      <c r="C83" s="58" t="str">
        <f>C82</f>
        <v>To Do</v>
      </c>
      <c r="D83" s="58" t="b">
        <f>D82</f>
        <v>0</v>
      </c>
      <c r="E83" s="59">
        <f>E82</f>
        <v>45983</v>
      </c>
      <c r="F83" s="59">
        <f t="shared" ref="F83" si="33">E83+G83</f>
        <v>45984</v>
      </c>
      <c r="G83" s="60">
        <v>1</v>
      </c>
      <c r="H83" s="60">
        <f t="shared" ref="H83" si="34">E83-$E$2</f>
        <v>325</v>
      </c>
      <c r="I83" s="61">
        <f>SUMIF(Pricing!$K:$K,A83,Pricing!$J:$J)</f>
        <v>0</v>
      </c>
      <c r="J83" s="61" t="str">
        <f>VLOOKUP(K83,'Color Code'!$A$2:$B$7,2,FALSE)</f>
        <v>Blue</v>
      </c>
      <c r="K83" s="87">
        <v>4</v>
      </c>
    </row>
    <row r="84" spans="1:11" ht="15.75">
      <c r="A84" s="75" t="s">
        <v>180</v>
      </c>
      <c r="B84" s="86" t="s">
        <v>181</v>
      </c>
      <c r="C84" s="58" t="str">
        <f>C63</f>
        <v>To Do</v>
      </c>
      <c r="D84" s="58" t="b">
        <f>D63</f>
        <v>0</v>
      </c>
      <c r="E84" s="59">
        <f>F82</f>
        <v>45990</v>
      </c>
      <c r="F84" s="59">
        <f t="shared" ref="F84" si="35">E84+G84</f>
        <v>45991</v>
      </c>
      <c r="G84" s="60">
        <v>1</v>
      </c>
      <c r="H84" s="60">
        <f t="shared" ref="H84" si="36">E84-$E$2</f>
        <v>332</v>
      </c>
      <c r="I84" s="61">
        <f>SUMIF(Pricing!$K:$K,A84,Pricing!$J:$J)</f>
        <v>276.05</v>
      </c>
      <c r="J84" s="61" t="s">
        <v>182</v>
      </c>
      <c r="K84" s="87">
        <v>3</v>
      </c>
    </row>
    <row r="85" spans="1:11" ht="15.75">
      <c r="A85" s="74" t="s">
        <v>183</v>
      </c>
      <c r="B85" s="84" t="s">
        <v>184</v>
      </c>
      <c r="C85" s="54" t="str">
        <f>C63</f>
        <v>To Do</v>
      </c>
      <c r="D85" s="54" t="b">
        <f>D63</f>
        <v>0</v>
      </c>
      <c r="E85" s="55">
        <f>F84</f>
        <v>45991</v>
      </c>
      <c r="F85" s="55">
        <f t="shared" si="31"/>
        <v>45993</v>
      </c>
      <c r="G85" s="56">
        <v>2</v>
      </c>
      <c r="H85" s="56">
        <f t="shared" si="32"/>
        <v>333</v>
      </c>
      <c r="I85" s="57">
        <f>SUMIF(Pricing!$K:$K,A85,Pricing!$J:$J)</f>
        <v>0</v>
      </c>
      <c r="J85" s="57" t="str">
        <f>VLOOKUP(K85,'Color Code'!$A$2:$B$7,2,FALSE)</f>
        <v>Blue</v>
      </c>
      <c r="K85" s="85">
        <v>4</v>
      </c>
    </row>
    <row r="86" spans="1:11" ht="15.75">
      <c r="A86" s="75" t="s">
        <v>185</v>
      </c>
      <c r="B86" s="86" t="s">
        <v>186</v>
      </c>
      <c r="C86" s="58" t="str">
        <f t="shared" si="11"/>
        <v>To Do</v>
      </c>
      <c r="D86" s="58" t="b">
        <f t="shared" ref="D86:D91" si="37">D85</f>
        <v>0</v>
      </c>
      <c r="E86" s="59">
        <f t="shared" ref="E86:E91" si="38">F85</f>
        <v>45993</v>
      </c>
      <c r="F86" s="59">
        <f t="shared" si="31"/>
        <v>45994</v>
      </c>
      <c r="G86" s="60">
        <v>1</v>
      </c>
      <c r="H86" s="60">
        <f t="shared" si="32"/>
        <v>335</v>
      </c>
      <c r="I86" s="61">
        <f>SUMIF(Pricing!$K:$K,A86,Pricing!$J:$J)</f>
        <v>0</v>
      </c>
      <c r="J86" s="61" t="str">
        <f>VLOOKUP(K86,'Color Code'!$A$2:$B$7,2,FALSE)</f>
        <v>Grey</v>
      </c>
      <c r="K86" s="87">
        <v>3</v>
      </c>
    </row>
    <row r="87" spans="1:11" ht="15.75">
      <c r="A87" s="75" t="s">
        <v>187</v>
      </c>
      <c r="B87" s="86" t="s">
        <v>188</v>
      </c>
      <c r="C87" s="58" t="str">
        <f t="shared" si="11"/>
        <v>To Do</v>
      </c>
      <c r="D87" s="58" t="b">
        <f t="shared" si="37"/>
        <v>0</v>
      </c>
      <c r="E87" s="59">
        <f t="shared" si="38"/>
        <v>45994</v>
      </c>
      <c r="F87" s="59">
        <f t="shared" si="31"/>
        <v>45995</v>
      </c>
      <c r="G87" s="60">
        <v>1</v>
      </c>
      <c r="H87" s="60">
        <f t="shared" si="32"/>
        <v>336</v>
      </c>
      <c r="I87" s="61">
        <f>SUMIF(Pricing!$K:$K,A87,Pricing!$J:$J)</f>
        <v>0</v>
      </c>
      <c r="J87" s="61" t="str">
        <f>VLOOKUP(K87,'Color Code'!$A$2:$B$7,2,FALSE)</f>
        <v>Grey</v>
      </c>
      <c r="K87" s="87">
        <v>3</v>
      </c>
    </row>
    <row r="88" spans="1:11" ht="15.75">
      <c r="A88" s="74" t="s">
        <v>189</v>
      </c>
      <c r="B88" s="84" t="s">
        <v>190</v>
      </c>
      <c r="C88" s="54" t="str">
        <f t="shared" si="11"/>
        <v>To Do</v>
      </c>
      <c r="D88" s="54" t="b">
        <f t="shared" si="37"/>
        <v>0</v>
      </c>
      <c r="E88" s="55">
        <f t="shared" si="38"/>
        <v>45995</v>
      </c>
      <c r="F88" s="55">
        <f t="shared" si="31"/>
        <v>45996</v>
      </c>
      <c r="G88" s="56">
        <v>1</v>
      </c>
      <c r="H88" s="56">
        <f t="shared" si="32"/>
        <v>337</v>
      </c>
      <c r="I88" s="57">
        <f>SUMIF(Pricing!$K:$K,A88,Pricing!$J:$J)</f>
        <v>0</v>
      </c>
      <c r="J88" s="57" t="str">
        <f>VLOOKUP(K88,'Color Code'!$A$2:$B$7,2,FALSE)</f>
        <v>Blue</v>
      </c>
      <c r="K88" s="85">
        <v>4</v>
      </c>
    </row>
    <row r="89" spans="1:11" ht="15.75">
      <c r="A89" s="74" t="s">
        <v>191</v>
      </c>
      <c r="B89" s="84" t="s">
        <v>192</v>
      </c>
      <c r="C89" s="54" t="str">
        <f t="shared" si="11"/>
        <v>To Do</v>
      </c>
      <c r="D89" s="54" t="b">
        <f t="shared" si="37"/>
        <v>0</v>
      </c>
      <c r="E89" s="55">
        <f t="shared" si="38"/>
        <v>45996</v>
      </c>
      <c r="F89" s="55">
        <f t="shared" si="31"/>
        <v>45998</v>
      </c>
      <c r="G89" s="56">
        <v>2</v>
      </c>
      <c r="H89" s="56">
        <f t="shared" si="32"/>
        <v>338</v>
      </c>
      <c r="I89" s="57">
        <f>SUMIF(Pricing!$K:$K,A89,Pricing!$J:$J)</f>
        <v>0</v>
      </c>
      <c r="J89" s="57" t="str">
        <f>VLOOKUP(K89,'Color Code'!$A$2:$B$7,2,FALSE)</f>
        <v>Blue</v>
      </c>
      <c r="K89" s="85">
        <v>4</v>
      </c>
    </row>
    <row r="90" spans="1:11" ht="15.75">
      <c r="A90" s="74" t="s">
        <v>193</v>
      </c>
      <c r="B90" s="84" t="s">
        <v>194</v>
      </c>
      <c r="C90" s="54" t="str">
        <f t="shared" si="11"/>
        <v>To Do</v>
      </c>
      <c r="D90" s="54" t="b">
        <f t="shared" si="37"/>
        <v>0</v>
      </c>
      <c r="E90" s="55">
        <f t="shared" si="38"/>
        <v>45998</v>
      </c>
      <c r="F90" s="55">
        <f t="shared" si="31"/>
        <v>46000</v>
      </c>
      <c r="G90" s="56">
        <v>2</v>
      </c>
      <c r="H90" s="56">
        <f t="shared" si="32"/>
        <v>340</v>
      </c>
      <c r="I90" s="61">
        <f>SUMIF(Pricing!$K:$K,A90,Pricing!$J:$J)</f>
        <v>0</v>
      </c>
      <c r="J90" s="57" t="str">
        <f>VLOOKUP(K90,'Color Code'!$A$2:$B$7,2,FALSE)</f>
        <v>Blue</v>
      </c>
      <c r="K90" s="85">
        <v>4</v>
      </c>
    </row>
    <row r="91" spans="1:11" ht="15.75">
      <c r="A91" s="76" t="s">
        <v>195</v>
      </c>
      <c r="B91" s="88" t="s">
        <v>196</v>
      </c>
      <c r="C91" s="89" t="str">
        <f t="shared" si="11"/>
        <v>To Do</v>
      </c>
      <c r="D91" s="89" t="b">
        <f t="shared" si="37"/>
        <v>0</v>
      </c>
      <c r="E91" s="90">
        <f t="shared" si="38"/>
        <v>46000</v>
      </c>
      <c r="F91" s="90">
        <f t="shared" si="31"/>
        <v>46001</v>
      </c>
      <c r="G91" s="91">
        <v>1</v>
      </c>
      <c r="H91" s="91">
        <f t="shared" si="32"/>
        <v>342</v>
      </c>
      <c r="I91" s="92">
        <f>SUMIF(Pricing!$K:$K,A91,Pricing!$J:$J)</f>
        <v>0</v>
      </c>
      <c r="J91" s="92" t="str">
        <f>VLOOKUP(K91,'Color Code'!$A$2:$B$7,2,FALSE)</f>
        <v>Purple</v>
      </c>
      <c r="K91" s="93">
        <v>0</v>
      </c>
    </row>
    <row r="92" spans="1:11">
      <c r="C92"/>
      <c r="D92"/>
      <c r="I92"/>
      <c r="J92"/>
    </row>
    <row r="94" spans="1:11">
      <c r="A94" s="4"/>
      <c r="B94" s="4"/>
      <c r="C94" s="5"/>
      <c r="D94" s="5"/>
      <c r="E94" s="64"/>
      <c r="F94" s="64"/>
      <c r="G94" s="4"/>
      <c r="H94" s="4"/>
      <c r="I94" s="65"/>
      <c r="J94" s="65"/>
      <c r="K94" s="65"/>
    </row>
    <row r="95" spans="1:11">
      <c r="A95" s="4"/>
      <c r="B95" s="4"/>
      <c r="C95" s="5"/>
      <c r="D95" s="5"/>
      <c r="E95" s="64"/>
      <c r="F95" s="64"/>
      <c r="G95" s="4"/>
      <c r="H95" s="4"/>
      <c r="I95" s="10"/>
      <c r="J95" s="10"/>
      <c r="K95" s="11"/>
    </row>
    <row r="96" spans="1:11">
      <c r="A96" s="6"/>
      <c r="B96" s="6"/>
      <c r="C96" s="7"/>
      <c r="D96" s="7"/>
      <c r="E96" s="66"/>
      <c r="F96" s="66"/>
      <c r="G96" s="8"/>
      <c r="H96" s="8"/>
      <c r="I96" s="12"/>
      <c r="J96" s="12"/>
      <c r="K96" s="10"/>
    </row>
    <row r="97" spans="1:11">
      <c r="A97" s="8"/>
      <c r="B97" s="8"/>
      <c r="C97" s="9"/>
      <c r="D97" s="9"/>
      <c r="E97" s="8"/>
      <c r="F97" s="8"/>
      <c r="G97" s="8"/>
      <c r="H97" s="8"/>
      <c r="I97" s="12"/>
      <c r="J97" s="12"/>
      <c r="K97" s="8"/>
    </row>
    <row r="98" spans="1:11">
      <c r="A98" s="4"/>
      <c r="B98" s="4"/>
      <c r="C98" s="5"/>
      <c r="D98" s="5"/>
      <c r="E98" s="67"/>
      <c r="F98" s="68"/>
      <c r="G98" s="8"/>
      <c r="H98" s="8"/>
      <c r="I98" s="65"/>
      <c r="J98" s="65"/>
      <c r="K98" s="65"/>
    </row>
    <row r="99" spans="1:11">
      <c r="A99" s="4"/>
      <c r="B99" s="4"/>
      <c r="C99" s="5"/>
      <c r="D99" s="5"/>
      <c r="E99" s="67"/>
      <c r="F99" s="68"/>
      <c r="G99" s="8"/>
      <c r="H99" s="8"/>
      <c r="I99" s="12"/>
      <c r="J99" s="12"/>
      <c r="K99" s="13"/>
    </row>
    <row r="100" spans="1:11">
      <c r="A100" s="6"/>
      <c r="B100" s="6"/>
      <c r="C100" s="7"/>
      <c r="D100" s="7"/>
      <c r="E100" s="62"/>
      <c r="F100" s="63"/>
      <c r="G100" s="8"/>
      <c r="H100" s="8"/>
      <c r="I100" s="12"/>
      <c r="J100" s="12"/>
      <c r="K100" s="13"/>
    </row>
  </sheetData>
  <mergeCells count="8">
    <mergeCell ref="E100:F100"/>
    <mergeCell ref="E94:F94"/>
    <mergeCell ref="I94:K94"/>
    <mergeCell ref="I98:K98"/>
    <mergeCell ref="E95:F95"/>
    <mergeCell ref="E96:F96"/>
    <mergeCell ref="E98:F98"/>
    <mergeCell ref="E99:F99"/>
  </mergeCells>
  <conditionalFormatting sqref="C2:D21 C26:D91">
    <cfRule type="containsText" dxfId="5" priority="2" operator="containsText" text="Done">
      <formula>NOT(ISERROR(SEARCH("Done",C2)))</formula>
    </cfRule>
  </conditionalFormatting>
  <conditionalFormatting sqref="C22:D25">
    <cfRule type="containsText" dxfId="4" priority="1" operator="containsText" text="Done">
      <formula>NOT(ISERROR(SEARCH("Done",C22)))</formula>
    </cfRule>
  </conditionalFormatting>
  <printOptions horizontalCentered="1" verticalCentered="1"/>
  <pageMargins left="0.25" right="0.25" top="0.75" bottom="0.75" header="0.3" footer="0.3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5ED9-16DC-48E9-B668-8F9EDFB442E8}">
  <dimension ref="A1:K116"/>
  <sheetViews>
    <sheetView showGridLines="0" topLeftCell="A2" workbookViewId="0">
      <selection activeCell="P16" sqref="P16"/>
    </sheetView>
  </sheetViews>
  <sheetFormatPr defaultColWidth="8.85546875" defaultRowHeight="15.75" customHeight="1"/>
  <cols>
    <col min="1" max="1" width="31.140625" style="36" bestFit="1" customWidth="1"/>
    <col min="2" max="2" width="8.85546875" style="36" customWidth="1"/>
    <col min="3" max="3" width="20.7109375" style="36" customWidth="1"/>
    <col min="4" max="4" width="20.7109375" style="37" customWidth="1"/>
    <col min="5" max="10" width="20.7109375" style="36" customWidth="1"/>
    <col min="11" max="11" width="20.7109375" style="38" customWidth="1"/>
    <col min="12" max="16384" width="8.85546875" style="36"/>
  </cols>
  <sheetData>
    <row r="1" spans="1:11" ht="15" customHeight="1">
      <c r="A1" s="14" t="s">
        <v>197</v>
      </c>
      <c r="B1" s="15"/>
      <c r="C1" s="15"/>
      <c r="D1" s="15"/>
      <c r="E1" s="15"/>
      <c r="F1" s="15"/>
      <c r="G1" s="15"/>
      <c r="H1" s="15"/>
      <c r="I1" s="15"/>
      <c r="J1" s="15"/>
      <c r="K1" s="36"/>
    </row>
    <row r="2" spans="1:11" ht="30.75">
      <c r="A2" s="69" t="s">
        <v>198</v>
      </c>
      <c r="B2" s="70"/>
      <c r="C2" s="70"/>
      <c r="D2" s="70"/>
      <c r="E2" s="70"/>
      <c r="F2" s="70"/>
      <c r="G2" s="70"/>
      <c r="H2" s="70"/>
      <c r="I2" s="70"/>
      <c r="J2" s="70"/>
      <c r="K2" s="36"/>
    </row>
    <row r="3" spans="1:11" ht="17.4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36"/>
    </row>
    <row r="4" spans="1:11" ht="17.45" customHeight="1">
      <c r="A4" s="16" t="s">
        <v>199</v>
      </c>
      <c r="B4" s="17">
        <f ca="1">TODAY()</f>
        <v>45738</v>
      </c>
      <c r="C4" s="17"/>
      <c r="D4" s="17"/>
      <c r="E4" s="17"/>
      <c r="F4" s="34" t="s">
        <v>200</v>
      </c>
      <c r="G4" s="15"/>
      <c r="H4" s="20">
        <f>SUM(G14:G115)</f>
        <v>2183.2640250000009</v>
      </c>
      <c r="I4" s="20"/>
      <c r="J4" s="15"/>
      <c r="K4" s="36"/>
    </row>
    <row r="5" spans="1:11" ht="17.45" customHeight="1">
      <c r="A5" s="16" t="s">
        <v>201</v>
      </c>
      <c r="B5" s="17">
        <v>45658</v>
      </c>
      <c r="C5" s="17"/>
      <c r="D5" s="17"/>
      <c r="E5" s="17"/>
      <c r="F5" s="34" t="s">
        <v>202</v>
      </c>
      <c r="G5" s="15"/>
      <c r="H5" s="18">
        <f>Data!F91</f>
        <v>46001</v>
      </c>
      <c r="I5" s="15"/>
      <c r="J5" s="15"/>
      <c r="K5" s="36"/>
    </row>
    <row r="6" spans="1:11" ht="17.45" customHeight="1">
      <c r="A6" s="18"/>
      <c r="B6" s="19"/>
      <c r="C6" s="19"/>
      <c r="D6" s="19"/>
      <c r="E6" s="19"/>
      <c r="F6" s="15"/>
      <c r="G6" s="15"/>
      <c r="H6" s="35"/>
      <c r="I6" s="15"/>
      <c r="J6" s="15"/>
      <c r="K6" s="36"/>
    </row>
    <row r="7" spans="1:11" ht="17.45" customHeight="1">
      <c r="A7" s="16" t="s">
        <v>203</v>
      </c>
      <c r="B7" s="20">
        <v>43560</v>
      </c>
      <c r="C7" s="20"/>
      <c r="D7" s="20"/>
      <c r="E7" s="21"/>
      <c r="F7" s="34" t="s">
        <v>204</v>
      </c>
      <c r="G7" s="15"/>
      <c r="H7" s="37">
        <f>J116</f>
        <v>933317.05777078134</v>
      </c>
      <c r="I7" s="15"/>
      <c r="J7" s="47" t="s">
        <v>205</v>
      </c>
      <c r="K7" s="40">
        <v>0.75</v>
      </c>
    </row>
    <row r="8" spans="1:11" ht="17.45" customHeight="1">
      <c r="A8" s="16" t="s">
        <v>206</v>
      </c>
      <c r="B8" s="20">
        <v>4000</v>
      </c>
      <c r="C8" s="20"/>
      <c r="D8" s="20"/>
      <c r="E8" s="21"/>
      <c r="F8" s="34" t="s">
        <v>207</v>
      </c>
      <c r="G8" s="46">
        <v>0.2</v>
      </c>
      <c r="H8" s="37">
        <f>H7*0.2</f>
        <v>186663.41155415628</v>
      </c>
      <c r="I8" s="15"/>
      <c r="J8" s="41" t="s">
        <v>208</v>
      </c>
      <c r="K8" s="40">
        <v>0.85</v>
      </c>
    </row>
    <row r="9" spans="1:11" ht="17.45" customHeight="1">
      <c r="A9" s="16" t="s">
        <v>209</v>
      </c>
      <c r="B9" s="20">
        <v>2</v>
      </c>
      <c r="C9" s="20"/>
      <c r="D9" s="20"/>
      <c r="E9" s="21"/>
      <c r="F9" s="34" t="s">
        <v>210</v>
      </c>
      <c r="G9" s="46">
        <v>0.05</v>
      </c>
      <c r="H9" s="37">
        <f>H7*0.05</f>
        <v>46665.85288853907</v>
      </c>
      <c r="I9" s="15"/>
      <c r="J9" s="41" t="s">
        <v>211</v>
      </c>
      <c r="K9" s="40">
        <v>1</v>
      </c>
    </row>
    <row r="10" spans="1:11" ht="17.45" customHeight="1">
      <c r="A10" s="16" t="s">
        <v>212</v>
      </c>
      <c r="B10" s="20">
        <f>B8*0.85</f>
        <v>3400</v>
      </c>
      <c r="C10" s="20"/>
      <c r="D10" s="20"/>
      <c r="E10" s="21"/>
      <c r="F10" s="34" t="s">
        <v>213</v>
      </c>
      <c r="G10" s="15"/>
      <c r="H10" s="37">
        <f>SUM(H7:H9)</f>
        <v>1166646.3222134765</v>
      </c>
      <c r="I10" s="15"/>
      <c r="J10" s="41" t="s">
        <v>214</v>
      </c>
      <c r="K10" s="40">
        <v>1.1499999999999999</v>
      </c>
    </row>
    <row r="11" spans="1:11" ht="17.45" customHeight="1">
      <c r="A11" s="16" t="s">
        <v>215</v>
      </c>
      <c r="B11" s="20">
        <f>SUM(B8-B10)</f>
        <v>600</v>
      </c>
      <c r="C11" s="20"/>
      <c r="D11" s="20"/>
      <c r="E11" s="21"/>
      <c r="F11" s="34" t="s">
        <v>216</v>
      </c>
      <c r="G11" s="15"/>
      <c r="H11" s="48">
        <f>H10/B8</f>
        <v>291.66158055336911</v>
      </c>
      <c r="I11" s="15"/>
      <c r="J11" s="34" t="s">
        <v>217</v>
      </c>
      <c r="K11" s="40">
        <v>1.25</v>
      </c>
    </row>
    <row r="12" spans="1:11" ht="17.4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36"/>
    </row>
    <row r="13" spans="1:11" ht="17.45" customHeight="1">
      <c r="A13" s="39" t="s">
        <v>218</v>
      </c>
      <c r="B13" s="44" t="s">
        <v>219</v>
      </c>
      <c r="C13" s="44" t="s">
        <v>220</v>
      </c>
      <c r="D13" s="44" t="s">
        <v>221</v>
      </c>
      <c r="E13" s="44" t="s">
        <v>222</v>
      </c>
      <c r="F13" s="44" t="s">
        <v>223</v>
      </c>
      <c r="G13" s="44" t="s">
        <v>224</v>
      </c>
      <c r="H13" s="44" t="s">
        <v>225</v>
      </c>
      <c r="I13" s="44" t="s">
        <v>226</v>
      </c>
      <c r="J13" s="44" t="s">
        <v>227</v>
      </c>
      <c r="K13" s="45" t="s">
        <v>228</v>
      </c>
    </row>
    <row r="14" spans="1:11" ht="17.45" customHeight="1">
      <c r="A14" s="42" t="s">
        <v>229</v>
      </c>
      <c r="B14" s="105">
        <v>10</v>
      </c>
      <c r="C14" s="106">
        <f>K9</f>
        <v>1</v>
      </c>
      <c r="D14" s="107">
        <f>B14*C14</f>
        <v>10</v>
      </c>
      <c r="E14" s="108">
        <f>ROUNDUP(B8/10,0)</f>
        <v>400</v>
      </c>
      <c r="F14" s="109">
        <v>85</v>
      </c>
      <c r="G14" s="108">
        <f>IF(E14&lt;&gt;"",E14/100,"")</f>
        <v>4</v>
      </c>
      <c r="H14" s="110">
        <f>F14*G14</f>
        <v>340</v>
      </c>
      <c r="I14" s="110">
        <f>(SUM(D14*E14)+H14)*0.1</f>
        <v>434</v>
      </c>
      <c r="J14" s="110">
        <f>SUM(D14*E14)+SUM(F14*G14)+H14+I14</f>
        <v>5114</v>
      </c>
      <c r="K14" s="111" t="s">
        <v>118</v>
      </c>
    </row>
    <row r="15" spans="1:11" ht="17.45" customHeight="1">
      <c r="A15" s="42" t="s">
        <v>230</v>
      </c>
      <c r="B15" s="112">
        <v>5759.2</v>
      </c>
      <c r="C15" s="100">
        <f>C14</f>
        <v>1</v>
      </c>
      <c r="D15" s="101">
        <f>B15*C15</f>
        <v>5759.2</v>
      </c>
      <c r="E15" s="30">
        <f>1</f>
        <v>1</v>
      </c>
      <c r="F15" s="31">
        <v>100</v>
      </c>
      <c r="G15" s="32">
        <f>IF(E15=1,2,0)</f>
        <v>2</v>
      </c>
      <c r="H15" s="33">
        <f>F15*G15</f>
        <v>200</v>
      </c>
      <c r="I15" s="33">
        <f>(SUM(D15*E15)+H15)*0.1</f>
        <v>595.91999999999996</v>
      </c>
      <c r="J15" s="33">
        <f>SUM(D15*E15)+SUM(F15*G15)+H15+I15</f>
        <v>6755.12</v>
      </c>
      <c r="K15" s="94" t="s">
        <v>71</v>
      </c>
    </row>
    <row r="16" spans="1:11" ht="17.45" customHeight="1">
      <c r="A16" s="42" t="s">
        <v>231</v>
      </c>
      <c r="B16" s="112">
        <v>9279.2000000000007</v>
      </c>
      <c r="C16" s="100">
        <f>C15</f>
        <v>1</v>
      </c>
      <c r="D16" s="101">
        <f>B16*C16</f>
        <v>9279.2000000000007</v>
      </c>
      <c r="E16" s="30">
        <f>IF(E15=1,0,1)</f>
        <v>0</v>
      </c>
      <c r="F16" s="31">
        <v>100</v>
      </c>
      <c r="G16" s="32">
        <f>IF(E16=1,2,0)</f>
        <v>0</v>
      </c>
      <c r="H16" s="33">
        <f>F16*G16</f>
        <v>0</v>
      </c>
      <c r="I16" s="33">
        <f>(SUM(D16*E16)+H16)*0.1</f>
        <v>0</v>
      </c>
      <c r="J16" s="33">
        <f>SUM(D16*E16)+SUM(F16*G16)+H16+I16</f>
        <v>0</v>
      </c>
      <c r="K16" s="94" t="s">
        <v>71</v>
      </c>
    </row>
    <row r="17" spans="1:11" ht="17.45" customHeight="1">
      <c r="A17" s="42" t="s">
        <v>232</v>
      </c>
      <c r="B17" s="112">
        <v>12799.2</v>
      </c>
      <c r="C17" s="100">
        <f>C16</f>
        <v>1</v>
      </c>
      <c r="D17" s="101">
        <f>B17*C17</f>
        <v>12799.2</v>
      </c>
      <c r="E17" s="30">
        <f>IF(E15=1,0,1)+IF(E16=1,0,0)</f>
        <v>0</v>
      </c>
      <c r="F17" s="31">
        <v>100</v>
      </c>
      <c r="G17" s="32">
        <f>IF(E17=1,2,0)</f>
        <v>0</v>
      </c>
      <c r="H17" s="33">
        <f>F17*G17</f>
        <v>0</v>
      </c>
      <c r="I17" s="33">
        <f>(SUM(D17*E17)+H17)*0.1</f>
        <v>0</v>
      </c>
      <c r="J17" s="33">
        <f>SUM(D17*E17)+SUM(F17*G17)+H17+I17</f>
        <v>0</v>
      </c>
      <c r="K17" s="94" t="s">
        <v>71</v>
      </c>
    </row>
    <row r="18" spans="1:11" ht="17.45" customHeight="1">
      <c r="A18" s="42" t="s">
        <v>233</v>
      </c>
      <c r="B18" s="112">
        <v>1119.2</v>
      </c>
      <c r="C18" s="100">
        <f>C17</f>
        <v>1</v>
      </c>
      <c r="D18" s="101">
        <f>B18*C18</f>
        <v>1119.2</v>
      </c>
      <c r="E18" s="30">
        <v>1</v>
      </c>
      <c r="F18" s="31">
        <v>100</v>
      </c>
      <c r="G18" s="32">
        <f>IF(E18=1,2,0)</f>
        <v>2</v>
      </c>
      <c r="H18" s="33">
        <f>F18*G18</f>
        <v>200</v>
      </c>
      <c r="I18" s="33">
        <f>(SUM(D18*E18)+H18)*0.1</f>
        <v>131.92000000000002</v>
      </c>
      <c r="J18" s="33">
        <f>SUM(D18*E18)+SUM(F18*G18)+H18+I18</f>
        <v>1651.1200000000001</v>
      </c>
      <c r="K18" s="94" t="s">
        <v>71</v>
      </c>
    </row>
    <row r="19" spans="1:11" ht="17.45" customHeight="1">
      <c r="A19" s="42" t="s">
        <v>234</v>
      </c>
      <c r="B19" s="112">
        <v>3759.2</v>
      </c>
      <c r="C19" s="100">
        <f>C18</f>
        <v>1</v>
      </c>
      <c r="D19" s="101">
        <f>B19*C19</f>
        <v>3759.2</v>
      </c>
      <c r="E19" s="30">
        <v>1</v>
      </c>
      <c r="F19" s="31">
        <v>100</v>
      </c>
      <c r="G19" s="32">
        <f>IF(E19=1,2,0)</f>
        <v>2</v>
      </c>
      <c r="H19" s="33">
        <f>F19*G19</f>
        <v>200</v>
      </c>
      <c r="I19" s="33">
        <f>(SUM(D19*E19)+H19)*0.1</f>
        <v>395.92</v>
      </c>
      <c r="J19" s="33">
        <f>SUM(D19*E19)+SUM(F19*G19)+H19+I19</f>
        <v>4555.12</v>
      </c>
      <c r="K19" s="94" t="s">
        <v>71</v>
      </c>
    </row>
    <row r="20" spans="1:11" ht="17.45" customHeight="1">
      <c r="A20" s="42" t="s">
        <v>235</v>
      </c>
      <c r="B20" s="112">
        <v>5919.2</v>
      </c>
      <c r="C20" s="100">
        <f>C19</f>
        <v>1</v>
      </c>
      <c r="D20" s="101">
        <f>B20*C20</f>
        <v>5919.2</v>
      </c>
      <c r="E20" s="30">
        <f>IF(E19&gt;0,0,1)</f>
        <v>0</v>
      </c>
      <c r="F20" s="31">
        <v>100</v>
      </c>
      <c r="G20" s="32">
        <f>IF(E20=1,2,0)</f>
        <v>0</v>
      </c>
      <c r="H20" s="33">
        <f>F20*G20</f>
        <v>0</v>
      </c>
      <c r="I20" s="33">
        <f>(SUM(D20*E20)+H20)*0.1</f>
        <v>0</v>
      </c>
      <c r="J20" s="33">
        <f>SUM(D20*E20)+SUM(F20*G20)+H20+I20</f>
        <v>0</v>
      </c>
      <c r="K20" s="94" t="s">
        <v>71</v>
      </c>
    </row>
    <row r="21" spans="1:11" ht="17.45" customHeight="1">
      <c r="A21" s="42" t="s">
        <v>236</v>
      </c>
      <c r="B21" s="112">
        <v>919.2</v>
      </c>
      <c r="C21" s="100">
        <f>C20</f>
        <v>1</v>
      </c>
      <c r="D21" s="101">
        <f>B21*C21</f>
        <v>919.2</v>
      </c>
      <c r="E21" s="30">
        <v>1</v>
      </c>
      <c r="F21" s="31">
        <v>100</v>
      </c>
      <c r="G21" s="32">
        <f>IF(E21=1,2,0)</f>
        <v>2</v>
      </c>
      <c r="H21" s="33">
        <f>F21*G21</f>
        <v>200</v>
      </c>
      <c r="I21" s="33">
        <f>(SUM(D21*E21)+H21)*0.1</f>
        <v>111.92000000000002</v>
      </c>
      <c r="J21" s="33">
        <f>SUM(D21*E21)+SUM(F21*G21)+H21+I21</f>
        <v>1431.1200000000001</v>
      </c>
      <c r="K21" s="94" t="s">
        <v>71</v>
      </c>
    </row>
    <row r="22" spans="1:11" ht="17.45" customHeight="1">
      <c r="A22" s="42" t="s">
        <v>237</v>
      </c>
      <c r="B22" s="112">
        <v>2399.1999999999998</v>
      </c>
      <c r="C22" s="100">
        <f>C21</f>
        <v>1</v>
      </c>
      <c r="D22" s="101">
        <f>B22*C22</f>
        <v>2399.1999999999998</v>
      </c>
      <c r="E22" s="30">
        <v>1</v>
      </c>
      <c r="F22" s="31">
        <v>100</v>
      </c>
      <c r="G22" s="32">
        <f>IF(E22=1,2,0)</f>
        <v>2</v>
      </c>
      <c r="H22" s="33">
        <f>F22*G22</f>
        <v>200</v>
      </c>
      <c r="I22" s="33">
        <f>(SUM(D22*E22)+H22)*0.1</f>
        <v>259.92</v>
      </c>
      <c r="J22" s="33">
        <f>SUM(D22*E22)+SUM(F22*G22)+H22+I22</f>
        <v>3059.12</v>
      </c>
      <c r="K22" s="94" t="s">
        <v>71</v>
      </c>
    </row>
    <row r="23" spans="1:11" ht="17.45" customHeight="1">
      <c r="A23" s="42" t="s">
        <v>238</v>
      </c>
      <c r="B23" s="112">
        <v>1919.2</v>
      </c>
      <c r="C23" s="100">
        <f>C22</f>
        <v>1</v>
      </c>
      <c r="D23" s="101">
        <f>B23*C23</f>
        <v>1919.2</v>
      </c>
      <c r="E23" s="30">
        <f>IF(E22&gt;0,0,1)</f>
        <v>0</v>
      </c>
      <c r="F23" s="31">
        <v>100</v>
      </c>
      <c r="G23" s="32">
        <f>IF(E23=1,2,0)</f>
        <v>0</v>
      </c>
      <c r="H23" s="33">
        <f>F23*G23</f>
        <v>0</v>
      </c>
      <c r="I23" s="33">
        <f>(SUM(D23*E23)+H23)*0.1</f>
        <v>0</v>
      </c>
      <c r="J23" s="33">
        <f>SUM(D23*E23)+SUM(F23*G23)+H23+I23</f>
        <v>0</v>
      </c>
      <c r="K23" s="94" t="s">
        <v>71</v>
      </c>
    </row>
    <row r="24" spans="1:11" ht="17.45" customHeight="1">
      <c r="A24" s="42" t="s">
        <v>239</v>
      </c>
      <c r="B24" s="112">
        <v>3199.2</v>
      </c>
      <c r="C24" s="100">
        <f>C23</f>
        <v>1</v>
      </c>
      <c r="D24" s="101">
        <f>B24*C24</f>
        <v>3199.2</v>
      </c>
      <c r="E24" s="30">
        <f>IF(E22&gt;0,0,1)</f>
        <v>0</v>
      </c>
      <c r="F24" s="31">
        <v>100</v>
      </c>
      <c r="G24" s="32">
        <f>IF(E24=1,2,0)</f>
        <v>0</v>
      </c>
      <c r="H24" s="33">
        <f>F24*G24</f>
        <v>0</v>
      </c>
      <c r="I24" s="33">
        <f>(SUM(D24*E24)+H24)*0.1</f>
        <v>0</v>
      </c>
      <c r="J24" s="33">
        <f>SUM(D24*E24)+SUM(F24*G24)+H24+I24</f>
        <v>0</v>
      </c>
      <c r="K24" s="94" t="s">
        <v>71</v>
      </c>
    </row>
    <row r="25" spans="1:11" ht="17.45" customHeight="1">
      <c r="A25" s="42" t="s">
        <v>240</v>
      </c>
      <c r="B25" s="112">
        <v>6799.2</v>
      </c>
      <c r="C25" s="100">
        <f>C24</f>
        <v>1</v>
      </c>
      <c r="D25" s="101">
        <f>B25*C25</f>
        <v>6799.2</v>
      </c>
      <c r="E25" s="30">
        <v>1</v>
      </c>
      <c r="F25" s="31">
        <v>100</v>
      </c>
      <c r="G25" s="32">
        <f>IF(E25=1,2,0)</f>
        <v>2</v>
      </c>
      <c r="H25" s="33">
        <f>F25*G25</f>
        <v>200</v>
      </c>
      <c r="I25" s="33">
        <f>(SUM(D25*E25)+H25)*0.1</f>
        <v>699.92000000000007</v>
      </c>
      <c r="J25" s="33">
        <f>SUM(D25*E25)+SUM(F25*G25)+H25+I25</f>
        <v>7899.12</v>
      </c>
      <c r="K25" s="94" t="s">
        <v>71</v>
      </c>
    </row>
    <row r="26" spans="1:11" ht="17.45" customHeight="1">
      <c r="A26" s="42" t="s">
        <v>241</v>
      </c>
      <c r="B26" s="112">
        <v>6799.2</v>
      </c>
      <c r="C26" s="100">
        <f>C25</f>
        <v>1</v>
      </c>
      <c r="D26" s="101">
        <f>B26*C26</f>
        <v>6799.2</v>
      </c>
      <c r="E26" s="30">
        <v>1</v>
      </c>
      <c r="F26" s="31">
        <v>100</v>
      </c>
      <c r="G26" s="32">
        <f>IF(E26=1,2,0)</f>
        <v>2</v>
      </c>
      <c r="H26" s="33">
        <f>F26*G26</f>
        <v>200</v>
      </c>
      <c r="I26" s="33">
        <f>(SUM(D26*E26)+H26)*0.1</f>
        <v>699.92000000000007</v>
      </c>
      <c r="J26" s="33">
        <f>SUM(D26*E26)+SUM(F26*G26)+H26+I26</f>
        <v>7899.12</v>
      </c>
      <c r="K26" s="94" t="s">
        <v>71</v>
      </c>
    </row>
    <row r="27" spans="1:11" ht="17.45" customHeight="1">
      <c r="A27" s="42" t="s">
        <v>242</v>
      </c>
      <c r="B27" s="112">
        <v>12799.2</v>
      </c>
      <c r="C27" s="100">
        <f>C26</f>
        <v>1</v>
      </c>
      <c r="D27" s="101">
        <f>B27*C27</f>
        <v>12799.2</v>
      </c>
      <c r="E27" s="30">
        <f>IF(E26=1,0,1)</f>
        <v>0</v>
      </c>
      <c r="F27" s="31">
        <v>100</v>
      </c>
      <c r="G27" s="32">
        <f>IF(E27=1,2,0)</f>
        <v>0</v>
      </c>
      <c r="H27" s="33">
        <f>F27*G27</f>
        <v>0</v>
      </c>
      <c r="I27" s="33">
        <f>(SUM(D27*E27)+H27)*0.1</f>
        <v>0</v>
      </c>
      <c r="J27" s="33">
        <f>SUM(D27*E27)+SUM(F27*G27)+H27+I27</f>
        <v>0</v>
      </c>
      <c r="K27" s="94" t="s">
        <v>71</v>
      </c>
    </row>
    <row r="28" spans="1:11" ht="17.45" customHeight="1">
      <c r="A28" s="42" t="s">
        <v>243</v>
      </c>
      <c r="B28" s="112">
        <v>1039.2</v>
      </c>
      <c r="C28" s="100">
        <f>C27</f>
        <v>1</v>
      </c>
      <c r="D28" s="101">
        <f>B28*C28</f>
        <v>1039.2</v>
      </c>
      <c r="E28" s="30">
        <f>MIN(2,IF(B8&gt;=2500,1,0))</f>
        <v>1</v>
      </c>
      <c r="F28" s="31">
        <v>100</v>
      </c>
      <c r="G28" s="32">
        <f>IF(E28=1,2,0)</f>
        <v>2</v>
      </c>
      <c r="H28" s="33">
        <f>F28*G28</f>
        <v>200</v>
      </c>
      <c r="I28" s="33">
        <f>(SUM(D28*E28)+H28)*0.1</f>
        <v>123.92000000000002</v>
      </c>
      <c r="J28" s="33">
        <f>SUM(D28*E28)+SUM(F28*G28)+H28+I28</f>
        <v>1563.1200000000001</v>
      </c>
      <c r="K28" s="94" t="s">
        <v>71</v>
      </c>
    </row>
    <row r="29" spans="1:11" ht="17.45" customHeight="1">
      <c r="A29" s="42" t="s">
        <v>244</v>
      </c>
      <c r="B29" s="112">
        <v>1439.2</v>
      </c>
      <c r="C29" s="100">
        <f>C28</f>
        <v>1</v>
      </c>
      <c r="D29" s="101">
        <f>B29*C29</f>
        <v>1439.2</v>
      </c>
      <c r="E29" s="30">
        <f>B2*0.0125</f>
        <v>0</v>
      </c>
      <c r="F29" s="31">
        <v>100</v>
      </c>
      <c r="G29" s="32">
        <f>IF(E29=1,2,0)</f>
        <v>0</v>
      </c>
      <c r="H29" s="33">
        <f>F29*G29</f>
        <v>0</v>
      </c>
      <c r="I29" s="33">
        <f>(SUM(D29*E29)+H29)*0.1</f>
        <v>0</v>
      </c>
      <c r="J29" s="33">
        <f>SUM(D29*E29)+SUM(F29*G29)+H29+I29</f>
        <v>0</v>
      </c>
      <c r="K29" s="94" t="s">
        <v>71</v>
      </c>
    </row>
    <row r="30" spans="1:11" ht="17.45" customHeight="1">
      <c r="A30" s="42" t="s">
        <v>245</v>
      </c>
      <c r="B30" s="112">
        <f>SUM(J14:J29,J35:J83,J84:J115)*0.0075</f>
        <v>6722.5718446874998</v>
      </c>
      <c r="C30" s="100">
        <f>C29</f>
        <v>1</v>
      </c>
      <c r="D30" s="101">
        <f>B30*C30</f>
        <v>6722.5718446874998</v>
      </c>
      <c r="E30" s="30">
        <f>IF(B8&gt;=2500,1,0)</f>
        <v>1</v>
      </c>
      <c r="F30" s="31">
        <v>0</v>
      </c>
      <c r="G30" s="32">
        <v>30</v>
      </c>
      <c r="H30" s="33">
        <f>F30*G30</f>
        <v>0</v>
      </c>
      <c r="I30" s="33">
        <f>(SUM(D30*E30)+H30)*0.1</f>
        <v>672.25718446874998</v>
      </c>
      <c r="J30" s="33">
        <f>SUM(D30*E30)+SUM(F30*G30)+H30+I30</f>
        <v>7394.8290291562498</v>
      </c>
      <c r="K30" s="102" t="s">
        <v>44</v>
      </c>
    </row>
    <row r="31" spans="1:11" ht="17.45" customHeight="1">
      <c r="A31" s="42" t="s">
        <v>246</v>
      </c>
      <c r="B31" s="112">
        <f>B30</f>
        <v>6722.5718446874998</v>
      </c>
      <c r="C31" s="100">
        <f>C30</f>
        <v>1</v>
      </c>
      <c r="D31" s="101">
        <f>B31*C31</f>
        <v>6722.5718446874998</v>
      </c>
      <c r="E31" s="30">
        <f>E30</f>
        <v>1</v>
      </c>
      <c r="F31" s="31">
        <v>0</v>
      </c>
      <c r="G31" s="32">
        <f>G30</f>
        <v>30</v>
      </c>
      <c r="H31" s="33">
        <f>F31*G31</f>
        <v>0</v>
      </c>
      <c r="I31" s="33">
        <f>(SUM(D31*E31)+H31)*0.1</f>
        <v>672.25718446874998</v>
      </c>
      <c r="J31" s="33">
        <f>SUM(D31*E31)+SUM(F31*G31)+H31+I31</f>
        <v>7394.8290291562498</v>
      </c>
      <c r="K31" s="102" t="s">
        <v>48</v>
      </c>
    </row>
    <row r="32" spans="1:11" ht="17.45" customHeight="1">
      <c r="A32" s="42" t="s">
        <v>247</v>
      </c>
      <c r="B32" s="112">
        <f>B31</f>
        <v>6722.5718446874998</v>
      </c>
      <c r="C32" s="100">
        <f>C31</f>
        <v>1</v>
      </c>
      <c r="D32" s="101">
        <f>B32*C32</f>
        <v>6722.5718446874998</v>
      </c>
      <c r="E32" s="30">
        <f>E31</f>
        <v>1</v>
      </c>
      <c r="F32" s="31">
        <v>0</v>
      </c>
      <c r="G32" s="32">
        <f>G31</f>
        <v>30</v>
      </c>
      <c r="H32" s="33">
        <f>F32*G32</f>
        <v>0</v>
      </c>
      <c r="I32" s="33">
        <f>(SUM(D32*E32)+H32)*0.1</f>
        <v>672.25718446874998</v>
      </c>
      <c r="J32" s="33">
        <f>SUM(D32*E32)+SUM(F32*G32)+H32+I32</f>
        <v>7394.8290291562498</v>
      </c>
      <c r="K32" s="102" t="s">
        <v>50</v>
      </c>
    </row>
    <row r="33" spans="1:11" ht="17.45" customHeight="1">
      <c r="A33" s="42" t="s">
        <v>248</v>
      </c>
      <c r="B33" s="112">
        <f>B32</f>
        <v>6722.5718446874998</v>
      </c>
      <c r="C33" s="100">
        <f>C32</f>
        <v>1</v>
      </c>
      <c r="D33" s="101">
        <f>B33*C33</f>
        <v>6722.5718446874998</v>
      </c>
      <c r="E33" s="30">
        <v>1</v>
      </c>
      <c r="F33" s="31">
        <v>0</v>
      </c>
      <c r="G33" s="32">
        <f>G32</f>
        <v>30</v>
      </c>
      <c r="H33" s="33">
        <f>F33*G33</f>
        <v>0</v>
      </c>
      <c r="I33" s="33">
        <f>(SUM(D33*E33)+H33)*0.1</f>
        <v>672.25718446874998</v>
      </c>
      <c r="J33" s="33">
        <f>SUM(D33*E33)+SUM(F33*G33)+H33+I33</f>
        <v>7394.8290291562498</v>
      </c>
      <c r="K33" s="102" t="s">
        <v>44</v>
      </c>
    </row>
    <row r="34" spans="1:11" ht="17.45" customHeight="1">
      <c r="A34" s="42" t="s">
        <v>249</v>
      </c>
      <c r="B34" s="112">
        <f>B33</f>
        <v>6722.5718446874998</v>
      </c>
      <c r="C34" s="100">
        <f>C33</f>
        <v>1</v>
      </c>
      <c r="D34" s="101">
        <f>B34*C34</f>
        <v>6722.5718446874998</v>
      </c>
      <c r="E34" s="30">
        <f>E32</f>
        <v>1</v>
      </c>
      <c r="F34" s="31">
        <v>0</v>
      </c>
      <c r="G34" s="32">
        <f>G33</f>
        <v>30</v>
      </c>
      <c r="H34" s="33">
        <f>F34*G34</f>
        <v>0</v>
      </c>
      <c r="I34" s="33">
        <f>(SUM(D34*E34)+H34)*0.1</f>
        <v>672.25718446874998</v>
      </c>
      <c r="J34" s="33">
        <f>SUM(D34*E34)+SUM(F34*G34)+H34+I34</f>
        <v>7394.8290291562498</v>
      </c>
      <c r="K34" s="102" t="s">
        <v>46</v>
      </c>
    </row>
    <row r="35" spans="1:11" ht="17.45" customHeight="1">
      <c r="A35" s="42" t="s">
        <v>250</v>
      </c>
      <c r="B35" s="112">
        <v>1200</v>
      </c>
      <c r="C35" s="100">
        <f>C34</f>
        <v>1</v>
      </c>
      <c r="D35" s="101">
        <f>B35*C35</f>
        <v>1200</v>
      </c>
      <c r="E35" s="32">
        <f>(30)</f>
        <v>30</v>
      </c>
      <c r="F35" s="31">
        <v>100</v>
      </c>
      <c r="G35" s="32">
        <f>ROUNDUP(E35/5,0)</f>
        <v>6</v>
      </c>
      <c r="H35" s="33">
        <f>F35*G35</f>
        <v>600</v>
      </c>
      <c r="I35" s="33">
        <f>(SUM(D35*E35)+H35)*0.1</f>
        <v>3660</v>
      </c>
      <c r="J35" s="33">
        <f>SUM(D35*E35)+SUM(F35*G35)+H35+I35</f>
        <v>40860</v>
      </c>
      <c r="K35" s="94" t="s">
        <v>73</v>
      </c>
    </row>
    <row r="36" spans="1:11" ht="17.45" customHeight="1">
      <c r="A36" s="42" t="s">
        <v>251</v>
      </c>
      <c r="B36" s="112">
        <v>17.5</v>
      </c>
      <c r="C36" s="100">
        <f>C35</f>
        <v>1</v>
      </c>
      <c r="D36" s="101">
        <f>B36*C36</f>
        <v>17.5</v>
      </c>
      <c r="E36" s="32">
        <f>ROUNDUP(B8/10,0)</f>
        <v>400</v>
      </c>
      <c r="F36" s="31">
        <v>87.5</v>
      </c>
      <c r="G36" s="32">
        <f>ROUNDUP(E36/20,0)</f>
        <v>20</v>
      </c>
      <c r="H36" s="33">
        <f>F36*G36</f>
        <v>1750</v>
      </c>
      <c r="I36" s="33">
        <f>(SUM(D36*E36)+H36)*0.1</f>
        <v>875</v>
      </c>
      <c r="J36" s="33">
        <f>SUM(D36*E36)+SUM(F36*G36)+H36+I36</f>
        <v>11375</v>
      </c>
      <c r="K36" s="94" t="s">
        <v>134</v>
      </c>
    </row>
    <row r="37" spans="1:11" ht="17.45" customHeight="1">
      <c r="A37" s="42" t="s">
        <v>252</v>
      </c>
      <c r="B37" s="112">
        <v>6</v>
      </c>
      <c r="C37" s="100">
        <f>C36</f>
        <v>1</v>
      </c>
      <c r="D37" s="101">
        <f>B37*C37</f>
        <v>6</v>
      </c>
      <c r="E37" s="32">
        <f>ROUNDUP(B8*2.5,0)</f>
        <v>10000</v>
      </c>
      <c r="F37" s="31">
        <v>90</v>
      </c>
      <c r="G37" s="32">
        <f>ROUNDUP(E37/100,0)</f>
        <v>100</v>
      </c>
      <c r="H37" s="33">
        <f>F37*G37</f>
        <v>9000</v>
      </c>
      <c r="I37" s="33">
        <f>(SUM(D37*E37)+H37)*0.1</f>
        <v>6900</v>
      </c>
      <c r="J37" s="33">
        <f>SUM(D37*E37)+SUM(F37*G37)+H37+I37</f>
        <v>84900</v>
      </c>
      <c r="K37" s="94" t="s">
        <v>128</v>
      </c>
    </row>
    <row r="38" spans="1:11" ht="17.45" customHeight="1">
      <c r="A38" s="42" t="s">
        <v>253</v>
      </c>
      <c r="B38" s="112">
        <v>25</v>
      </c>
      <c r="C38" s="100">
        <f>C37</f>
        <v>1</v>
      </c>
      <c r="D38" s="101">
        <f>B38*C38</f>
        <v>25</v>
      </c>
      <c r="E38" s="32">
        <f>MIN(2,IF(B8&gt;=3500,1,0))</f>
        <v>1</v>
      </c>
      <c r="F38" s="31">
        <v>80</v>
      </c>
      <c r="G38" s="32">
        <f>ROUNDUP(E38/50,0)</f>
        <v>1</v>
      </c>
      <c r="H38" s="33">
        <f>F38*G38</f>
        <v>80</v>
      </c>
      <c r="I38" s="33">
        <f>(SUM(D38*E38)+H38)*0.1</f>
        <v>10.5</v>
      </c>
      <c r="J38" s="33">
        <f>SUM(D38*E38)+SUM(F38*G38)+H38+I38</f>
        <v>195.5</v>
      </c>
      <c r="K38" s="94" t="s">
        <v>138</v>
      </c>
    </row>
    <row r="39" spans="1:11" ht="17.45" customHeight="1">
      <c r="A39" s="42" t="s">
        <v>254</v>
      </c>
      <c r="B39" s="112">
        <v>18</v>
      </c>
      <c r="C39" s="100">
        <f>C38</f>
        <v>1</v>
      </c>
      <c r="D39" s="101">
        <f>B39*C39</f>
        <v>18</v>
      </c>
      <c r="E39" s="32">
        <f>IF(E38&gt;0,0,1)</f>
        <v>0</v>
      </c>
      <c r="F39" s="31">
        <v>65</v>
      </c>
      <c r="G39" s="32">
        <f>ROUNDUP(E39/50,0)</f>
        <v>0</v>
      </c>
      <c r="H39" s="33">
        <f>F39*G39</f>
        <v>0</v>
      </c>
      <c r="I39" s="33">
        <f>(SUM(D39*E39)+H39)*0.1</f>
        <v>0</v>
      </c>
      <c r="J39" s="33">
        <f>SUM(D39*E39)+SUM(F39*G39)+H39+I39</f>
        <v>0</v>
      </c>
      <c r="K39" s="94" t="s">
        <v>138</v>
      </c>
    </row>
    <row r="40" spans="1:11" ht="17.45" customHeight="1">
      <c r="A40" s="42" t="s">
        <v>255</v>
      </c>
      <c r="B40" s="112">
        <v>6</v>
      </c>
      <c r="C40" s="100">
        <f>C39</f>
        <v>1</v>
      </c>
      <c r="D40" s="101">
        <f>B40*C40</f>
        <v>6</v>
      </c>
      <c r="E40" s="32">
        <f>IF(B2&lt;4000,600,0)</f>
        <v>600</v>
      </c>
      <c r="F40" s="31">
        <v>60</v>
      </c>
      <c r="G40" s="32">
        <f>ROUNDUP(E40/100,0)</f>
        <v>6</v>
      </c>
      <c r="H40" s="33">
        <f>F40*G40</f>
        <v>360</v>
      </c>
      <c r="I40" s="33">
        <f>(SUM(D40*E40)+H40)*0.1</f>
        <v>396</v>
      </c>
      <c r="J40" s="33">
        <f>SUM(D40*E40)+SUM(F40*G40)+H40+I40</f>
        <v>4716</v>
      </c>
      <c r="K40" s="94" t="s">
        <v>172</v>
      </c>
    </row>
    <row r="41" spans="1:11" ht="17.45" customHeight="1">
      <c r="A41" s="42" t="s">
        <v>256</v>
      </c>
      <c r="B41" s="112">
        <v>3</v>
      </c>
      <c r="C41" s="100">
        <f>C40</f>
        <v>1</v>
      </c>
      <c r="D41" s="101">
        <f>B41*C41</f>
        <v>3</v>
      </c>
      <c r="E41" s="32">
        <f>IF(AND(B2&gt;=4000,B2&lt;=7500),B2*0.85,0)</f>
        <v>0</v>
      </c>
      <c r="F41" s="31">
        <v>45</v>
      </c>
      <c r="G41" s="32">
        <f>ROUNDUP(E41/100,0)</f>
        <v>0</v>
      </c>
      <c r="H41" s="33">
        <f>F41*G41</f>
        <v>0</v>
      </c>
      <c r="I41" s="33">
        <f>(SUM(D41*E41)+H41)*0.1</f>
        <v>0</v>
      </c>
      <c r="J41" s="33">
        <f>SUM(D41*E41)+SUM(F41*G41)+H41+I41</f>
        <v>0</v>
      </c>
      <c r="K41" s="94" t="s">
        <v>172</v>
      </c>
    </row>
    <row r="42" spans="1:11" ht="17.45" customHeight="1">
      <c r="A42" s="42" t="s">
        <v>257</v>
      </c>
      <c r="B42" s="112">
        <v>12</v>
      </c>
      <c r="C42" s="100">
        <f>C41</f>
        <v>1</v>
      </c>
      <c r="D42" s="101">
        <f>B42*C42</f>
        <v>12</v>
      </c>
      <c r="E42" s="32">
        <f>IF(E41&gt;0,0,0)</f>
        <v>0</v>
      </c>
      <c r="F42" s="31">
        <v>75</v>
      </c>
      <c r="G42" s="32">
        <f>ROUNDUP(E42/100,0)</f>
        <v>0</v>
      </c>
      <c r="H42" s="33">
        <f>F42*G42</f>
        <v>0</v>
      </c>
      <c r="I42" s="33">
        <f>(SUM(D42*E42)+H42)*0.1</f>
        <v>0</v>
      </c>
      <c r="J42" s="33">
        <f>SUM(D42*E42)+SUM(F42*G42)+H42+I42</f>
        <v>0</v>
      </c>
      <c r="K42" s="94" t="s">
        <v>172</v>
      </c>
    </row>
    <row r="43" spans="1:11" ht="17.45" customHeight="1">
      <c r="A43" s="42" t="s">
        <v>258</v>
      </c>
      <c r="B43" s="112">
        <v>400</v>
      </c>
      <c r="C43" s="100">
        <f>C42</f>
        <v>1</v>
      </c>
      <c r="D43" s="101">
        <f>B43*C43</f>
        <v>400</v>
      </c>
      <c r="E43" s="30">
        <f>1</f>
        <v>1</v>
      </c>
      <c r="F43" s="31">
        <v>90</v>
      </c>
      <c r="G43" s="32">
        <f>IF(E43&lt;&gt;"",E43/100,"")</f>
        <v>0.01</v>
      </c>
      <c r="H43" s="33">
        <f>F43*G43</f>
        <v>0.9</v>
      </c>
      <c r="I43" s="33">
        <f>(SUM(D43*E43)+H43)*0.1</f>
        <v>40.090000000000003</v>
      </c>
      <c r="J43" s="33">
        <f>SUM(D43*E43)+SUM(F43*G43)+H43+I43</f>
        <v>441.89</v>
      </c>
      <c r="K43" s="94" t="s">
        <v>128</v>
      </c>
    </row>
    <row r="44" spans="1:11" ht="17.45" customHeight="1">
      <c r="A44" s="42" t="s">
        <v>259</v>
      </c>
      <c r="B44" s="112">
        <v>5000</v>
      </c>
      <c r="C44" s="100">
        <f>C43</f>
        <v>1</v>
      </c>
      <c r="D44" s="101">
        <f>B44*C44</f>
        <v>5000</v>
      </c>
      <c r="E44" s="30">
        <v>1</v>
      </c>
      <c r="F44" s="31">
        <v>100</v>
      </c>
      <c r="G44" s="32">
        <f>IF(E44&lt;&gt;"",E44/100,"")</f>
        <v>0.01</v>
      </c>
      <c r="H44" s="33">
        <f>F44*G44</f>
        <v>1</v>
      </c>
      <c r="I44" s="33">
        <f>(SUM(D44*E44)+H44)*0.1</f>
        <v>500.1</v>
      </c>
      <c r="J44" s="33">
        <f>SUM(D44*E44)+SUM(F44*G44)+H44+I44</f>
        <v>5502.1</v>
      </c>
      <c r="K44" s="94" t="s">
        <v>158</v>
      </c>
    </row>
    <row r="45" spans="1:11" ht="17.45" customHeight="1">
      <c r="A45" s="42" t="s">
        <v>260</v>
      </c>
      <c r="B45" s="112">
        <v>4</v>
      </c>
      <c r="C45" s="100">
        <f>C44</f>
        <v>1</v>
      </c>
      <c r="D45" s="101">
        <f>B45*C45</f>
        <v>4</v>
      </c>
      <c r="E45" s="32">
        <f>IF(B2&gt;7500,MIN(B2*0.25,B2*0.85),0)</f>
        <v>0</v>
      </c>
      <c r="F45" s="31">
        <v>55</v>
      </c>
      <c r="G45" s="32">
        <f>ROUNDUP(E45/50,0)</f>
        <v>0</v>
      </c>
      <c r="H45" s="33">
        <f>F45*G45</f>
        <v>0</v>
      </c>
      <c r="I45" s="33">
        <f>(SUM(D45*E45)+H45)*0.1</f>
        <v>0</v>
      </c>
      <c r="J45" s="33">
        <f>SUM(D45*E45)+SUM(F45*G45)+H45+I45</f>
        <v>0</v>
      </c>
      <c r="K45" s="94" t="s">
        <v>168</v>
      </c>
    </row>
    <row r="46" spans="1:11" ht="17.45" customHeight="1">
      <c r="A46" s="42" t="s">
        <v>261</v>
      </c>
      <c r="B46" s="112">
        <v>8</v>
      </c>
      <c r="C46" s="100">
        <f>C45</f>
        <v>1</v>
      </c>
      <c r="D46" s="101">
        <f>B46*C46</f>
        <v>8</v>
      </c>
      <c r="E46" s="32">
        <f>B10</f>
        <v>3400</v>
      </c>
      <c r="F46" s="31">
        <v>65</v>
      </c>
      <c r="G46" s="32">
        <f>ROUNDUP(E46/50,0)</f>
        <v>68</v>
      </c>
      <c r="H46" s="33">
        <f>F46*G46</f>
        <v>4420</v>
      </c>
      <c r="I46" s="33">
        <f>(SUM(D46*E46)+H46)*0.1</f>
        <v>3162</v>
      </c>
      <c r="J46" s="33">
        <f>SUM(D46*E46)+SUM(F46*G46)+H46+I46</f>
        <v>39202</v>
      </c>
      <c r="K46" s="94" t="s">
        <v>140</v>
      </c>
    </row>
    <row r="47" spans="1:11" ht="17.45" customHeight="1">
      <c r="A47" s="42" t="s">
        <v>262</v>
      </c>
      <c r="B47" s="112">
        <v>6</v>
      </c>
      <c r="C47" s="100">
        <f>C46</f>
        <v>1</v>
      </c>
      <c r="D47" s="101">
        <f>B47*C47</f>
        <v>6</v>
      </c>
      <c r="E47" s="32">
        <v>0</v>
      </c>
      <c r="F47" s="31">
        <v>50</v>
      </c>
      <c r="G47" s="32">
        <f>ROUNDUP(E47/50,0)</f>
        <v>0</v>
      </c>
      <c r="H47" s="33">
        <f>F47*G47</f>
        <v>0</v>
      </c>
      <c r="I47" s="33">
        <f>(SUM(D47*E47)+H47)*0.1</f>
        <v>0</v>
      </c>
      <c r="J47" s="33">
        <f>SUM(D47*E47)+SUM(F47*G47)+H47+I47</f>
        <v>0</v>
      </c>
      <c r="K47" s="94" t="s">
        <v>168</v>
      </c>
    </row>
    <row r="48" spans="1:11" ht="17.45" customHeight="1">
      <c r="A48" s="42" t="s">
        <v>263</v>
      </c>
      <c r="B48" s="112">
        <v>1</v>
      </c>
      <c r="C48" s="100">
        <f>C47</f>
        <v>1</v>
      </c>
      <c r="D48" s="101">
        <f>B48*C48</f>
        <v>1</v>
      </c>
      <c r="E48" s="32">
        <f>E46</f>
        <v>3400</v>
      </c>
      <c r="F48" s="31">
        <v>65</v>
      </c>
      <c r="G48" s="32">
        <f>ROUNDUP(E48/250,0)</f>
        <v>14</v>
      </c>
      <c r="H48" s="33">
        <f>F48*G48</f>
        <v>910</v>
      </c>
      <c r="I48" s="33">
        <f>(SUM(D48*E48)+H48)*0.1</f>
        <v>431</v>
      </c>
      <c r="J48" s="33">
        <f>SUM(D48*E48)+SUM(F48*G48)+H48+I48</f>
        <v>5651</v>
      </c>
      <c r="K48" s="94" t="s">
        <v>140</v>
      </c>
    </row>
    <row r="49" spans="1:11" ht="17.45" customHeight="1">
      <c r="A49" s="42" t="s">
        <v>264</v>
      </c>
      <c r="B49" s="112">
        <f>B48</f>
        <v>1</v>
      </c>
      <c r="C49" s="100">
        <f>C48</f>
        <v>1</v>
      </c>
      <c r="D49" s="101">
        <f>B49*C49</f>
        <v>1</v>
      </c>
      <c r="E49" s="32">
        <f>E48</f>
        <v>3400</v>
      </c>
      <c r="F49" s="31">
        <v>65</v>
      </c>
      <c r="G49" s="32">
        <f>G48</f>
        <v>14</v>
      </c>
      <c r="H49" s="33">
        <f>F49*G49</f>
        <v>910</v>
      </c>
      <c r="I49" s="33">
        <f>(SUM(D49*E49)+H49)*0.1</f>
        <v>431</v>
      </c>
      <c r="J49" s="33">
        <f>SUM(D49*E49)+SUM(F49*G49)+H49+I49</f>
        <v>5651</v>
      </c>
      <c r="K49" s="94" t="s">
        <v>168</v>
      </c>
    </row>
    <row r="50" spans="1:11" ht="17.45" customHeight="1">
      <c r="A50" s="42" t="s">
        <v>265</v>
      </c>
      <c r="B50" s="112">
        <v>15</v>
      </c>
      <c r="C50" s="100">
        <f>C49</f>
        <v>1</v>
      </c>
      <c r="D50" s="101">
        <f>B50*C50</f>
        <v>15</v>
      </c>
      <c r="E50" s="32">
        <v>0</v>
      </c>
      <c r="F50" s="31">
        <v>75</v>
      </c>
      <c r="G50" s="32">
        <f>ROUNDUP(E50/50,0)</f>
        <v>0</v>
      </c>
      <c r="H50" s="33">
        <f>F50*G50</f>
        <v>0</v>
      </c>
      <c r="I50" s="33">
        <f>(SUM(D50*E50)+H50)*0.1</f>
        <v>0</v>
      </c>
      <c r="J50" s="33">
        <f>SUM(D50*E50)+SUM(F50*G50)+H50+I50</f>
        <v>0</v>
      </c>
      <c r="K50" s="94" t="s">
        <v>164</v>
      </c>
    </row>
    <row r="51" spans="1:11" ht="17.45" customHeight="1">
      <c r="A51" s="42" t="s">
        <v>266</v>
      </c>
      <c r="B51" s="112">
        <v>3</v>
      </c>
      <c r="C51" s="100">
        <f>C50</f>
        <v>1</v>
      </c>
      <c r="D51" s="101">
        <f>B51*C51</f>
        <v>3</v>
      </c>
      <c r="E51" s="32">
        <f>IF(E45&gt;0,0,1)</f>
        <v>1</v>
      </c>
      <c r="F51" s="31">
        <v>45</v>
      </c>
      <c r="G51" s="32">
        <f>ROUNDUP(E51/50,0)</f>
        <v>1</v>
      </c>
      <c r="H51" s="33">
        <f>F51*G51</f>
        <v>45</v>
      </c>
      <c r="I51" s="33">
        <f>(SUM(D51*E51)+H51)*0.1</f>
        <v>4.8000000000000007</v>
      </c>
      <c r="J51" s="33">
        <f>SUM(D51*E51)+SUM(F51*G51)+H51+I51</f>
        <v>97.8</v>
      </c>
      <c r="K51" s="94" t="s">
        <v>166</v>
      </c>
    </row>
    <row r="52" spans="1:11" ht="17.45" customHeight="1">
      <c r="A52" s="42" t="s">
        <v>267</v>
      </c>
      <c r="B52" s="112">
        <v>12</v>
      </c>
      <c r="C52" s="100">
        <f>C51</f>
        <v>1</v>
      </c>
      <c r="D52" s="101">
        <f>B52*C52</f>
        <v>12</v>
      </c>
      <c r="E52" s="30">
        <f>ROUNDUP(B8*0.75,0)</f>
        <v>3000</v>
      </c>
      <c r="F52" s="31">
        <v>70</v>
      </c>
      <c r="G52" s="32">
        <f>IF(E52&lt;&gt;"",E52/100,"")</f>
        <v>30</v>
      </c>
      <c r="H52" s="33">
        <f>F52*G52</f>
        <v>2100</v>
      </c>
      <c r="I52" s="33">
        <f>(SUM(D52*E52)+H52)*0.1</f>
        <v>3810</v>
      </c>
      <c r="J52" s="33">
        <f>SUM(D52*E52)+SUM(F52*G52)+H52+I52</f>
        <v>44010</v>
      </c>
      <c r="K52" s="94" t="s">
        <v>100</v>
      </c>
    </row>
    <row r="53" spans="1:11" ht="17.45" customHeight="1">
      <c r="A53" s="42" t="s">
        <v>268</v>
      </c>
      <c r="B53" s="112">
        <v>15</v>
      </c>
      <c r="C53" s="100">
        <f>C52</f>
        <v>1</v>
      </c>
      <c r="D53" s="101">
        <f>B53*C53</f>
        <v>15</v>
      </c>
      <c r="E53" s="30">
        <f>B11</f>
        <v>600</v>
      </c>
      <c r="F53" s="31">
        <v>75</v>
      </c>
      <c r="G53" s="32">
        <f>IF(E53&lt;&gt;"",E53/100,"")</f>
        <v>6</v>
      </c>
      <c r="H53" s="33">
        <f>F53*G53</f>
        <v>450</v>
      </c>
      <c r="I53" s="33">
        <f>(SUM(D53*E53)+H53)*0.1</f>
        <v>945</v>
      </c>
      <c r="J53" s="33">
        <f>SUM(D53*E53)+SUM(F53*G53)+H53+I53</f>
        <v>10845</v>
      </c>
      <c r="K53" s="94" t="s">
        <v>100</v>
      </c>
    </row>
    <row r="54" spans="1:11" ht="17.45" customHeight="1">
      <c r="A54" s="42" t="s">
        <v>269</v>
      </c>
      <c r="B54" s="112">
        <v>6</v>
      </c>
      <c r="C54" s="100">
        <f>C53</f>
        <v>1</v>
      </c>
      <c r="D54" s="101">
        <f>B54*C54</f>
        <v>6</v>
      </c>
      <c r="E54" s="30">
        <f>E58*0.15</f>
        <v>6</v>
      </c>
      <c r="F54" s="31">
        <v>40</v>
      </c>
      <c r="G54" s="32">
        <f>IF(E54&lt;&gt;"",E54/100,"")</f>
        <v>0.06</v>
      </c>
      <c r="H54" s="33">
        <f>F54*G54</f>
        <v>2.4</v>
      </c>
      <c r="I54" s="33">
        <f>(SUM(D54*E54)+H54)*0.1</f>
        <v>3.84</v>
      </c>
      <c r="J54" s="33">
        <f>SUM(D54*E54)+SUM(F54*G54)+H54+I54</f>
        <v>44.64</v>
      </c>
      <c r="K54" s="94" t="s">
        <v>83</v>
      </c>
    </row>
    <row r="55" spans="1:11" ht="17.45" customHeight="1">
      <c r="A55" s="42" t="s">
        <v>270</v>
      </c>
      <c r="B55" s="112">
        <v>20</v>
      </c>
      <c r="C55" s="100">
        <f>C54</f>
        <v>1</v>
      </c>
      <c r="D55" s="101">
        <f>B55*C55</f>
        <v>20</v>
      </c>
      <c r="E55" s="30">
        <f>E56</f>
        <v>20</v>
      </c>
      <c r="F55" s="31">
        <v>50</v>
      </c>
      <c r="G55" s="32">
        <f>IF(E55&lt;&gt;"",E55/100,"")</f>
        <v>0.2</v>
      </c>
      <c r="H55" s="33">
        <f>F55*G55</f>
        <v>10</v>
      </c>
      <c r="I55" s="33">
        <f>(SUM(D55*E55)+H55)*0.1</f>
        <v>41</v>
      </c>
      <c r="J55" s="33">
        <f>SUM(D55*E55)+SUM(F55*G55)+H55+I55</f>
        <v>461</v>
      </c>
      <c r="K55" s="94" t="s">
        <v>83</v>
      </c>
    </row>
    <row r="56" spans="1:11" ht="17.45" customHeight="1">
      <c r="A56" s="42" t="s">
        <v>271</v>
      </c>
      <c r="B56" s="112">
        <v>150</v>
      </c>
      <c r="C56" s="100">
        <f>C55</f>
        <v>1</v>
      </c>
      <c r="D56" s="101">
        <f>B56*C56</f>
        <v>150</v>
      </c>
      <c r="E56" s="30">
        <f>ROUNDUP(B8/200,0)</f>
        <v>20</v>
      </c>
      <c r="F56" s="31">
        <v>65</v>
      </c>
      <c r="G56" s="32">
        <f>ROUNDUP(E56/5,0)</f>
        <v>4</v>
      </c>
      <c r="H56" s="33">
        <f>F56*G56</f>
        <v>260</v>
      </c>
      <c r="I56" s="33">
        <f>(SUM(D56*E56)+H56)*0.1</f>
        <v>326</v>
      </c>
      <c r="J56" s="33">
        <f>SUM(D56*E56)+SUM(F56*G56)+H56+I56</f>
        <v>3846</v>
      </c>
      <c r="K56" s="94" t="s">
        <v>83</v>
      </c>
    </row>
    <row r="57" spans="1:11" ht="17.45" customHeight="1">
      <c r="A57" s="42" t="s">
        <v>272</v>
      </c>
      <c r="B57" s="112">
        <v>8</v>
      </c>
      <c r="C57" s="100">
        <f>C56</f>
        <v>1</v>
      </c>
      <c r="D57" s="101">
        <f>B57*C57</f>
        <v>8</v>
      </c>
      <c r="E57" s="30">
        <f>E58*0.35</f>
        <v>14</v>
      </c>
      <c r="F57" s="31">
        <v>40</v>
      </c>
      <c r="G57" s="32">
        <f>ROUNDUP(E57/5,0)</f>
        <v>3</v>
      </c>
      <c r="H57" s="33">
        <f>F57*G57</f>
        <v>120</v>
      </c>
      <c r="I57" s="33">
        <f>(SUM(D57*E57)+H57)*0.1</f>
        <v>23.200000000000003</v>
      </c>
      <c r="J57" s="33">
        <f>SUM(D57*E57)+SUM(F57*G57)+H57+I57</f>
        <v>375.2</v>
      </c>
      <c r="K57" s="94" t="s">
        <v>83</v>
      </c>
    </row>
    <row r="58" spans="1:11" ht="17.45" customHeight="1">
      <c r="A58" s="42" t="s">
        <v>273</v>
      </c>
      <c r="B58" s="112">
        <v>600</v>
      </c>
      <c r="C58" s="100">
        <f>C57</f>
        <v>1</v>
      </c>
      <c r="D58" s="101">
        <f>B58*C58</f>
        <v>600</v>
      </c>
      <c r="E58" s="30">
        <f>B8*0.01</f>
        <v>40</v>
      </c>
      <c r="F58" s="31">
        <v>60</v>
      </c>
      <c r="G58" s="32">
        <f>ROUNDUP(E58/3,0)</f>
        <v>14</v>
      </c>
      <c r="H58" s="33">
        <f>F58*G58</f>
        <v>840</v>
      </c>
      <c r="I58" s="33">
        <f>(SUM(D58*E58)+H58)*0.1</f>
        <v>2484</v>
      </c>
      <c r="J58" s="33">
        <f>SUM(D58*E58)+SUM(F58*G58)+H58+I58</f>
        <v>28164</v>
      </c>
      <c r="K58" s="94" t="s">
        <v>73</v>
      </c>
    </row>
    <row r="59" spans="1:11" ht="17.45" customHeight="1">
      <c r="A59" s="42" t="s">
        <v>274</v>
      </c>
      <c r="B59" s="112">
        <v>6</v>
      </c>
      <c r="C59" s="100">
        <f>C58</f>
        <v>1</v>
      </c>
      <c r="D59" s="101">
        <f>B59*C59</f>
        <v>6</v>
      </c>
      <c r="E59" s="30">
        <f>E58</f>
        <v>40</v>
      </c>
      <c r="F59" s="31">
        <v>75</v>
      </c>
      <c r="G59" s="32">
        <f>IF(E59&lt;&gt;"",E59/100,"")</f>
        <v>0.4</v>
      </c>
      <c r="H59" s="33">
        <f>F59*G59</f>
        <v>30</v>
      </c>
      <c r="I59" s="33">
        <f>(SUM(D59*E59)+H59)*0.1</f>
        <v>27</v>
      </c>
      <c r="J59" s="33">
        <f>SUM(D59*E59)+SUM(F59*G59)+H59+I59</f>
        <v>327</v>
      </c>
      <c r="K59" s="94" t="s">
        <v>85</v>
      </c>
    </row>
    <row r="60" spans="1:11" ht="17.45" customHeight="1">
      <c r="A60" s="42" t="s">
        <v>275</v>
      </c>
      <c r="B60" s="112">
        <v>12</v>
      </c>
      <c r="C60" s="100">
        <f>C59</f>
        <v>1</v>
      </c>
      <c r="D60" s="101">
        <f>B60*C60</f>
        <v>12</v>
      </c>
      <c r="E60" s="30">
        <f>E59</f>
        <v>40</v>
      </c>
      <c r="F60" s="31">
        <v>80</v>
      </c>
      <c r="G60" s="32">
        <f>IF(E60&lt;&gt;"",E60/100,"")</f>
        <v>0.4</v>
      </c>
      <c r="H60" s="33">
        <f>F60*G60</f>
        <v>32</v>
      </c>
      <c r="I60" s="33">
        <f>(SUM(D60*E60)+H60)*0.1</f>
        <v>51.2</v>
      </c>
      <c r="J60" s="33">
        <f>SUM(D60*E60)+SUM(F60*G60)+H60+I60</f>
        <v>595.20000000000005</v>
      </c>
      <c r="K60" s="94" t="s">
        <v>85</v>
      </c>
    </row>
    <row r="61" spans="1:11" ht="17.45" customHeight="1">
      <c r="A61" s="42" t="s">
        <v>276</v>
      </c>
      <c r="B61" s="112">
        <v>8</v>
      </c>
      <c r="C61" s="100">
        <f>C60</f>
        <v>1</v>
      </c>
      <c r="D61" s="101">
        <f>B61*C61</f>
        <v>8</v>
      </c>
      <c r="E61" s="30">
        <f>E60</f>
        <v>40</v>
      </c>
      <c r="F61" s="31">
        <v>70</v>
      </c>
      <c r="G61" s="32">
        <f>IF(E61&lt;&gt;"",E61/100,"")</f>
        <v>0.4</v>
      </c>
      <c r="H61" s="33">
        <f>F61*G61</f>
        <v>28</v>
      </c>
      <c r="I61" s="33">
        <f>(SUM(D61*E61)+H61)*0.1</f>
        <v>34.800000000000004</v>
      </c>
      <c r="J61" s="33">
        <f>SUM(D61*E61)+SUM(F61*G61)+H61+I61</f>
        <v>410.8</v>
      </c>
      <c r="K61" s="94" t="s">
        <v>160</v>
      </c>
    </row>
    <row r="62" spans="1:11" ht="17.45" customHeight="1">
      <c r="A62" s="42" t="s">
        <v>277</v>
      </c>
      <c r="B62" s="112">
        <v>15</v>
      </c>
      <c r="C62" s="100">
        <f>C61</f>
        <v>1</v>
      </c>
      <c r="D62" s="101">
        <f>B62*C62</f>
        <v>15</v>
      </c>
      <c r="E62" s="32">
        <f>ROUNDUP(B8*0.25,0)</f>
        <v>1000</v>
      </c>
      <c r="F62" s="31">
        <v>40</v>
      </c>
      <c r="G62" s="32">
        <f>IF(E62&lt;&gt;"",E62/100,"")</f>
        <v>10</v>
      </c>
      <c r="H62" s="33">
        <f>F62*G62</f>
        <v>400</v>
      </c>
      <c r="I62" s="33">
        <f>(SUM(D62*E62)+H62)*0.1</f>
        <v>1540</v>
      </c>
      <c r="J62" s="33">
        <f>SUM(D62*E62)+SUM(F62*G62)+H62+I62</f>
        <v>17340</v>
      </c>
      <c r="K62" s="94" t="s">
        <v>160</v>
      </c>
    </row>
    <row r="63" spans="1:11" ht="17.45" customHeight="1">
      <c r="A63" s="42" t="s">
        <v>278</v>
      </c>
      <c r="B63" s="112">
        <v>2.5</v>
      </c>
      <c r="C63" s="100">
        <f>C62</f>
        <v>1</v>
      </c>
      <c r="D63" s="101">
        <f>B63*C63</f>
        <v>2.5</v>
      </c>
      <c r="E63" s="32">
        <f>ROUNDUP(B8*1.25,0)</f>
        <v>5000</v>
      </c>
      <c r="F63" s="31">
        <v>60</v>
      </c>
      <c r="G63" s="32">
        <f>ROUNDUP(E63/100,0)</f>
        <v>50</v>
      </c>
      <c r="H63" s="33">
        <f>F63*G63</f>
        <v>3000</v>
      </c>
      <c r="I63" s="33">
        <f>(SUM(D63*E63)+H63)*0.1</f>
        <v>1550</v>
      </c>
      <c r="J63" s="33">
        <f>SUM(D63*E63)+SUM(F63*G63)+H63+I63</f>
        <v>20050</v>
      </c>
      <c r="K63" s="94" t="s">
        <v>134</v>
      </c>
    </row>
    <row r="64" spans="1:11" ht="17.45" customHeight="1">
      <c r="A64" s="42" t="s">
        <v>279</v>
      </c>
      <c r="B64" s="112">
        <v>1.5</v>
      </c>
      <c r="C64" s="100">
        <f>C63</f>
        <v>1</v>
      </c>
      <c r="D64" s="101">
        <f>B64*C64</f>
        <v>1.5</v>
      </c>
      <c r="E64" s="32">
        <f>IF(E63&gt;0,0,1)</f>
        <v>0</v>
      </c>
      <c r="F64" s="31">
        <v>40</v>
      </c>
      <c r="G64" s="32">
        <f>ROUNDUP(E64/100,0)</f>
        <v>0</v>
      </c>
      <c r="H64" s="33">
        <f>F64*G64</f>
        <v>0</v>
      </c>
      <c r="I64" s="33">
        <f>(SUM(D64*E64)+H64)*0.1</f>
        <v>0</v>
      </c>
      <c r="J64" s="33">
        <f>SUM(D64*E64)+SUM(F64*G64)+H64+I64</f>
        <v>0</v>
      </c>
      <c r="K64" s="94" t="s">
        <v>134</v>
      </c>
    </row>
    <row r="65" spans="1:11" ht="17.45" customHeight="1">
      <c r="A65" s="42" t="s">
        <v>280</v>
      </c>
      <c r="B65" s="112">
        <v>0</v>
      </c>
      <c r="C65" s="100">
        <f>C64</f>
        <v>1</v>
      </c>
      <c r="D65" s="101">
        <f>B65*C65</f>
        <v>0</v>
      </c>
      <c r="E65" s="32">
        <v>1</v>
      </c>
      <c r="F65" s="31">
        <v>350</v>
      </c>
      <c r="G65" s="32">
        <f>ROUNDUP($B$8/100,0)</f>
        <v>40</v>
      </c>
      <c r="H65" s="33">
        <f>F65*G65</f>
        <v>14000</v>
      </c>
      <c r="I65" s="33">
        <f>(SUM(D65*E65)+H65)*0.1</f>
        <v>1400</v>
      </c>
      <c r="J65" s="33">
        <f>SUM(D65*E65)+SUM(F65*G65)+H65+I65</f>
        <v>29400</v>
      </c>
      <c r="K65" s="94" t="s">
        <v>32</v>
      </c>
    </row>
    <row r="66" spans="1:11" ht="17.45" customHeight="1">
      <c r="A66" s="42" t="s">
        <v>281</v>
      </c>
      <c r="B66" s="112">
        <v>0</v>
      </c>
      <c r="C66" s="100">
        <f>C65</f>
        <v>1</v>
      </c>
      <c r="D66" s="101">
        <f>B66*C66</f>
        <v>0</v>
      </c>
      <c r="E66" s="32">
        <v>1</v>
      </c>
      <c r="F66" s="31">
        <v>100</v>
      </c>
      <c r="G66" s="32">
        <f>ROUNDUP($B$8/50,0)</f>
        <v>80</v>
      </c>
      <c r="H66" s="33">
        <f>F66*G66</f>
        <v>8000</v>
      </c>
      <c r="I66" s="33">
        <f>(SUM(D66*E66)+H66)*0.1</f>
        <v>800</v>
      </c>
      <c r="J66" s="33">
        <f>SUM(D66*E66)+SUM(F66*G66)+H66+I66</f>
        <v>16800</v>
      </c>
      <c r="K66" s="94" t="s">
        <v>48</v>
      </c>
    </row>
    <row r="67" spans="1:11" ht="17.45" customHeight="1">
      <c r="A67" s="42" t="s">
        <v>282</v>
      </c>
      <c r="B67" s="112">
        <v>0</v>
      </c>
      <c r="C67" s="100">
        <f>C66</f>
        <v>1</v>
      </c>
      <c r="D67" s="101">
        <f>B67*C67</f>
        <v>0</v>
      </c>
      <c r="E67" s="32">
        <v>1</v>
      </c>
      <c r="F67" s="31">
        <v>0</v>
      </c>
      <c r="G67" s="32">
        <f>ROUNDUP($B$8/100,0)</f>
        <v>40</v>
      </c>
      <c r="H67" s="33">
        <f>F67*G67</f>
        <v>0</v>
      </c>
      <c r="I67" s="33">
        <f>(SUM(D67*E67)+H67)*0.1</f>
        <v>0</v>
      </c>
      <c r="J67" s="33">
        <f>SUM(D67*E67)+SUM(F67*G67)+H67+I67</f>
        <v>0</v>
      </c>
      <c r="K67" s="94" t="s">
        <v>46</v>
      </c>
    </row>
    <row r="68" spans="1:11" ht="17.45" customHeight="1">
      <c r="A68" s="42" t="s">
        <v>283</v>
      </c>
      <c r="B68" s="112">
        <v>0</v>
      </c>
      <c r="C68" s="100">
        <f>C67</f>
        <v>1</v>
      </c>
      <c r="D68" s="101">
        <f>B68*C68</f>
        <v>0</v>
      </c>
      <c r="E68" s="30">
        <f>B7</f>
        <v>43560</v>
      </c>
      <c r="F68" s="31">
        <v>50</v>
      </c>
      <c r="G68" s="32">
        <f>IF(E68&lt;&gt;"",E68/100,"")</f>
        <v>435.6</v>
      </c>
      <c r="H68" s="33">
        <f>F68*G68</f>
        <v>21780</v>
      </c>
      <c r="I68" s="33">
        <f>(SUM(D68*E68)+H68)*0.1</f>
        <v>2178</v>
      </c>
      <c r="J68" s="33">
        <f>SUM(D68*E68)+SUM(F68*G68)+H68+I68</f>
        <v>45738</v>
      </c>
      <c r="K68" s="94" t="s">
        <v>92</v>
      </c>
    </row>
    <row r="69" spans="1:11" ht="17.45" customHeight="1">
      <c r="A69" s="42" t="s">
        <v>284</v>
      </c>
      <c r="B69" s="112">
        <v>0</v>
      </c>
      <c r="C69" s="100">
        <f>C68</f>
        <v>1</v>
      </c>
      <c r="D69" s="101">
        <f>B69*C69</f>
        <v>0</v>
      </c>
      <c r="E69" s="30">
        <f>E68</f>
        <v>43560</v>
      </c>
      <c r="F69" s="31">
        <v>50</v>
      </c>
      <c r="G69" s="32">
        <f>IF(E69&lt;&gt;"",E69/100,"")</f>
        <v>435.6</v>
      </c>
      <c r="H69" s="33">
        <f>F69*G69</f>
        <v>21780</v>
      </c>
      <c r="I69" s="33">
        <f>(SUM(D69*E69)+H69)*0.1</f>
        <v>2178</v>
      </c>
      <c r="J69" s="33">
        <f>SUM(D69*E69)+SUM(F69*G69)+H69+I69</f>
        <v>45738</v>
      </c>
      <c r="K69" s="94" t="s">
        <v>174</v>
      </c>
    </row>
    <row r="70" spans="1:11" ht="17.45" customHeight="1">
      <c r="A70" s="42" t="s">
        <v>285</v>
      </c>
      <c r="B70" s="112">
        <v>0</v>
      </c>
      <c r="C70" s="100">
        <f>C69</f>
        <v>1</v>
      </c>
      <c r="D70" s="101">
        <f>B70*C70</f>
        <v>0</v>
      </c>
      <c r="E70" s="32">
        <f>IF(E69&gt;0,0,1)</f>
        <v>0</v>
      </c>
      <c r="F70" s="31">
        <v>50</v>
      </c>
      <c r="G70" s="32">
        <f>IF(E70&lt;&gt;"",E70/100,"")</f>
        <v>0</v>
      </c>
      <c r="H70" s="33">
        <f>F70*G70</f>
        <v>0</v>
      </c>
      <c r="I70" s="33">
        <f>(SUM(D70*E70)+H70)*0.1</f>
        <v>0</v>
      </c>
      <c r="J70" s="33">
        <f>SUM(D70*E70)+SUM(F70*G70)+H70+I70</f>
        <v>0</v>
      </c>
      <c r="K70" s="94" t="s">
        <v>174</v>
      </c>
    </row>
    <row r="71" spans="1:11" ht="17.45" customHeight="1">
      <c r="A71" s="42" t="s">
        <v>286</v>
      </c>
      <c r="B71" s="112">
        <v>250</v>
      </c>
      <c r="C71" s="100">
        <f>C70</f>
        <v>1</v>
      </c>
      <c r="D71" s="101">
        <f>B71*C71</f>
        <v>250</v>
      </c>
      <c r="E71" s="30">
        <v>1</v>
      </c>
      <c r="F71" s="31">
        <v>50</v>
      </c>
      <c r="G71" s="32">
        <f>IF(E71&lt;&gt;"",E71/100,"")</f>
        <v>0.01</v>
      </c>
      <c r="H71" s="33">
        <f>F71*G71</f>
        <v>0.5</v>
      </c>
      <c r="I71" s="33">
        <f>(SUM(D71*E71)+H71)*0.1</f>
        <v>25.05</v>
      </c>
      <c r="J71" s="33">
        <f>SUM(D71*E71)+SUM(F71*G71)+H71+I71</f>
        <v>276.05</v>
      </c>
      <c r="K71" s="94" t="s">
        <v>180</v>
      </c>
    </row>
    <row r="72" spans="1:11" ht="17.45" customHeight="1">
      <c r="A72" s="42" t="s">
        <v>287</v>
      </c>
      <c r="B72" s="112">
        <v>100</v>
      </c>
      <c r="C72" s="100">
        <f>C71</f>
        <v>1</v>
      </c>
      <c r="D72" s="101">
        <f>B72*C72</f>
        <v>100</v>
      </c>
      <c r="E72" s="30">
        <v>0</v>
      </c>
      <c r="F72" s="31">
        <v>50</v>
      </c>
      <c r="G72" s="32">
        <f>IF(E72&lt;&gt;"",E72/100,"")</f>
        <v>0</v>
      </c>
      <c r="H72" s="33">
        <f>F72*G72</f>
        <v>0</v>
      </c>
      <c r="I72" s="33">
        <f>(SUM(D72*E72)+H72)*0.1</f>
        <v>0</v>
      </c>
      <c r="J72" s="33">
        <f>SUM(D72*E72)+SUM(F72*G72)+H72+I72</f>
        <v>0</v>
      </c>
      <c r="K72" s="94" t="s">
        <v>92</v>
      </c>
    </row>
    <row r="73" spans="1:11" ht="17.45" customHeight="1">
      <c r="A73" s="42" t="s">
        <v>288</v>
      </c>
      <c r="B73" s="112">
        <v>1000</v>
      </c>
      <c r="C73" s="100">
        <f>C72</f>
        <v>1</v>
      </c>
      <c r="D73" s="101">
        <f>B73*C73</f>
        <v>1000</v>
      </c>
      <c r="E73" s="30">
        <f>B7*0.00175</f>
        <v>76.23</v>
      </c>
      <c r="F73" s="31">
        <v>50</v>
      </c>
      <c r="G73" s="32">
        <f>IF(E73&lt;&gt;"",E73/100,"")</f>
        <v>0.76230000000000009</v>
      </c>
      <c r="H73" s="33">
        <f>F73*G73</f>
        <v>38.115000000000002</v>
      </c>
      <c r="I73" s="33">
        <f>(SUM(D73*E73)+H73)*0.1</f>
        <v>7626.8115000000007</v>
      </c>
      <c r="J73" s="33">
        <f>SUM(D73*E73)+SUM(F73*G73)+H73+I73</f>
        <v>83933.041500000007</v>
      </c>
      <c r="K73" s="94" t="s">
        <v>174</v>
      </c>
    </row>
    <row r="74" spans="1:11" ht="17.45" customHeight="1">
      <c r="A74" s="42" t="s">
        <v>289</v>
      </c>
      <c r="B74" s="112">
        <v>50</v>
      </c>
      <c r="C74" s="100">
        <f>C73</f>
        <v>1</v>
      </c>
      <c r="D74" s="101">
        <f>B74*C74</f>
        <v>50</v>
      </c>
      <c r="E74" s="30">
        <f>E73*0.75</f>
        <v>57.172499999999999</v>
      </c>
      <c r="F74" s="31">
        <v>50</v>
      </c>
      <c r="G74" s="32">
        <f>IF(E74&lt;&gt;"",E74/100,"")</f>
        <v>0.57172500000000004</v>
      </c>
      <c r="H74" s="33">
        <f>F74*G74</f>
        <v>28.586250000000003</v>
      </c>
      <c r="I74" s="33">
        <f>(SUM(D74*E74)+H74)*0.1</f>
        <v>288.72112499999997</v>
      </c>
      <c r="J74" s="33">
        <f>SUM(D74*E74)+SUM(F74*G74)+H74+I74</f>
        <v>3204.5186249999997</v>
      </c>
      <c r="K74" s="94" t="s">
        <v>174</v>
      </c>
    </row>
    <row r="75" spans="1:11" ht="17.45" customHeight="1">
      <c r="A75" s="42" t="s">
        <v>290</v>
      </c>
      <c r="B75" s="112">
        <v>30</v>
      </c>
      <c r="C75" s="100">
        <f>C74</f>
        <v>1</v>
      </c>
      <c r="D75" s="101">
        <f>B75*C75</f>
        <v>30</v>
      </c>
      <c r="E75" s="30">
        <f>ROUNDUP(B8/75,0)</f>
        <v>54</v>
      </c>
      <c r="F75" s="31">
        <v>50</v>
      </c>
      <c r="G75" s="32">
        <f>ROUNDUP(E75/20,0)</f>
        <v>3</v>
      </c>
      <c r="H75" s="33">
        <f>F75*G75</f>
        <v>150</v>
      </c>
      <c r="I75" s="33">
        <f>(SUM(D75*E75)+H75)*0.1</f>
        <v>177</v>
      </c>
      <c r="J75" s="33">
        <f>SUM(D75*E75)+SUM(F75*G75)+H75+I75</f>
        <v>2097</v>
      </c>
      <c r="K75" s="94" t="s">
        <v>158</v>
      </c>
    </row>
    <row r="76" spans="1:11" ht="17.45" customHeight="1">
      <c r="A76" s="42" t="s">
        <v>291</v>
      </c>
      <c r="B76" s="112">
        <v>150</v>
      </c>
      <c r="C76" s="100">
        <f>C75</f>
        <v>1</v>
      </c>
      <c r="D76" s="101">
        <f>B76*C76</f>
        <v>150</v>
      </c>
      <c r="E76" s="30">
        <f>ROUNDUP(B8/250,0)</f>
        <v>16</v>
      </c>
      <c r="F76" s="31">
        <v>70</v>
      </c>
      <c r="G76" s="32">
        <f>ROUNDUP(E76/10,0)</f>
        <v>2</v>
      </c>
      <c r="H76" s="33">
        <f>F76*G76</f>
        <v>140</v>
      </c>
      <c r="I76" s="33">
        <f>(SUM(D76*E76)+H76)*0.1</f>
        <v>254</v>
      </c>
      <c r="J76" s="33">
        <f>SUM(D76*E76)+SUM(F76*G76)+H76+I76</f>
        <v>2934</v>
      </c>
      <c r="K76" s="94" t="s">
        <v>158</v>
      </c>
    </row>
    <row r="77" spans="1:11" ht="17.45" customHeight="1">
      <c r="A77" s="42" t="s">
        <v>292</v>
      </c>
      <c r="B77" s="112">
        <v>0</v>
      </c>
      <c r="C77" s="100">
        <f>C76</f>
        <v>1</v>
      </c>
      <c r="D77" s="101">
        <f>B77*C77</f>
        <v>0</v>
      </c>
      <c r="E77" s="30">
        <v>1</v>
      </c>
      <c r="F77" s="31">
        <v>0</v>
      </c>
      <c r="G77" s="32">
        <v>2</v>
      </c>
      <c r="H77" s="33">
        <f>F77*G77</f>
        <v>0</v>
      </c>
      <c r="I77" s="33">
        <f>(SUM(D77*E77)+H77)*0.1</f>
        <v>0</v>
      </c>
      <c r="J77" s="33">
        <f>SUM(D77*E77)+SUM(F77*G77)+H77+I77</f>
        <v>0</v>
      </c>
      <c r="K77" s="94" t="s">
        <v>180</v>
      </c>
    </row>
    <row r="78" spans="1:11" ht="17.45" customHeight="1">
      <c r="A78" s="42" t="s">
        <v>293</v>
      </c>
      <c r="B78" s="112">
        <v>1.5</v>
      </c>
      <c r="C78" s="100">
        <f>C77</f>
        <v>1</v>
      </c>
      <c r="D78" s="101">
        <f>B78*C78</f>
        <v>1.5</v>
      </c>
      <c r="E78" s="32">
        <f>ROUNDUP(B8*1.25,0)</f>
        <v>5000</v>
      </c>
      <c r="F78" s="31">
        <v>45</v>
      </c>
      <c r="G78" s="32">
        <f>ROUNDUP(E78/200,0)</f>
        <v>25</v>
      </c>
      <c r="H78" s="33">
        <f>F78*G78</f>
        <v>1125</v>
      </c>
      <c r="I78" s="33">
        <f>(SUM(D78*E78)+H78)*0.1</f>
        <v>862.5</v>
      </c>
      <c r="J78" s="33">
        <f>SUM(D78*E78)+SUM(F78*G78)+H78+I78</f>
        <v>10612.5</v>
      </c>
      <c r="K78" s="94" t="s">
        <v>142</v>
      </c>
    </row>
    <row r="79" spans="1:11" ht="17.45" customHeight="1">
      <c r="A79" s="42" t="s">
        <v>294</v>
      </c>
      <c r="B79" s="112">
        <v>1.25</v>
      </c>
      <c r="C79" s="100">
        <f>C78</f>
        <v>1</v>
      </c>
      <c r="D79" s="101">
        <f>B79*C79</f>
        <v>1.25</v>
      </c>
      <c r="E79" s="32">
        <f>ROUNDUP(B8*1.25,0)</f>
        <v>5000</v>
      </c>
      <c r="F79" s="31">
        <v>45</v>
      </c>
      <c r="G79" s="32">
        <f>ROUNDUP(E79/200,0)</f>
        <v>25</v>
      </c>
      <c r="H79" s="33">
        <f>F79*G79</f>
        <v>1125</v>
      </c>
      <c r="I79" s="33">
        <f>(SUM(D79*E79)+H79)*0.1</f>
        <v>737.5</v>
      </c>
      <c r="J79" s="33">
        <f>SUM(D79*E79)+SUM(F79*G79)+H79+I79</f>
        <v>9237.5</v>
      </c>
      <c r="K79" s="94" t="s">
        <v>162</v>
      </c>
    </row>
    <row r="80" spans="1:11" ht="17.45" customHeight="1">
      <c r="A80" s="42" t="s">
        <v>295</v>
      </c>
      <c r="B80" s="112">
        <v>30</v>
      </c>
      <c r="C80" s="100">
        <f>C79</f>
        <v>1</v>
      </c>
      <c r="D80" s="101">
        <f>B80*C80</f>
        <v>30</v>
      </c>
      <c r="E80" s="30">
        <f>ROUNDUP(B7*0.01,0)</f>
        <v>436</v>
      </c>
      <c r="F80" s="31">
        <v>75</v>
      </c>
      <c r="G80" s="32">
        <f>IF(E80&lt;&gt;"",E80/100,"")</f>
        <v>4.3600000000000003</v>
      </c>
      <c r="H80" s="33">
        <f>F80*G80</f>
        <v>327</v>
      </c>
      <c r="I80" s="33">
        <f>(SUM(D80*E80)+H80)*0.1</f>
        <v>1340.7</v>
      </c>
      <c r="J80" s="33">
        <f>SUM(D80*E80)+SUM(F80*G80)+H80+I80</f>
        <v>15074.7</v>
      </c>
      <c r="K80" s="94" t="s">
        <v>138</v>
      </c>
    </row>
    <row r="81" spans="1:11" ht="17.45" customHeight="1">
      <c r="A81" s="42" t="s">
        <v>296</v>
      </c>
      <c r="B81" s="112">
        <v>18</v>
      </c>
      <c r="C81" s="100">
        <f>C80</f>
        <v>1</v>
      </c>
      <c r="D81" s="101">
        <f>B81*C81</f>
        <v>18</v>
      </c>
      <c r="E81" s="30">
        <f>IF(E80=1,0,0)</f>
        <v>0</v>
      </c>
      <c r="F81" s="31">
        <v>50</v>
      </c>
      <c r="G81" s="32">
        <f>IF(E81&lt;&gt;"",E81/100,"")</f>
        <v>0</v>
      </c>
      <c r="H81" s="33">
        <f>F81*G81</f>
        <v>0</v>
      </c>
      <c r="I81" s="33">
        <f>(SUM(D81*E81)+H81)*0.1</f>
        <v>0</v>
      </c>
      <c r="J81" s="33">
        <f>SUM(D81*E81)+SUM(F81*G81)+H81+I81</f>
        <v>0</v>
      </c>
      <c r="K81" s="94" t="s">
        <v>138</v>
      </c>
    </row>
    <row r="82" spans="1:11" ht="17.45" customHeight="1">
      <c r="A82" s="42" t="s">
        <v>297</v>
      </c>
      <c r="B82" s="112">
        <v>22</v>
      </c>
      <c r="C82" s="100">
        <f>C81</f>
        <v>1</v>
      </c>
      <c r="D82" s="101">
        <f>B82*C82</f>
        <v>22</v>
      </c>
      <c r="E82" s="30">
        <f>IF(E81=1,0,0)</f>
        <v>0</v>
      </c>
      <c r="F82" s="31">
        <v>60</v>
      </c>
      <c r="G82" s="32">
        <f>IF(E82&lt;&gt;"",E82/100,"")</f>
        <v>0</v>
      </c>
      <c r="H82" s="33">
        <f>F82*G82</f>
        <v>0</v>
      </c>
      <c r="I82" s="33">
        <f>(SUM(D82*E82)+H82)*0.1</f>
        <v>0</v>
      </c>
      <c r="J82" s="33">
        <f>SUM(D82*E82)+SUM(F82*G82)+H82+I82</f>
        <v>0</v>
      </c>
      <c r="K82" s="94" t="s">
        <v>138</v>
      </c>
    </row>
    <row r="83" spans="1:11" ht="17.45" customHeight="1">
      <c r="A83" s="42" t="s">
        <v>298</v>
      </c>
      <c r="B83" s="112">
        <v>1.8</v>
      </c>
      <c r="C83" s="100">
        <f>C82</f>
        <v>1</v>
      </c>
      <c r="D83" s="101">
        <f>B83*C83</f>
        <v>1.8</v>
      </c>
      <c r="E83" s="30">
        <f>ROUNDUP(B10*1.1,0)</f>
        <v>3740</v>
      </c>
      <c r="F83" s="31">
        <v>50</v>
      </c>
      <c r="G83" s="32">
        <f>IF(E83&lt;&gt;"",E83/100,"")</f>
        <v>37.4</v>
      </c>
      <c r="H83" s="33">
        <f>F83*G83</f>
        <v>1870</v>
      </c>
      <c r="I83" s="33">
        <f>(SUM(D83*E83)+H83)*0.1</f>
        <v>860.2</v>
      </c>
      <c r="J83" s="33">
        <f>SUM(D83*E83)+SUM(F83*G83)+H83+I83</f>
        <v>11332.2</v>
      </c>
      <c r="K83" s="94" t="s">
        <v>114</v>
      </c>
    </row>
    <row r="84" spans="1:11" ht="17.45" customHeight="1">
      <c r="A84" s="42" t="s">
        <v>299</v>
      </c>
      <c r="B84" s="112">
        <v>1.5</v>
      </c>
      <c r="C84" s="100">
        <f>C83</f>
        <v>1</v>
      </c>
      <c r="D84" s="101">
        <f>B84*C84</f>
        <v>1.5</v>
      </c>
      <c r="E84" s="30">
        <f>B8</f>
        <v>4000</v>
      </c>
      <c r="F84" s="31">
        <v>45</v>
      </c>
      <c r="G84" s="32">
        <f>IF(E84&lt;&gt;"",E84/100,"")</f>
        <v>40</v>
      </c>
      <c r="H84" s="33">
        <f>F84*G84</f>
        <v>1800</v>
      </c>
      <c r="I84" s="33">
        <f>(SUM(D84*E84)+H84)*0.1</f>
        <v>780</v>
      </c>
      <c r="J84" s="33">
        <f>SUM(D84*E84)+SUM(F84*G84)+H84+I84</f>
        <v>10380</v>
      </c>
      <c r="K84" s="94" t="s">
        <v>126</v>
      </c>
    </row>
    <row r="85" spans="1:11" ht="17.45" customHeight="1">
      <c r="A85" s="42" t="s">
        <v>300</v>
      </c>
      <c r="B85" s="112">
        <v>90</v>
      </c>
      <c r="C85" s="100">
        <f>C84</f>
        <v>1</v>
      </c>
      <c r="D85" s="101">
        <f>B85*C85</f>
        <v>90</v>
      </c>
      <c r="E85" s="30">
        <f>B8*0.1</f>
        <v>400</v>
      </c>
      <c r="F85" s="31">
        <v>75</v>
      </c>
      <c r="G85" s="32">
        <f>IF(E85&lt;&gt;"",E85/100,"")</f>
        <v>4</v>
      </c>
      <c r="H85" s="33">
        <f>F85*G85</f>
        <v>300</v>
      </c>
      <c r="I85" s="33">
        <f>(SUM(D85*E85)+H85)*0.1</f>
        <v>3630</v>
      </c>
      <c r="J85" s="33">
        <f>SUM(D85*E85)+SUM(F85*G85)+H85+I85</f>
        <v>40230</v>
      </c>
      <c r="K85" s="94" t="s">
        <v>158</v>
      </c>
    </row>
    <row r="86" spans="1:11" ht="17.45" customHeight="1">
      <c r="A86" s="42" t="s">
        <v>301</v>
      </c>
      <c r="B86" s="112">
        <v>0.75</v>
      </c>
      <c r="C86" s="100">
        <f>C85</f>
        <v>1</v>
      </c>
      <c r="D86" s="101">
        <f>B86*C86</f>
        <v>0.75</v>
      </c>
      <c r="E86" s="30">
        <f>ROUNDUP(B8/4,0)</f>
        <v>1000</v>
      </c>
      <c r="F86" s="31">
        <v>40</v>
      </c>
      <c r="G86" s="32">
        <f>ROUNDUP(E86/250,0)</f>
        <v>4</v>
      </c>
      <c r="H86" s="33">
        <f>F86*G86</f>
        <v>160</v>
      </c>
      <c r="I86" s="33">
        <f>(SUM(D86*E86)+H86)*0.1</f>
        <v>91</v>
      </c>
      <c r="J86" s="33">
        <f>SUM(D86*E86)+SUM(F86*G86)+H86+I86</f>
        <v>1161</v>
      </c>
      <c r="K86" s="94" t="s">
        <v>120</v>
      </c>
    </row>
    <row r="87" spans="1:11" ht="17.45" customHeight="1">
      <c r="A87" s="42" t="s">
        <v>302</v>
      </c>
      <c r="B87" s="112">
        <v>0</v>
      </c>
      <c r="C87" s="100">
        <f>C86</f>
        <v>1</v>
      </c>
      <c r="D87" s="101">
        <f>B87*C87</f>
        <v>0</v>
      </c>
      <c r="E87" s="30">
        <v>1</v>
      </c>
      <c r="F87" s="31">
        <v>0</v>
      </c>
      <c r="G87" s="32">
        <v>16</v>
      </c>
      <c r="H87" s="33">
        <f>F87*G87</f>
        <v>0</v>
      </c>
      <c r="I87" s="33">
        <f>(SUM(D87*E87)+H87)*0.1</f>
        <v>0</v>
      </c>
      <c r="J87" s="33">
        <f>SUM(D87*E87)+SUM(F87*G87)+H87+I87</f>
        <v>0</v>
      </c>
      <c r="K87" s="94" t="s">
        <v>140</v>
      </c>
    </row>
    <row r="88" spans="1:11" ht="17.45" customHeight="1">
      <c r="A88" s="42" t="s">
        <v>303</v>
      </c>
      <c r="B88" s="112">
        <v>0</v>
      </c>
      <c r="C88" s="100">
        <f>C87</f>
        <v>1</v>
      </c>
      <c r="D88" s="101">
        <f>B88*C88</f>
        <v>0</v>
      </c>
      <c r="E88" s="30">
        <v>1</v>
      </c>
      <c r="F88" s="31">
        <v>0</v>
      </c>
      <c r="G88" s="32">
        <v>16</v>
      </c>
      <c r="H88" s="33">
        <f>F88*G88</f>
        <v>0</v>
      </c>
      <c r="I88" s="33">
        <f>(SUM(D88*E88)+H88)*0.1</f>
        <v>0</v>
      </c>
      <c r="J88" s="33">
        <f>SUM(D88*E88)+SUM(F88*G88)+H88+I88</f>
        <v>0</v>
      </c>
      <c r="K88" s="94" t="s">
        <v>124</v>
      </c>
    </row>
    <row r="89" spans="1:11" ht="17.45" customHeight="1">
      <c r="A89" s="42" t="s">
        <v>304</v>
      </c>
      <c r="B89" s="112">
        <v>0</v>
      </c>
      <c r="C89" s="100">
        <f>C88</f>
        <v>1</v>
      </c>
      <c r="D89" s="101">
        <f>B89*C89</f>
        <v>0</v>
      </c>
      <c r="E89" s="30">
        <v>1</v>
      </c>
      <c r="F89" s="31">
        <v>0</v>
      </c>
      <c r="G89" s="32">
        <v>8</v>
      </c>
      <c r="H89" s="33">
        <f>F89*G89</f>
        <v>0</v>
      </c>
      <c r="I89" s="33">
        <f>(SUM(D89*E89)+H89)*0.1</f>
        <v>0</v>
      </c>
      <c r="J89" s="33">
        <f>SUM(D89*E89)+SUM(F89*G89)+H89+I89</f>
        <v>0</v>
      </c>
      <c r="K89" s="94" t="s">
        <v>124</v>
      </c>
    </row>
    <row r="90" spans="1:11" ht="17.45" customHeight="1">
      <c r="A90" s="42" t="s">
        <v>305</v>
      </c>
      <c r="B90" s="112">
        <v>0</v>
      </c>
      <c r="C90" s="100">
        <f>C89</f>
        <v>1</v>
      </c>
      <c r="D90" s="101">
        <f>B90*C90</f>
        <v>0</v>
      </c>
      <c r="E90" s="30">
        <v>1</v>
      </c>
      <c r="F90" s="31">
        <v>0</v>
      </c>
      <c r="G90" s="32">
        <v>6</v>
      </c>
      <c r="H90" s="33">
        <f>F90*G90</f>
        <v>0</v>
      </c>
      <c r="I90" s="33">
        <f>(SUM(D90*E90)+H90)*0.1</f>
        <v>0</v>
      </c>
      <c r="J90" s="33">
        <f>SUM(D90*E90)+SUM(F90*G90)+H90+I90</f>
        <v>0</v>
      </c>
      <c r="K90" s="94" t="s">
        <v>124</v>
      </c>
    </row>
    <row r="91" spans="1:11" ht="17.45" customHeight="1">
      <c r="A91" s="42" t="s">
        <v>306</v>
      </c>
      <c r="B91" s="112">
        <v>1.25</v>
      </c>
      <c r="C91" s="100">
        <f>C90</f>
        <v>1</v>
      </c>
      <c r="D91" s="101">
        <f>B91*C91</f>
        <v>1.25</v>
      </c>
      <c r="E91" s="32">
        <f>ROUNDUP(B8*1.1,0)</f>
        <v>4400</v>
      </c>
      <c r="F91" s="31">
        <v>55</v>
      </c>
      <c r="G91" s="32">
        <f>ROUNDUP(E91/100,0)</f>
        <v>44</v>
      </c>
      <c r="H91" s="33">
        <f>F91*G91</f>
        <v>2420</v>
      </c>
      <c r="I91" s="33">
        <f>(SUM(D91*E91)+H91)*0.1</f>
        <v>792</v>
      </c>
      <c r="J91" s="33">
        <f>SUM(D91*E91)+SUM(F91*G91)+H91+I91</f>
        <v>11132</v>
      </c>
      <c r="K91" s="94" t="s">
        <v>124</v>
      </c>
    </row>
    <row r="92" spans="1:11" ht="17.45" customHeight="1">
      <c r="A92" s="42" t="s">
        <v>307</v>
      </c>
      <c r="B92" s="112">
        <v>10</v>
      </c>
      <c r="C92" s="100">
        <f>C91</f>
        <v>1</v>
      </c>
      <c r="D92" s="101">
        <f>B92*C92</f>
        <v>10</v>
      </c>
      <c r="E92" s="32">
        <f>ROUNDUP(B8*0.25,0)</f>
        <v>1000</v>
      </c>
      <c r="F92" s="31">
        <v>50</v>
      </c>
      <c r="G92" s="32">
        <f>IF(E92&lt;&gt;"",E92/100,"")</f>
        <v>10</v>
      </c>
      <c r="H92" s="33">
        <f>F92*G92</f>
        <v>500</v>
      </c>
      <c r="I92" s="33">
        <f>(SUM(D92*E92)+H92)*0.1</f>
        <v>1050</v>
      </c>
      <c r="J92" s="33">
        <f>SUM(D92*E92)+SUM(F92*G92)+H92+I92</f>
        <v>12050</v>
      </c>
      <c r="K92" s="94" t="s">
        <v>124</v>
      </c>
    </row>
    <row r="93" spans="1:11" ht="17.45" customHeight="1">
      <c r="A93" s="42" t="s">
        <v>308</v>
      </c>
      <c r="B93" s="112">
        <v>4</v>
      </c>
      <c r="C93" s="100">
        <f>C92</f>
        <v>1</v>
      </c>
      <c r="D93" s="101">
        <f>B93*C93</f>
        <v>4</v>
      </c>
      <c r="E93" s="30">
        <f>ROUNDUP(B8*3.2,0)</f>
        <v>12800</v>
      </c>
      <c r="F93" s="31">
        <v>50</v>
      </c>
      <c r="G93" s="32">
        <f>IF(E93&lt;&gt;"",E93/100,"")</f>
        <v>128</v>
      </c>
      <c r="H93" s="33">
        <f>F93*G93</f>
        <v>6400</v>
      </c>
      <c r="I93" s="33">
        <f>(SUM(D93*E93)+H93)*0.1</f>
        <v>5760</v>
      </c>
      <c r="J93" s="33">
        <f>SUM(D93*E93)+SUM(F93*G93)+H93+I93</f>
        <v>69760</v>
      </c>
      <c r="K93" s="94" t="s">
        <v>73</v>
      </c>
    </row>
    <row r="94" spans="1:11" ht="17.45" customHeight="1">
      <c r="A94" s="42" t="s">
        <v>309</v>
      </c>
      <c r="B94" s="112">
        <v>10</v>
      </c>
      <c r="C94" s="100">
        <f>C93</f>
        <v>1</v>
      </c>
      <c r="D94" s="101">
        <f>B94*C94</f>
        <v>10</v>
      </c>
      <c r="E94" s="30">
        <f>IF(E93&gt;0,0,1)</f>
        <v>0</v>
      </c>
      <c r="F94" s="31">
        <v>75</v>
      </c>
      <c r="G94" s="32">
        <f>IF(E94&lt;&gt;"",E94/100,"")</f>
        <v>0</v>
      </c>
      <c r="H94" s="33">
        <f>F94*G94</f>
        <v>0</v>
      </c>
      <c r="I94" s="33">
        <f>(SUM(D94*E94)+H94)*0.1</f>
        <v>0</v>
      </c>
      <c r="J94" s="33">
        <f>SUM(D94*E94)+SUM(F94*G94)+H94+I94</f>
        <v>0</v>
      </c>
      <c r="K94" s="94" t="s">
        <v>73</v>
      </c>
    </row>
    <row r="95" spans="1:11" ht="17.45" customHeight="1">
      <c r="A95" s="42" t="s">
        <v>310</v>
      </c>
      <c r="B95" s="112">
        <v>20</v>
      </c>
      <c r="C95" s="100">
        <f>C94</f>
        <v>1</v>
      </c>
      <c r="D95" s="101">
        <f>B95*C95</f>
        <v>20</v>
      </c>
      <c r="E95" s="30">
        <f>IF(E93&gt;0,0,1)</f>
        <v>0</v>
      </c>
      <c r="F95" s="31">
        <v>90</v>
      </c>
      <c r="G95" s="32">
        <f>IF(E95&lt;&gt;"",E95/100,"")</f>
        <v>0</v>
      </c>
      <c r="H95" s="33">
        <f>F95*G95</f>
        <v>0</v>
      </c>
      <c r="I95" s="33">
        <f>(SUM(D95*E95)+H95)*0.1</f>
        <v>0</v>
      </c>
      <c r="J95" s="33">
        <f>SUM(D95*E95)+SUM(F95*G95)+H95+I95</f>
        <v>0</v>
      </c>
      <c r="K95" s="94" t="s">
        <v>73</v>
      </c>
    </row>
    <row r="96" spans="1:11" ht="17.45" customHeight="1">
      <c r="A96" s="42" t="s">
        <v>311</v>
      </c>
      <c r="B96" s="112">
        <v>12</v>
      </c>
      <c r="C96" s="100">
        <f>C95</f>
        <v>1</v>
      </c>
      <c r="D96" s="101">
        <f>B96*C96</f>
        <v>12</v>
      </c>
      <c r="E96" s="30">
        <f>IF(E94&gt;0,0,1)</f>
        <v>1</v>
      </c>
      <c r="F96" s="31">
        <v>70</v>
      </c>
      <c r="G96" s="32">
        <f>IF(E96&lt;&gt;"",E96/100,"")</f>
        <v>0.01</v>
      </c>
      <c r="H96" s="33">
        <f>F96*G96</f>
        <v>0.70000000000000007</v>
      </c>
      <c r="I96" s="33">
        <f>(SUM(D96*E96)+H96)*0.1</f>
        <v>1.27</v>
      </c>
      <c r="J96" s="33">
        <f>SUM(D96*E96)+SUM(F96*G96)+H96+I96</f>
        <v>14.669999999999998</v>
      </c>
      <c r="K96" s="94" t="s">
        <v>73</v>
      </c>
    </row>
    <row r="97" spans="1:11" ht="17.45" customHeight="1">
      <c r="A97" s="42" t="s">
        <v>312</v>
      </c>
      <c r="B97" s="112">
        <v>15</v>
      </c>
      <c r="C97" s="100">
        <f>C96</f>
        <v>1</v>
      </c>
      <c r="D97" s="101">
        <f>B97*C97</f>
        <v>15</v>
      </c>
      <c r="E97" s="32">
        <f>IF(E81&gt;0,0,1)</f>
        <v>1</v>
      </c>
      <c r="F97" s="31">
        <v>75</v>
      </c>
      <c r="G97" s="32">
        <f>ROUNDUP(E97/25,0)</f>
        <v>1</v>
      </c>
      <c r="H97" s="33">
        <f>F97*G97</f>
        <v>75</v>
      </c>
      <c r="I97" s="33">
        <f>(SUM(D97*E97)+H97)*0.1</f>
        <v>9</v>
      </c>
      <c r="J97" s="33">
        <f>SUM(D97*E97)+SUM(F97*G97)+H97+I97</f>
        <v>174</v>
      </c>
      <c r="K97" s="94" t="s">
        <v>73</v>
      </c>
    </row>
    <row r="98" spans="1:11" ht="17.45" customHeight="1">
      <c r="A98" s="42" t="s">
        <v>313</v>
      </c>
      <c r="B98" s="112">
        <v>9</v>
      </c>
      <c r="C98" s="100">
        <f>C97</f>
        <v>1</v>
      </c>
      <c r="D98" s="101">
        <f>B98*C98</f>
        <v>9</v>
      </c>
      <c r="E98" s="32">
        <f>IF(E97&gt;0,0,1)</f>
        <v>0</v>
      </c>
      <c r="F98" s="31">
        <v>60</v>
      </c>
      <c r="G98" s="32">
        <f>ROUNDUP(E98/25,0)</f>
        <v>0</v>
      </c>
      <c r="H98" s="33">
        <f>F98*G98</f>
        <v>0</v>
      </c>
      <c r="I98" s="33">
        <f>(SUM(D98*E98)+H98)*0.1</f>
        <v>0</v>
      </c>
      <c r="J98" s="33">
        <f>SUM(D98*E98)+SUM(F98*G98)+H98+I98</f>
        <v>0</v>
      </c>
      <c r="K98" s="94" t="s">
        <v>15</v>
      </c>
    </row>
    <row r="99" spans="1:11" ht="17.45" customHeight="1">
      <c r="A99" s="42" t="s">
        <v>314</v>
      </c>
      <c r="B99" s="112">
        <v>2.5</v>
      </c>
      <c r="C99" s="100">
        <f>C98</f>
        <v>1</v>
      </c>
      <c r="D99" s="101">
        <f>B99*C99</f>
        <v>2.5</v>
      </c>
      <c r="E99" s="32">
        <f>IF(E97&gt;0,0,1)</f>
        <v>0</v>
      </c>
      <c r="F99" s="31">
        <v>50</v>
      </c>
      <c r="G99" s="32">
        <f>ROUNDUP(E99/25,0)</f>
        <v>0</v>
      </c>
      <c r="H99" s="33">
        <f>F99*G99</f>
        <v>0</v>
      </c>
      <c r="I99" s="33">
        <f>(SUM(D99*E99)+H99)*0.1</f>
        <v>0</v>
      </c>
      <c r="J99" s="33">
        <f>SUM(D99*E99)+SUM(F99*G99)+H99+I99</f>
        <v>0</v>
      </c>
      <c r="K99" s="94" t="s">
        <v>17</v>
      </c>
    </row>
    <row r="100" spans="1:11" ht="17.45" customHeight="1">
      <c r="A100" s="42" t="s">
        <v>315</v>
      </c>
      <c r="B100" s="112">
        <v>20</v>
      </c>
      <c r="C100" s="100">
        <f>C99</f>
        <v>1</v>
      </c>
      <c r="D100" s="101">
        <f>B100*C100</f>
        <v>20</v>
      </c>
      <c r="E100" s="32">
        <f>ROUNDUP(B8/250,0)</f>
        <v>16</v>
      </c>
      <c r="F100" s="31">
        <v>85</v>
      </c>
      <c r="G100" s="32">
        <f>ROUNDUP(E100/25,0)</f>
        <v>1</v>
      </c>
      <c r="H100" s="33">
        <f>F100*G100</f>
        <v>85</v>
      </c>
      <c r="I100" s="33">
        <f>(SUM(D100*E100)+H100)*0.1</f>
        <v>40.5</v>
      </c>
      <c r="J100" s="33">
        <f>SUM(D100*E100)+SUM(F100*G100)+H100+I100</f>
        <v>530.5</v>
      </c>
      <c r="K100" s="94" t="s">
        <v>19</v>
      </c>
    </row>
    <row r="101" spans="1:11" ht="17.45" customHeight="1">
      <c r="A101" s="42" t="s">
        <v>316</v>
      </c>
      <c r="B101" s="112">
        <v>10</v>
      </c>
      <c r="C101" s="100">
        <f>C100</f>
        <v>1</v>
      </c>
      <c r="D101" s="101">
        <f>B101*C101</f>
        <v>10</v>
      </c>
      <c r="E101" s="32">
        <f>IF(E97&gt;0,0,1)</f>
        <v>0</v>
      </c>
      <c r="F101" s="31">
        <v>65</v>
      </c>
      <c r="G101" s="32">
        <f>ROUNDUP(E101/25,0)</f>
        <v>0</v>
      </c>
      <c r="H101" s="33">
        <f>F101*G101</f>
        <v>0</v>
      </c>
      <c r="I101" s="33">
        <f>(SUM(D101*E101)+H101)*0.1</f>
        <v>0</v>
      </c>
      <c r="J101" s="33">
        <f>SUM(D101*E101)+SUM(F101*G101)+H101+I101</f>
        <v>0</v>
      </c>
      <c r="K101" s="94" t="s">
        <v>11</v>
      </c>
    </row>
    <row r="102" spans="1:11" ht="17.45" customHeight="1">
      <c r="A102" s="42" t="s">
        <v>317</v>
      </c>
      <c r="B102" s="112">
        <v>400</v>
      </c>
      <c r="C102" s="100">
        <f>C101</f>
        <v>1</v>
      </c>
      <c r="D102" s="101">
        <f>B102*C102</f>
        <v>400</v>
      </c>
      <c r="E102" s="30">
        <f>ROUNDUP(B8*0.01,0)</f>
        <v>40</v>
      </c>
      <c r="F102" s="31">
        <v>85</v>
      </c>
      <c r="G102" s="32">
        <f>IF(E102&lt;&gt;"",E102/100,"")</f>
        <v>0.4</v>
      </c>
      <c r="H102" s="33">
        <f>F102*G102</f>
        <v>34</v>
      </c>
      <c r="I102" s="33">
        <f>(SUM(D102*E102)+H102)*0.1</f>
        <v>1603.4</v>
      </c>
      <c r="J102" s="33">
        <f>SUM(D102*E102)+SUM(F102*G102)+H102+I102</f>
        <v>17671.400000000001</v>
      </c>
      <c r="K102" s="94" t="s">
        <v>116</v>
      </c>
    </row>
    <row r="103" spans="1:11" ht="17.45" customHeight="1">
      <c r="A103" s="42" t="s">
        <v>318</v>
      </c>
      <c r="B103" s="112">
        <v>10</v>
      </c>
      <c r="C103" s="100">
        <f>C102</f>
        <v>1</v>
      </c>
      <c r="D103" s="101">
        <f>B103*C103</f>
        <v>10</v>
      </c>
      <c r="E103" s="30">
        <f>IF(E96&gt;0,0,1)</f>
        <v>0</v>
      </c>
      <c r="F103" s="31">
        <v>70</v>
      </c>
      <c r="G103" s="32">
        <f>IF(E103&lt;&gt;"",E103/100,"")</f>
        <v>0</v>
      </c>
      <c r="H103" s="33">
        <f>F103*G103</f>
        <v>0</v>
      </c>
      <c r="I103" s="33">
        <f>(SUM(D103*E103)+H103)*0.1</f>
        <v>0</v>
      </c>
      <c r="J103" s="33">
        <f>SUM(D103*E103)+SUM(F103*G103)+H103+I103</f>
        <v>0</v>
      </c>
      <c r="K103" s="94" t="s">
        <v>116</v>
      </c>
    </row>
    <row r="104" spans="1:11" ht="17.45" customHeight="1">
      <c r="A104" s="42" t="s">
        <v>319</v>
      </c>
      <c r="B104" s="112">
        <v>3</v>
      </c>
      <c r="C104" s="100">
        <f>C103</f>
        <v>1</v>
      </c>
      <c r="D104" s="101">
        <f>B104*C104</f>
        <v>3</v>
      </c>
      <c r="E104" s="32">
        <f>ROUNDUP(B8/1.5,0)</f>
        <v>2667</v>
      </c>
      <c r="F104" s="31">
        <v>60</v>
      </c>
      <c r="G104" s="32">
        <f>ROUNDUP(E104/50,0)</f>
        <v>54</v>
      </c>
      <c r="H104" s="33">
        <f>F104*G104</f>
        <v>3240</v>
      </c>
      <c r="I104" s="33">
        <f>(SUM(D104*E104)+H104)*0.1</f>
        <v>1124.1000000000001</v>
      </c>
      <c r="J104" s="33">
        <f>SUM(D104*E104)+SUM(F104*G104)+H104+I104</f>
        <v>15605.1</v>
      </c>
      <c r="K104" s="94" t="s">
        <v>96</v>
      </c>
    </row>
    <row r="105" spans="1:11" ht="17.45" customHeight="1">
      <c r="A105" s="42" t="s">
        <v>320</v>
      </c>
      <c r="B105" s="112">
        <v>4</v>
      </c>
      <c r="C105" s="100">
        <f>C104</f>
        <v>1</v>
      </c>
      <c r="D105" s="101">
        <f>B105*C105</f>
        <v>4</v>
      </c>
      <c r="E105" s="32">
        <f>E104</f>
        <v>2667</v>
      </c>
      <c r="F105" s="31">
        <v>70</v>
      </c>
      <c r="G105" s="32">
        <f>ROUNDUP(E105/50,0)</f>
        <v>54</v>
      </c>
      <c r="H105" s="33">
        <f>F105*G105</f>
        <v>3780</v>
      </c>
      <c r="I105" s="33">
        <f>(SUM(D105*E105)+H105)*0.1</f>
        <v>1444.8000000000002</v>
      </c>
      <c r="J105" s="33">
        <f>SUM(D105*E105)+SUM(F105*G105)+H105+I105</f>
        <v>19672.8</v>
      </c>
      <c r="K105" s="94" t="s">
        <v>144</v>
      </c>
    </row>
    <row r="106" spans="1:11" ht="17.45" customHeight="1">
      <c r="A106" s="42" t="s">
        <v>321</v>
      </c>
      <c r="B106" s="112">
        <v>6</v>
      </c>
      <c r="C106" s="100">
        <f>C105</f>
        <v>1</v>
      </c>
      <c r="D106" s="101">
        <f>B106*C106</f>
        <v>6</v>
      </c>
      <c r="E106" s="32">
        <f>E105</f>
        <v>2667</v>
      </c>
      <c r="F106" s="31">
        <v>75</v>
      </c>
      <c r="G106" s="32">
        <f>ROUNDUP(E106/50,0)</f>
        <v>54</v>
      </c>
      <c r="H106" s="33">
        <f>F106*G106</f>
        <v>4050</v>
      </c>
      <c r="I106" s="33">
        <f>(SUM(D106*E106)+H106)*0.1</f>
        <v>2005.2</v>
      </c>
      <c r="J106" s="33">
        <f>SUM(D106*E106)+SUM(F106*G106)+H106+I106</f>
        <v>26107.200000000001</v>
      </c>
      <c r="K106" s="94" t="s">
        <v>144</v>
      </c>
    </row>
    <row r="107" spans="1:11" ht="17.45" customHeight="1">
      <c r="A107" s="42" t="s">
        <v>322</v>
      </c>
      <c r="B107" s="112">
        <v>2.5</v>
      </c>
      <c r="C107" s="100">
        <f>C106</f>
        <v>1</v>
      </c>
      <c r="D107" s="101">
        <f>B107*C107</f>
        <v>2.5</v>
      </c>
      <c r="E107" s="32">
        <f>E106*0.15</f>
        <v>400.05</v>
      </c>
      <c r="F107" s="31">
        <v>60</v>
      </c>
      <c r="G107" s="32">
        <f>ROUNDUP(E107/50,0)</f>
        <v>9</v>
      </c>
      <c r="H107" s="33">
        <f>F107*G107</f>
        <v>540</v>
      </c>
      <c r="I107" s="33">
        <f>(SUM(D107*E107)+H107)*0.1</f>
        <v>154.01250000000002</v>
      </c>
      <c r="J107" s="33">
        <f>SUM(D107*E107)+SUM(F107*G107)+H107+I107</f>
        <v>2234.1374999999998</v>
      </c>
      <c r="K107" s="94" t="s">
        <v>144</v>
      </c>
    </row>
    <row r="108" spans="1:11" ht="17.45" customHeight="1">
      <c r="A108" s="42" t="s">
        <v>323</v>
      </c>
      <c r="B108" s="112">
        <v>500</v>
      </c>
      <c r="C108" s="100">
        <f>C107</f>
        <v>1</v>
      </c>
      <c r="D108" s="101">
        <f>B108*C108</f>
        <v>500</v>
      </c>
      <c r="E108" s="32">
        <f>B8*0.0005</f>
        <v>2</v>
      </c>
      <c r="F108" s="31">
        <v>40</v>
      </c>
      <c r="G108" s="32">
        <f>E108*2</f>
        <v>4</v>
      </c>
      <c r="H108" s="33">
        <f>F108*G108</f>
        <v>160</v>
      </c>
      <c r="I108" s="33">
        <f>(SUM(D108*E108)+H108)*0.1</f>
        <v>116</v>
      </c>
      <c r="J108" s="33">
        <f>SUM(D108*E108)+SUM(F108*G108)+H108+I108</f>
        <v>1436</v>
      </c>
      <c r="K108" s="94" t="s">
        <v>170</v>
      </c>
    </row>
    <row r="109" spans="1:11" ht="17.45" customHeight="1">
      <c r="A109" s="42" t="s">
        <v>324</v>
      </c>
      <c r="B109" s="112">
        <v>1.25</v>
      </c>
      <c r="C109" s="100">
        <f>C108</f>
        <v>1</v>
      </c>
      <c r="D109" s="101">
        <f>B109*C109</f>
        <v>1.25</v>
      </c>
      <c r="E109" s="30">
        <f>SUM(B8/2)*4</f>
        <v>8000</v>
      </c>
      <c r="F109" s="31">
        <v>45</v>
      </c>
      <c r="G109" s="32">
        <f>IF(E109&lt;&gt;"",E109/100,"")</f>
        <v>80</v>
      </c>
      <c r="H109" s="33">
        <f>F109*G109</f>
        <v>3600</v>
      </c>
      <c r="I109" s="33">
        <f>(SUM(D109*E109)+H109)*0.1</f>
        <v>1360</v>
      </c>
      <c r="J109" s="33">
        <f>SUM(D109*E109)+SUM(F109*G109)+H109+I109</f>
        <v>18560</v>
      </c>
      <c r="K109" s="94" t="s">
        <v>106</v>
      </c>
    </row>
    <row r="110" spans="1:11" ht="17.45" customHeight="1">
      <c r="A110" s="42" t="s">
        <v>325</v>
      </c>
      <c r="B110" s="112">
        <v>1200</v>
      </c>
      <c r="C110" s="100">
        <f>C109</f>
        <v>1</v>
      </c>
      <c r="D110" s="101">
        <f>B110*C110</f>
        <v>1200</v>
      </c>
      <c r="E110" s="30">
        <f>ROUNDUP((ROUNDUP(B8/1500,0))/3,0)</f>
        <v>1</v>
      </c>
      <c r="F110" s="31">
        <v>60</v>
      </c>
      <c r="G110" s="32">
        <f>IF(E110&lt;&gt;"",E110/100,"")</f>
        <v>0.01</v>
      </c>
      <c r="H110" s="33">
        <f>F110*G110</f>
        <v>0.6</v>
      </c>
      <c r="I110" s="33">
        <f>(SUM(D110*E110)+H110)*0.1</f>
        <v>120.06</v>
      </c>
      <c r="J110" s="33">
        <f>SUM(D110*E110)+SUM(F110*G110)+H110+I110</f>
        <v>1321.2599999999998</v>
      </c>
      <c r="K110" s="94" t="s">
        <v>81</v>
      </c>
    </row>
    <row r="111" spans="1:11" ht="17.45" customHeight="1">
      <c r="A111" s="42" t="s">
        <v>326</v>
      </c>
      <c r="B111" s="112">
        <v>1500</v>
      </c>
      <c r="C111" s="100">
        <f>C110</f>
        <v>1</v>
      </c>
      <c r="D111" s="101">
        <f>B111*C111</f>
        <v>1500</v>
      </c>
      <c r="E111" s="30">
        <f>IF(E110&gt;0,1,ROUNDUP(B8/500,0))</f>
        <v>1</v>
      </c>
      <c r="F111" s="31">
        <v>70</v>
      </c>
      <c r="G111" s="32">
        <f>IF(E111&lt;&gt;"",E111/100,"")</f>
        <v>0.01</v>
      </c>
      <c r="H111" s="33">
        <f>F111*G111</f>
        <v>0.70000000000000007</v>
      </c>
      <c r="I111" s="33">
        <f>(SUM(D111*E111)+H111)*0.1</f>
        <v>150.07000000000002</v>
      </c>
      <c r="J111" s="33">
        <f>SUM(D111*E111)+SUM(F111*G111)+H111+I111</f>
        <v>1651.47</v>
      </c>
      <c r="K111" s="94" t="s">
        <v>81</v>
      </c>
    </row>
    <row r="112" spans="1:11" ht="17.45" customHeight="1">
      <c r="A112" s="42" t="s">
        <v>327</v>
      </c>
      <c r="B112" s="112">
        <v>600</v>
      </c>
      <c r="C112" s="100">
        <f>C111</f>
        <v>1</v>
      </c>
      <c r="D112" s="101">
        <f>B112*C112</f>
        <v>600</v>
      </c>
      <c r="E112" s="30">
        <f>ROUNDUP(B8/8000,0)</f>
        <v>1</v>
      </c>
      <c r="F112" s="31">
        <v>60</v>
      </c>
      <c r="G112" s="32">
        <f>IF(E112&lt;&gt;"",E112/100,"")</f>
        <v>0.01</v>
      </c>
      <c r="H112" s="33">
        <f>F112*G112</f>
        <v>0.6</v>
      </c>
      <c r="I112" s="33">
        <f>(SUM(D112*E112)+H112)*0.1</f>
        <v>60.06</v>
      </c>
      <c r="J112" s="33">
        <f>SUM(D112*E112)+SUM(F112*G112)+H112+I112</f>
        <v>661.26</v>
      </c>
      <c r="K112" s="94" t="s">
        <v>81</v>
      </c>
    </row>
    <row r="113" spans="1:11" ht="17.45" customHeight="1">
      <c r="A113" s="42" t="s">
        <v>328</v>
      </c>
      <c r="B113" s="112">
        <v>1800</v>
      </c>
      <c r="C113" s="100">
        <f>C112</f>
        <v>1</v>
      </c>
      <c r="D113" s="101">
        <f>B113*C113</f>
        <v>1800</v>
      </c>
      <c r="E113" s="30">
        <f>ROUNDUP(B8/5000,0)</f>
        <v>1</v>
      </c>
      <c r="F113" s="31">
        <v>65</v>
      </c>
      <c r="G113" s="32">
        <f>IF(E113&lt;&gt;"",E113/100,"")</f>
        <v>0.01</v>
      </c>
      <c r="H113" s="33">
        <f>F113*G113</f>
        <v>0.65</v>
      </c>
      <c r="I113" s="33">
        <f>(SUM(D113*E113)+H113)*0.1</f>
        <v>180.06500000000003</v>
      </c>
      <c r="J113" s="33">
        <f>SUM(D113*E113)+SUM(F113*G113)+H113+I113</f>
        <v>1981.3650000000002</v>
      </c>
      <c r="K113" s="94" t="s">
        <v>81</v>
      </c>
    </row>
    <row r="114" spans="1:11" ht="17.45" customHeight="1">
      <c r="A114" s="42" t="s">
        <v>329</v>
      </c>
      <c r="B114" s="112">
        <v>5000</v>
      </c>
      <c r="C114" s="100">
        <f>C113</f>
        <v>1</v>
      </c>
      <c r="D114" s="101">
        <f>B114*C114</f>
        <v>5000</v>
      </c>
      <c r="E114" s="30">
        <f>IF(E110&gt;0,0,1)</f>
        <v>0</v>
      </c>
      <c r="F114" s="31">
        <v>60</v>
      </c>
      <c r="G114" s="32">
        <f>IF(E114&lt;&gt;"",E114/100,"")</f>
        <v>0</v>
      </c>
      <c r="H114" s="33">
        <f>F114*G114</f>
        <v>0</v>
      </c>
      <c r="I114" s="33">
        <f>(SUM(D114*E114)+H114)*0.1</f>
        <v>0</v>
      </c>
      <c r="J114" s="33">
        <f>SUM(D114*E114)+SUM(F114*G114)+H114+I114</f>
        <v>0</v>
      </c>
      <c r="K114" s="94" t="s">
        <v>81</v>
      </c>
    </row>
    <row r="115" spans="1:11" ht="17.45" customHeight="1">
      <c r="A115" s="43" t="s">
        <v>330</v>
      </c>
      <c r="B115" s="113">
        <v>800</v>
      </c>
      <c r="C115" s="103">
        <f>C114</f>
        <v>1</v>
      </c>
      <c r="D115" s="104">
        <f>B115*C115</f>
        <v>800</v>
      </c>
      <c r="E115" s="95">
        <f>ROUNDUP(B10/1500,0)</f>
        <v>3</v>
      </c>
      <c r="F115" s="96">
        <v>50</v>
      </c>
      <c r="G115" s="97">
        <f>IF(E115&lt;&gt;"",E115/100,"")</f>
        <v>0.03</v>
      </c>
      <c r="H115" s="98">
        <f>F115*G115</f>
        <v>1.5</v>
      </c>
      <c r="I115" s="98">
        <f>(SUM(D115*E115)+H115)*0.1</f>
        <v>240.15</v>
      </c>
      <c r="J115" s="98">
        <f>SUM(D115*E115)+SUM(F115*G115)+H115+I115</f>
        <v>2643.15</v>
      </c>
      <c r="K115" s="99" t="s">
        <v>81</v>
      </c>
    </row>
    <row r="116" spans="1:11" ht="15.75" customHeight="1">
      <c r="J116" s="71">
        <f>SUM(J14:J115)</f>
        <v>933317.05777078134</v>
      </c>
      <c r="K116" s="72"/>
    </row>
  </sheetData>
  <mergeCells count="2">
    <mergeCell ref="A2:J2"/>
    <mergeCell ref="J116:K116"/>
  </mergeCells>
  <conditionalFormatting sqref="J9:K9">
    <cfRule type="cellIs" dxfId="3" priority="2" operator="equal">
      <formula>1</formula>
    </cfRule>
  </conditionalFormatting>
  <conditionalFormatting sqref="E14:E115 G14:J115">
    <cfRule type="cellIs" dxfId="2" priority="1" stopIfTrue="1" operator="equal">
      <formula>0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C33B-518E-4149-93EE-C9030ED2DF47}">
  <dimension ref="A1:K116"/>
  <sheetViews>
    <sheetView showGridLines="0" topLeftCell="A2" workbookViewId="0">
      <selection activeCell="P16" sqref="P16"/>
    </sheetView>
  </sheetViews>
  <sheetFormatPr defaultColWidth="8.85546875" defaultRowHeight="15.75" customHeight="1"/>
  <cols>
    <col min="1" max="1" width="31.140625" style="36" bestFit="1" customWidth="1"/>
    <col min="2" max="3" width="20.7109375" style="36" customWidth="1"/>
    <col min="4" max="4" width="20.7109375" style="37" customWidth="1"/>
    <col min="5" max="5" width="8.85546875" style="36" customWidth="1"/>
    <col min="6" max="10" width="20.7109375" style="36" customWidth="1"/>
    <col min="11" max="11" width="20.7109375" style="38" customWidth="1"/>
    <col min="12" max="16384" width="8.85546875" style="36"/>
  </cols>
  <sheetData>
    <row r="1" spans="1:11" ht="15" customHeight="1">
      <c r="A1" s="14" t="s">
        <v>197</v>
      </c>
      <c r="B1" s="15"/>
      <c r="C1" s="15"/>
      <c r="D1" s="15"/>
      <c r="E1" s="15"/>
      <c r="F1" s="15"/>
      <c r="G1" s="15"/>
      <c r="H1" s="15"/>
      <c r="I1" s="15"/>
      <c r="J1" s="15"/>
      <c r="K1" s="36"/>
    </row>
    <row r="2" spans="1:11" ht="30.75">
      <c r="A2" s="69" t="s">
        <v>198</v>
      </c>
      <c r="B2" s="70"/>
      <c r="C2" s="70"/>
      <c r="D2" s="70"/>
      <c r="E2" s="70"/>
      <c r="F2" s="70"/>
      <c r="G2" s="70"/>
      <c r="H2" s="70"/>
      <c r="I2" s="70"/>
      <c r="J2" s="70"/>
      <c r="K2" s="36"/>
    </row>
    <row r="3" spans="1:11" ht="17.4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36"/>
    </row>
    <row r="4" spans="1:11" ht="17.45" customHeight="1">
      <c r="A4" s="16" t="s">
        <v>199</v>
      </c>
      <c r="B4" s="17">
        <f ca="1">TODAY()</f>
        <v>45738</v>
      </c>
      <c r="C4" s="17"/>
      <c r="D4" s="17"/>
      <c r="E4" s="17"/>
      <c r="F4" s="34" t="s">
        <v>200</v>
      </c>
      <c r="G4" s="15"/>
      <c r="H4" s="20">
        <f>SUM(G14:G115)</f>
        <v>2183.2640250000009</v>
      </c>
      <c r="I4" s="20"/>
      <c r="J4" s="15"/>
      <c r="K4" s="36"/>
    </row>
    <row r="5" spans="1:11" ht="17.45" customHeight="1">
      <c r="A5" s="16" t="s">
        <v>201</v>
      </c>
      <c r="B5" s="17">
        <v>45658</v>
      </c>
      <c r="C5" s="17"/>
      <c r="D5" s="17"/>
      <c r="E5" s="17"/>
      <c r="F5" s="34" t="s">
        <v>202</v>
      </c>
      <c r="G5" s="15"/>
      <c r="H5" s="18">
        <f>Data!F91</f>
        <v>46001</v>
      </c>
      <c r="I5" s="15"/>
      <c r="J5" s="15"/>
      <c r="K5" s="36"/>
    </row>
    <row r="6" spans="1:11" ht="17.45" customHeight="1">
      <c r="A6" s="18"/>
      <c r="B6" s="19"/>
      <c r="C6" s="19"/>
      <c r="D6" s="19"/>
      <c r="E6" s="19"/>
      <c r="F6" s="15"/>
      <c r="G6" s="15"/>
      <c r="H6" s="35"/>
      <c r="I6" s="15"/>
      <c r="J6" s="15"/>
      <c r="K6" s="36"/>
    </row>
    <row r="7" spans="1:11" ht="17.45" customHeight="1">
      <c r="A7" s="16" t="s">
        <v>203</v>
      </c>
      <c r="B7" s="20">
        <v>43560</v>
      </c>
      <c r="C7" s="20"/>
      <c r="D7" s="20"/>
      <c r="E7" s="21"/>
      <c r="F7" s="34" t="s">
        <v>204</v>
      </c>
      <c r="G7" s="15"/>
      <c r="H7" s="37">
        <f>J116</f>
        <v>933317.05777078134</v>
      </c>
      <c r="I7" s="15"/>
      <c r="J7" s="47" t="s">
        <v>205</v>
      </c>
      <c r="K7" s="40">
        <v>0.75</v>
      </c>
    </row>
    <row r="8" spans="1:11" ht="17.45" customHeight="1">
      <c r="A8" s="16" t="s">
        <v>206</v>
      </c>
      <c r="B8" s="20">
        <v>4000</v>
      </c>
      <c r="C8" s="20"/>
      <c r="D8" s="20"/>
      <c r="E8" s="21"/>
      <c r="F8" s="34" t="s">
        <v>207</v>
      </c>
      <c r="G8" s="46">
        <v>0.2</v>
      </c>
      <c r="H8" s="37">
        <f>H7*0.2</f>
        <v>186663.41155415628</v>
      </c>
      <c r="I8" s="15"/>
      <c r="J8" s="41" t="s">
        <v>208</v>
      </c>
      <c r="K8" s="40">
        <v>0.85</v>
      </c>
    </row>
    <row r="9" spans="1:11" ht="17.45" customHeight="1">
      <c r="A9" s="16" t="s">
        <v>209</v>
      </c>
      <c r="B9" s="20">
        <v>2</v>
      </c>
      <c r="C9" s="20"/>
      <c r="D9" s="20"/>
      <c r="E9" s="21"/>
      <c r="F9" s="34" t="s">
        <v>210</v>
      </c>
      <c r="G9" s="46">
        <v>0.05</v>
      </c>
      <c r="H9" s="37">
        <f>H7*0.05</f>
        <v>46665.85288853907</v>
      </c>
      <c r="I9" s="15"/>
      <c r="J9" s="41" t="s">
        <v>211</v>
      </c>
      <c r="K9" s="40">
        <v>1</v>
      </c>
    </row>
    <row r="10" spans="1:11" ht="17.45" customHeight="1">
      <c r="A10" s="16" t="s">
        <v>212</v>
      </c>
      <c r="B10" s="20">
        <f>B8*0.85</f>
        <v>3400</v>
      </c>
      <c r="C10" s="20"/>
      <c r="D10" s="20"/>
      <c r="E10" s="21"/>
      <c r="F10" s="34" t="s">
        <v>213</v>
      </c>
      <c r="G10" s="15"/>
      <c r="H10" s="37">
        <f>SUM(H7:H9)</f>
        <v>1166646.3222134765</v>
      </c>
      <c r="I10" s="15"/>
      <c r="J10" s="41" t="s">
        <v>214</v>
      </c>
      <c r="K10" s="40">
        <v>1.1499999999999999</v>
      </c>
    </row>
    <row r="11" spans="1:11" ht="17.45" customHeight="1">
      <c r="A11" s="16" t="s">
        <v>215</v>
      </c>
      <c r="B11" s="20">
        <f>SUM(B8-B10)</f>
        <v>600</v>
      </c>
      <c r="C11" s="20"/>
      <c r="D11" s="20"/>
      <c r="E11" s="21"/>
      <c r="F11" s="34" t="s">
        <v>216</v>
      </c>
      <c r="G11" s="15"/>
      <c r="H11" s="48">
        <f>H10/B8</f>
        <v>291.66158055336911</v>
      </c>
      <c r="I11" s="15"/>
      <c r="J11" s="34" t="s">
        <v>217</v>
      </c>
      <c r="K11" s="40">
        <v>1.25</v>
      </c>
    </row>
    <row r="12" spans="1:11" ht="17.4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36"/>
    </row>
    <row r="13" spans="1:11" ht="17.45" customHeight="1">
      <c r="A13" s="39" t="s">
        <v>218</v>
      </c>
      <c r="B13" s="44" t="s">
        <v>219</v>
      </c>
      <c r="C13" s="44" t="s">
        <v>220</v>
      </c>
      <c r="D13" s="44" t="s">
        <v>221</v>
      </c>
      <c r="E13" s="44" t="s">
        <v>222</v>
      </c>
      <c r="F13" s="44" t="s">
        <v>223</v>
      </c>
      <c r="G13" s="44" t="s">
        <v>224</v>
      </c>
      <c r="H13" s="44" t="s">
        <v>331</v>
      </c>
      <c r="I13" s="44" t="s">
        <v>226</v>
      </c>
      <c r="J13" s="44" t="s">
        <v>227</v>
      </c>
      <c r="K13" s="45" t="s">
        <v>228</v>
      </c>
    </row>
    <row r="14" spans="1:11" ht="17.45" customHeight="1">
      <c r="A14" s="42" t="s">
        <v>229</v>
      </c>
      <c r="B14" s="105">
        <v>10</v>
      </c>
      <c r="C14" s="106">
        <f>K9</f>
        <v>1</v>
      </c>
      <c r="D14" s="107">
        <f>B14*C14</f>
        <v>10</v>
      </c>
      <c r="E14" s="108">
        <f>ROUNDUP(B8/10,0)</f>
        <v>400</v>
      </c>
      <c r="F14" s="109">
        <v>85</v>
      </c>
      <c r="G14" s="108">
        <f>IF(E14&lt;&gt;"",E14/100,"")</f>
        <v>4</v>
      </c>
      <c r="H14" s="110">
        <f>F14*G14</f>
        <v>340</v>
      </c>
      <c r="I14" s="110">
        <f>(SUM(D14*E14)+H14)*0.1</f>
        <v>434</v>
      </c>
      <c r="J14" s="110">
        <f>SUM(D14*E14)+SUM(F14*G14)+H14+I14</f>
        <v>5114</v>
      </c>
      <c r="K14" s="111" t="s">
        <v>118</v>
      </c>
    </row>
    <row r="15" spans="1:11" ht="17.45" customHeight="1">
      <c r="A15" s="42" t="s">
        <v>230</v>
      </c>
      <c r="B15" s="112">
        <v>5759.2</v>
      </c>
      <c r="C15" s="100">
        <f>C14</f>
        <v>1</v>
      </c>
      <c r="D15" s="101">
        <f>B15*C15</f>
        <v>5759.2</v>
      </c>
      <c r="E15" s="30">
        <f>1</f>
        <v>1</v>
      </c>
      <c r="F15" s="31">
        <v>100</v>
      </c>
      <c r="G15" s="32">
        <f>IF(E15=1,2,0)</f>
        <v>2</v>
      </c>
      <c r="H15" s="33">
        <f>F15*G15</f>
        <v>200</v>
      </c>
      <c r="I15" s="33">
        <f>(SUM(D15*E15)+H15)*0.1</f>
        <v>595.91999999999996</v>
      </c>
      <c r="J15" s="33">
        <f>SUM(D15*E15)+SUM(F15*G15)+H15+I15</f>
        <v>6755.12</v>
      </c>
      <c r="K15" s="94" t="s">
        <v>71</v>
      </c>
    </row>
    <row r="16" spans="1:11" ht="17.45" customHeight="1">
      <c r="A16" s="42" t="s">
        <v>231</v>
      </c>
      <c r="B16" s="112">
        <v>9279.2000000000007</v>
      </c>
      <c r="C16" s="100">
        <f>C15</f>
        <v>1</v>
      </c>
      <c r="D16" s="101">
        <f>B16*C16</f>
        <v>9279.2000000000007</v>
      </c>
      <c r="E16" s="30">
        <f>IF(E15=1,0,1)</f>
        <v>0</v>
      </c>
      <c r="F16" s="31">
        <v>100</v>
      </c>
      <c r="G16" s="32">
        <f>IF(E16=1,2,0)</f>
        <v>0</v>
      </c>
      <c r="H16" s="33">
        <f>F16*G16</f>
        <v>0</v>
      </c>
      <c r="I16" s="33">
        <f>(SUM(D16*E16)+H16)*0.1</f>
        <v>0</v>
      </c>
      <c r="J16" s="33">
        <f>SUM(D16*E16)+SUM(F16*G16)+H16+I16</f>
        <v>0</v>
      </c>
      <c r="K16" s="94" t="s">
        <v>71</v>
      </c>
    </row>
    <row r="17" spans="1:11" ht="17.45" customHeight="1">
      <c r="A17" s="42" t="s">
        <v>232</v>
      </c>
      <c r="B17" s="112">
        <v>12799.2</v>
      </c>
      <c r="C17" s="100">
        <f>C16</f>
        <v>1</v>
      </c>
      <c r="D17" s="101">
        <f>B17*C17</f>
        <v>12799.2</v>
      </c>
      <c r="E17" s="30">
        <f>IF(E15=1,0,1)+IF(E16=1,0,0)</f>
        <v>0</v>
      </c>
      <c r="F17" s="31">
        <v>100</v>
      </c>
      <c r="G17" s="32">
        <f>IF(E17=1,2,0)</f>
        <v>0</v>
      </c>
      <c r="H17" s="33">
        <f>F17*G17</f>
        <v>0</v>
      </c>
      <c r="I17" s="33">
        <f>(SUM(D17*E17)+H17)*0.1</f>
        <v>0</v>
      </c>
      <c r="J17" s="33">
        <f>SUM(D17*E17)+SUM(F17*G17)+H17+I17</f>
        <v>0</v>
      </c>
      <c r="K17" s="94" t="s">
        <v>71</v>
      </c>
    </row>
    <row r="18" spans="1:11" ht="17.45" customHeight="1">
      <c r="A18" s="42" t="s">
        <v>233</v>
      </c>
      <c r="B18" s="112">
        <v>1119.2</v>
      </c>
      <c r="C18" s="100">
        <f>C17</f>
        <v>1</v>
      </c>
      <c r="D18" s="101">
        <f>B18*C18</f>
        <v>1119.2</v>
      </c>
      <c r="E18" s="30">
        <v>1</v>
      </c>
      <c r="F18" s="31">
        <v>100</v>
      </c>
      <c r="G18" s="32">
        <f>IF(E18=1,2,0)</f>
        <v>2</v>
      </c>
      <c r="H18" s="33">
        <f>F18*G18</f>
        <v>200</v>
      </c>
      <c r="I18" s="33">
        <f>(SUM(D18*E18)+H18)*0.1</f>
        <v>131.92000000000002</v>
      </c>
      <c r="J18" s="33">
        <f>SUM(D18*E18)+SUM(F18*G18)+H18+I18</f>
        <v>1651.1200000000001</v>
      </c>
      <c r="K18" s="94" t="s">
        <v>71</v>
      </c>
    </row>
    <row r="19" spans="1:11" ht="17.45" customHeight="1">
      <c r="A19" s="42" t="s">
        <v>234</v>
      </c>
      <c r="B19" s="112">
        <v>3759.2</v>
      </c>
      <c r="C19" s="100">
        <f>C18</f>
        <v>1</v>
      </c>
      <c r="D19" s="101">
        <f>B19*C19</f>
        <v>3759.2</v>
      </c>
      <c r="E19" s="30">
        <v>1</v>
      </c>
      <c r="F19" s="31">
        <v>100</v>
      </c>
      <c r="G19" s="32">
        <f>IF(E19=1,2,0)</f>
        <v>2</v>
      </c>
      <c r="H19" s="33">
        <f>F19*G19</f>
        <v>200</v>
      </c>
      <c r="I19" s="33">
        <f>(SUM(D19*E19)+H19)*0.1</f>
        <v>395.92</v>
      </c>
      <c r="J19" s="33">
        <f>SUM(D19*E19)+SUM(F19*G19)+H19+I19</f>
        <v>4555.12</v>
      </c>
      <c r="K19" s="94" t="s">
        <v>71</v>
      </c>
    </row>
    <row r="20" spans="1:11" ht="17.45" customHeight="1">
      <c r="A20" s="42" t="s">
        <v>235</v>
      </c>
      <c r="B20" s="112">
        <v>5919.2</v>
      </c>
      <c r="C20" s="100">
        <f>C19</f>
        <v>1</v>
      </c>
      <c r="D20" s="101">
        <f>B20*C20</f>
        <v>5919.2</v>
      </c>
      <c r="E20" s="30">
        <f>IF(E19&gt;0,0,1)</f>
        <v>0</v>
      </c>
      <c r="F20" s="31">
        <v>100</v>
      </c>
      <c r="G20" s="32">
        <f>IF(E20=1,2,0)</f>
        <v>0</v>
      </c>
      <c r="H20" s="33">
        <f>F20*G20</f>
        <v>0</v>
      </c>
      <c r="I20" s="33">
        <f>(SUM(D20*E20)+H20)*0.1</f>
        <v>0</v>
      </c>
      <c r="J20" s="33">
        <f>SUM(D20*E20)+SUM(F20*G20)+H20+I20</f>
        <v>0</v>
      </c>
      <c r="K20" s="94" t="s">
        <v>71</v>
      </c>
    </row>
    <row r="21" spans="1:11" ht="17.45" customHeight="1">
      <c r="A21" s="42" t="s">
        <v>236</v>
      </c>
      <c r="B21" s="112">
        <v>919.2</v>
      </c>
      <c r="C21" s="100">
        <f>C20</f>
        <v>1</v>
      </c>
      <c r="D21" s="101">
        <f>B21*C21</f>
        <v>919.2</v>
      </c>
      <c r="E21" s="30">
        <v>1</v>
      </c>
      <c r="F21" s="31">
        <v>100</v>
      </c>
      <c r="G21" s="32">
        <f>IF(E21=1,2,0)</f>
        <v>2</v>
      </c>
      <c r="H21" s="33">
        <f>F21*G21</f>
        <v>200</v>
      </c>
      <c r="I21" s="33">
        <f>(SUM(D21*E21)+H21)*0.1</f>
        <v>111.92000000000002</v>
      </c>
      <c r="J21" s="33">
        <f>SUM(D21*E21)+SUM(F21*G21)+H21+I21</f>
        <v>1431.1200000000001</v>
      </c>
      <c r="K21" s="94" t="s">
        <v>71</v>
      </c>
    </row>
    <row r="22" spans="1:11" ht="17.45" customHeight="1">
      <c r="A22" s="42" t="s">
        <v>237</v>
      </c>
      <c r="B22" s="112">
        <v>2399.1999999999998</v>
      </c>
      <c r="C22" s="100">
        <f>C21</f>
        <v>1</v>
      </c>
      <c r="D22" s="101">
        <f>B22*C22</f>
        <v>2399.1999999999998</v>
      </c>
      <c r="E22" s="30">
        <v>1</v>
      </c>
      <c r="F22" s="31">
        <v>100</v>
      </c>
      <c r="G22" s="32">
        <f>IF(E22=1,2,0)</f>
        <v>2</v>
      </c>
      <c r="H22" s="33">
        <f>F22*G22</f>
        <v>200</v>
      </c>
      <c r="I22" s="33">
        <f>(SUM(D22*E22)+H22)*0.1</f>
        <v>259.92</v>
      </c>
      <c r="J22" s="33">
        <f>SUM(D22*E22)+SUM(F22*G22)+H22+I22</f>
        <v>3059.12</v>
      </c>
      <c r="K22" s="94" t="s">
        <v>71</v>
      </c>
    </row>
    <row r="23" spans="1:11" ht="17.45" customHeight="1">
      <c r="A23" s="42" t="s">
        <v>238</v>
      </c>
      <c r="B23" s="112">
        <v>1919.2</v>
      </c>
      <c r="C23" s="100">
        <f>C22</f>
        <v>1</v>
      </c>
      <c r="D23" s="101">
        <f>B23*C23</f>
        <v>1919.2</v>
      </c>
      <c r="E23" s="30">
        <f>IF(E22&gt;0,0,1)</f>
        <v>0</v>
      </c>
      <c r="F23" s="31">
        <v>100</v>
      </c>
      <c r="G23" s="32">
        <f>IF(E23=1,2,0)</f>
        <v>0</v>
      </c>
      <c r="H23" s="33">
        <f>F23*G23</f>
        <v>0</v>
      </c>
      <c r="I23" s="33">
        <f>(SUM(D23*E23)+H23)*0.1</f>
        <v>0</v>
      </c>
      <c r="J23" s="33">
        <f>SUM(D23*E23)+SUM(F23*G23)+H23+I23</f>
        <v>0</v>
      </c>
      <c r="K23" s="94" t="s">
        <v>71</v>
      </c>
    </row>
    <row r="24" spans="1:11" ht="17.45" customHeight="1">
      <c r="A24" s="42" t="s">
        <v>239</v>
      </c>
      <c r="B24" s="112">
        <v>3199.2</v>
      </c>
      <c r="C24" s="100">
        <f>C23</f>
        <v>1</v>
      </c>
      <c r="D24" s="101">
        <f>B24*C24</f>
        <v>3199.2</v>
      </c>
      <c r="E24" s="30">
        <f>IF(E22&gt;0,0,1)</f>
        <v>0</v>
      </c>
      <c r="F24" s="31">
        <v>100</v>
      </c>
      <c r="G24" s="32">
        <f>IF(E24=1,2,0)</f>
        <v>0</v>
      </c>
      <c r="H24" s="33">
        <f>F24*G24</f>
        <v>0</v>
      </c>
      <c r="I24" s="33">
        <f>(SUM(D24*E24)+H24)*0.1</f>
        <v>0</v>
      </c>
      <c r="J24" s="33">
        <f>SUM(D24*E24)+SUM(F24*G24)+H24+I24</f>
        <v>0</v>
      </c>
      <c r="K24" s="94" t="s">
        <v>71</v>
      </c>
    </row>
    <row r="25" spans="1:11" ht="17.45" customHeight="1">
      <c r="A25" s="42" t="s">
        <v>240</v>
      </c>
      <c r="B25" s="112">
        <v>6799.2</v>
      </c>
      <c r="C25" s="100">
        <f>C24</f>
        <v>1</v>
      </c>
      <c r="D25" s="101">
        <f>B25*C25</f>
        <v>6799.2</v>
      </c>
      <c r="E25" s="30">
        <v>1</v>
      </c>
      <c r="F25" s="31">
        <v>100</v>
      </c>
      <c r="G25" s="32">
        <f>IF(E25=1,2,0)</f>
        <v>2</v>
      </c>
      <c r="H25" s="33">
        <f>F25*G25</f>
        <v>200</v>
      </c>
      <c r="I25" s="33">
        <f>(SUM(D25*E25)+H25)*0.1</f>
        <v>699.92000000000007</v>
      </c>
      <c r="J25" s="33">
        <f>SUM(D25*E25)+SUM(F25*G25)+H25+I25</f>
        <v>7899.12</v>
      </c>
      <c r="K25" s="94" t="s">
        <v>71</v>
      </c>
    </row>
    <row r="26" spans="1:11" ht="17.45" customHeight="1">
      <c r="A26" s="42" t="s">
        <v>241</v>
      </c>
      <c r="B26" s="112">
        <v>6799.2</v>
      </c>
      <c r="C26" s="100">
        <f>C25</f>
        <v>1</v>
      </c>
      <c r="D26" s="101">
        <f>B26*C26</f>
        <v>6799.2</v>
      </c>
      <c r="E26" s="30">
        <v>1</v>
      </c>
      <c r="F26" s="31">
        <v>100</v>
      </c>
      <c r="G26" s="32">
        <f>IF(E26=1,2,0)</f>
        <v>2</v>
      </c>
      <c r="H26" s="33">
        <f>F26*G26</f>
        <v>200</v>
      </c>
      <c r="I26" s="33">
        <f>(SUM(D26*E26)+H26)*0.1</f>
        <v>699.92000000000007</v>
      </c>
      <c r="J26" s="33">
        <f>SUM(D26*E26)+SUM(F26*G26)+H26+I26</f>
        <v>7899.12</v>
      </c>
      <c r="K26" s="94" t="s">
        <v>71</v>
      </c>
    </row>
    <row r="27" spans="1:11" ht="17.45" customHeight="1">
      <c r="A27" s="42" t="s">
        <v>242</v>
      </c>
      <c r="B27" s="112">
        <v>12799.2</v>
      </c>
      <c r="C27" s="100">
        <f>C26</f>
        <v>1</v>
      </c>
      <c r="D27" s="101">
        <f>B27*C27</f>
        <v>12799.2</v>
      </c>
      <c r="E27" s="30">
        <f>IF(E26=1,0,1)</f>
        <v>0</v>
      </c>
      <c r="F27" s="31">
        <v>100</v>
      </c>
      <c r="G27" s="32">
        <f>IF(E27=1,2,0)</f>
        <v>0</v>
      </c>
      <c r="H27" s="33">
        <f>F27*G27</f>
        <v>0</v>
      </c>
      <c r="I27" s="33">
        <f>(SUM(D27*E27)+H27)*0.1</f>
        <v>0</v>
      </c>
      <c r="J27" s="33">
        <f>SUM(D27*E27)+SUM(F27*G27)+H27+I27</f>
        <v>0</v>
      </c>
      <c r="K27" s="94" t="s">
        <v>71</v>
      </c>
    </row>
    <row r="28" spans="1:11" ht="17.45" customHeight="1">
      <c r="A28" s="42" t="s">
        <v>243</v>
      </c>
      <c r="B28" s="112">
        <v>1039.2</v>
      </c>
      <c r="C28" s="100">
        <f>C27</f>
        <v>1</v>
      </c>
      <c r="D28" s="101">
        <f>B28*C28</f>
        <v>1039.2</v>
      </c>
      <c r="E28" s="30">
        <f>MIN(2,IF(B8&gt;=2500,1,0))</f>
        <v>1</v>
      </c>
      <c r="F28" s="31">
        <v>100</v>
      </c>
      <c r="G28" s="32">
        <f>IF(E28=1,2,0)</f>
        <v>2</v>
      </c>
      <c r="H28" s="33">
        <f>F28*G28</f>
        <v>200</v>
      </c>
      <c r="I28" s="33">
        <f>(SUM(D28*E28)+H28)*0.1</f>
        <v>123.92000000000002</v>
      </c>
      <c r="J28" s="33">
        <f>SUM(D28*E28)+SUM(F28*G28)+H28+I28</f>
        <v>1563.1200000000001</v>
      </c>
      <c r="K28" s="94" t="s">
        <v>71</v>
      </c>
    </row>
    <row r="29" spans="1:11" ht="17.45" customHeight="1">
      <c r="A29" s="42" t="s">
        <v>244</v>
      </c>
      <c r="B29" s="112">
        <v>1439.2</v>
      </c>
      <c r="C29" s="100">
        <f>C28</f>
        <v>1</v>
      </c>
      <c r="D29" s="101">
        <f>B29*C29</f>
        <v>1439.2</v>
      </c>
      <c r="E29" s="30">
        <f>B2*0.0125</f>
        <v>0</v>
      </c>
      <c r="F29" s="31">
        <v>100</v>
      </c>
      <c r="G29" s="32">
        <f>IF(E29=1,2,0)</f>
        <v>0</v>
      </c>
      <c r="H29" s="33">
        <f>F29*G29</f>
        <v>0</v>
      </c>
      <c r="I29" s="33">
        <f>(SUM(D29*E29)+H29)*0.1</f>
        <v>0</v>
      </c>
      <c r="J29" s="33">
        <f>SUM(D29*E29)+SUM(F29*G29)+H29+I29</f>
        <v>0</v>
      </c>
      <c r="K29" s="94" t="s">
        <v>71</v>
      </c>
    </row>
    <row r="30" spans="1:11" ht="17.45" customHeight="1">
      <c r="A30" s="42" t="s">
        <v>245</v>
      </c>
      <c r="B30" s="112">
        <f>SUM(J14:J29,J35:J83,J84:J115)*0.0075</f>
        <v>6722.5718446874998</v>
      </c>
      <c r="C30" s="100">
        <f>C29</f>
        <v>1</v>
      </c>
      <c r="D30" s="101">
        <f>B30*C30</f>
        <v>6722.5718446874998</v>
      </c>
      <c r="E30" s="30">
        <f>IF(B8&gt;=2500,1,0)</f>
        <v>1</v>
      </c>
      <c r="F30" s="31">
        <v>0</v>
      </c>
      <c r="G30" s="32">
        <v>30</v>
      </c>
      <c r="H30" s="33">
        <f>F30*G30</f>
        <v>0</v>
      </c>
      <c r="I30" s="33">
        <f>(SUM(D30*E30)+H30)*0.1</f>
        <v>672.25718446874998</v>
      </c>
      <c r="J30" s="33">
        <f>SUM(D30*E30)+SUM(F30*G30)+H30+I30</f>
        <v>7394.8290291562498</v>
      </c>
      <c r="K30" s="102" t="s">
        <v>44</v>
      </c>
    </row>
    <row r="31" spans="1:11" ht="17.45" customHeight="1">
      <c r="A31" s="42" t="s">
        <v>246</v>
      </c>
      <c r="B31" s="112">
        <f>B30</f>
        <v>6722.5718446874998</v>
      </c>
      <c r="C31" s="100">
        <f>C30</f>
        <v>1</v>
      </c>
      <c r="D31" s="101">
        <f>B31*C31</f>
        <v>6722.5718446874998</v>
      </c>
      <c r="E31" s="30">
        <f>E30</f>
        <v>1</v>
      </c>
      <c r="F31" s="31">
        <v>0</v>
      </c>
      <c r="G31" s="32">
        <f>G30</f>
        <v>30</v>
      </c>
      <c r="H31" s="33">
        <f>F31*G31</f>
        <v>0</v>
      </c>
      <c r="I31" s="33">
        <f>(SUM(D31*E31)+H31)*0.1</f>
        <v>672.25718446874998</v>
      </c>
      <c r="J31" s="33">
        <f>SUM(D31*E31)+SUM(F31*G31)+H31+I31</f>
        <v>7394.8290291562498</v>
      </c>
      <c r="K31" s="102" t="s">
        <v>48</v>
      </c>
    </row>
    <row r="32" spans="1:11" ht="17.45" customHeight="1">
      <c r="A32" s="42" t="s">
        <v>247</v>
      </c>
      <c r="B32" s="112">
        <f>B31</f>
        <v>6722.5718446874998</v>
      </c>
      <c r="C32" s="100">
        <f>C31</f>
        <v>1</v>
      </c>
      <c r="D32" s="101">
        <f>B32*C32</f>
        <v>6722.5718446874998</v>
      </c>
      <c r="E32" s="30">
        <f>E31</f>
        <v>1</v>
      </c>
      <c r="F32" s="31">
        <v>0</v>
      </c>
      <c r="G32" s="32">
        <f>G31</f>
        <v>30</v>
      </c>
      <c r="H32" s="33">
        <f>F32*G32</f>
        <v>0</v>
      </c>
      <c r="I32" s="33">
        <f>(SUM(D32*E32)+H32)*0.1</f>
        <v>672.25718446874998</v>
      </c>
      <c r="J32" s="33">
        <f>SUM(D32*E32)+SUM(F32*G32)+H32+I32</f>
        <v>7394.8290291562498</v>
      </c>
      <c r="K32" s="102" t="s">
        <v>50</v>
      </c>
    </row>
    <row r="33" spans="1:11" ht="17.45" customHeight="1">
      <c r="A33" s="42" t="s">
        <v>248</v>
      </c>
      <c r="B33" s="112">
        <f>B32</f>
        <v>6722.5718446874998</v>
      </c>
      <c r="C33" s="100">
        <f>C32</f>
        <v>1</v>
      </c>
      <c r="D33" s="101">
        <f>B33*C33</f>
        <v>6722.5718446874998</v>
      </c>
      <c r="E33" s="30">
        <v>1</v>
      </c>
      <c r="F33" s="31">
        <v>0</v>
      </c>
      <c r="G33" s="32">
        <f>G32</f>
        <v>30</v>
      </c>
      <c r="H33" s="33">
        <f>F33*G33</f>
        <v>0</v>
      </c>
      <c r="I33" s="33">
        <f>(SUM(D33*E33)+H33)*0.1</f>
        <v>672.25718446874998</v>
      </c>
      <c r="J33" s="33">
        <f>SUM(D33*E33)+SUM(F33*G33)+H33+I33</f>
        <v>7394.8290291562498</v>
      </c>
      <c r="K33" s="102" t="s">
        <v>44</v>
      </c>
    </row>
    <row r="34" spans="1:11" ht="17.45" customHeight="1">
      <c r="A34" s="42" t="s">
        <v>249</v>
      </c>
      <c r="B34" s="112">
        <f>B33</f>
        <v>6722.5718446874998</v>
      </c>
      <c r="C34" s="100">
        <f>C33</f>
        <v>1</v>
      </c>
      <c r="D34" s="101">
        <f>B34*C34</f>
        <v>6722.5718446874998</v>
      </c>
      <c r="E34" s="30">
        <f>E32</f>
        <v>1</v>
      </c>
      <c r="F34" s="31">
        <v>0</v>
      </c>
      <c r="G34" s="32">
        <f>G33</f>
        <v>30</v>
      </c>
      <c r="H34" s="33">
        <f>F34*G34</f>
        <v>0</v>
      </c>
      <c r="I34" s="33">
        <f>(SUM(D34*E34)+H34)*0.1</f>
        <v>672.25718446874998</v>
      </c>
      <c r="J34" s="33">
        <f>SUM(D34*E34)+SUM(F34*G34)+H34+I34</f>
        <v>7394.8290291562498</v>
      </c>
      <c r="K34" s="102" t="s">
        <v>46</v>
      </c>
    </row>
    <row r="35" spans="1:11" ht="17.45" customHeight="1">
      <c r="A35" s="42" t="s">
        <v>250</v>
      </c>
      <c r="B35" s="112">
        <v>1200</v>
      </c>
      <c r="C35" s="100">
        <f>C34</f>
        <v>1</v>
      </c>
      <c r="D35" s="101">
        <f>B35*C35</f>
        <v>1200</v>
      </c>
      <c r="E35" s="32">
        <f>(30)</f>
        <v>30</v>
      </c>
      <c r="F35" s="31">
        <v>100</v>
      </c>
      <c r="G35" s="32">
        <f>ROUNDUP(E35/5,0)</f>
        <v>6</v>
      </c>
      <c r="H35" s="33">
        <f>F35*G35</f>
        <v>600</v>
      </c>
      <c r="I35" s="33">
        <f>(SUM(D35*E35)+H35)*0.1</f>
        <v>3660</v>
      </c>
      <c r="J35" s="33">
        <f>SUM(D35*E35)+SUM(F35*G35)+H35+I35</f>
        <v>40860</v>
      </c>
      <c r="K35" s="94" t="s">
        <v>73</v>
      </c>
    </row>
    <row r="36" spans="1:11" ht="17.45" customHeight="1">
      <c r="A36" s="42" t="s">
        <v>251</v>
      </c>
      <c r="B36" s="112">
        <v>17.5</v>
      </c>
      <c r="C36" s="100">
        <f>C35</f>
        <v>1</v>
      </c>
      <c r="D36" s="101">
        <f>B36*C36</f>
        <v>17.5</v>
      </c>
      <c r="E36" s="32">
        <f>ROUNDUP(B8/10,0)</f>
        <v>400</v>
      </c>
      <c r="F36" s="31">
        <v>87.5</v>
      </c>
      <c r="G36" s="32">
        <f>ROUNDUP(E36/20,0)</f>
        <v>20</v>
      </c>
      <c r="H36" s="33">
        <f>F36*G36</f>
        <v>1750</v>
      </c>
      <c r="I36" s="33">
        <f>(SUM(D36*E36)+H36)*0.1</f>
        <v>875</v>
      </c>
      <c r="J36" s="33">
        <f>SUM(D36*E36)+SUM(F36*G36)+H36+I36</f>
        <v>11375</v>
      </c>
      <c r="K36" s="94" t="s">
        <v>134</v>
      </c>
    </row>
    <row r="37" spans="1:11" ht="17.45" customHeight="1">
      <c r="A37" s="42" t="s">
        <v>252</v>
      </c>
      <c r="B37" s="112">
        <v>6</v>
      </c>
      <c r="C37" s="100">
        <f>C36</f>
        <v>1</v>
      </c>
      <c r="D37" s="101">
        <f>B37*C37</f>
        <v>6</v>
      </c>
      <c r="E37" s="32">
        <f>ROUNDUP(B8*2.5,0)</f>
        <v>10000</v>
      </c>
      <c r="F37" s="31">
        <v>90</v>
      </c>
      <c r="G37" s="32">
        <f>ROUNDUP(E37/100,0)</f>
        <v>100</v>
      </c>
      <c r="H37" s="33">
        <f>F37*G37</f>
        <v>9000</v>
      </c>
      <c r="I37" s="33">
        <f>(SUM(D37*E37)+H37)*0.1</f>
        <v>6900</v>
      </c>
      <c r="J37" s="33">
        <f>SUM(D37*E37)+SUM(F37*G37)+H37+I37</f>
        <v>84900</v>
      </c>
      <c r="K37" s="94" t="s">
        <v>128</v>
      </c>
    </row>
    <row r="38" spans="1:11" ht="17.45" customHeight="1">
      <c r="A38" s="42" t="s">
        <v>253</v>
      </c>
      <c r="B38" s="112">
        <v>25</v>
      </c>
      <c r="C38" s="100">
        <f>C37</f>
        <v>1</v>
      </c>
      <c r="D38" s="101">
        <f>B38*C38</f>
        <v>25</v>
      </c>
      <c r="E38" s="32">
        <f>MIN(2,IF(B8&gt;=3500,1,0))</f>
        <v>1</v>
      </c>
      <c r="F38" s="31">
        <v>80</v>
      </c>
      <c r="G38" s="32">
        <f>ROUNDUP(E38/50,0)</f>
        <v>1</v>
      </c>
      <c r="H38" s="33">
        <f>F38*G38</f>
        <v>80</v>
      </c>
      <c r="I38" s="33">
        <f>(SUM(D38*E38)+H38)*0.1</f>
        <v>10.5</v>
      </c>
      <c r="J38" s="33">
        <f>SUM(D38*E38)+SUM(F38*G38)+H38+I38</f>
        <v>195.5</v>
      </c>
      <c r="K38" s="94" t="s">
        <v>138</v>
      </c>
    </row>
    <row r="39" spans="1:11" ht="17.45" customHeight="1">
      <c r="A39" s="42" t="s">
        <v>254</v>
      </c>
      <c r="B39" s="112">
        <v>18</v>
      </c>
      <c r="C39" s="100">
        <f>C38</f>
        <v>1</v>
      </c>
      <c r="D39" s="101">
        <f>B39*C39</f>
        <v>18</v>
      </c>
      <c r="E39" s="32">
        <f>IF(E38&gt;0,0,1)</f>
        <v>0</v>
      </c>
      <c r="F39" s="31">
        <v>65</v>
      </c>
      <c r="G39" s="32">
        <f>ROUNDUP(E39/50,0)</f>
        <v>0</v>
      </c>
      <c r="H39" s="33">
        <f>F39*G39</f>
        <v>0</v>
      </c>
      <c r="I39" s="33">
        <f>(SUM(D39*E39)+H39)*0.1</f>
        <v>0</v>
      </c>
      <c r="J39" s="33">
        <f>SUM(D39*E39)+SUM(F39*G39)+H39+I39</f>
        <v>0</v>
      </c>
      <c r="K39" s="94" t="s">
        <v>138</v>
      </c>
    </row>
    <row r="40" spans="1:11" ht="17.45" customHeight="1">
      <c r="A40" s="42" t="s">
        <v>255</v>
      </c>
      <c r="B40" s="112">
        <v>6</v>
      </c>
      <c r="C40" s="100">
        <f>C39</f>
        <v>1</v>
      </c>
      <c r="D40" s="101">
        <f>B40*C40</f>
        <v>6</v>
      </c>
      <c r="E40" s="32">
        <f>IF(B2&lt;4000,600,0)</f>
        <v>600</v>
      </c>
      <c r="F40" s="31">
        <v>60</v>
      </c>
      <c r="G40" s="32">
        <f>ROUNDUP(E40/100,0)</f>
        <v>6</v>
      </c>
      <c r="H40" s="33">
        <f>F40*G40</f>
        <v>360</v>
      </c>
      <c r="I40" s="33">
        <f>(SUM(D40*E40)+H40)*0.1</f>
        <v>396</v>
      </c>
      <c r="J40" s="33">
        <f>SUM(D40*E40)+SUM(F40*G40)+H40+I40</f>
        <v>4716</v>
      </c>
      <c r="K40" s="94" t="s">
        <v>172</v>
      </c>
    </row>
    <row r="41" spans="1:11" ht="17.45" customHeight="1">
      <c r="A41" s="42" t="s">
        <v>256</v>
      </c>
      <c r="B41" s="112">
        <v>3</v>
      </c>
      <c r="C41" s="100">
        <f>C40</f>
        <v>1</v>
      </c>
      <c r="D41" s="101">
        <f>B41*C41</f>
        <v>3</v>
      </c>
      <c r="E41" s="32">
        <f>IF(AND(B2&gt;=4000,B2&lt;=7500),B2*0.85,0)</f>
        <v>0</v>
      </c>
      <c r="F41" s="31">
        <v>45</v>
      </c>
      <c r="G41" s="32">
        <f>ROUNDUP(E41/100,0)</f>
        <v>0</v>
      </c>
      <c r="H41" s="33">
        <f>F41*G41</f>
        <v>0</v>
      </c>
      <c r="I41" s="33">
        <f>(SUM(D41*E41)+H41)*0.1</f>
        <v>0</v>
      </c>
      <c r="J41" s="33">
        <f>SUM(D41*E41)+SUM(F41*G41)+H41+I41</f>
        <v>0</v>
      </c>
      <c r="K41" s="94" t="s">
        <v>172</v>
      </c>
    </row>
    <row r="42" spans="1:11" ht="17.45" customHeight="1">
      <c r="A42" s="42" t="s">
        <v>257</v>
      </c>
      <c r="B42" s="112">
        <v>12</v>
      </c>
      <c r="C42" s="100">
        <f>C41</f>
        <v>1</v>
      </c>
      <c r="D42" s="101">
        <f>B42*C42</f>
        <v>12</v>
      </c>
      <c r="E42" s="32">
        <f>IF(E41&gt;0,0,0)</f>
        <v>0</v>
      </c>
      <c r="F42" s="31">
        <v>75</v>
      </c>
      <c r="G42" s="32">
        <f>ROUNDUP(E42/100,0)</f>
        <v>0</v>
      </c>
      <c r="H42" s="33">
        <f>F42*G42</f>
        <v>0</v>
      </c>
      <c r="I42" s="33">
        <f>(SUM(D42*E42)+H42)*0.1</f>
        <v>0</v>
      </c>
      <c r="J42" s="33">
        <f>SUM(D42*E42)+SUM(F42*G42)+H42+I42</f>
        <v>0</v>
      </c>
      <c r="K42" s="94" t="s">
        <v>172</v>
      </c>
    </row>
    <row r="43" spans="1:11" ht="17.45" customHeight="1">
      <c r="A43" s="42" t="s">
        <v>258</v>
      </c>
      <c r="B43" s="112">
        <v>400</v>
      </c>
      <c r="C43" s="100">
        <f>C42</f>
        <v>1</v>
      </c>
      <c r="D43" s="101">
        <f>B43*C43</f>
        <v>400</v>
      </c>
      <c r="E43" s="30">
        <f>1</f>
        <v>1</v>
      </c>
      <c r="F43" s="31">
        <v>90</v>
      </c>
      <c r="G43" s="32">
        <f>IF(E43&lt;&gt;"",E43/100,"")</f>
        <v>0.01</v>
      </c>
      <c r="H43" s="33">
        <f>F43*G43</f>
        <v>0.9</v>
      </c>
      <c r="I43" s="33">
        <f>(SUM(D43*E43)+H43)*0.1</f>
        <v>40.090000000000003</v>
      </c>
      <c r="J43" s="33">
        <f>SUM(D43*E43)+SUM(F43*G43)+H43+I43</f>
        <v>441.89</v>
      </c>
      <c r="K43" s="94" t="s">
        <v>128</v>
      </c>
    </row>
    <row r="44" spans="1:11" ht="17.45" customHeight="1">
      <c r="A44" s="42" t="s">
        <v>259</v>
      </c>
      <c r="B44" s="112">
        <v>5000</v>
      </c>
      <c r="C44" s="100">
        <f>C43</f>
        <v>1</v>
      </c>
      <c r="D44" s="101">
        <f>B44*C44</f>
        <v>5000</v>
      </c>
      <c r="E44" s="30">
        <v>1</v>
      </c>
      <c r="F44" s="31">
        <v>100</v>
      </c>
      <c r="G44" s="32">
        <f>IF(E44&lt;&gt;"",E44/100,"")</f>
        <v>0.01</v>
      </c>
      <c r="H44" s="33">
        <f>F44*G44</f>
        <v>1</v>
      </c>
      <c r="I44" s="33">
        <f>(SUM(D44*E44)+H44)*0.1</f>
        <v>500.1</v>
      </c>
      <c r="J44" s="33">
        <f>SUM(D44*E44)+SUM(F44*G44)+H44+I44</f>
        <v>5502.1</v>
      </c>
      <c r="K44" s="94" t="s">
        <v>158</v>
      </c>
    </row>
    <row r="45" spans="1:11" ht="17.45" customHeight="1">
      <c r="A45" s="42" t="s">
        <v>260</v>
      </c>
      <c r="B45" s="112">
        <v>4</v>
      </c>
      <c r="C45" s="100">
        <f>C44</f>
        <v>1</v>
      </c>
      <c r="D45" s="101">
        <f>B45*C45</f>
        <v>4</v>
      </c>
      <c r="E45" s="32">
        <f>IF(B2&gt;7500,MIN(B2*0.25,B2*0.85),0)</f>
        <v>0</v>
      </c>
      <c r="F45" s="31">
        <v>55</v>
      </c>
      <c r="G45" s="32">
        <f>ROUNDUP(E45/50,0)</f>
        <v>0</v>
      </c>
      <c r="H45" s="33">
        <f>F45*G45</f>
        <v>0</v>
      </c>
      <c r="I45" s="33">
        <f>(SUM(D45*E45)+H45)*0.1</f>
        <v>0</v>
      </c>
      <c r="J45" s="33">
        <f>SUM(D45*E45)+SUM(F45*G45)+H45+I45</f>
        <v>0</v>
      </c>
      <c r="K45" s="94" t="s">
        <v>168</v>
      </c>
    </row>
    <row r="46" spans="1:11" ht="17.45" customHeight="1">
      <c r="A46" s="42" t="s">
        <v>261</v>
      </c>
      <c r="B46" s="112">
        <v>8</v>
      </c>
      <c r="C46" s="100">
        <f>C45</f>
        <v>1</v>
      </c>
      <c r="D46" s="101">
        <f>B46*C46</f>
        <v>8</v>
      </c>
      <c r="E46" s="32">
        <f>B10</f>
        <v>3400</v>
      </c>
      <c r="F46" s="31">
        <v>65</v>
      </c>
      <c r="G46" s="32">
        <f>ROUNDUP(E46/50,0)</f>
        <v>68</v>
      </c>
      <c r="H46" s="33">
        <f>F46*G46</f>
        <v>4420</v>
      </c>
      <c r="I46" s="33">
        <f>(SUM(D46*E46)+H46)*0.1</f>
        <v>3162</v>
      </c>
      <c r="J46" s="33">
        <f>SUM(D46*E46)+SUM(F46*G46)+H46+I46</f>
        <v>39202</v>
      </c>
      <c r="K46" s="94" t="s">
        <v>140</v>
      </c>
    </row>
    <row r="47" spans="1:11" ht="17.45" customHeight="1">
      <c r="A47" s="42" t="s">
        <v>262</v>
      </c>
      <c r="B47" s="112">
        <v>6</v>
      </c>
      <c r="C47" s="100">
        <f>C46</f>
        <v>1</v>
      </c>
      <c r="D47" s="101">
        <f>B47*C47</f>
        <v>6</v>
      </c>
      <c r="E47" s="32">
        <v>0</v>
      </c>
      <c r="F47" s="31">
        <v>50</v>
      </c>
      <c r="G47" s="32">
        <f>ROUNDUP(E47/50,0)</f>
        <v>0</v>
      </c>
      <c r="H47" s="33">
        <f>F47*G47</f>
        <v>0</v>
      </c>
      <c r="I47" s="33">
        <f>(SUM(D47*E47)+H47)*0.1</f>
        <v>0</v>
      </c>
      <c r="J47" s="33">
        <f>SUM(D47*E47)+SUM(F47*G47)+H47+I47</f>
        <v>0</v>
      </c>
      <c r="K47" s="94" t="s">
        <v>168</v>
      </c>
    </row>
    <row r="48" spans="1:11" ht="17.45" customHeight="1">
      <c r="A48" s="42" t="s">
        <v>263</v>
      </c>
      <c r="B48" s="112">
        <v>1</v>
      </c>
      <c r="C48" s="100">
        <f>C47</f>
        <v>1</v>
      </c>
      <c r="D48" s="101">
        <f>B48*C48</f>
        <v>1</v>
      </c>
      <c r="E48" s="32">
        <f>E46</f>
        <v>3400</v>
      </c>
      <c r="F48" s="31">
        <v>65</v>
      </c>
      <c r="G48" s="32">
        <f>ROUNDUP(E48/250,0)</f>
        <v>14</v>
      </c>
      <c r="H48" s="33">
        <f>F48*G48</f>
        <v>910</v>
      </c>
      <c r="I48" s="33">
        <f>(SUM(D48*E48)+H48)*0.1</f>
        <v>431</v>
      </c>
      <c r="J48" s="33">
        <f>SUM(D48*E48)+SUM(F48*G48)+H48+I48</f>
        <v>5651</v>
      </c>
      <c r="K48" s="94" t="s">
        <v>140</v>
      </c>
    </row>
    <row r="49" spans="1:11" ht="17.45" customHeight="1">
      <c r="A49" s="42" t="s">
        <v>264</v>
      </c>
      <c r="B49" s="112">
        <f>B48</f>
        <v>1</v>
      </c>
      <c r="C49" s="100">
        <f>C48</f>
        <v>1</v>
      </c>
      <c r="D49" s="101">
        <f>B49*C49</f>
        <v>1</v>
      </c>
      <c r="E49" s="32">
        <f>E48</f>
        <v>3400</v>
      </c>
      <c r="F49" s="31">
        <v>65</v>
      </c>
      <c r="G49" s="32">
        <f>G48</f>
        <v>14</v>
      </c>
      <c r="H49" s="33">
        <f>F49*G49</f>
        <v>910</v>
      </c>
      <c r="I49" s="33">
        <f>(SUM(D49*E49)+H49)*0.1</f>
        <v>431</v>
      </c>
      <c r="J49" s="33">
        <f>SUM(D49*E49)+SUM(F49*G49)+H49+I49</f>
        <v>5651</v>
      </c>
      <c r="K49" s="94" t="s">
        <v>168</v>
      </c>
    </row>
    <row r="50" spans="1:11" ht="17.45" customHeight="1">
      <c r="A50" s="42" t="s">
        <v>265</v>
      </c>
      <c r="B50" s="112">
        <v>15</v>
      </c>
      <c r="C50" s="100">
        <f>C49</f>
        <v>1</v>
      </c>
      <c r="D50" s="101">
        <f>B50*C50</f>
        <v>15</v>
      </c>
      <c r="E50" s="32">
        <v>0</v>
      </c>
      <c r="F50" s="31">
        <v>75</v>
      </c>
      <c r="G50" s="32">
        <f>ROUNDUP(E50/50,0)</f>
        <v>0</v>
      </c>
      <c r="H50" s="33">
        <f>F50*G50</f>
        <v>0</v>
      </c>
      <c r="I50" s="33">
        <f>(SUM(D50*E50)+H50)*0.1</f>
        <v>0</v>
      </c>
      <c r="J50" s="33">
        <f>SUM(D50*E50)+SUM(F50*G50)+H50+I50</f>
        <v>0</v>
      </c>
      <c r="K50" s="94" t="s">
        <v>164</v>
      </c>
    </row>
    <row r="51" spans="1:11" ht="17.45" customHeight="1">
      <c r="A51" s="42" t="s">
        <v>266</v>
      </c>
      <c r="B51" s="112">
        <v>3</v>
      </c>
      <c r="C51" s="100">
        <f>C50</f>
        <v>1</v>
      </c>
      <c r="D51" s="101">
        <f>B51*C51</f>
        <v>3</v>
      </c>
      <c r="E51" s="32">
        <f>IF(E45&gt;0,0,1)</f>
        <v>1</v>
      </c>
      <c r="F51" s="31">
        <v>45</v>
      </c>
      <c r="G51" s="32">
        <f>ROUNDUP(E51/50,0)</f>
        <v>1</v>
      </c>
      <c r="H51" s="33">
        <f>F51*G51</f>
        <v>45</v>
      </c>
      <c r="I51" s="33">
        <f>(SUM(D51*E51)+H51)*0.1</f>
        <v>4.8000000000000007</v>
      </c>
      <c r="J51" s="33">
        <f>SUM(D51*E51)+SUM(F51*G51)+H51+I51</f>
        <v>97.8</v>
      </c>
      <c r="K51" s="94" t="s">
        <v>166</v>
      </c>
    </row>
    <row r="52" spans="1:11" ht="17.45" customHeight="1">
      <c r="A52" s="42" t="s">
        <v>267</v>
      </c>
      <c r="B52" s="112">
        <v>12</v>
      </c>
      <c r="C52" s="100">
        <f>C51</f>
        <v>1</v>
      </c>
      <c r="D52" s="101">
        <f>B52*C52</f>
        <v>12</v>
      </c>
      <c r="E52" s="30">
        <f>ROUNDUP(B8*0.75,0)</f>
        <v>3000</v>
      </c>
      <c r="F52" s="31">
        <v>70</v>
      </c>
      <c r="G52" s="32">
        <f>IF(E52&lt;&gt;"",E52/100,"")</f>
        <v>30</v>
      </c>
      <c r="H52" s="33">
        <f>F52*G52</f>
        <v>2100</v>
      </c>
      <c r="I52" s="33">
        <f>(SUM(D52*E52)+H52)*0.1</f>
        <v>3810</v>
      </c>
      <c r="J52" s="33">
        <f>SUM(D52*E52)+SUM(F52*G52)+H52+I52</f>
        <v>44010</v>
      </c>
      <c r="K52" s="94" t="s">
        <v>100</v>
      </c>
    </row>
    <row r="53" spans="1:11" ht="17.45" customHeight="1">
      <c r="A53" s="42" t="s">
        <v>268</v>
      </c>
      <c r="B53" s="112">
        <v>15</v>
      </c>
      <c r="C53" s="100">
        <f>C52</f>
        <v>1</v>
      </c>
      <c r="D53" s="101">
        <f>B53*C53</f>
        <v>15</v>
      </c>
      <c r="E53" s="30">
        <f>B11</f>
        <v>600</v>
      </c>
      <c r="F53" s="31">
        <v>75</v>
      </c>
      <c r="G53" s="32">
        <f>IF(E53&lt;&gt;"",E53/100,"")</f>
        <v>6</v>
      </c>
      <c r="H53" s="33">
        <f>F53*G53</f>
        <v>450</v>
      </c>
      <c r="I53" s="33">
        <f>(SUM(D53*E53)+H53)*0.1</f>
        <v>945</v>
      </c>
      <c r="J53" s="33">
        <f>SUM(D53*E53)+SUM(F53*G53)+H53+I53</f>
        <v>10845</v>
      </c>
      <c r="K53" s="94" t="s">
        <v>100</v>
      </c>
    </row>
    <row r="54" spans="1:11" ht="17.45" customHeight="1">
      <c r="A54" s="42" t="s">
        <v>269</v>
      </c>
      <c r="B54" s="112">
        <v>6</v>
      </c>
      <c r="C54" s="100">
        <f>C53</f>
        <v>1</v>
      </c>
      <c r="D54" s="101">
        <f>B54*C54</f>
        <v>6</v>
      </c>
      <c r="E54" s="30">
        <f>E58*0.15</f>
        <v>6</v>
      </c>
      <c r="F54" s="31">
        <v>40</v>
      </c>
      <c r="G54" s="32">
        <f>IF(E54&lt;&gt;"",E54/100,"")</f>
        <v>0.06</v>
      </c>
      <c r="H54" s="33">
        <f>F54*G54</f>
        <v>2.4</v>
      </c>
      <c r="I54" s="33">
        <f>(SUM(D54*E54)+H54)*0.1</f>
        <v>3.84</v>
      </c>
      <c r="J54" s="33">
        <f>SUM(D54*E54)+SUM(F54*G54)+H54+I54</f>
        <v>44.64</v>
      </c>
      <c r="K54" s="94" t="s">
        <v>83</v>
      </c>
    </row>
    <row r="55" spans="1:11" ht="17.45" customHeight="1">
      <c r="A55" s="42" t="s">
        <v>270</v>
      </c>
      <c r="B55" s="112">
        <v>20</v>
      </c>
      <c r="C55" s="100">
        <f>C54</f>
        <v>1</v>
      </c>
      <c r="D55" s="101">
        <f>B55*C55</f>
        <v>20</v>
      </c>
      <c r="E55" s="30">
        <f>E56</f>
        <v>20</v>
      </c>
      <c r="F55" s="31">
        <v>50</v>
      </c>
      <c r="G55" s="32">
        <f>IF(E55&lt;&gt;"",E55/100,"")</f>
        <v>0.2</v>
      </c>
      <c r="H55" s="33">
        <f>F55*G55</f>
        <v>10</v>
      </c>
      <c r="I55" s="33">
        <f>(SUM(D55*E55)+H55)*0.1</f>
        <v>41</v>
      </c>
      <c r="J55" s="33">
        <f>SUM(D55*E55)+SUM(F55*G55)+H55+I55</f>
        <v>461</v>
      </c>
      <c r="K55" s="94" t="s">
        <v>83</v>
      </c>
    </row>
    <row r="56" spans="1:11" ht="17.45" customHeight="1">
      <c r="A56" s="42" t="s">
        <v>271</v>
      </c>
      <c r="B56" s="112">
        <v>150</v>
      </c>
      <c r="C56" s="100">
        <f>C55</f>
        <v>1</v>
      </c>
      <c r="D56" s="101">
        <f>B56*C56</f>
        <v>150</v>
      </c>
      <c r="E56" s="30">
        <f>ROUNDUP(B8/200,0)</f>
        <v>20</v>
      </c>
      <c r="F56" s="31">
        <v>65</v>
      </c>
      <c r="G56" s="32">
        <f>ROUNDUP(E56/5,0)</f>
        <v>4</v>
      </c>
      <c r="H56" s="33">
        <f>F56*G56</f>
        <v>260</v>
      </c>
      <c r="I56" s="33">
        <f>(SUM(D56*E56)+H56)*0.1</f>
        <v>326</v>
      </c>
      <c r="J56" s="33">
        <f>SUM(D56*E56)+SUM(F56*G56)+H56+I56</f>
        <v>3846</v>
      </c>
      <c r="K56" s="94" t="s">
        <v>83</v>
      </c>
    </row>
    <row r="57" spans="1:11" ht="17.45" customHeight="1">
      <c r="A57" s="42" t="s">
        <v>272</v>
      </c>
      <c r="B57" s="112">
        <v>8</v>
      </c>
      <c r="C57" s="100">
        <f>C56</f>
        <v>1</v>
      </c>
      <c r="D57" s="101">
        <f>B57*C57</f>
        <v>8</v>
      </c>
      <c r="E57" s="30">
        <f>E58*0.35</f>
        <v>14</v>
      </c>
      <c r="F57" s="31">
        <v>40</v>
      </c>
      <c r="G57" s="32">
        <f>ROUNDUP(E57/5,0)</f>
        <v>3</v>
      </c>
      <c r="H57" s="33">
        <f>F57*G57</f>
        <v>120</v>
      </c>
      <c r="I57" s="33">
        <f>(SUM(D57*E57)+H57)*0.1</f>
        <v>23.200000000000003</v>
      </c>
      <c r="J57" s="33">
        <f>SUM(D57*E57)+SUM(F57*G57)+H57+I57</f>
        <v>375.2</v>
      </c>
      <c r="K57" s="94" t="s">
        <v>83</v>
      </c>
    </row>
    <row r="58" spans="1:11" ht="17.45" customHeight="1">
      <c r="A58" s="42" t="s">
        <v>273</v>
      </c>
      <c r="B58" s="112">
        <v>600</v>
      </c>
      <c r="C58" s="100">
        <f>C57</f>
        <v>1</v>
      </c>
      <c r="D58" s="101">
        <f>B58*C58</f>
        <v>600</v>
      </c>
      <c r="E58" s="30">
        <f>B8*0.01</f>
        <v>40</v>
      </c>
      <c r="F58" s="31">
        <v>60</v>
      </c>
      <c r="G58" s="32">
        <f>ROUNDUP(E58/3,0)</f>
        <v>14</v>
      </c>
      <c r="H58" s="33">
        <f>F58*G58</f>
        <v>840</v>
      </c>
      <c r="I58" s="33">
        <f>(SUM(D58*E58)+H58)*0.1</f>
        <v>2484</v>
      </c>
      <c r="J58" s="33">
        <f>SUM(D58*E58)+SUM(F58*G58)+H58+I58</f>
        <v>28164</v>
      </c>
      <c r="K58" s="94" t="s">
        <v>73</v>
      </c>
    </row>
    <row r="59" spans="1:11" ht="17.45" customHeight="1">
      <c r="A59" s="42" t="s">
        <v>274</v>
      </c>
      <c r="B59" s="112">
        <v>6</v>
      </c>
      <c r="C59" s="100">
        <f>C58</f>
        <v>1</v>
      </c>
      <c r="D59" s="101">
        <f>B59*C59</f>
        <v>6</v>
      </c>
      <c r="E59" s="30">
        <f>E58</f>
        <v>40</v>
      </c>
      <c r="F59" s="31">
        <v>75</v>
      </c>
      <c r="G59" s="32">
        <f>IF(E59&lt;&gt;"",E59/100,"")</f>
        <v>0.4</v>
      </c>
      <c r="H59" s="33">
        <f>F59*G59</f>
        <v>30</v>
      </c>
      <c r="I59" s="33">
        <f>(SUM(D59*E59)+H59)*0.1</f>
        <v>27</v>
      </c>
      <c r="J59" s="33">
        <f>SUM(D59*E59)+SUM(F59*G59)+H59+I59</f>
        <v>327</v>
      </c>
      <c r="K59" s="94" t="s">
        <v>85</v>
      </c>
    </row>
    <row r="60" spans="1:11" ht="17.45" customHeight="1">
      <c r="A60" s="42" t="s">
        <v>275</v>
      </c>
      <c r="B60" s="112">
        <v>12</v>
      </c>
      <c r="C60" s="100">
        <f>C59</f>
        <v>1</v>
      </c>
      <c r="D60" s="101">
        <f>B60*C60</f>
        <v>12</v>
      </c>
      <c r="E60" s="30">
        <f>E59</f>
        <v>40</v>
      </c>
      <c r="F60" s="31">
        <v>80</v>
      </c>
      <c r="G60" s="32">
        <f>IF(E60&lt;&gt;"",E60/100,"")</f>
        <v>0.4</v>
      </c>
      <c r="H60" s="33">
        <f>F60*G60</f>
        <v>32</v>
      </c>
      <c r="I60" s="33">
        <f>(SUM(D60*E60)+H60)*0.1</f>
        <v>51.2</v>
      </c>
      <c r="J60" s="33">
        <f>SUM(D60*E60)+SUM(F60*G60)+H60+I60</f>
        <v>595.20000000000005</v>
      </c>
      <c r="K60" s="94" t="s">
        <v>85</v>
      </c>
    </row>
    <row r="61" spans="1:11" ht="17.45" customHeight="1">
      <c r="A61" s="42" t="s">
        <v>276</v>
      </c>
      <c r="B61" s="112">
        <v>8</v>
      </c>
      <c r="C61" s="100">
        <f>C60</f>
        <v>1</v>
      </c>
      <c r="D61" s="101">
        <f>B61*C61</f>
        <v>8</v>
      </c>
      <c r="E61" s="30">
        <f>E60</f>
        <v>40</v>
      </c>
      <c r="F61" s="31">
        <v>70</v>
      </c>
      <c r="G61" s="32">
        <f>IF(E61&lt;&gt;"",E61/100,"")</f>
        <v>0.4</v>
      </c>
      <c r="H61" s="33">
        <f>F61*G61</f>
        <v>28</v>
      </c>
      <c r="I61" s="33">
        <f>(SUM(D61*E61)+H61)*0.1</f>
        <v>34.800000000000004</v>
      </c>
      <c r="J61" s="33">
        <f>SUM(D61*E61)+SUM(F61*G61)+H61+I61</f>
        <v>410.8</v>
      </c>
      <c r="K61" s="94" t="s">
        <v>160</v>
      </c>
    </row>
    <row r="62" spans="1:11" ht="17.45" customHeight="1">
      <c r="A62" s="42" t="s">
        <v>277</v>
      </c>
      <c r="B62" s="112">
        <v>15</v>
      </c>
      <c r="C62" s="100">
        <f>C61</f>
        <v>1</v>
      </c>
      <c r="D62" s="101">
        <f>B62*C62</f>
        <v>15</v>
      </c>
      <c r="E62" s="32">
        <f>ROUNDUP(B8*0.25,0)</f>
        <v>1000</v>
      </c>
      <c r="F62" s="31">
        <v>40</v>
      </c>
      <c r="G62" s="32">
        <f>IF(E62&lt;&gt;"",E62/100,"")</f>
        <v>10</v>
      </c>
      <c r="H62" s="33">
        <f>F62*G62</f>
        <v>400</v>
      </c>
      <c r="I62" s="33">
        <f>(SUM(D62*E62)+H62)*0.1</f>
        <v>1540</v>
      </c>
      <c r="J62" s="33">
        <f>SUM(D62*E62)+SUM(F62*G62)+H62+I62</f>
        <v>17340</v>
      </c>
      <c r="K62" s="94" t="s">
        <v>160</v>
      </c>
    </row>
    <row r="63" spans="1:11" ht="17.45" customHeight="1">
      <c r="A63" s="42" t="s">
        <v>278</v>
      </c>
      <c r="B63" s="112">
        <v>2.5</v>
      </c>
      <c r="C63" s="100">
        <f>C62</f>
        <v>1</v>
      </c>
      <c r="D63" s="101">
        <f>B63*C63</f>
        <v>2.5</v>
      </c>
      <c r="E63" s="32">
        <f>ROUNDUP(B8*1.25,0)</f>
        <v>5000</v>
      </c>
      <c r="F63" s="31">
        <v>60</v>
      </c>
      <c r="G63" s="32">
        <f>ROUNDUP(E63/100,0)</f>
        <v>50</v>
      </c>
      <c r="H63" s="33">
        <f>F63*G63</f>
        <v>3000</v>
      </c>
      <c r="I63" s="33">
        <f>(SUM(D63*E63)+H63)*0.1</f>
        <v>1550</v>
      </c>
      <c r="J63" s="33">
        <f>SUM(D63*E63)+SUM(F63*G63)+H63+I63</f>
        <v>20050</v>
      </c>
      <c r="K63" s="94" t="s">
        <v>134</v>
      </c>
    </row>
    <row r="64" spans="1:11" ht="17.45" customHeight="1">
      <c r="A64" s="42" t="s">
        <v>279</v>
      </c>
      <c r="B64" s="112">
        <v>1.5</v>
      </c>
      <c r="C64" s="100">
        <f>C63</f>
        <v>1</v>
      </c>
      <c r="D64" s="101">
        <f>B64*C64</f>
        <v>1.5</v>
      </c>
      <c r="E64" s="32">
        <f>IF(E63&gt;0,0,1)</f>
        <v>0</v>
      </c>
      <c r="F64" s="31">
        <v>40</v>
      </c>
      <c r="G64" s="32">
        <f>ROUNDUP(E64/100,0)</f>
        <v>0</v>
      </c>
      <c r="H64" s="33">
        <f>F64*G64</f>
        <v>0</v>
      </c>
      <c r="I64" s="33">
        <f>(SUM(D64*E64)+H64)*0.1</f>
        <v>0</v>
      </c>
      <c r="J64" s="33">
        <f>SUM(D64*E64)+SUM(F64*G64)+H64+I64</f>
        <v>0</v>
      </c>
      <c r="K64" s="94" t="s">
        <v>134</v>
      </c>
    </row>
    <row r="65" spans="1:11" ht="17.45" customHeight="1">
      <c r="A65" s="42" t="s">
        <v>280</v>
      </c>
      <c r="B65" s="112">
        <v>0</v>
      </c>
      <c r="C65" s="100">
        <f>C64</f>
        <v>1</v>
      </c>
      <c r="D65" s="101">
        <f>B65*C65</f>
        <v>0</v>
      </c>
      <c r="E65" s="32">
        <v>1</v>
      </c>
      <c r="F65" s="31">
        <v>350</v>
      </c>
      <c r="G65" s="32">
        <f>ROUNDUP($B$8/100,0)</f>
        <v>40</v>
      </c>
      <c r="H65" s="33">
        <f>F65*G65</f>
        <v>14000</v>
      </c>
      <c r="I65" s="33">
        <f>(SUM(D65*E65)+H65)*0.1</f>
        <v>1400</v>
      </c>
      <c r="J65" s="33">
        <f>SUM(D65*E65)+SUM(F65*G65)+H65+I65</f>
        <v>29400</v>
      </c>
      <c r="K65" s="94" t="s">
        <v>32</v>
      </c>
    </row>
    <row r="66" spans="1:11" ht="17.45" customHeight="1">
      <c r="A66" s="42" t="s">
        <v>281</v>
      </c>
      <c r="B66" s="112">
        <v>0</v>
      </c>
      <c r="C66" s="100">
        <f>C65</f>
        <v>1</v>
      </c>
      <c r="D66" s="101">
        <f>B66*C66</f>
        <v>0</v>
      </c>
      <c r="E66" s="32">
        <v>1</v>
      </c>
      <c r="F66" s="31">
        <v>100</v>
      </c>
      <c r="G66" s="32">
        <f>ROUNDUP($B$8/50,0)</f>
        <v>80</v>
      </c>
      <c r="H66" s="33">
        <f>F66*G66</f>
        <v>8000</v>
      </c>
      <c r="I66" s="33">
        <f>(SUM(D66*E66)+H66)*0.1</f>
        <v>800</v>
      </c>
      <c r="J66" s="33">
        <f>SUM(D66*E66)+SUM(F66*G66)+H66+I66</f>
        <v>16800</v>
      </c>
      <c r="K66" s="94" t="s">
        <v>48</v>
      </c>
    </row>
    <row r="67" spans="1:11" ht="17.45" customHeight="1">
      <c r="A67" s="42" t="s">
        <v>282</v>
      </c>
      <c r="B67" s="112">
        <v>0</v>
      </c>
      <c r="C67" s="100">
        <f>C66</f>
        <v>1</v>
      </c>
      <c r="D67" s="101">
        <f>B67*C67</f>
        <v>0</v>
      </c>
      <c r="E67" s="32">
        <v>1</v>
      </c>
      <c r="F67" s="31">
        <v>0</v>
      </c>
      <c r="G67" s="32">
        <f>ROUNDUP($B$8/100,0)</f>
        <v>40</v>
      </c>
      <c r="H67" s="33">
        <f>F67*G67</f>
        <v>0</v>
      </c>
      <c r="I67" s="33">
        <f>(SUM(D67*E67)+H67)*0.1</f>
        <v>0</v>
      </c>
      <c r="J67" s="33">
        <f>SUM(D67*E67)+SUM(F67*G67)+H67+I67</f>
        <v>0</v>
      </c>
      <c r="K67" s="94" t="s">
        <v>46</v>
      </c>
    </row>
    <row r="68" spans="1:11" ht="17.45" customHeight="1">
      <c r="A68" s="42" t="s">
        <v>283</v>
      </c>
      <c r="B68" s="112">
        <v>0</v>
      </c>
      <c r="C68" s="100">
        <f>C67</f>
        <v>1</v>
      </c>
      <c r="D68" s="101">
        <f>B68*C68</f>
        <v>0</v>
      </c>
      <c r="E68" s="30">
        <f>B7</f>
        <v>43560</v>
      </c>
      <c r="F68" s="31">
        <v>50</v>
      </c>
      <c r="G68" s="32">
        <f>IF(E68&lt;&gt;"",E68/100,"")</f>
        <v>435.6</v>
      </c>
      <c r="H68" s="33">
        <f>F68*G68</f>
        <v>21780</v>
      </c>
      <c r="I68" s="33">
        <f>(SUM(D68*E68)+H68)*0.1</f>
        <v>2178</v>
      </c>
      <c r="J68" s="33">
        <f>SUM(D68*E68)+SUM(F68*G68)+H68+I68</f>
        <v>45738</v>
      </c>
      <c r="K68" s="94" t="s">
        <v>92</v>
      </c>
    </row>
    <row r="69" spans="1:11" ht="17.45" customHeight="1">
      <c r="A69" s="42" t="s">
        <v>284</v>
      </c>
      <c r="B69" s="112">
        <v>0</v>
      </c>
      <c r="C69" s="100">
        <f>C68</f>
        <v>1</v>
      </c>
      <c r="D69" s="101">
        <f>B69*C69</f>
        <v>0</v>
      </c>
      <c r="E69" s="30">
        <f>E68</f>
        <v>43560</v>
      </c>
      <c r="F69" s="31">
        <v>50</v>
      </c>
      <c r="G69" s="32">
        <f>IF(E69&lt;&gt;"",E69/100,"")</f>
        <v>435.6</v>
      </c>
      <c r="H69" s="33">
        <f>F69*G69</f>
        <v>21780</v>
      </c>
      <c r="I69" s="33">
        <f>(SUM(D69*E69)+H69)*0.1</f>
        <v>2178</v>
      </c>
      <c r="J69" s="33">
        <f>SUM(D69*E69)+SUM(F69*G69)+H69+I69</f>
        <v>45738</v>
      </c>
      <c r="K69" s="94" t="s">
        <v>174</v>
      </c>
    </row>
    <row r="70" spans="1:11" ht="17.45" customHeight="1">
      <c r="A70" s="42" t="s">
        <v>285</v>
      </c>
      <c r="B70" s="112">
        <v>0</v>
      </c>
      <c r="C70" s="100">
        <f>C69</f>
        <v>1</v>
      </c>
      <c r="D70" s="101">
        <f>B70*C70</f>
        <v>0</v>
      </c>
      <c r="E70" s="32">
        <f>IF(E69&gt;0,0,1)</f>
        <v>0</v>
      </c>
      <c r="F70" s="31">
        <v>50</v>
      </c>
      <c r="G70" s="32">
        <f>IF(E70&lt;&gt;"",E70/100,"")</f>
        <v>0</v>
      </c>
      <c r="H70" s="33">
        <f>F70*G70</f>
        <v>0</v>
      </c>
      <c r="I70" s="33">
        <f>(SUM(D70*E70)+H70)*0.1</f>
        <v>0</v>
      </c>
      <c r="J70" s="33">
        <f>SUM(D70*E70)+SUM(F70*G70)+H70+I70</f>
        <v>0</v>
      </c>
      <c r="K70" s="94" t="s">
        <v>174</v>
      </c>
    </row>
    <row r="71" spans="1:11" ht="17.45" customHeight="1">
      <c r="A71" s="42" t="s">
        <v>286</v>
      </c>
      <c r="B71" s="112">
        <v>250</v>
      </c>
      <c r="C71" s="100">
        <f>C70</f>
        <v>1</v>
      </c>
      <c r="D71" s="101">
        <f>B71*C71</f>
        <v>250</v>
      </c>
      <c r="E71" s="30">
        <v>1</v>
      </c>
      <c r="F71" s="31">
        <v>50</v>
      </c>
      <c r="G71" s="32">
        <f>IF(E71&lt;&gt;"",E71/100,"")</f>
        <v>0.01</v>
      </c>
      <c r="H71" s="33">
        <f>F71*G71</f>
        <v>0.5</v>
      </c>
      <c r="I71" s="33">
        <f>(SUM(D71*E71)+H71)*0.1</f>
        <v>25.05</v>
      </c>
      <c r="J71" s="33">
        <f>SUM(D71*E71)+SUM(F71*G71)+H71+I71</f>
        <v>276.05</v>
      </c>
      <c r="K71" s="94" t="s">
        <v>180</v>
      </c>
    </row>
    <row r="72" spans="1:11" ht="17.45" customHeight="1">
      <c r="A72" s="42" t="s">
        <v>287</v>
      </c>
      <c r="B72" s="112">
        <v>100</v>
      </c>
      <c r="C72" s="100">
        <f>C71</f>
        <v>1</v>
      </c>
      <c r="D72" s="101">
        <f>B72*C72</f>
        <v>100</v>
      </c>
      <c r="E72" s="30">
        <v>0</v>
      </c>
      <c r="F72" s="31">
        <v>50</v>
      </c>
      <c r="G72" s="32">
        <f>IF(E72&lt;&gt;"",E72/100,"")</f>
        <v>0</v>
      </c>
      <c r="H72" s="33">
        <f>F72*G72</f>
        <v>0</v>
      </c>
      <c r="I72" s="33">
        <f>(SUM(D72*E72)+H72)*0.1</f>
        <v>0</v>
      </c>
      <c r="J72" s="33">
        <f>SUM(D72*E72)+SUM(F72*G72)+H72+I72</f>
        <v>0</v>
      </c>
      <c r="K72" s="94" t="s">
        <v>92</v>
      </c>
    </row>
    <row r="73" spans="1:11" ht="17.45" customHeight="1">
      <c r="A73" s="42" t="s">
        <v>288</v>
      </c>
      <c r="B73" s="112">
        <v>1000</v>
      </c>
      <c r="C73" s="100">
        <f>C72</f>
        <v>1</v>
      </c>
      <c r="D73" s="101">
        <f>B73*C73</f>
        <v>1000</v>
      </c>
      <c r="E73" s="30">
        <f>B7*0.00175</f>
        <v>76.23</v>
      </c>
      <c r="F73" s="31">
        <v>50</v>
      </c>
      <c r="G73" s="32">
        <f>IF(E73&lt;&gt;"",E73/100,"")</f>
        <v>0.76230000000000009</v>
      </c>
      <c r="H73" s="33">
        <f>F73*G73</f>
        <v>38.115000000000002</v>
      </c>
      <c r="I73" s="33">
        <f>(SUM(D73*E73)+H73)*0.1</f>
        <v>7626.8115000000007</v>
      </c>
      <c r="J73" s="33">
        <f>SUM(D73*E73)+SUM(F73*G73)+H73+I73</f>
        <v>83933.041500000007</v>
      </c>
      <c r="K73" s="94" t="s">
        <v>174</v>
      </c>
    </row>
    <row r="74" spans="1:11" ht="17.45" customHeight="1">
      <c r="A74" s="42" t="s">
        <v>289</v>
      </c>
      <c r="B74" s="112">
        <v>50</v>
      </c>
      <c r="C74" s="100">
        <f>C73</f>
        <v>1</v>
      </c>
      <c r="D74" s="101">
        <f>B74*C74</f>
        <v>50</v>
      </c>
      <c r="E74" s="30">
        <f>E73*0.75</f>
        <v>57.172499999999999</v>
      </c>
      <c r="F74" s="31">
        <v>50</v>
      </c>
      <c r="G74" s="32">
        <f>IF(E74&lt;&gt;"",E74/100,"")</f>
        <v>0.57172500000000004</v>
      </c>
      <c r="H74" s="33">
        <f>F74*G74</f>
        <v>28.586250000000003</v>
      </c>
      <c r="I74" s="33">
        <f>(SUM(D74*E74)+H74)*0.1</f>
        <v>288.72112499999997</v>
      </c>
      <c r="J74" s="33">
        <f>SUM(D74*E74)+SUM(F74*G74)+H74+I74</f>
        <v>3204.5186249999997</v>
      </c>
      <c r="K74" s="94" t="s">
        <v>174</v>
      </c>
    </row>
    <row r="75" spans="1:11" ht="17.45" customHeight="1">
      <c r="A75" s="42" t="s">
        <v>290</v>
      </c>
      <c r="B75" s="112">
        <v>30</v>
      </c>
      <c r="C75" s="100">
        <f>C74</f>
        <v>1</v>
      </c>
      <c r="D75" s="101">
        <f>B75*C75</f>
        <v>30</v>
      </c>
      <c r="E75" s="30">
        <f>ROUNDUP(B8/75,0)</f>
        <v>54</v>
      </c>
      <c r="F75" s="31">
        <v>50</v>
      </c>
      <c r="G75" s="32">
        <f>ROUNDUP(E75/20,0)</f>
        <v>3</v>
      </c>
      <c r="H75" s="33">
        <f>F75*G75</f>
        <v>150</v>
      </c>
      <c r="I75" s="33">
        <f>(SUM(D75*E75)+H75)*0.1</f>
        <v>177</v>
      </c>
      <c r="J75" s="33">
        <f>SUM(D75*E75)+SUM(F75*G75)+H75+I75</f>
        <v>2097</v>
      </c>
      <c r="K75" s="94" t="s">
        <v>158</v>
      </c>
    </row>
    <row r="76" spans="1:11" ht="17.45" customHeight="1">
      <c r="A76" s="42" t="s">
        <v>291</v>
      </c>
      <c r="B76" s="112">
        <v>150</v>
      </c>
      <c r="C76" s="100">
        <f>C75</f>
        <v>1</v>
      </c>
      <c r="D76" s="101">
        <f>B76*C76</f>
        <v>150</v>
      </c>
      <c r="E76" s="30">
        <f>ROUNDUP(B8/250,0)</f>
        <v>16</v>
      </c>
      <c r="F76" s="31">
        <v>70</v>
      </c>
      <c r="G76" s="32">
        <f>ROUNDUP(E76/10,0)</f>
        <v>2</v>
      </c>
      <c r="H76" s="33">
        <f>F76*G76</f>
        <v>140</v>
      </c>
      <c r="I76" s="33">
        <f>(SUM(D76*E76)+H76)*0.1</f>
        <v>254</v>
      </c>
      <c r="J76" s="33">
        <f>SUM(D76*E76)+SUM(F76*G76)+H76+I76</f>
        <v>2934</v>
      </c>
      <c r="K76" s="94" t="s">
        <v>158</v>
      </c>
    </row>
    <row r="77" spans="1:11" ht="17.45" customHeight="1">
      <c r="A77" s="42" t="s">
        <v>292</v>
      </c>
      <c r="B77" s="112">
        <v>0</v>
      </c>
      <c r="C77" s="100">
        <f>C76</f>
        <v>1</v>
      </c>
      <c r="D77" s="101">
        <f>B77*C77</f>
        <v>0</v>
      </c>
      <c r="E77" s="30">
        <v>1</v>
      </c>
      <c r="F77" s="31">
        <v>0</v>
      </c>
      <c r="G77" s="32">
        <v>2</v>
      </c>
      <c r="H77" s="33">
        <f>F77*G77</f>
        <v>0</v>
      </c>
      <c r="I77" s="33">
        <f>(SUM(D77*E77)+H77)*0.1</f>
        <v>0</v>
      </c>
      <c r="J77" s="33">
        <f>SUM(D77*E77)+SUM(F77*G77)+H77+I77</f>
        <v>0</v>
      </c>
      <c r="K77" s="94" t="s">
        <v>180</v>
      </c>
    </row>
    <row r="78" spans="1:11" ht="17.45" customHeight="1">
      <c r="A78" s="42" t="s">
        <v>293</v>
      </c>
      <c r="B78" s="112">
        <v>1.5</v>
      </c>
      <c r="C78" s="100">
        <f>C77</f>
        <v>1</v>
      </c>
      <c r="D78" s="101">
        <f>B78*C78</f>
        <v>1.5</v>
      </c>
      <c r="E78" s="32">
        <f>ROUNDUP(B8*1.25,0)</f>
        <v>5000</v>
      </c>
      <c r="F78" s="31">
        <v>45</v>
      </c>
      <c r="G78" s="32">
        <f>ROUNDUP(E78/200,0)</f>
        <v>25</v>
      </c>
      <c r="H78" s="33">
        <f>F78*G78</f>
        <v>1125</v>
      </c>
      <c r="I78" s="33">
        <f>(SUM(D78*E78)+H78)*0.1</f>
        <v>862.5</v>
      </c>
      <c r="J78" s="33">
        <f>SUM(D78*E78)+SUM(F78*G78)+H78+I78</f>
        <v>10612.5</v>
      </c>
      <c r="K78" s="94" t="s">
        <v>142</v>
      </c>
    </row>
    <row r="79" spans="1:11" ht="17.45" customHeight="1">
      <c r="A79" s="42" t="s">
        <v>294</v>
      </c>
      <c r="B79" s="112">
        <v>1.25</v>
      </c>
      <c r="C79" s="100">
        <f>C78</f>
        <v>1</v>
      </c>
      <c r="D79" s="101">
        <f>B79*C79</f>
        <v>1.25</v>
      </c>
      <c r="E79" s="32">
        <f>ROUNDUP(B8*1.25,0)</f>
        <v>5000</v>
      </c>
      <c r="F79" s="31">
        <v>45</v>
      </c>
      <c r="G79" s="32">
        <f>ROUNDUP(E79/200,0)</f>
        <v>25</v>
      </c>
      <c r="H79" s="33">
        <f>F79*G79</f>
        <v>1125</v>
      </c>
      <c r="I79" s="33">
        <f>(SUM(D79*E79)+H79)*0.1</f>
        <v>737.5</v>
      </c>
      <c r="J79" s="33">
        <f>SUM(D79*E79)+SUM(F79*G79)+H79+I79</f>
        <v>9237.5</v>
      </c>
      <c r="K79" s="94" t="s">
        <v>162</v>
      </c>
    </row>
    <row r="80" spans="1:11" ht="17.45" customHeight="1">
      <c r="A80" s="42" t="s">
        <v>295</v>
      </c>
      <c r="B80" s="112">
        <v>30</v>
      </c>
      <c r="C80" s="100">
        <f>C79</f>
        <v>1</v>
      </c>
      <c r="D80" s="101">
        <f>B80*C80</f>
        <v>30</v>
      </c>
      <c r="E80" s="30">
        <f>ROUNDUP(B7*0.01,0)</f>
        <v>436</v>
      </c>
      <c r="F80" s="31">
        <v>75</v>
      </c>
      <c r="G80" s="32">
        <f>IF(E80&lt;&gt;"",E80/100,"")</f>
        <v>4.3600000000000003</v>
      </c>
      <c r="H80" s="33">
        <f>F80*G80</f>
        <v>327</v>
      </c>
      <c r="I80" s="33">
        <f>(SUM(D80*E80)+H80)*0.1</f>
        <v>1340.7</v>
      </c>
      <c r="J80" s="33">
        <f>SUM(D80*E80)+SUM(F80*G80)+H80+I80</f>
        <v>15074.7</v>
      </c>
      <c r="K80" s="94" t="s">
        <v>138</v>
      </c>
    </row>
    <row r="81" spans="1:11" ht="17.45" customHeight="1">
      <c r="A81" s="42" t="s">
        <v>296</v>
      </c>
      <c r="B81" s="112">
        <v>18</v>
      </c>
      <c r="C81" s="100">
        <f>C80</f>
        <v>1</v>
      </c>
      <c r="D81" s="101">
        <f>B81*C81</f>
        <v>18</v>
      </c>
      <c r="E81" s="30">
        <f>IF(E80=1,0,0)</f>
        <v>0</v>
      </c>
      <c r="F81" s="31">
        <v>50</v>
      </c>
      <c r="G81" s="32">
        <f>IF(E81&lt;&gt;"",E81/100,"")</f>
        <v>0</v>
      </c>
      <c r="H81" s="33">
        <f>F81*G81</f>
        <v>0</v>
      </c>
      <c r="I81" s="33">
        <f>(SUM(D81*E81)+H81)*0.1</f>
        <v>0</v>
      </c>
      <c r="J81" s="33">
        <f>SUM(D81*E81)+SUM(F81*G81)+H81+I81</f>
        <v>0</v>
      </c>
      <c r="K81" s="94" t="s">
        <v>138</v>
      </c>
    </row>
    <row r="82" spans="1:11" ht="17.45" customHeight="1">
      <c r="A82" s="42" t="s">
        <v>297</v>
      </c>
      <c r="B82" s="112">
        <v>22</v>
      </c>
      <c r="C82" s="100">
        <f>C81</f>
        <v>1</v>
      </c>
      <c r="D82" s="101">
        <f>B82*C82</f>
        <v>22</v>
      </c>
      <c r="E82" s="30">
        <f>IF(E81=1,0,0)</f>
        <v>0</v>
      </c>
      <c r="F82" s="31">
        <v>60</v>
      </c>
      <c r="G82" s="32">
        <f>IF(E82&lt;&gt;"",E82/100,"")</f>
        <v>0</v>
      </c>
      <c r="H82" s="33">
        <f>F82*G82</f>
        <v>0</v>
      </c>
      <c r="I82" s="33">
        <f>(SUM(D82*E82)+H82)*0.1</f>
        <v>0</v>
      </c>
      <c r="J82" s="33">
        <f>SUM(D82*E82)+SUM(F82*G82)+H82+I82</f>
        <v>0</v>
      </c>
      <c r="K82" s="94" t="s">
        <v>138</v>
      </c>
    </row>
    <row r="83" spans="1:11" ht="17.45" customHeight="1">
      <c r="A83" s="42" t="s">
        <v>298</v>
      </c>
      <c r="B83" s="112">
        <v>1.8</v>
      </c>
      <c r="C83" s="100">
        <f>C82</f>
        <v>1</v>
      </c>
      <c r="D83" s="101">
        <f>B83*C83</f>
        <v>1.8</v>
      </c>
      <c r="E83" s="30">
        <f>ROUNDUP(B10*1.1,0)</f>
        <v>3740</v>
      </c>
      <c r="F83" s="31">
        <v>50</v>
      </c>
      <c r="G83" s="32">
        <f>IF(E83&lt;&gt;"",E83/100,"")</f>
        <v>37.4</v>
      </c>
      <c r="H83" s="33">
        <f>F83*G83</f>
        <v>1870</v>
      </c>
      <c r="I83" s="33">
        <f>(SUM(D83*E83)+H83)*0.1</f>
        <v>860.2</v>
      </c>
      <c r="J83" s="33">
        <f>SUM(D83*E83)+SUM(F83*G83)+H83+I83</f>
        <v>11332.2</v>
      </c>
      <c r="K83" s="94" t="s">
        <v>114</v>
      </c>
    </row>
    <row r="84" spans="1:11" ht="17.45" customHeight="1">
      <c r="A84" s="42" t="s">
        <v>299</v>
      </c>
      <c r="B84" s="112">
        <v>1.5</v>
      </c>
      <c r="C84" s="100">
        <f>C83</f>
        <v>1</v>
      </c>
      <c r="D84" s="101">
        <f>B84*C84</f>
        <v>1.5</v>
      </c>
      <c r="E84" s="30">
        <f>B8</f>
        <v>4000</v>
      </c>
      <c r="F84" s="31">
        <v>45</v>
      </c>
      <c r="G84" s="32">
        <f>IF(E84&lt;&gt;"",E84/100,"")</f>
        <v>40</v>
      </c>
      <c r="H84" s="33">
        <f>F84*G84</f>
        <v>1800</v>
      </c>
      <c r="I84" s="33">
        <f>(SUM(D84*E84)+H84)*0.1</f>
        <v>780</v>
      </c>
      <c r="J84" s="33">
        <f>SUM(D84*E84)+SUM(F84*G84)+H84+I84</f>
        <v>10380</v>
      </c>
      <c r="K84" s="94" t="s">
        <v>126</v>
      </c>
    </row>
    <row r="85" spans="1:11" ht="17.45" customHeight="1">
      <c r="A85" s="42" t="s">
        <v>300</v>
      </c>
      <c r="B85" s="112">
        <v>90</v>
      </c>
      <c r="C85" s="100">
        <f>C84</f>
        <v>1</v>
      </c>
      <c r="D85" s="101">
        <f>B85*C85</f>
        <v>90</v>
      </c>
      <c r="E85" s="30">
        <f>B8*0.1</f>
        <v>400</v>
      </c>
      <c r="F85" s="31">
        <v>75</v>
      </c>
      <c r="G85" s="32">
        <f>IF(E85&lt;&gt;"",E85/100,"")</f>
        <v>4</v>
      </c>
      <c r="H85" s="33">
        <f>F85*G85</f>
        <v>300</v>
      </c>
      <c r="I85" s="33">
        <f>(SUM(D85*E85)+H85)*0.1</f>
        <v>3630</v>
      </c>
      <c r="J85" s="33">
        <f>SUM(D85*E85)+SUM(F85*G85)+H85+I85</f>
        <v>40230</v>
      </c>
      <c r="K85" s="94" t="s">
        <v>158</v>
      </c>
    </row>
    <row r="86" spans="1:11" ht="17.45" customHeight="1">
      <c r="A86" s="42" t="s">
        <v>301</v>
      </c>
      <c r="B86" s="112">
        <v>0.75</v>
      </c>
      <c r="C86" s="100">
        <f>C85</f>
        <v>1</v>
      </c>
      <c r="D86" s="101">
        <f>B86*C86</f>
        <v>0.75</v>
      </c>
      <c r="E86" s="30">
        <f>ROUNDUP(B8/4,0)</f>
        <v>1000</v>
      </c>
      <c r="F86" s="31">
        <v>40</v>
      </c>
      <c r="G86" s="32">
        <f>ROUNDUP(E86/250,0)</f>
        <v>4</v>
      </c>
      <c r="H86" s="33">
        <f>F86*G86</f>
        <v>160</v>
      </c>
      <c r="I86" s="33">
        <f>(SUM(D86*E86)+H86)*0.1</f>
        <v>91</v>
      </c>
      <c r="J86" s="33">
        <f>SUM(D86*E86)+SUM(F86*G86)+H86+I86</f>
        <v>1161</v>
      </c>
      <c r="K86" s="94" t="s">
        <v>120</v>
      </c>
    </row>
    <row r="87" spans="1:11" ht="17.45" customHeight="1">
      <c r="A87" s="42" t="s">
        <v>302</v>
      </c>
      <c r="B87" s="112">
        <v>0</v>
      </c>
      <c r="C87" s="100">
        <f>C86</f>
        <v>1</v>
      </c>
      <c r="D87" s="101">
        <f>B87*C87</f>
        <v>0</v>
      </c>
      <c r="E87" s="30">
        <v>1</v>
      </c>
      <c r="F87" s="31">
        <v>0</v>
      </c>
      <c r="G87" s="32">
        <v>16</v>
      </c>
      <c r="H87" s="33">
        <f>F87*G87</f>
        <v>0</v>
      </c>
      <c r="I87" s="33">
        <f>(SUM(D87*E87)+H87)*0.1</f>
        <v>0</v>
      </c>
      <c r="J87" s="33">
        <f>SUM(D87*E87)+SUM(F87*G87)+H87+I87</f>
        <v>0</v>
      </c>
      <c r="K87" s="94" t="s">
        <v>140</v>
      </c>
    </row>
    <row r="88" spans="1:11" ht="17.45" customHeight="1">
      <c r="A88" s="42" t="s">
        <v>303</v>
      </c>
      <c r="B88" s="112">
        <v>0</v>
      </c>
      <c r="C88" s="100">
        <f>C87</f>
        <v>1</v>
      </c>
      <c r="D88" s="101">
        <f>B88*C88</f>
        <v>0</v>
      </c>
      <c r="E88" s="30">
        <v>1</v>
      </c>
      <c r="F88" s="31">
        <v>0</v>
      </c>
      <c r="G88" s="32">
        <v>16</v>
      </c>
      <c r="H88" s="33">
        <f>F88*G88</f>
        <v>0</v>
      </c>
      <c r="I88" s="33">
        <f>(SUM(D88*E88)+H88)*0.1</f>
        <v>0</v>
      </c>
      <c r="J88" s="33">
        <f>SUM(D88*E88)+SUM(F88*G88)+H88+I88</f>
        <v>0</v>
      </c>
      <c r="K88" s="94" t="s">
        <v>124</v>
      </c>
    </row>
    <row r="89" spans="1:11" ht="17.45" customHeight="1">
      <c r="A89" s="42" t="s">
        <v>304</v>
      </c>
      <c r="B89" s="112">
        <v>0</v>
      </c>
      <c r="C89" s="100">
        <f>C88</f>
        <v>1</v>
      </c>
      <c r="D89" s="101">
        <f>B89*C89</f>
        <v>0</v>
      </c>
      <c r="E89" s="30">
        <v>1</v>
      </c>
      <c r="F89" s="31">
        <v>0</v>
      </c>
      <c r="G89" s="32">
        <v>8</v>
      </c>
      <c r="H89" s="33">
        <f>F89*G89</f>
        <v>0</v>
      </c>
      <c r="I89" s="33">
        <f>(SUM(D89*E89)+H89)*0.1</f>
        <v>0</v>
      </c>
      <c r="J89" s="33">
        <f>SUM(D89*E89)+SUM(F89*G89)+H89+I89</f>
        <v>0</v>
      </c>
      <c r="K89" s="94" t="s">
        <v>124</v>
      </c>
    </row>
    <row r="90" spans="1:11" ht="17.45" customHeight="1">
      <c r="A90" s="42" t="s">
        <v>305</v>
      </c>
      <c r="B90" s="112">
        <v>0</v>
      </c>
      <c r="C90" s="100">
        <f>C89</f>
        <v>1</v>
      </c>
      <c r="D90" s="101">
        <f>B90*C90</f>
        <v>0</v>
      </c>
      <c r="E90" s="30">
        <v>1</v>
      </c>
      <c r="F90" s="31">
        <v>0</v>
      </c>
      <c r="G90" s="32">
        <v>6</v>
      </c>
      <c r="H90" s="33">
        <f>F90*G90</f>
        <v>0</v>
      </c>
      <c r="I90" s="33">
        <f>(SUM(D90*E90)+H90)*0.1</f>
        <v>0</v>
      </c>
      <c r="J90" s="33">
        <f>SUM(D90*E90)+SUM(F90*G90)+H90+I90</f>
        <v>0</v>
      </c>
      <c r="K90" s="94" t="s">
        <v>124</v>
      </c>
    </row>
    <row r="91" spans="1:11" ht="17.45" customHeight="1">
      <c r="A91" s="42" t="s">
        <v>306</v>
      </c>
      <c r="B91" s="112">
        <v>1.25</v>
      </c>
      <c r="C91" s="100">
        <f>C90</f>
        <v>1</v>
      </c>
      <c r="D91" s="101">
        <f>B91*C91</f>
        <v>1.25</v>
      </c>
      <c r="E91" s="32">
        <f>ROUNDUP(B8*1.1,0)</f>
        <v>4400</v>
      </c>
      <c r="F91" s="31">
        <v>55</v>
      </c>
      <c r="G91" s="32">
        <f>ROUNDUP(E91/100,0)</f>
        <v>44</v>
      </c>
      <c r="H91" s="33">
        <f>F91*G91</f>
        <v>2420</v>
      </c>
      <c r="I91" s="33">
        <f>(SUM(D91*E91)+H91)*0.1</f>
        <v>792</v>
      </c>
      <c r="J91" s="33">
        <f>SUM(D91*E91)+SUM(F91*G91)+H91+I91</f>
        <v>11132</v>
      </c>
      <c r="K91" s="94" t="s">
        <v>124</v>
      </c>
    </row>
    <row r="92" spans="1:11" ht="17.45" customHeight="1">
      <c r="A92" s="42" t="s">
        <v>307</v>
      </c>
      <c r="B92" s="112">
        <v>10</v>
      </c>
      <c r="C92" s="100">
        <f>C91</f>
        <v>1</v>
      </c>
      <c r="D92" s="101">
        <f>B92*C92</f>
        <v>10</v>
      </c>
      <c r="E92" s="32">
        <f>ROUNDUP(B8*0.25,0)</f>
        <v>1000</v>
      </c>
      <c r="F92" s="31">
        <v>50</v>
      </c>
      <c r="G92" s="32">
        <f>IF(E92&lt;&gt;"",E92/100,"")</f>
        <v>10</v>
      </c>
      <c r="H92" s="33">
        <f>F92*G92</f>
        <v>500</v>
      </c>
      <c r="I92" s="33">
        <f>(SUM(D92*E92)+H92)*0.1</f>
        <v>1050</v>
      </c>
      <c r="J92" s="33">
        <f>SUM(D92*E92)+SUM(F92*G92)+H92+I92</f>
        <v>12050</v>
      </c>
      <c r="K92" s="94" t="s">
        <v>124</v>
      </c>
    </row>
    <row r="93" spans="1:11" ht="17.45" customHeight="1">
      <c r="A93" s="42" t="s">
        <v>308</v>
      </c>
      <c r="B93" s="112">
        <v>4</v>
      </c>
      <c r="C93" s="100">
        <f>C92</f>
        <v>1</v>
      </c>
      <c r="D93" s="101">
        <f>B93*C93</f>
        <v>4</v>
      </c>
      <c r="E93" s="30">
        <f>ROUNDUP(B8*3.2,0)</f>
        <v>12800</v>
      </c>
      <c r="F93" s="31">
        <v>50</v>
      </c>
      <c r="G93" s="32">
        <f>IF(E93&lt;&gt;"",E93/100,"")</f>
        <v>128</v>
      </c>
      <c r="H93" s="33">
        <f>F93*G93</f>
        <v>6400</v>
      </c>
      <c r="I93" s="33">
        <f>(SUM(D93*E93)+H93)*0.1</f>
        <v>5760</v>
      </c>
      <c r="J93" s="33">
        <f>SUM(D93*E93)+SUM(F93*G93)+H93+I93</f>
        <v>69760</v>
      </c>
      <c r="K93" s="94" t="s">
        <v>73</v>
      </c>
    </row>
    <row r="94" spans="1:11" ht="17.45" customHeight="1">
      <c r="A94" s="42" t="s">
        <v>309</v>
      </c>
      <c r="B94" s="112">
        <v>10</v>
      </c>
      <c r="C94" s="100">
        <f>C93</f>
        <v>1</v>
      </c>
      <c r="D94" s="101">
        <f>B94*C94</f>
        <v>10</v>
      </c>
      <c r="E94" s="30">
        <f>IF(E93&gt;0,0,1)</f>
        <v>0</v>
      </c>
      <c r="F94" s="31">
        <v>75</v>
      </c>
      <c r="G94" s="32">
        <f>IF(E94&lt;&gt;"",E94/100,"")</f>
        <v>0</v>
      </c>
      <c r="H94" s="33">
        <f>F94*G94</f>
        <v>0</v>
      </c>
      <c r="I94" s="33">
        <f>(SUM(D94*E94)+H94)*0.1</f>
        <v>0</v>
      </c>
      <c r="J94" s="33">
        <f>SUM(D94*E94)+SUM(F94*G94)+H94+I94</f>
        <v>0</v>
      </c>
      <c r="K94" s="94" t="s">
        <v>73</v>
      </c>
    </row>
    <row r="95" spans="1:11" ht="17.45" customHeight="1">
      <c r="A95" s="42" t="s">
        <v>310</v>
      </c>
      <c r="B95" s="112">
        <v>20</v>
      </c>
      <c r="C95" s="100">
        <f>C94</f>
        <v>1</v>
      </c>
      <c r="D95" s="101">
        <f>B95*C95</f>
        <v>20</v>
      </c>
      <c r="E95" s="30">
        <f>IF(E93&gt;0,0,1)</f>
        <v>0</v>
      </c>
      <c r="F95" s="31">
        <v>90</v>
      </c>
      <c r="G95" s="32">
        <f>IF(E95&lt;&gt;"",E95/100,"")</f>
        <v>0</v>
      </c>
      <c r="H95" s="33">
        <f>F95*G95</f>
        <v>0</v>
      </c>
      <c r="I95" s="33">
        <f>(SUM(D95*E95)+H95)*0.1</f>
        <v>0</v>
      </c>
      <c r="J95" s="33">
        <f>SUM(D95*E95)+SUM(F95*G95)+H95+I95</f>
        <v>0</v>
      </c>
      <c r="K95" s="94" t="s">
        <v>73</v>
      </c>
    </row>
    <row r="96" spans="1:11" ht="17.45" customHeight="1">
      <c r="A96" s="42" t="s">
        <v>311</v>
      </c>
      <c r="B96" s="112">
        <v>12</v>
      </c>
      <c r="C96" s="100">
        <f>C95</f>
        <v>1</v>
      </c>
      <c r="D96" s="101">
        <f>B96*C96</f>
        <v>12</v>
      </c>
      <c r="E96" s="30">
        <f>IF(E94&gt;0,0,1)</f>
        <v>1</v>
      </c>
      <c r="F96" s="31">
        <v>70</v>
      </c>
      <c r="G96" s="32">
        <f>IF(E96&lt;&gt;"",E96/100,"")</f>
        <v>0.01</v>
      </c>
      <c r="H96" s="33">
        <f>F96*G96</f>
        <v>0.70000000000000007</v>
      </c>
      <c r="I96" s="33">
        <f>(SUM(D96*E96)+H96)*0.1</f>
        <v>1.27</v>
      </c>
      <c r="J96" s="33">
        <f>SUM(D96*E96)+SUM(F96*G96)+H96+I96</f>
        <v>14.669999999999998</v>
      </c>
      <c r="K96" s="94" t="s">
        <v>73</v>
      </c>
    </row>
    <row r="97" spans="1:11" ht="17.45" customHeight="1">
      <c r="A97" s="42" t="s">
        <v>312</v>
      </c>
      <c r="B97" s="112">
        <v>15</v>
      </c>
      <c r="C97" s="100">
        <f>C96</f>
        <v>1</v>
      </c>
      <c r="D97" s="101">
        <f>B97*C97</f>
        <v>15</v>
      </c>
      <c r="E97" s="32">
        <f>IF(E81&gt;0,0,1)</f>
        <v>1</v>
      </c>
      <c r="F97" s="31">
        <v>75</v>
      </c>
      <c r="G97" s="32">
        <f>ROUNDUP(E97/25,0)</f>
        <v>1</v>
      </c>
      <c r="H97" s="33">
        <f>F97*G97</f>
        <v>75</v>
      </c>
      <c r="I97" s="33">
        <f>(SUM(D97*E97)+H97)*0.1</f>
        <v>9</v>
      </c>
      <c r="J97" s="33">
        <f>SUM(D97*E97)+SUM(F97*G97)+H97+I97</f>
        <v>174</v>
      </c>
      <c r="K97" s="94" t="s">
        <v>73</v>
      </c>
    </row>
    <row r="98" spans="1:11" ht="17.45" customHeight="1">
      <c r="A98" s="42" t="s">
        <v>313</v>
      </c>
      <c r="B98" s="112">
        <v>9</v>
      </c>
      <c r="C98" s="100">
        <f>C97</f>
        <v>1</v>
      </c>
      <c r="D98" s="101">
        <f>B98*C98</f>
        <v>9</v>
      </c>
      <c r="E98" s="32">
        <f>IF(E97&gt;0,0,1)</f>
        <v>0</v>
      </c>
      <c r="F98" s="31">
        <v>60</v>
      </c>
      <c r="G98" s="32">
        <f>ROUNDUP(E98/25,0)</f>
        <v>0</v>
      </c>
      <c r="H98" s="33">
        <f>F98*G98</f>
        <v>0</v>
      </c>
      <c r="I98" s="33">
        <f>(SUM(D98*E98)+H98)*0.1</f>
        <v>0</v>
      </c>
      <c r="J98" s="33">
        <f>SUM(D98*E98)+SUM(F98*G98)+H98+I98</f>
        <v>0</v>
      </c>
      <c r="K98" s="94" t="s">
        <v>15</v>
      </c>
    </row>
    <row r="99" spans="1:11" ht="17.45" customHeight="1">
      <c r="A99" s="42" t="s">
        <v>314</v>
      </c>
      <c r="B99" s="112">
        <v>2.5</v>
      </c>
      <c r="C99" s="100">
        <f>C98</f>
        <v>1</v>
      </c>
      <c r="D99" s="101">
        <f>B99*C99</f>
        <v>2.5</v>
      </c>
      <c r="E99" s="32">
        <f>IF(E97&gt;0,0,1)</f>
        <v>0</v>
      </c>
      <c r="F99" s="31">
        <v>50</v>
      </c>
      <c r="G99" s="32">
        <f>ROUNDUP(E99/25,0)</f>
        <v>0</v>
      </c>
      <c r="H99" s="33">
        <f>F99*G99</f>
        <v>0</v>
      </c>
      <c r="I99" s="33">
        <f>(SUM(D99*E99)+H99)*0.1</f>
        <v>0</v>
      </c>
      <c r="J99" s="33">
        <f>SUM(D99*E99)+SUM(F99*G99)+H99+I99</f>
        <v>0</v>
      </c>
      <c r="K99" s="94" t="s">
        <v>17</v>
      </c>
    </row>
    <row r="100" spans="1:11" ht="17.45" customHeight="1">
      <c r="A100" s="42" t="s">
        <v>315</v>
      </c>
      <c r="B100" s="112">
        <v>20</v>
      </c>
      <c r="C100" s="100">
        <f>C99</f>
        <v>1</v>
      </c>
      <c r="D100" s="101">
        <f>B100*C100</f>
        <v>20</v>
      </c>
      <c r="E100" s="32">
        <f>ROUNDUP(B8/250,0)</f>
        <v>16</v>
      </c>
      <c r="F100" s="31">
        <v>85</v>
      </c>
      <c r="G100" s="32">
        <f>ROUNDUP(E100/25,0)</f>
        <v>1</v>
      </c>
      <c r="H100" s="33">
        <f>F100*G100</f>
        <v>85</v>
      </c>
      <c r="I100" s="33">
        <f>(SUM(D100*E100)+H100)*0.1</f>
        <v>40.5</v>
      </c>
      <c r="J100" s="33">
        <f>SUM(D100*E100)+SUM(F100*G100)+H100+I100</f>
        <v>530.5</v>
      </c>
      <c r="K100" s="94" t="s">
        <v>19</v>
      </c>
    </row>
    <row r="101" spans="1:11" ht="17.45" customHeight="1">
      <c r="A101" s="42" t="s">
        <v>316</v>
      </c>
      <c r="B101" s="112">
        <v>10</v>
      </c>
      <c r="C101" s="100">
        <f>C100</f>
        <v>1</v>
      </c>
      <c r="D101" s="101">
        <f>B101*C101</f>
        <v>10</v>
      </c>
      <c r="E101" s="32">
        <f>IF(E97&gt;0,0,1)</f>
        <v>0</v>
      </c>
      <c r="F101" s="31">
        <v>65</v>
      </c>
      <c r="G101" s="32">
        <f>ROUNDUP(E101/25,0)</f>
        <v>0</v>
      </c>
      <c r="H101" s="33">
        <f>F101*G101</f>
        <v>0</v>
      </c>
      <c r="I101" s="33">
        <f>(SUM(D101*E101)+H101)*0.1</f>
        <v>0</v>
      </c>
      <c r="J101" s="33">
        <f>SUM(D101*E101)+SUM(F101*G101)+H101+I101</f>
        <v>0</v>
      </c>
      <c r="K101" s="94" t="s">
        <v>11</v>
      </c>
    </row>
    <row r="102" spans="1:11" ht="17.45" customHeight="1">
      <c r="A102" s="42" t="s">
        <v>317</v>
      </c>
      <c r="B102" s="112">
        <v>400</v>
      </c>
      <c r="C102" s="100">
        <f>C101</f>
        <v>1</v>
      </c>
      <c r="D102" s="101">
        <f>B102*C102</f>
        <v>400</v>
      </c>
      <c r="E102" s="30">
        <f>ROUNDUP(B8*0.01,0)</f>
        <v>40</v>
      </c>
      <c r="F102" s="31">
        <v>85</v>
      </c>
      <c r="G102" s="32">
        <f>IF(E102&lt;&gt;"",E102/100,"")</f>
        <v>0.4</v>
      </c>
      <c r="H102" s="33">
        <f>F102*G102</f>
        <v>34</v>
      </c>
      <c r="I102" s="33">
        <f>(SUM(D102*E102)+H102)*0.1</f>
        <v>1603.4</v>
      </c>
      <c r="J102" s="33">
        <f>SUM(D102*E102)+SUM(F102*G102)+H102+I102</f>
        <v>17671.400000000001</v>
      </c>
      <c r="K102" s="94" t="s">
        <v>116</v>
      </c>
    </row>
    <row r="103" spans="1:11" ht="17.45" customHeight="1">
      <c r="A103" s="42" t="s">
        <v>318</v>
      </c>
      <c r="B103" s="112">
        <v>10</v>
      </c>
      <c r="C103" s="100">
        <f>C102</f>
        <v>1</v>
      </c>
      <c r="D103" s="101">
        <f>B103*C103</f>
        <v>10</v>
      </c>
      <c r="E103" s="30">
        <f>IF(E96&gt;0,0,1)</f>
        <v>0</v>
      </c>
      <c r="F103" s="31">
        <v>70</v>
      </c>
      <c r="G103" s="32">
        <f>IF(E103&lt;&gt;"",E103/100,"")</f>
        <v>0</v>
      </c>
      <c r="H103" s="33">
        <f>F103*G103</f>
        <v>0</v>
      </c>
      <c r="I103" s="33">
        <f>(SUM(D103*E103)+H103)*0.1</f>
        <v>0</v>
      </c>
      <c r="J103" s="33">
        <f>SUM(D103*E103)+SUM(F103*G103)+H103+I103</f>
        <v>0</v>
      </c>
      <c r="K103" s="94" t="s">
        <v>116</v>
      </c>
    </row>
    <row r="104" spans="1:11" ht="17.45" customHeight="1">
      <c r="A104" s="42" t="s">
        <v>319</v>
      </c>
      <c r="B104" s="112">
        <v>3</v>
      </c>
      <c r="C104" s="100">
        <f>C103</f>
        <v>1</v>
      </c>
      <c r="D104" s="101">
        <f>B104*C104</f>
        <v>3</v>
      </c>
      <c r="E104" s="32">
        <f>ROUNDUP(B8/1.5,0)</f>
        <v>2667</v>
      </c>
      <c r="F104" s="31">
        <v>60</v>
      </c>
      <c r="G104" s="32">
        <f>ROUNDUP(E104/50,0)</f>
        <v>54</v>
      </c>
      <c r="H104" s="33">
        <f>F104*G104</f>
        <v>3240</v>
      </c>
      <c r="I104" s="33">
        <f>(SUM(D104*E104)+H104)*0.1</f>
        <v>1124.1000000000001</v>
      </c>
      <c r="J104" s="33">
        <f>SUM(D104*E104)+SUM(F104*G104)+H104+I104</f>
        <v>15605.1</v>
      </c>
      <c r="K104" s="94" t="s">
        <v>96</v>
      </c>
    </row>
    <row r="105" spans="1:11" ht="17.45" customHeight="1">
      <c r="A105" s="42" t="s">
        <v>320</v>
      </c>
      <c r="B105" s="112">
        <v>4</v>
      </c>
      <c r="C105" s="100">
        <f>C104</f>
        <v>1</v>
      </c>
      <c r="D105" s="101">
        <f>B105*C105</f>
        <v>4</v>
      </c>
      <c r="E105" s="32">
        <f>E104</f>
        <v>2667</v>
      </c>
      <c r="F105" s="31">
        <v>70</v>
      </c>
      <c r="G105" s="32">
        <f>ROUNDUP(E105/50,0)</f>
        <v>54</v>
      </c>
      <c r="H105" s="33">
        <f>F105*G105</f>
        <v>3780</v>
      </c>
      <c r="I105" s="33">
        <f>(SUM(D105*E105)+H105)*0.1</f>
        <v>1444.8000000000002</v>
      </c>
      <c r="J105" s="33">
        <f>SUM(D105*E105)+SUM(F105*G105)+H105+I105</f>
        <v>19672.8</v>
      </c>
      <c r="K105" s="94" t="s">
        <v>144</v>
      </c>
    </row>
    <row r="106" spans="1:11" ht="17.45" customHeight="1">
      <c r="A106" s="42" t="s">
        <v>321</v>
      </c>
      <c r="B106" s="112">
        <v>6</v>
      </c>
      <c r="C106" s="100">
        <f>C105</f>
        <v>1</v>
      </c>
      <c r="D106" s="101">
        <f>B106*C106</f>
        <v>6</v>
      </c>
      <c r="E106" s="32">
        <f>E105</f>
        <v>2667</v>
      </c>
      <c r="F106" s="31">
        <v>75</v>
      </c>
      <c r="G106" s="32">
        <f>ROUNDUP(E106/50,0)</f>
        <v>54</v>
      </c>
      <c r="H106" s="33">
        <f>F106*G106</f>
        <v>4050</v>
      </c>
      <c r="I106" s="33">
        <f>(SUM(D106*E106)+H106)*0.1</f>
        <v>2005.2</v>
      </c>
      <c r="J106" s="33">
        <f>SUM(D106*E106)+SUM(F106*G106)+H106+I106</f>
        <v>26107.200000000001</v>
      </c>
      <c r="K106" s="94" t="s">
        <v>144</v>
      </c>
    </row>
    <row r="107" spans="1:11" ht="17.45" customHeight="1">
      <c r="A107" s="42" t="s">
        <v>322</v>
      </c>
      <c r="B107" s="112">
        <v>2.5</v>
      </c>
      <c r="C107" s="100">
        <f>C106</f>
        <v>1</v>
      </c>
      <c r="D107" s="101">
        <f>B107*C107</f>
        <v>2.5</v>
      </c>
      <c r="E107" s="32">
        <f>E106*0.15</f>
        <v>400.05</v>
      </c>
      <c r="F107" s="31">
        <v>60</v>
      </c>
      <c r="G107" s="32">
        <f>ROUNDUP(E107/50,0)</f>
        <v>9</v>
      </c>
      <c r="H107" s="33">
        <f>F107*G107</f>
        <v>540</v>
      </c>
      <c r="I107" s="33">
        <f>(SUM(D107*E107)+H107)*0.1</f>
        <v>154.01250000000002</v>
      </c>
      <c r="J107" s="33">
        <f>SUM(D107*E107)+SUM(F107*G107)+H107+I107</f>
        <v>2234.1374999999998</v>
      </c>
      <c r="K107" s="94" t="s">
        <v>144</v>
      </c>
    </row>
    <row r="108" spans="1:11" ht="17.45" customHeight="1">
      <c r="A108" s="42" t="s">
        <v>323</v>
      </c>
      <c r="B108" s="112">
        <v>500</v>
      </c>
      <c r="C108" s="100">
        <f>C107</f>
        <v>1</v>
      </c>
      <c r="D108" s="101">
        <f>B108*C108</f>
        <v>500</v>
      </c>
      <c r="E108" s="32">
        <f>B8*0.0005</f>
        <v>2</v>
      </c>
      <c r="F108" s="31">
        <v>40</v>
      </c>
      <c r="G108" s="32">
        <f>E108*2</f>
        <v>4</v>
      </c>
      <c r="H108" s="33">
        <f>F108*G108</f>
        <v>160</v>
      </c>
      <c r="I108" s="33">
        <f>(SUM(D108*E108)+H108)*0.1</f>
        <v>116</v>
      </c>
      <c r="J108" s="33">
        <f>SUM(D108*E108)+SUM(F108*G108)+H108+I108</f>
        <v>1436</v>
      </c>
      <c r="K108" s="94" t="s">
        <v>170</v>
      </c>
    </row>
    <row r="109" spans="1:11" ht="17.45" customHeight="1">
      <c r="A109" s="42" t="s">
        <v>324</v>
      </c>
      <c r="B109" s="112">
        <v>1.25</v>
      </c>
      <c r="C109" s="100">
        <f>C108</f>
        <v>1</v>
      </c>
      <c r="D109" s="101">
        <f>B109*C109</f>
        <v>1.25</v>
      </c>
      <c r="E109" s="30">
        <f>SUM(B8/2)*4</f>
        <v>8000</v>
      </c>
      <c r="F109" s="31">
        <v>45</v>
      </c>
      <c r="G109" s="32">
        <f>IF(E109&lt;&gt;"",E109/100,"")</f>
        <v>80</v>
      </c>
      <c r="H109" s="33">
        <f>F109*G109</f>
        <v>3600</v>
      </c>
      <c r="I109" s="33">
        <f>(SUM(D109*E109)+H109)*0.1</f>
        <v>1360</v>
      </c>
      <c r="J109" s="33">
        <f>SUM(D109*E109)+SUM(F109*G109)+H109+I109</f>
        <v>18560</v>
      </c>
      <c r="K109" s="94" t="s">
        <v>106</v>
      </c>
    </row>
    <row r="110" spans="1:11" ht="17.45" customHeight="1">
      <c r="A110" s="42" t="s">
        <v>325</v>
      </c>
      <c r="B110" s="112">
        <v>1200</v>
      </c>
      <c r="C110" s="100">
        <f>C109</f>
        <v>1</v>
      </c>
      <c r="D110" s="101">
        <f>B110*C110</f>
        <v>1200</v>
      </c>
      <c r="E110" s="30">
        <f>ROUNDUP((ROUNDUP(B8/1500,0))/3,0)</f>
        <v>1</v>
      </c>
      <c r="F110" s="31">
        <v>60</v>
      </c>
      <c r="G110" s="32">
        <f>IF(E110&lt;&gt;"",E110/100,"")</f>
        <v>0.01</v>
      </c>
      <c r="H110" s="33">
        <f>F110*G110</f>
        <v>0.6</v>
      </c>
      <c r="I110" s="33">
        <f>(SUM(D110*E110)+H110)*0.1</f>
        <v>120.06</v>
      </c>
      <c r="J110" s="33">
        <f>SUM(D110*E110)+SUM(F110*G110)+H110+I110</f>
        <v>1321.2599999999998</v>
      </c>
      <c r="K110" s="94" t="s">
        <v>81</v>
      </c>
    </row>
    <row r="111" spans="1:11" ht="17.45" customHeight="1">
      <c r="A111" s="42" t="s">
        <v>326</v>
      </c>
      <c r="B111" s="112">
        <v>1500</v>
      </c>
      <c r="C111" s="100">
        <f>C110</f>
        <v>1</v>
      </c>
      <c r="D111" s="101">
        <f>B111*C111</f>
        <v>1500</v>
      </c>
      <c r="E111" s="30">
        <f>IF(E110&gt;0,1,ROUNDUP(B8/500,0))</f>
        <v>1</v>
      </c>
      <c r="F111" s="31">
        <v>70</v>
      </c>
      <c r="G111" s="32">
        <f>IF(E111&lt;&gt;"",E111/100,"")</f>
        <v>0.01</v>
      </c>
      <c r="H111" s="33">
        <f>F111*G111</f>
        <v>0.70000000000000007</v>
      </c>
      <c r="I111" s="33">
        <f>(SUM(D111*E111)+H111)*0.1</f>
        <v>150.07000000000002</v>
      </c>
      <c r="J111" s="33">
        <f>SUM(D111*E111)+SUM(F111*G111)+H111+I111</f>
        <v>1651.47</v>
      </c>
      <c r="K111" s="94" t="s">
        <v>81</v>
      </c>
    </row>
    <row r="112" spans="1:11" ht="17.45" customHeight="1">
      <c r="A112" s="42" t="s">
        <v>327</v>
      </c>
      <c r="B112" s="112">
        <v>600</v>
      </c>
      <c r="C112" s="100">
        <f>C111</f>
        <v>1</v>
      </c>
      <c r="D112" s="101">
        <f>B112*C112</f>
        <v>600</v>
      </c>
      <c r="E112" s="30">
        <f>ROUNDUP(B8/8000,0)</f>
        <v>1</v>
      </c>
      <c r="F112" s="31">
        <v>60</v>
      </c>
      <c r="G112" s="32">
        <f>IF(E112&lt;&gt;"",E112/100,"")</f>
        <v>0.01</v>
      </c>
      <c r="H112" s="33">
        <f>F112*G112</f>
        <v>0.6</v>
      </c>
      <c r="I112" s="33">
        <f>(SUM(D112*E112)+H112)*0.1</f>
        <v>60.06</v>
      </c>
      <c r="J112" s="33">
        <f>SUM(D112*E112)+SUM(F112*G112)+H112+I112</f>
        <v>661.26</v>
      </c>
      <c r="K112" s="94" t="s">
        <v>81</v>
      </c>
    </row>
    <row r="113" spans="1:11" ht="17.45" customHeight="1">
      <c r="A113" s="42" t="s">
        <v>328</v>
      </c>
      <c r="B113" s="112">
        <v>1800</v>
      </c>
      <c r="C113" s="100">
        <f>C112</f>
        <v>1</v>
      </c>
      <c r="D113" s="101">
        <f>B113*C113</f>
        <v>1800</v>
      </c>
      <c r="E113" s="30">
        <f>ROUNDUP(B8/5000,0)</f>
        <v>1</v>
      </c>
      <c r="F113" s="31">
        <v>65</v>
      </c>
      <c r="G113" s="32">
        <f>IF(E113&lt;&gt;"",E113/100,"")</f>
        <v>0.01</v>
      </c>
      <c r="H113" s="33">
        <f>F113*G113</f>
        <v>0.65</v>
      </c>
      <c r="I113" s="33">
        <f>(SUM(D113*E113)+H113)*0.1</f>
        <v>180.06500000000003</v>
      </c>
      <c r="J113" s="33">
        <f>SUM(D113*E113)+SUM(F113*G113)+H113+I113</f>
        <v>1981.3650000000002</v>
      </c>
      <c r="K113" s="94" t="s">
        <v>81</v>
      </c>
    </row>
    <row r="114" spans="1:11" ht="17.45" customHeight="1">
      <c r="A114" s="42" t="s">
        <v>329</v>
      </c>
      <c r="B114" s="112">
        <v>5000</v>
      </c>
      <c r="C114" s="100">
        <f>C113</f>
        <v>1</v>
      </c>
      <c r="D114" s="101">
        <f>B114*C114</f>
        <v>5000</v>
      </c>
      <c r="E114" s="30">
        <f>IF(E110&gt;0,0,1)</f>
        <v>0</v>
      </c>
      <c r="F114" s="31">
        <v>60</v>
      </c>
      <c r="G114" s="32">
        <f>IF(E114&lt;&gt;"",E114/100,"")</f>
        <v>0</v>
      </c>
      <c r="H114" s="33">
        <f>F114*G114</f>
        <v>0</v>
      </c>
      <c r="I114" s="33">
        <f>(SUM(D114*E114)+H114)*0.1</f>
        <v>0</v>
      </c>
      <c r="J114" s="33">
        <f>SUM(D114*E114)+SUM(F114*G114)+H114+I114</f>
        <v>0</v>
      </c>
      <c r="K114" s="94" t="s">
        <v>81</v>
      </c>
    </row>
    <row r="115" spans="1:11" ht="17.45" customHeight="1">
      <c r="A115" s="43" t="s">
        <v>330</v>
      </c>
      <c r="B115" s="113">
        <v>800</v>
      </c>
      <c r="C115" s="103">
        <f>C114</f>
        <v>1</v>
      </c>
      <c r="D115" s="104">
        <f>B115*C115</f>
        <v>800</v>
      </c>
      <c r="E115" s="95">
        <f>ROUNDUP(B10/1500,0)</f>
        <v>3</v>
      </c>
      <c r="F115" s="96">
        <v>50</v>
      </c>
      <c r="G115" s="97">
        <f>IF(E115&lt;&gt;"",E115/100,"")</f>
        <v>0.03</v>
      </c>
      <c r="H115" s="98">
        <f>F115*G115</f>
        <v>1.5</v>
      </c>
      <c r="I115" s="98">
        <f>(SUM(D115*E115)+H115)*0.1</f>
        <v>240.15</v>
      </c>
      <c r="J115" s="98">
        <f>SUM(D115*E115)+SUM(F115*G115)+H115+I115</f>
        <v>2643.15</v>
      </c>
      <c r="K115" s="99" t="s">
        <v>81</v>
      </c>
    </row>
    <row r="116" spans="1:11" ht="15.75" customHeight="1">
      <c r="J116" s="71">
        <f>SUM(J14:J115)</f>
        <v>933317.05777078134</v>
      </c>
      <c r="K116" s="72"/>
    </row>
  </sheetData>
  <mergeCells count="2">
    <mergeCell ref="A2:J2"/>
    <mergeCell ref="J116:K116"/>
  </mergeCells>
  <conditionalFormatting sqref="E14:E115 G14:J115">
    <cfRule type="cellIs" dxfId="1" priority="2" stopIfTrue="1" operator="equal">
      <formula>0</formula>
    </cfRule>
  </conditionalFormatting>
  <conditionalFormatting sqref="J9:K9">
    <cfRule type="cellIs" dxfId="0" priority="1" operator="equal">
      <formula>1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0932-1FBD-F84B-80D0-6007521E7235}">
  <dimension ref="A1:B7"/>
  <sheetViews>
    <sheetView workbookViewId="0">
      <selection activeCell="B13" sqref="B13"/>
    </sheetView>
  </sheetViews>
  <sheetFormatPr defaultColWidth="11.42578125" defaultRowHeight="15"/>
  <cols>
    <col min="1" max="2" width="20.7109375" customWidth="1"/>
  </cols>
  <sheetData>
    <row r="1" spans="1:2" ht="15.75">
      <c r="A1" s="29" t="s">
        <v>10</v>
      </c>
      <c r="B1" s="29" t="s">
        <v>332</v>
      </c>
    </row>
    <row r="2" spans="1:2" ht="15.75">
      <c r="A2" s="22">
        <v>0</v>
      </c>
      <c r="B2" s="23" t="s">
        <v>14</v>
      </c>
    </row>
    <row r="3" spans="1:2" ht="15.75">
      <c r="A3" s="22">
        <v>1</v>
      </c>
      <c r="B3" s="24" t="s">
        <v>333</v>
      </c>
    </row>
    <row r="4" spans="1:2" ht="15.75">
      <c r="A4" s="22">
        <v>2</v>
      </c>
      <c r="B4" s="25" t="s">
        <v>31</v>
      </c>
    </row>
    <row r="5" spans="1:2" ht="15.75">
      <c r="A5" s="22">
        <v>3</v>
      </c>
      <c r="B5" s="26" t="s">
        <v>182</v>
      </c>
    </row>
    <row r="6" spans="1:2" ht="15.75">
      <c r="A6" s="22">
        <v>4</v>
      </c>
      <c r="B6" s="27" t="s">
        <v>89</v>
      </c>
    </row>
    <row r="7" spans="1:2" ht="15.75">
      <c r="A7" s="22">
        <v>5</v>
      </c>
      <c r="B7" s="2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2025-03-20T01:06:03Z</dcterms:created>
  <dcterms:modified xsi:type="dcterms:W3CDTF">2025-03-22T22:39:04Z</dcterms:modified>
  <cp:category/>
  <cp:contentStatus/>
</cp:coreProperties>
</file>