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mc:AlternateContent xmlns:mc="http://schemas.openxmlformats.org/markup-compatibility/2006">
    <mc:Choice Requires="x15">
      <x15ac:absPath xmlns:x15ac="http://schemas.microsoft.com/office/spreadsheetml/2010/11/ac" url="/Users/aaronkonigsberg/Documents/Light-Projects/LightPortfolio/public/punchlists/"/>
    </mc:Choice>
  </mc:AlternateContent>
  <xr:revisionPtr revIDLastSave="0" documentId="8_{5AE1B847-A8F0-4C06-9129-36BAF2AD351C}" xr6:coauthVersionLast="47" xr6:coauthVersionMax="47" xr10:uidLastSave="{00000000-0000-0000-0000-000000000000}"/>
  <bookViews>
    <workbookView xWindow="240" yWindow="500" windowWidth="26980" windowHeight="21900" firstSheet="1" activeTab="1" xr2:uid="{00000000-000D-0000-FFFF-FFFF00000000}"/>
  </bookViews>
  <sheets>
    <sheet name="Data" sheetId="1" r:id="rId1"/>
    <sheet name="Pricing Info" sheetId="4" r:id="rId2"/>
    <sheet name="Color Code" sheetId="2" r:id="rId3"/>
  </sheets>
  <definedNames>
    <definedName name="_xlnm._FilterDatabase" localSheetId="1" hidden="1">'Pricing Info'!$A$13:$L$119</definedName>
    <definedName name="_xlnm.Print_Area" localSheetId="0">Data!$A$1:$K$100</definedName>
    <definedName name="_xlnm.Print_Area" localSheetId="1">'Pricing Info'!$A$1:$L$119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4" l="1"/>
  <c r="E119" i="4"/>
  <c r="E117" i="4"/>
  <c r="E116" i="4"/>
  <c r="E114" i="4"/>
  <c r="E113" i="4"/>
  <c r="E112" i="4"/>
  <c r="E108" i="4"/>
  <c r="E109" i="4" s="1"/>
  <c r="E110" i="4" s="1"/>
  <c r="E111" i="4" s="1"/>
  <c r="E106" i="4"/>
  <c r="E104" i="4"/>
  <c r="E97" i="4"/>
  <c r="E96" i="4"/>
  <c r="E95" i="4"/>
  <c r="E92" i="4"/>
  <c r="E91" i="4"/>
  <c r="C91" i="4"/>
  <c r="E90" i="4"/>
  <c r="D90" i="4"/>
  <c r="I90" i="4" s="1"/>
  <c r="E87" i="4"/>
  <c r="E88" i="4" s="1"/>
  <c r="E89" i="4" s="1"/>
  <c r="C87" i="4"/>
  <c r="B87" i="4"/>
  <c r="D87" i="4" s="1"/>
  <c r="I87" i="4" s="1"/>
  <c r="D86" i="4"/>
  <c r="I86" i="4" s="1"/>
  <c r="E85" i="4"/>
  <c r="E82" i="4"/>
  <c r="E83" i="4" s="1"/>
  <c r="E81" i="4"/>
  <c r="E80" i="4"/>
  <c r="E78" i="4"/>
  <c r="E77" i="4"/>
  <c r="E76" i="4"/>
  <c r="E74" i="4"/>
  <c r="E75" i="4" s="1"/>
  <c r="E71" i="4"/>
  <c r="I71" i="4" s="1"/>
  <c r="E69" i="4"/>
  <c r="E70" i="4" s="1"/>
  <c r="E67" i="4"/>
  <c r="E68" i="4" s="1"/>
  <c r="E66" i="4"/>
  <c r="E62" i="4"/>
  <c r="E63" i="4" s="1"/>
  <c r="E64" i="4" s="1"/>
  <c r="E65" i="4" s="1"/>
  <c r="E61" i="4"/>
  <c r="E60" i="4"/>
  <c r="E59" i="4"/>
  <c r="E58" i="4"/>
  <c r="E57" i="4"/>
  <c r="E56" i="4"/>
  <c r="E55" i="4"/>
  <c r="I55" i="4" s="1"/>
  <c r="B53" i="4"/>
  <c r="E50" i="4"/>
  <c r="E49" i="4"/>
  <c r="E47" i="4"/>
  <c r="E46" i="4"/>
  <c r="I46" i="4" s="1"/>
  <c r="E45" i="4"/>
  <c r="E44" i="4"/>
  <c r="E42" i="4"/>
  <c r="E43" i="4" s="1"/>
  <c r="E41" i="4"/>
  <c r="E40" i="4"/>
  <c r="E39" i="4"/>
  <c r="E38" i="4"/>
  <c r="E36" i="4"/>
  <c r="E37" i="4" s="1"/>
  <c r="E29" i="4"/>
  <c r="I29" i="4" s="1"/>
  <c r="E28" i="4"/>
  <c r="E27" i="4"/>
  <c r="E24" i="4"/>
  <c r="E23" i="4"/>
  <c r="E21" i="4"/>
  <c r="I21" i="4" s="1"/>
  <c r="E20" i="4"/>
  <c r="E18" i="4"/>
  <c r="I18" i="4" s="1"/>
  <c r="E17" i="4"/>
  <c r="I17" i="4" s="1"/>
  <c r="E16" i="4"/>
  <c r="I16" i="4" s="1"/>
  <c r="G15" i="4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F15" i="4"/>
  <c r="E15" i="4"/>
  <c r="I15" i="4" s="1"/>
  <c r="H14" i="4"/>
  <c r="E14" i="4"/>
  <c r="C14" i="4"/>
  <c r="E190" i="4"/>
  <c r="G237" i="4"/>
  <c r="G236" i="4"/>
  <c r="H236" i="4"/>
  <c r="G229" i="4"/>
  <c r="H229" i="4" s="1"/>
  <c r="G230" i="4"/>
  <c r="G228" i="4"/>
  <c r="G227" i="4"/>
  <c r="G226" i="4"/>
  <c r="E228" i="4"/>
  <c r="E229" i="4" s="1"/>
  <c r="E226" i="4"/>
  <c r="E227" i="4"/>
  <c r="H226" i="4"/>
  <c r="H228" i="4"/>
  <c r="H227" i="4"/>
  <c r="H237" i="4"/>
  <c r="H235" i="4"/>
  <c r="H234" i="4"/>
  <c r="G233" i="4"/>
  <c r="H233" i="4" s="1"/>
  <c r="E233" i="4"/>
  <c r="G232" i="4"/>
  <c r="H232" i="4" s="1"/>
  <c r="G231" i="4"/>
  <c r="H231" i="4" s="1"/>
  <c r="E231" i="4"/>
  <c r="C231" i="4"/>
  <c r="C232" i="4" s="1"/>
  <c r="C233" i="4" s="1"/>
  <c r="C236" i="4" s="1"/>
  <c r="H230" i="4"/>
  <c r="H225" i="4"/>
  <c r="E222" i="4"/>
  <c r="G222" i="4" s="1"/>
  <c r="H222" i="4" s="1"/>
  <c r="E221" i="4"/>
  <c r="G221" i="4" s="1"/>
  <c r="H221" i="4" s="1"/>
  <c r="E219" i="4"/>
  <c r="E218" i="4"/>
  <c r="G218" i="4" s="1"/>
  <c r="H218" i="4" s="1"/>
  <c r="E217" i="4"/>
  <c r="G217" i="4" s="1"/>
  <c r="H217" i="4" s="1"/>
  <c r="E213" i="4"/>
  <c r="E209" i="4"/>
  <c r="G209" i="4" s="1"/>
  <c r="H209" i="4" s="1"/>
  <c r="E202" i="4"/>
  <c r="E205" i="4" s="1"/>
  <c r="E201" i="4"/>
  <c r="G201" i="4" s="1"/>
  <c r="H201" i="4" s="1"/>
  <c r="E200" i="4"/>
  <c r="G200" i="4" s="1"/>
  <c r="H200" i="4" s="1"/>
  <c r="E199" i="4"/>
  <c r="G199" i="4" s="1"/>
  <c r="H199" i="4" s="1"/>
  <c r="E198" i="4"/>
  <c r="G198" i="4" s="1"/>
  <c r="H198" i="4" s="1"/>
  <c r="E197" i="4"/>
  <c r="G197" i="4" s="1"/>
  <c r="H197" i="4" s="1"/>
  <c r="E193" i="4"/>
  <c r="E192" i="4"/>
  <c r="G192" i="4" s="1"/>
  <c r="H192" i="4" s="1"/>
  <c r="E191" i="4"/>
  <c r="G191" i="4" s="1"/>
  <c r="H191" i="4" s="1"/>
  <c r="E189" i="4"/>
  <c r="G189" i="4" s="1"/>
  <c r="H189" i="4" s="1"/>
  <c r="E188" i="4"/>
  <c r="G188" i="4" s="1"/>
  <c r="H188" i="4" s="1"/>
  <c r="E186" i="4"/>
  <c r="G185" i="4"/>
  <c r="H185" i="4" s="1"/>
  <c r="H184" i="4"/>
  <c r="E181" i="4"/>
  <c r="E179" i="4"/>
  <c r="E178" i="4"/>
  <c r="G178" i="4" s="1"/>
  <c r="H178" i="4" s="1"/>
  <c r="E174" i="4"/>
  <c r="E173" i="4"/>
  <c r="G173" i="4" s="1"/>
  <c r="H173" i="4" s="1"/>
  <c r="E172" i="4"/>
  <c r="G172" i="4" s="1"/>
  <c r="H172" i="4" s="1"/>
  <c r="E171" i="4"/>
  <c r="G171" i="4" s="1"/>
  <c r="H171" i="4" s="1"/>
  <c r="E170" i="4"/>
  <c r="G170" i="4" s="1"/>
  <c r="H170" i="4" s="1"/>
  <c r="E168" i="4"/>
  <c r="G168" i="4" s="1"/>
  <c r="H168" i="4" s="1"/>
  <c r="G166" i="4"/>
  <c r="H166" i="4" s="1"/>
  <c r="G163" i="4"/>
  <c r="H163" i="4" s="1"/>
  <c r="E161" i="4"/>
  <c r="G160" i="4"/>
  <c r="H160" i="4" s="1"/>
  <c r="E159" i="4"/>
  <c r="G159" i="4" s="1"/>
  <c r="H159" i="4" s="1"/>
  <c r="E157" i="4"/>
  <c r="E156" i="4"/>
  <c r="G156" i="4" s="1"/>
  <c r="H156" i="4" s="1"/>
  <c r="E154" i="4"/>
  <c r="E153" i="4"/>
  <c r="E152" i="4"/>
  <c r="G152" i="4" s="1"/>
  <c r="H152" i="4" s="1"/>
  <c r="E151" i="4"/>
  <c r="G151" i="4" s="1"/>
  <c r="E150" i="4"/>
  <c r="G150" i="4" s="1"/>
  <c r="H150" i="4" s="1"/>
  <c r="E149" i="4"/>
  <c r="G149" i="4" s="1"/>
  <c r="H149" i="4" s="1"/>
  <c r="E148" i="4"/>
  <c r="G148" i="4" s="1"/>
  <c r="H148" i="4" s="1"/>
  <c r="E147" i="4"/>
  <c r="G147" i="4" s="1"/>
  <c r="H147" i="4" s="1"/>
  <c r="G146" i="4"/>
  <c r="H146" i="4" s="1"/>
  <c r="G145" i="4"/>
  <c r="H145" i="4" s="1"/>
  <c r="E144" i="4"/>
  <c r="G144" i="4" s="1"/>
  <c r="H144" i="4" s="1"/>
  <c r="E143" i="4"/>
  <c r="G143" i="4" s="1"/>
  <c r="H143" i="4" s="1"/>
  <c r="G142" i="4"/>
  <c r="H142" i="4" s="1"/>
  <c r="G141" i="4"/>
  <c r="H141" i="4" s="1"/>
  <c r="E140" i="4"/>
  <c r="G140" i="4" s="1"/>
  <c r="H140" i="4" s="1"/>
  <c r="G139" i="4"/>
  <c r="H139" i="4" s="1"/>
  <c r="G138" i="4"/>
  <c r="H138" i="4" s="1"/>
  <c r="E135" i="4"/>
  <c r="C135" i="4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B135" i="4"/>
  <c r="E134" i="4"/>
  <c r="G134" i="4" s="1"/>
  <c r="D134" i="4"/>
  <c r="I134" i="4" s="1"/>
  <c r="E211" i="4"/>
  <c r="G211" i="4" s="1"/>
  <c r="L242" i="4"/>
  <c r="L129" i="4"/>
  <c r="L128" i="4"/>
  <c r="L127" i="4"/>
  <c r="B130" i="4"/>
  <c r="B131" i="4"/>
  <c r="E169" i="4" s="1"/>
  <c r="G169" i="4" s="1"/>
  <c r="H169" i="4" s="1"/>
  <c r="B124" i="4"/>
  <c r="H125" i="4"/>
  <c r="E4" i="1"/>
  <c r="D24" i="1"/>
  <c r="C28" i="1"/>
  <c r="J25" i="1"/>
  <c r="D25" i="1"/>
  <c r="C25" i="1"/>
  <c r="J24" i="1"/>
  <c r="J23" i="1"/>
  <c r="J22" i="1"/>
  <c r="J20" i="1"/>
  <c r="J19" i="1"/>
  <c r="J18" i="1"/>
  <c r="J17" i="1"/>
  <c r="D17" i="1"/>
  <c r="D18" i="1" s="1"/>
  <c r="D19" i="1" s="1"/>
  <c r="G32" i="1"/>
  <c r="G33" i="1" s="1"/>
  <c r="G34" i="1" s="1"/>
  <c r="G35" i="1" s="1"/>
  <c r="G36" i="1" s="1"/>
  <c r="G37" i="1" s="1"/>
  <c r="G31" i="1"/>
  <c r="J83" i="1"/>
  <c r="D83" i="1"/>
  <c r="B10" i="4"/>
  <c r="J32" i="1"/>
  <c r="J33" i="1"/>
  <c r="J34" i="1"/>
  <c r="J35" i="1"/>
  <c r="J31" i="1"/>
  <c r="J36" i="1"/>
  <c r="J65" i="1"/>
  <c r="J62" i="1"/>
  <c r="J50" i="1"/>
  <c r="J45" i="1"/>
  <c r="J37" i="1"/>
  <c r="J15" i="1"/>
  <c r="J6" i="1"/>
  <c r="J89" i="1"/>
  <c r="J85" i="1"/>
  <c r="B4" i="4"/>
  <c r="D3" i="1"/>
  <c r="D4" i="1" s="1"/>
  <c r="D5" i="1" s="1"/>
  <c r="C27" i="1"/>
  <c r="J39" i="1"/>
  <c r="J40" i="1"/>
  <c r="J41" i="1"/>
  <c r="J42" i="1"/>
  <c r="J43" i="1"/>
  <c r="J44" i="1"/>
  <c r="J46" i="1"/>
  <c r="J47" i="1"/>
  <c r="J48" i="1"/>
  <c r="J49" i="1"/>
  <c r="J51" i="1"/>
  <c r="J52" i="1"/>
  <c r="J53" i="1"/>
  <c r="J54" i="1"/>
  <c r="J56" i="1"/>
  <c r="J57" i="1"/>
  <c r="J58" i="1"/>
  <c r="J60" i="1"/>
  <c r="J55" i="1"/>
  <c r="J61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59" i="1"/>
  <c r="J81" i="1"/>
  <c r="J82" i="1"/>
  <c r="J63" i="1"/>
  <c r="J86" i="1"/>
  <c r="J87" i="1"/>
  <c r="J88" i="1"/>
  <c r="J90" i="1"/>
  <c r="J91" i="1"/>
  <c r="J30" i="1"/>
  <c r="H2" i="1"/>
  <c r="J3" i="1"/>
  <c r="J4" i="1"/>
  <c r="J5" i="1"/>
  <c r="J7" i="1"/>
  <c r="J9" i="1"/>
  <c r="J12" i="1"/>
  <c r="J14" i="1"/>
  <c r="J8" i="1"/>
  <c r="J13" i="1"/>
  <c r="J26" i="1"/>
  <c r="J27" i="1"/>
  <c r="J21" i="1"/>
  <c r="J28" i="1"/>
  <c r="J29" i="1"/>
  <c r="F2" i="1"/>
  <c r="C15" i="4" l="1"/>
  <c r="C16" i="4" s="1"/>
  <c r="C17" i="4" s="1"/>
  <c r="C18" i="4" s="1"/>
  <c r="C19" i="4" s="1"/>
  <c r="D14" i="4"/>
  <c r="I14" i="4" s="1"/>
  <c r="J15" i="4"/>
  <c r="K15" i="4" s="1"/>
  <c r="F16" i="4"/>
  <c r="H15" i="4"/>
  <c r="G34" i="4"/>
  <c r="G35" i="4" s="1"/>
  <c r="G36" i="4" s="1"/>
  <c r="G33" i="4"/>
  <c r="J16" i="4"/>
  <c r="K16" i="4" s="1"/>
  <c r="J17" i="4"/>
  <c r="K17" i="4" s="1"/>
  <c r="J18" i="4"/>
  <c r="K18" i="4" s="1"/>
  <c r="J21" i="4"/>
  <c r="K21" i="4" s="1"/>
  <c r="J29" i="4"/>
  <c r="K29" i="4" s="1"/>
  <c r="J46" i="4"/>
  <c r="K46" i="4" s="1"/>
  <c r="E52" i="4"/>
  <c r="E53" i="4" s="1"/>
  <c r="I50" i="4"/>
  <c r="J55" i="4"/>
  <c r="K55" i="4" s="1"/>
  <c r="J71" i="4"/>
  <c r="K71" i="4" s="1"/>
  <c r="E101" i="4"/>
  <c r="E84" i="4"/>
  <c r="J86" i="4"/>
  <c r="K86" i="4" s="1"/>
  <c r="J87" i="4"/>
  <c r="K87" i="4" s="1"/>
  <c r="J90" i="4"/>
  <c r="K90" i="4" s="1"/>
  <c r="C92" i="4"/>
  <c r="D91" i="4"/>
  <c r="I91" i="4" s="1"/>
  <c r="E99" i="4"/>
  <c r="E98" i="4"/>
  <c r="E100" i="4" s="1"/>
  <c r="E107" i="4" s="1"/>
  <c r="I106" i="4"/>
  <c r="E118" i="4"/>
  <c r="E115" i="4"/>
  <c r="I190" i="4"/>
  <c r="G190" i="4"/>
  <c r="H190" i="4" s="1"/>
  <c r="J236" i="4"/>
  <c r="K236" i="4" s="1"/>
  <c r="J229" i="4"/>
  <c r="K229" i="4" s="1"/>
  <c r="J226" i="4"/>
  <c r="K226" i="4" s="1"/>
  <c r="J227" i="4"/>
  <c r="K227" i="4" s="1"/>
  <c r="J228" i="4"/>
  <c r="K228" i="4" s="1"/>
  <c r="E224" i="4"/>
  <c r="G224" i="4" s="1"/>
  <c r="H224" i="4" s="1"/>
  <c r="E196" i="4"/>
  <c r="G196" i="4" s="1"/>
  <c r="H196" i="4" s="1"/>
  <c r="E162" i="4"/>
  <c r="H134" i="4"/>
  <c r="B136" i="4"/>
  <c r="D135" i="4"/>
  <c r="I135" i="4" s="1"/>
  <c r="C154" i="4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53" i="4"/>
  <c r="E136" i="4"/>
  <c r="G135" i="4"/>
  <c r="H135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G153" i="4"/>
  <c r="H153" i="4" s="1"/>
  <c r="H151" i="4"/>
  <c r="J152" i="4"/>
  <c r="K152" i="4" s="1"/>
  <c r="E155" i="4"/>
  <c r="G155" i="4" s="1"/>
  <c r="H155" i="4" s="1"/>
  <c r="G154" i="4"/>
  <c r="H154" i="4" s="1"/>
  <c r="J156" i="4"/>
  <c r="K156" i="4" s="1"/>
  <c r="E158" i="4"/>
  <c r="G158" i="4" s="1"/>
  <c r="H158" i="4" s="1"/>
  <c r="G157" i="4"/>
  <c r="H157" i="4" s="1"/>
  <c r="J159" i="4"/>
  <c r="K159" i="4" s="1"/>
  <c r="J160" i="4"/>
  <c r="K160" i="4" s="1"/>
  <c r="E167" i="4"/>
  <c r="G167" i="4" s="1"/>
  <c r="H167" i="4" s="1"/>
  <c r="G161" i="4"/>
  <c r="H161" i="4" s="1"/>
  <c r="E164" i="4"/>
  <c r="G162" i="4"/>
  <c r="H162" i="4" s="1"/>
  <c r="J163" i="4"/>
  <c r="K163" i="4" s="1"/>
  <c r="J166" i="4"/>
  <c r="K166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E175" i="4"/>
  <c r="G174" i="4"/>
  <c r="H174" i="4" s="1"/>
  <c r="J178" i="4"/>
  <c r="K178" i="4" s="1"/>
  <c r="E180" i="4"/>
  <c r="G180" i="4" s="1"/>
  <c r="H180" i="4" s="1"/>
  <c r="G179" i="4"/>
  <c r="H179" i="4" s="1"/>
  <c r="E182" i="4"/>
  <c r="G181" i="4"/>
  <c r="H181" i="4" s="1"/>
  <c r="J184" i="4"/>
  <c r="K184" i="4" s="1"/>
  <c r="J185" i="4"/>
  <c r="K185" i="4" s="1"/>
  <c r="E187" i="4"/>
  <c r="G187" i="4" s="1"/>
  <c r="H187" i="4" s="1"/>
  <c r="G186" i="4"/>
  <c r="H186" i="4" s="1"/>
  <c r="J188" i="4"/>
  <c r="K188" i="4" s="1"/>
  <c r="J189" i="4"/>
  <c r="K189" i="4" s="1"/>
  <c r="J191" i="4"/>
  <c r="K191" i="4" s="1"/>
  <c r="J192" i="4"/>
  <c r="K192" i="4" s="1"/>
  <c r="E194" i="4"/>
  <c r="G193" i="4"/>
  <c r="H193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E204" i="4"/>
  <c r="G204" i="4" s="1"/>
  <c r="H204" i="4" s="1"/>
  <c r="E203" i="4"/>
  <c r="G202" i="4"/>
  <c r="H202" i="4" s="1"/>
  <c r="J209" i="4"/>
  <c r="K209" i="4" s="1"/>
  <c r="E214" i="4"/>
  <c r="G213" i="4"/>
  <c r="H213" i="4" s="1"/>
  <c r="J217" i="4"/>
  <c r="K217" i="4" s="1"/>
  <c r="J218" i="4"/>
  <c r="K218" i="4" s="1"/>
  <c r="E223" i="4"/>
  <c r="G223" i="4" s="1"/>
  <c r="H223" i="4" s="1"/>
  <c r="E220" i="4"/>
  <c r="G220" i="4" s="1"/>
  <c r="H220" i="4" s="1"/>
  <c r="G219" i="4"/>
  <c r="H219" i="4" s="1"/>
  <c r="J221" i="4"/>
  <c r="K221" i="4" s="1"/>
  <c r="J222" i="4"/>
  <c r="K222" i="4" s="1"/>
  <c r="J224" i="4"/>
  <c r="K224" i="4" s="1"/>
  <c r="J225" i="4"/>
  <c r="K225" i="4" s="1"/>
  <c r="J230" i="4"/>
  <c r="K230" i="4" s="1"/>
  <c r="C235" i="4"/>
  <c r="C234" i="4"/>
  <c r="C237" i="4" s="1"/>
  <c r="J231" i="4"/>
  <c r="K231" i="4" s="1"/>
  <c r="J232" i="4"/>
  <c r="K232" i="4" s="1"/>
  <c r="J233" i="4"/>
  <c r="K233" i="4" s="1"/>
  <c r="H129" i="4" s="1"/>
  <c r="J234" i="4"/>
  <c r="K234" i="4" s="1"/>
  <c r="J235" i="4"/>
  <c r="K235" i="4" s="1"/>
  <c r="J237" i="4"/>
  <c r="K237" i="4" s="1"/>
  <c r="H128" i="4"/>
  <c r="C29" i="1"/>
  <c r="C30" i="1" s="1"/>
  <c r="C31" i="1" s="1"/>
  <c r="C32" i="1" s="1"/>
  <c r="C33" i="1" s="1"/>
  <c r="C34" i="1" s="1"/>
  <c r="C35" i="1" s="1"/>
  <c r="C36" i="1" s="1"/>
  <c r="C22" i="1"/>
  <c r="C23" i="1" s="1"/>
  <c r="C39" i="1"/>
  <c r="C40" i="1" s="1"/>
  <c r="C41" i="1" s="1"/>
  <c r="C42" i="1" s="1"/>
  <c r="C43" i="1" s="1"/>
  <c r="C44" i="1" s="1"/>
  <c r="C37" i="1"/>
  <c r="C38" i="1" s="1"/>
  <c r="D7" i="1"/>
  <c r="D9" i="1" s="1"/>
  <c r="D12" i="1" s="1"/>
  <c r="D14" i="1" s="1"/>
  <c r="D6" i="1"/>
  <c r="B11" i="4"/>
  <c r="E3" i="1"/>
  <c r="H3" i="1" s="1"/>
  <c r="F3" i="1"/>
  <c r="F107" i="4" l="1"/>
  <c r="J106" i="4"/>
  <c r="K106" i="4" s="1"/>
  <c r="J91" i="4"/>
  <c r="K91" i="4" s="1"/>
  <c r="C93" i="4"/>
  <c r="D92" i="4"/>
  <c r="I92" i="4" s="1"/>
  <c r="E105" i="4"/>
  <c r="E103" i="4"/>
  <c r="E102" i="4"/>
  <c r="J50" i="4"/>
  <c r="K50" i="4" s="1"/>
  <c r="G39" i="4"/>
  <c r="G40" i="4" s="1"/>
  <c r="G37" i="4"/>
  <c r="G38" i="4" s="1"/>
  <c r="F17" i="4"/>
  <c r="H16" i="4"/>
  <c r="J14" i="4"/>
  <c r="K14" i="4" s="1"/>
  <c r="C20" i="4"/>
  <c r="D19" i="4"/>
  <c r="I19" i="4" s="1"/>
  <c r="J190" i="4"/>
  <c r="K190" i="4" s="1"/>
  <c r="J219" i="4"/>
  <c r="K219" i="4" s="1"/>
  <c r="J220" i="4"/>
  <c r="K220" i="4" s="1"/>
  <c r="J223" i="4"/>
  <c r="K223" i="4" s="1"/>
  <c r="J213" i="4"/>
  <c r="K213" i="4" s="1"/>
  <c r="E215" i="4"/>
  <c r="G214" i="4"/>
  <c r="H214" i="4" s="1"/>
  <c r="J202" i="4"/>
  <c r="K202" i="4" s="1"/>
  <c r="G203" i="4"/>
  <c r="H203" i="4" s="1"/>
  <c r="J204" i="4"/>
  <c r="K204" i="4" s="1"/>
  <c r="J193" i="4"/>
  <c r="K193" i="4" s="1"/>
  <c r="E206" i="4"/>
  <c r="E195" i="4"/>
  <c r="G195" i="4" s="1"/>
  <c r="H195" i="4" s="1"/>
  <c r="G194" i="4"/>
  <c r="H194" i="4" s="1"/>
  <c r="J186" i="4"/>
  <c r="K186" i="4" s="1"/>
  <c r="J187" i="4"/>
  <c r="K187" i="4" s="1"/>
  <c r="J181" i="4"/>
  <c r="K181" i="4" s="1"/>
  <c r="E183" i="4"/>
  <c r="G183" i="4" s="1"/>
  <c r="H183" i="4" s="1"/>
  <c r="G182" i="4"/>
  <c r="H182" i="4" s="1"/>
  <c r="J179" i="4"/>
  <c r="K179" i="4" s="1"/>
  <c r="J180" i="4"/>
  <c r="K180" i="4" s="1"/>
  <c r="J174" i="4"/>
  <c r="K174" i="4" s="1"/>
  <c r="E176" i="4"/>
  <c r="G175" i="4"/>
  <c r="H175" i="4" s="1"/>
  <c r="J162" i="4"/>
  <c r="K162" i="4" s="1"/>
  <c r="E165" i="4"/>
  <c r="G164" i="4"/>
  <c r="J161" i="4"/>
  <c r="K161" i="4" s="1"/>
  <c r="J167" i="4"/>
  <c r="K167" i="4" s="1"/>
  <c r="J157" i="4"/>
  <c r="K157" i="4" s="1"/>
  <c r="J158" i="4"/>
  <c r="K158" i="4" s="1"/>
  <c r="J154" i="4"/>
  <c r="K154" i="4" s="1"/>
  <c r="J155" i="4"/>
  <c r="K155" i="4" s="1"/>
  <c r="J151" i="4"/>
  <c r="K151" i="4" s="1"/>
  <c r="J153" i="4"/>
  <c r="K153" i="4" s="1"/>
  <c r="J135" i="4"/>
  <c r="K135" i="4" s="1"/>
  <c r="G136" i="4"/>
  <c r="H136" i="4" s="1"/>
  <c r="E137" i="4"/>
  <c r="G137" i="4" s="1"/>
  <c r="H137" i="4" s="1"/>
  <c r="C191" i="4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190" i="4"/>
  <c r="B137" i="4"/>
  <c r="D136" i="4"/>
  <c r="I136" i="4" s="1"/>
  <c r="J134" i="4"/>
  <c r="K134" i="4"/>
  <c r="C46" i="1"/>
  <c r="C47" i="1" s="1"/>
  <c r="C48" i="1" s="1"/>
  <c r="C49" i="1" s="1"/>
  <c r="C45" i="1"/>
  <c r="D16" i="1"/>
  <c r="D15" i="1"/>
  <c r="E5" i="1"/>
  <c r="H4" i="1"/>
  <c r="F4" i="1"/>
  <c r="J19" i="4" l="1"/>
  <c r="K19" i="4" s="1"/>
  <c r="C21" i="4"/>
  <c r="C22" i="4" s="1"/>
  <c r="D20" i="4"/>
  <c r="I20" i="4" s="1"/>
  <c r="F18" i="4"/>
  <c r="H17" i="4"/>
  <c r="G42" i="4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41" i="4"/>
  <c r="J92" i="4"/>
  <c r="K92" i="4" s="1"/>
  <c r="C94" i="4"/>
  <c r="D93" i="4"/>
  <c r="I93" i="4" s="1"/>
  <c r="F108" i="4"/>
  <c r="B138" i="4"/>
  <c r="D137" i="4"/>
  <c r="I137" i="4" s="1"/>
  <c r="J137" i="4"/>
  <c r="K137" i="4" s="1"/>
  <c r="J136" i="4"/>
  <c r="K136" i="4" s="1"/>
  <c r="G165" i="4"/>
  <c r="H165" i="4" s="1"/>
  <c r="H164" i="4"/>
  <c r="J175" i="4"/>
  <c r="K175" i="4" s="1"/>
  <c r="E177" i="4"/>
  <c r="G177" i="4" s="1"/>
  <c r="H177" i="4" s="1"/>
  <c r="G176" i="4"/>
  <c r="H176" i="4" s="1"/>
  <c r="J182" i="4"/>
  <c r="K182" i="4" s="1"/>
  <c r="J183" i="4"/>
  <c r="K183" i="4" s="1"/>
  <c r="J194" i="4"/>
  <c r="K194" i="4" s="1"/>
  <c r="J195" i="4"/>
  <c r="K195" i="4" s="1"/>
  <c r="E210" i="4"/>
  <c r="G210" i="4" s="1"/>
  <c r="H210" i="4" s="1"/>
  <c r="E208" i="4"/>
  <c r="G208" i="4" s="1"/>
  <c r="H208" i="4" s="1"/>
  <c r="E207" i="4"/>
  <c r="G207" i="4" s="1"/>
  <c r="H207" i="4" s="1"/>
  <c r="G206" i="4"/>
  <c r="H206" i="4" s="1"/>
  <c r="J203" i="4"/>
  <c r="K203" i="4" s="1"/>
  <c r="E212" i="4"/>
  <c r="G212" i="4" s="1"/>
  <c r="H212" i="4" s="1"/>
  <c r="G205" i="4"/>
  <c r="H205" i="4" s="1"/>
  <c r="J214" i="4"/>
  <c r="K214" i="4" s="1"/>
  <c r="E216" i="4"/>
  <c r="G216" i="4" s="1"/>
  <c r="H216" i="4" s="1"/>
  <c r="G215" i="4"/>
  <c r="H215" i="4" s="1"/>
  <c r="C51" i="1"/>
  <c r="C52" i="1" s="1"/>
  <c r="C53" i="1" s="1"/>
  <c r="C54" i="1" s="1"/>
  <c r="C56" i="1" s="1"/>
  <c r="C57" i="1" s="1"/>
  <c r="C58" i="1" s="1"/>
  <c r="C60" i="1" s="1"/>
  <c r="C55" i="1" s="1"/>
  <c r="C61" i="1" s="1"/>
  <c r="C64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59" i="1" s="1"/>
  <c r="C81" i="1" s="1"/>
  <c r="C82" i="1" s="1"/>
  <c r="C50" i="1"/>
  <c r="D8" i="1"/>
  <c r="H5" i="1"/>
  <c r="F5" i="1"/>
  <c r="E6" i="1" s="1"/>
  <c r="F109" i="4" l="1"/>
  <c r="J93" i="4"/>
  <c r="K93" i="4" s="1"/>
  <c r="C95" i="4"/>
  <c r="D94" i="4"/>
  <c r="I94" i="4" s="1"/>
  <c r="G79" i="4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78" i="4"/>
  <c r="F19" i="4"/>
  <c r="H18" i="4"/>
  <c r="J20" i="4"/>
  <c r="K20" i="4" s="1"/>
  <c r="C23" i="4"/>
  <c r="D22" i="4"/>
  <c r="I22" i="4" s="1"/>
  <c r="J215" i="4"/>
  <c r="K215" i="4" s="1"/>
  <c r="J216" i="4"/>
  <c r="K216" i="4" s="1"/>
  <c r="J205" i="4"/>
  <c r="K205" i="4" s="1"/>
  <c r="J212" i="4"/>
  <c r="K212" i="4" s="1"/>
  <c r="J206" i="4"/>
  <c r="K206" i="4" s="1"/>
  <c r="J207" i="4"/>
  <c r="K207" i="4" s="1"/>
  <c r="J208" i="4"/>
  <c r="K208" i="4" s="1"/>
  <c r="J210" i="4"/>
  <c r="K210" i="4" s="1"/>
  <c r="J176" i="4"/>
  <c r="K176" i="4" s="1"/>
  <c r="J177" i="4"/>
  <c r="K177" i="4" s="1"/>
  <c r="J164" i="4"/>
  <c r="K164" i="4" s="1"/>
  <c r="J165" i="4"/>
  <c r="K165" i="4" s="1"/>
  <c r="B139" i="4"/>
  <c r="D138" i="4"/>
  <c r="I138" i="4" s="1"/>
  <c r="D13" i="1"/>
  <c r="C63" i="1"/>
  <c r="C84" i="1" s="1"/>
  <c r="C83" i="1"/>
  <c r="C85" i="1"/>
  <c r="C86" i="1" s="1"/>
  <c r="C87" i="1" s="1"/>
  <c r="C88" i="1" s="1"/>
  <c r="C89" i="1" s="1"/>
  <c r="C90" i="1" s="1"/>
  <c r="C91" i="1" s="1"/>
  <c r="C62" i="1"/>
  <c r="C65" i="1" s="1"/>
  <c r="D39" i="1"/>
  <c r="D40" i="1" s="1"/>
  <c r="D41" i="1" s="1"/>
  <c r="D42" i="1" s="1"/>
  <c r="D43" i="1" s="1"/>
  <c r="D44" i="1" s="1"/>
  <c r="D37" i="1"/>
  <c r="D38" i="1" s="1"/>
  <c r="F6" i="1"/>
  <c r="E7" i="1" s="1"/>
  <c r="E8" i="1" s="1"/>
  <c r="H6" i="1"/>
  <c r="H7" i="1"/>
  <c r="J22" i="4" l="1"/>
  <c r="K22" i="4" s="1"/>
  <c r="C24" i="4"/>
  <c r="D23" i="4"/>
  <c r="I23" i="4" s="1"/>
  <c r="F20" i="4"/>
  <c r="H19" i="4"/>
  <c r="G107" i="4"/>
  <c r="H106" i="4"/>
  <c r="J94" i="4"/>
  <c r="K94" i="4" s="1"/>
  <c r="C96" i="4"/>
  <c r="D95" i="4"/>
  <c r="I95" i="4" s="1"/>
  <c r="F110" i="4"/>
  <c r="B140" i="4"/>
  <c r="D139" i="4"/>
  <c r="I139" i="4" s="1"/>
  <c r="D27" i="1"/>
  <c r="D29" i="1"/>
  <c r="D30" i="1" s="1"/>
  <c r="D31" i="1" s="1"/>
  <c r="D32" i="1" s="1"/>
  <c r="D33" i="1" s="1"/>
  <c r="D34" i="1" s="1"/>
  <c r="D35" i="1" s="1"/>
  <c r="D36" i="1" s="1"/>
  <c r="D46" i="1"/>
  <c r="D47" i="1" s="1"/>
  <c r="D48" i="1" s="1"/>
  <c r="D49" i="1" s="1"/>
  <c r="D45" i="1"/>
  <c r="F7" i="1"/>
  <c r="E9" i="1"/>
  <c r="H9" i="1" s="1"/>
  <c r="F111" i="4" l="1"/>
  <c r="J95" i="4"/>
  <c r="K95" i="4" s="1"/>
  <c r="C97" i="4"/>
  <c r="D96" i="4"/>
  <c r="I96" i="4" s="1"/>
  <c r="G108" i="4"/>
  <c r="H107" i="4"/>
  <c r="F21" i="4"/>
  <c r="H20" i="4"/>
  <c r="J23" i="4"/>
  <c r="K23" i="4" s="1"/>
  <c r="C25" i="4"/>
  <c r="D24" i="4"/>
  <c r="I24" i="4" s="1"/>
  <c r="B141" i="4"/>
  <c r="D140" i="4"/>
  <c r="I140" i="4" s="1"/>
  <c r="D51" i="1"/>
  <c r="D52" i="1" s="1"/>
  <c r="D53" i="1" s="1"/>
  <c r="D54" i="1" s="1"/>
  <c r="D56" i="1" s="1"/>
  <c r="D57" i="1" s="1"/>
  <c r="D58" i="1" s="1"/>
  <c r="D60" i="1" s="1"/>
  <c r="D55" i="1" s="1"/>
  <c r="D61" i="1" s="1"/>
  <c r="D64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59" i="1" s="1"/>
  <c r="D81" i="1" s="1"/>
  <c r="D82" i="1" s="1"/>
  <c r="D63" i="1" s="1"/>
  <c r="D84" i="1" s="1"/>
  <c r="D50" i="1"/>
  <c r="F9" i="1"/>
  <c r="E10" i="1" s="1"/>
  <c r="J24" i="4" l="1"/>
  <c r="K24" i="4" s="1"/>
  <c r="C26" i="4"/>
  <c r="D25" i="4"/>
  <c r="I25" i="4" s="1"/>
  <c r="F22" i="4"/>
  <c r="H21" i="4"/>
  <c r="G109" i="4"/>
  <c r="H108" i="4"/>
  <c r="J96" i="4"/>
  <c r="K96" i="4" s="1"/>
  <c r="C98" i="4"/>
  <c r="D97" i="4"/>
  <c r="I97" i="4" s="1"/>
  <c r="F112" i="4"/>
  <c r="B142" i="4"/>
  <c r="D141" i="4"/>
  <c r="I141" i="4" s="1"/>
  <c r="F10" i="1"/>
  <c r="E11" i="1" s="1"/>
  <c r="H10" i="1"/>
  <c r="D85" i="1"/>
  <c r="D86" i="1" s="1"/>
  <c r="D87" i="1" s="1"/>
  <c r="D88" i="1" s="1"/>
  <c r="D89" i="1" s="1"/>
  <c r="D90" i="1" s="1"/>
  <c r="D91" i="1" s="1"/>
  <c r="D62" i="1"/>
  <c r="D65" i="1" s="1"/>
  <c r="F113" i="4" l="1"/>
  <c r="J97" i="4"/>
  <c r="K97" i="4" s="1"/>
  <c r="C99" i="4"/>
  <c r="D98" i="4"/>
  <c r="I98" i="4" s="1"/>
  <c r="G110" i="4"/>
  <c r="H109" i="4"/>
  <c r="F23" i="4"/>
  <c r="H22" i="4"/>
  <c r="J25" i="4"/>
  <c r="K25" i="4" s="1"/>
  <c r="C27" i="4"/>
  <c r="D26" i="4"/>
  <c r="I26" i="4" s="1"/>
  <c r="B143" i="4"/>
  <c r="D142" i="4"/>
  <c r="I142" i="4" s="1"/>
  <c r="F11" i="1"/>
  <c r="E12" i="1" s="1"/>
  <c r="H11" i="1"/>
  <c r="J26" i="4" l="1"/>
  <c r="K26" i="4" s="1"/>
  <c r="C28" i="4"/>
  <c r="D27" i="4"/>
  <c r="I27" i="4" s="1"/>
  <c r="F24" i="4"/>
  <c r="H23" i="4"/>
  <c r="G111" i="4"/>
  <c r="H110" i="4"/>
  <c r="J98" i="4"/>
  <c r="K98" i="4" s="1"/>
  <c r="C100" i="4"/>
  <c r="D99" i="4"/>
  <c r="I99" i="4" s="1"/>
  <c r="F114" i="4"/>
  <c r="B144" i="4"/>
  <c r="D143" i="4"/>
  <c r="I143" i="4" s="1"/>
  <c r="E13" i="1"/>
  <c r="H12" i="1"/>
  <c r="E14" i="1"/>
  <c r="F12" i="1"/>
  <c r="F115" i="4" l="1"/>
  <c r="J99" i="4"/>
  <c r="K99" i="4" s="1"/>
  <c r="C101" i="4"/>
  <c r="D100" i="4"/>
  <c r="I100" i="4" s="1"/>
  <c r="G112" i="4"/>
  <c r="H111" i="4"/>
  <c r="F25" i="4"/>
  <c r="H24" i="4"/>
  <c r="J27" i="4"/>
  <c r="K27" i="4" s="1"/>
  <c r="C29" i="4"/>
  <c r="C30" i="4" s="1"/>
  <c r="C31" i="4" s="1"/>
  <c r="D28" i="4"/>
  <c r="I28" i="4" s="1"/>
  <c r="B145" i="4"/>
  <c r="D144" i="4"/>
  <c r="I144" i="4" s="1"/>
  <c r="H14" i="1"/>
  <c r="E15" i="1"/>
  <c r="F14" i="1"/>
  <c r="J28" i="4" l="1"/>
  <c r="K28" i="4" s="1"/>
  <c r="C32" i="4"/>
  <c r="D31" i="4"/>
  <c r="I31" i="4" s="1"/>
  <c r="F26" i="4"/>
  <c r="H25" i="4"/>
  <c r="G113" i="4"/>
  <c r="H112" i="4"/>
  <c r="J100" i="4"/>
  <c r="K100" i="4" s="1"/>
  <c r="C102" i="4"/>
  <c r="D101" i="4"/>
  <c r="I101" i="4" s="1"/>
  <c r="F116" i="4"/>
  <c r="B146" i="4"/>
  <c r="D145" i="4"/>
  <c r="I145" i="4" s="1"/>
  <c r="F15" i="1"/>
  <c r="E16" i="1" s="1"/>
  <c r="H15" i="1"/>
  <c r="F8" i="1"/>
  <c r="H8" i="1"/>
  <c r="H13" i="1"/>
  <c r="F117" i="4" l="1"/>
  <c r="J101" i="4"/>
  <c r="K101" i="4" s="1"/>
  <c r="C103" i="4"/>
  <c r="D102" i="4"/>
  <c r="I102" i="4" s="1"/>
  <c r="G114" i="4"/>
  <c r="H113" i="4"/>
  <c r="F27" i="4"/>
  <c r="H26" i="4"/>
  <c r="J31" i="4"/>
  <c r="K31" i="4" s="1"/>
  <c r="C34" i="4"/>
  <c r="C35" i="4" s="1"/>
  <c r="C36" i="4" s="1"/>
  <c r="C33" i="4"/>
  <c r="B147" i="4"/>
  <c r="D146" i="4"/>
  <c r="I146" i="4" s="1"/>
  <c r="F16" i="1"/>
  <c r="E17" i="1" s="1"/>
  <c r="H16" i="1"/>
  <c r="F13" i="1"/>
  <c r="C39" i="4" l="1"/>
  <c r="C37" i="4"/>
  <c r="D36" i="4"/>
  <c r="I36" i="4" s="1"/>
  <c r="F28" i="4"/>
  <c r="H27" i="4"/>
  <c r="G115" i="4"/>
  <c r="H114" i="4"/>
  <c r="J102" i="4"/>
  <c r="K102" i="4" s="1"/>
  <c r="C104" i="4"/>
  <c r="D103" i="4"/>
  <c r="I103" i="4" s="1"/>
  <c r="F118" i="4"/>
  <c r="B148" i="4"/>
  <c r="D147" i="4"/>
  <c r="I147" i="4" s="1"/>
  <c r="E18" i="1"/>
  <c r="H17" i="1"/>
  <c r="F17" i="1"/>
  <c r="F119" i="4" l="1"/>
  <c r="J103" i="4"/>
  <c r="K103" i="4" s="1"/>
  <c r="C105" i="4"/>
  <c r="D104" i="4"/>
  <c r="I104" i="4" s="1"/>
  <c r="G116" i="4"/>
  <c r="H115" i="4"/>
  <c r="F29" i="4"/>
  <c r="H28" i="4"/>
  <c r="J36" i="4"/>
  <c r="K36" i="4" s="1"/>
  <c r="C38" i="4"/>
  <c r="D38" i="4" s="1"/>
  <c r="I38" i="4" s="1"/>
  <c r="D37" i="4"/>
  <c r="I37" i="4" s="1"/>
  <c r="C40" i="4"/>
  <c r="D39" i="4"/>
  <c r="I39" i="4" s="1"/>
  <c r="B149" i="4"/>
  <c r="D148" i="4"/>
  <c r="I148" i="4" s="1"/>
  <c r="H18" i="1"/>
  <c r="F18" i="1"/>
  <c r="E19" i="1" s="1"/>
  <c r="J39" i="4" l="1"/>
  <c r="K39" i="4" s="1"/>
  <c r="C42" i="4"/>
  <c r="C41" i="4"/>
  <c r="D40" i="4"/>
  <c r="J37" i="4"/>
  <c r="K37" i="4" s="1"/>
  <c r="J38" i="4"/>
  <c r="K38" i="4" s="1"/>
  <c r="F30" i="4"/>
  <c r="H29" i="4"/>
  <c r="G117" i="4"/>
  <c r="H116" i="4"/>
  <c r="J104" i="4"/>
  <c r="K104" i="4" s="1"/>
  <c r="C106" i="4"/>
  <c r="C107" i="4" s="1"/>
  <c r="D105" i="4"/>
  <c r="I105" i="4" s="1"/>
  <c r="B150" i="4"/>
  <c r="D149" i="4"/>
  <c r="I149" i="4" s="1"/>
  <c r="H19" i="1"/>
  <c r="F19" i="1"/>
  <c r="E20" i="1" s="1"/>
  <c r="J105" i="4" l="1"/>
  <c r="K105" i="4" s="1"/>
  <c r="C108" i="4"/>
  <c r="D107" i="4"/>
  <c r="I107" i="4" s="1"/>
  <c r="G118" i="4"/>
  <c r="H117" i="4"/>
  <c r="F31" i="4"/>
  <c r="H30" i="4"/>
  <c r="D41" i="4"/>
  <c r="I41" i="4" s="1"/>
  <c r="I40" i="4"/>
  <c r="C43" i="4"/>
  <c r="D42" i="4"/>
  <c r="I42" i="4" s="1"/>
  <c r="B151" i="4"/>
  <c r="D150" i="4"/>
  <c r="I150" i="4" s="1"/>
  <c r="H20" i="1"/>
  <c r="F20" i="1"/>
  <c r="E21" i="1"/>
  <c r="J42" i="4" l="1"/>
  <c r="K42" i="4" s="1"/>
  <c r="C44" i="4"/>
  <c r="D43" i="4"/>
  <c r="I43" i="4" s="1"/>
  <c r="J40" i="4"/>
  <c r="K40" i="4" s="1"/>
  <c r="J41" i="4"/>
  <c r="K41" i="4" s="1"/>
  <c r="F32" i="4"/>
  <c r="H31" i="4"/>
  <c r="G119" i="4"/>
  <c r="H119" i="4" s="1"/>
  <c r="H118" i="4"/>
  <c r="J107" i="4"/>
  <c r="K107" i="4" s="1"/>
  <c r="C109" i="4"/>
  <c r="D108" i="4"/>
  <c r="I108" i="4" s="1"/>
  <c r="B152" i="4"/>
  <c r="D151" i="4"/>
  <c r="I151" i="4" s="1"/>
  <c r="E22" i="1"/>
  <c r="F21" i="1"/>
  <c r="H21" i="1"/>
  <c r="J108" i="4" l="1"/>
  <c r="K108" i="4" s="1"/>
  <c r="C110" i="4"/>
  <c r="D109" i="4"/>
  <c r="I109" i="4" s="1"/>
  <c r="F34" i="4"/>
  <c r="F33" i="4"/>
  <c r="H33" i="4" s="1"/>
  <c r="H32" i="4"/>
  <c r="J43" i="4"/>
  <c r="K43" i="4" s="1"/>
  <c r="C45" i="4"/>
  <c r="D44" i="4"/>
  <c r="I44" i="4" s="1"/>
  <c r="B154" i="4"/>
  <c r="B153" i="4"/>
  <c r="D153" i="4" s="1"/>
  <c r="I153" i="4" s="1"/>
  <c r="D152" i="4"/>
  <c r="I152" i="4" s="1"/>
  <c r="E23" i="1"/>
  <c r="H22" i="1"/>
  <c r="F22" i="1"/>
  <c r="J44" i="4" l="1"/>
  <c r="K44" i="4" s="1"/>
  <c r="C46" i="4"/>
  <c r="C47" i="4" s="1"/>
  <c r="D45" i="4"/>
  <c r="I45" i="4" s="1"/>
  <c r="F35" i="4"/>
  <c r="H34" i="4"/>
  <c r="J109" i="4"/>
  <c r="K109" i="4" s="1"/>
  <c r="C111" i="4"/>
  <c r="D110" i="4"/>
  <c r="I110" i="4" s="1"/>
  <c r="B155" i="4"/>
  <c r="D154" i="4"/>
  <c r="I154" i="4" s="1"/>
  <c r="H23" i="1"/>
  <c r="F23" i="1"/>
  <c r="E24" i="1" s="1"/>
  <c r="J110" i="4" l="1"/>
  <c r="K110" i="4" s="1"/>
  <c r="C112" i="4"/>
  <c r="D111" i="4"/>
  <c r="I111" i="4" s="1"/>
  <c r="F36" i="4"/>
  <c r="H35" i="4"/>
  <c r="J45" i="4"/>
  <c r="K45" i="4" s="1"/>
  <c r="C48" i="4"/>
  <c r="D47" i="4"/>
  <c r="I47" i="4" s="1"/>
  <c r="B156" i="4"/>
  <c r="D155" i="4"/>
  <c r="I155" i="4" s="1"/>
  <c r="E25" i="1"/>
  <c r="H24" i="1"/>
  <c r="F24" i="1"/>
  <c r="J47" i="4" l="1"/>
  <c r="K47" i="4" s="1"/>
  <c r="C49" i="4"/>
  <c r="D48" i="4"/>
  <c r="I48" i="4" s="1"/>
  <c r="F39" i="4"/>
  <c r="F37" i="4"/>
  <c r="F38" i="4" s="1"/>
  <c r="H36" i="4"/>
  <c r="H37" i="4" s="1"/>
  <c r="H38" i="4" s="1"/>
  <c r="J111" i="4"/>
  <c r="K111" i="4" s="1"/>
  <c r="C113" i="4"/>
  <c r="D112" i="4"/>
  <c r="I112" i="4" s="1"/>
  <c r="B157" i="4"/>
  <c r="D156" i="4"/>
  <c r="I156" i="4" s="1"/>
  <c r="H25" i="1"/>
  <c r="F25" i="1"/>
  <c r="E26" i="1" s="1"/>
  <c r="J112" i="4" l="1"/>
  <c r="K112" i="4" s="1"/>
  <c r="C114" i="4"/>
  <c r="D113" i="4"/>
  <c r="I113" i="4" s="1"/>
  <c r="F40" i="4"/>
  <c r="H39" i="4"/>
  <c r="J48" i="4"/>
  <c r="K48" i="4" s="1"/>
  <c r="C50" i="4"/>
  <c r="C51" i="4" s="1"/>
  <c r="D49" i="4"/>
  <c r="I49" i="4" s="1"/>
  <c r="B158" i="4"/>
  <c r="D157" i="4"/>
  <c r="I157" i="4" s="1"/>
  <c r="E27" i="1"/>
  <c r="H26" i="1"/>
  <c r="F26" i="1"/>
  <c r="J49" i="4" l="1"/>
  <c r="K49" i="4" s="1"/>
  <c r="C52" i="4"/>
  <c r="D51" i="4"/>
  <c r="I51" i="4" s="1"/>
  <c r="F42" i="4"/>
  <c r="F41" i="4"/>
  <c r="H40" i="4"/>
  <c r="H41" i="4" s="1"/>
  <c r="J113" i="4"/>
  <c r="K113" i="4" s="1"/>
  <c r="C115" i="4"/>
  <c r="D114" i="4"/>
  <c r="I114" i="4" s="1"/>
  <c r="B159" i="4"/>
  <c r="D158" i="4"/>
  <c r="I158" i="4" s="1"/>
  <c r="F27" i="1"/>
  <c r="E28" i="1" s="1"/>
  <c r="H27" i="1"/>
  <c r="J114" i="4" l="1"/>
  <c r="K114" i="4" s="1"/>
  <c r="C116" i="4"/>
  <c r="D115" i="4"/>
  <c r="I115" i="4" s="1"/>
  <c r="F43" i="4"/>
  <c r="H42" i="4"/>
  <c r="J51" i="4"/>
  <c r="K51" i="4" s="1"/>
  <c r="C53" i="4"/>
  <c r="D52" i="4"/>
  <c r="I52" i="4" s="1"/>
  <c r="B160" i="4"/>
  <c r="D159" i="4"/>
  <c r="I159" i="4" s="1"/>
  <c r="F28" i="1"/>
  <c r="E29" i="1" s="1"/>
  <c r="H28" i="1"/>
  <c r="J52" i="4" l="1"/>
  <c r="K52" i="4" s="1"/>
  <c r="C54" i="4"/>
  <c r="D53" i="4"/>
  <c r="I53" i="4" s="1"/>
  <c r="F44" i="4"/>
  <c r="H43" i="4"/>
  <c r="J115" i="4"/>
  <c r="K115" i="4" s="1"/>
  <c r="C117" i="4"/>
  <c r="D116" i="4"/>
  <c r="I116" i="4" s="1"/>
  <c r="B161" i="4"/>
  <c r="D160" i="4"/>
  <c r="I160" i="4" s="1"/>
  <c r="F29" i="1"/>
  <c r="E30" i="1" s="1"/>
  <c r="H29" i="1"/>
  <c r="J116" i="4" l="1"/>
  <c r="K116" i="4" s="1"/>
  <c r="C118" i="4"/>
  <c r="D117" i="4"/>
  <c r="I117" i="4" s="1"/>
  <c r="F45" i="4"/>
  <c r="H44" i="4"/>
  <c r="J53" i="4"/>
  <c r="K53" i="4" s="1"/>
  <c r="C55" i="4"/>
  <c r="C56" i="4" s="1"/>
  <c r="D54" i="4"/>
  <c r="I54" i="4" s="1"/>
  <c r="B162" i="4"/>
  <c r="D161" i="4"/>
  <c r="I161" i="4" s="1"/>
  <c r="E31" i="1"/>
  <c r="F30" i="1"/>
  <c r="H30" i="1"/>
  <c r="J54" i="4" l="1"/>
  <c r="K54" i="4" s="1"/>
  <c r="C57" i="4"/>
  <c r="D56" i="4"/>
  <c r="I56" i="4" s="1"/>
  <c r="F46" i="4"/>
  <c r="H45" i="4"/>
  <c r="J117" i="4"/>
  <c r="K117" i="4" s="1"/>
  <c r="C119" i="4"/>
  <c r="D119" i="4" s="1"/>
  <c r="I119" i="4" s="1"/>
  <c r="D118" i="4"/>
  <c r="I118" i="4" s="1"/>
  <c r="B163" i="4"/>
  <c r="D162" i="4"/>
  <c r="I162" i="4" s="1"/>
  <c r="E32" i="1"/>
  <c r="F31" i="1"/>
  <c r="H31" i="1"/>
  <c r="J118" i="4" l="1"/>
  <c r="K118" i="4" s="1"/>
  <c r="J119" i="4"/>
  <c r="K119" i="4" s="1"/>
  <c r="F47" i="4"/>
  <c r="H46" i="4"/>
  <c r="J56" i="4"/>
  <c r="K56" i="4" s="1"/>
  <c r="C58" i="4"/>
  <c r="D57" i="4"/>
  <c r="I57" i="4" s="1"/>
  <c r="B164" i="4"/>
  <c r="D163" i="4"/>
  <c r="I163" i="4" s="1"/>
  <c r="E33" i="1"/>
  <c r="H32" i="1"/>
  <c r="F32" i="1"/>
  <c r="J57" i="4" l="1"/>
  <c r="K57" i="4" s="1"/>
  <c r="C59" i="4"/>
  <c r="D58" i="4"/>
  <c r="I58" i="4" s="1"/>
  <c r="F48" i="4"/>
  <c r="H47" i="4"/>
  <c r="B165" i="4"/>
  <c r="D164" i="4"/>
  <c r="I164" i="4" s="1"/>
  <c r="E34" i="1"/>
  <c r="F33" i="1"/>
  <c r="H33" i="1"/>
  <c r="F49" i="4" l="1"/>
  <c r="H48" i="4"/>
  <c r="J58" i="4"/>
  <c r="K58" i="4" s="1"/>
  <c r="C60" i="4"/>
  <c r="D59" i="4"/>
  <c r="I59" i="4" s="1"/>
  <c r="B166" i="4"/>
  <c r="D165" i="4"/>
  <c r="I165" i="4" s="1"/>
  <c r="E35" i="1"/>
  <c r="F34" i="1"/>
  <c r="H34" i="1"/>
  <c r="J59" i="4" l="1"/>
  <c r="K59" i="4" s="1"/>
  <c r="C61" i="4"/>
  <c r="D60" i="4"/>
  <c r="I60" i="4" s="1"/>
  <c r="F50" i="4"/>
  <c r="H49" i="4"/>
  <c r="B167" i="4"/>
  <c r="D166" i="4"/>
  <c r="I166" i="4" s="1"/>
  <c r="E36" i="1"/>
  <c r="F35" i="1"/>
  <c r="H35" i="1"/>
  <c r="F51" i="4" l="1"/>
  <c r="H50" i="4"/>
  <c r="J60" i="4"/>
  <c r="K60" i="4" s="1"/>
  <c r="C62" i="4"/>
  <c r="D61" i="4"/>
  <c r="I61" i="4" s="1"/>
  <c r="B168" i="4"/>
  <c r="D167" i="4"/>
  <c r="I167" i="4" s="1"/>
  <c r="E37" i="1"/>
  <c r="H36" i="1"/>
  <c r="F36" i="1"/>
  <c r="J61" i="4" l="1"/>
  <c r="K61" i="4" s="1"/>
  <c r="C63" i="4"/>
  <c r="D62" i="4"/>
  <c r="I62" i="4" s="1"/>
  <c r="F52" i="4"/>
  <c r="H51" i="4"/>
  <c r="B169" i="4"/>
  <c r="D168" i="4"/>
  <c r="I168" i="4" s="1"/>
  <c r="F37" i="1"/>
  <c r="E38" i="1" s="1"/>
  <c r="H37" i="1"/>
  <c r="F53" i="4" l="1"/>
  <c r="H52" i="4"/>
  <c r="J62" i="4"/>
  <c r="K62" i="4" s="1"/>
  <c r="C64" i="4"/>
  <c r="D63" i="4"/>
  <c r="I63" i="4" s="1"/>
  <c r="B170" i="4"/>
  <c r="D169" i="4"/>
  <c r="I169" i="4" s="1"/>
  <c r="F38" i="1"/>
  <c r="E39" i="1" s="1"/>
  <c r="H38" i="1"/>
  <c r="J63" i="4" l="1"/>
  <c r="K63" i="4" s="1"/>
  <c r="C65" i="4"/>
  <c r="D64" i="4"/>
  <c r="I64" i="4" s="1"/>
  <c r="F54" i="4"/>
  <c r="H53" i="4"/>
  <c r="B171" i="4"/>
  <c r="D170" i="4"/>
  <c r="I170" i="4" s="1"/>
  <c r="F39" i="1"/>
  <c r="E40" i="1"/>
  <c r="H39" i="1"/>
  <c r="F55" i="4" l="1"/>
  <c r="H54" i="4"/>
  <c r="J64" i="4"/>
  <c r="K64" i="4" s="1"/>
  <c r="C66" i="4"/>
  <c r="D65" i="4"/>
  <c r="I65" i="4" s="1"/>
  <c r="B172" i="4"/>
  <c r="D171" i="4"/>
  <c r="I171" i="4" s="1"/>
  <c r="F40" i="1"/>
  <c r="E41" i="1" s="1"/>
  <c r="H40" i="1"/>
  <c r="J65" i="4" l="1"/>
  <c r="K65" i="4" s="1"/>
  <c r="C67" i="4"/>
  <c r="D66" i="4"/>
  <c r="I66" i="4" s="1"/>
  <c r="F56" i="4"/>
  <c r="H55" i="4"/>
  <c r="B173" i="4"/>
  <c r="D172" i="4"/>
  <c r="I172" i="4" s="1"/>
  <c r="F41" i="1"/>
  <c r="E42" i="1" s="1"/>
  <c r="H41" i="1"/>
  <c r="F57" i="4" l="1"/>
  <c r="H56" i="4"/>
  <c r="J66" i="4"/>
  <c r="K66" i="4" s="1"/>
  <c r="C68" i="4"/>
  <c r="D67" i="4"/>
  <c r="I67" i="4" s="1"/>
  <c r="B174" i="4"/>
  <c r="D173" i="4"/>
  <c r="I173" i="4" s="1"/>
  <c r="E43" i="1"/>
  <c r="F42" i="1"/>
  <c r="H42" i="1"/>
  <c r="J67" i="4" l="1"/>
  <c r="K67" i="4" s="1"/>
  <c r="C69" i="4"/>
  <c r="D68" i="4"/>
  <c r="I68" i="4" s="1"/>
  <c r="F58" i="4"/>
  <c r="H57" i="4"/>
  <c r="B175" i="4"/>
  <c r="D174" i="4"/>
  <c r="I174" i="4" s="1"/>
  <c r="F43" i="1"/>
  <c r="H43" i="1"/>
  <c r="E44" i="1"/>
  <c r="F59" i="4" l="1"/>
  <c r="H58" i="4"/>
  <c r="J68" i="4"/>
  <c r="K68" i="4" s="1"/>
  <c r="C70" i="4"/>
  <c r="D69" i="4"/>
  <c r="I69" i="4" s="1"/>
  <c r="B176" i="4"/>
  <c r="D175" i="4"/>
  <c r="I175" i="4" s="1"/>
  <c r="F44" i="1"/>
  <c r="H44" i="1"/>
  <c r="J69" i="4" l="1"/>
  <c r="K69" i="4" s="1"/>
  <c r="C71" i="4"/>
  <c r="C72" i="4" s="1"/>
  <c r="D70" i="4"/>
  <c r="I70" i="4" s="1"/>
  <c r="F60" i="4"/>
  <c r="H59" i="4"/>
  <c r="B177" i="4"/>
  <c r="D176" i="4"/>
  <c r="I176" i="4" s="1"/>
  <c r="E46" i="1"/>
  <c r="E45" i="1"/>
  <c r="F61" i="4" l="1"/>
  <c r="H60" i="4"/>
  <c r="J70" i="4"/>
  <c r="K70" i="4" s="1"/>
  <c r="C73" i="4"/>
  <c r="D72" i="4"/>
  <c r="I72" i="4" s="1"/>
  <c r="B178" i="4"/>
  <c r="D177" i="4"/>
  <c r="I177" i="4" s="1"/>
  <c r="H45" i="1"/>
  <c r="F45" i="1"/>
  <c r="F46" i="1"/>
  <c r="E47" i="1" s="1"/>
  <c r="H46" i="1"/>
  <c r="J72" i="4" l="1"/>
  <c r="K72" i="4" s="1"/>
  <c r="C74" i="4"/>
  <c r="D73" i="4"/>
  <c r="I73" i="4" s="1"/>
  <c r="F62" i="4"/>
  <c r="H61" i="4"/>
  <c r="B179" i="4"/>
  <c r="D178" i="4"/>
  <c r="I178" i="4" s="1"/>
  <c r="F47" i="1"/>
  <c r="E48" i="1" s="1"/>
  <c r="H47" i="1"/>
  <c r="F63" i="4" l="1"/>
  <c r="H62" i="4"/>
  <c r="J73" i="4"/>
  <c r="K73" i="4" s="1"/>
  <c r="C75" i="4"/>
  <c r="D74" i="4"/>
  <c r="I74" i="4" s="1"/>
  <c r="B180" i="4"/>
  <c r="D179" i="4"/>
  <c r="I179" i="4" s="1"/>
  <c r="F48" i="1"/>
  <c r="E49" i="1" s="1"/>
  <c r="H48" i="1"/>
  <c r="J74" i="4" l="1"/>
  <c r="K74" i="4" s="1"/>
  <c r="C76" i="4"/>
  <c r="D75" i="4"/>
  <c r="I75" i="4" s="1"/>
  <c r="F64" i="4"/>
  <c r="H63" i="4"/>
  <c r="B181" i="4"/>
  <c r="D180" i="4"/>
  <c r="I180" i="4" s="1"/>
  <c r="F49" i="1"/>
  <c r="H49" i="1"/>
  <c r="F65" i="4" l="1"/>
  <c r="H64" i="4"/>
  <c r="J75" i="4"/>
  <c r="K75" i="4" s="1"/>
  <c r="C77" i="4"/>
  <c r="D76" i="4"/>
  <c r="I76" i="4" s="1"/>
  <c r="B182" i="4"/>
  <c r="D181" i="4"/>
  <c r="I181" i="4" s="1"/>
  <c r="E51" i="1"/>
  <c r="E50" i="1"/>
  <c r="J76" i="4" l="1"/>
  <c r="K76" i="4" s="1"/>
  <c r="C79" i="4"/>
  <c r="C78" i="4"/>
  <c r="D78" i="4" s="1"/>
  <c r="I78" i="4" s="1"/>
  <c r="D77" i="4"/>
  <c r="I77" i="4" s="1"/>
  <c r="F66" i="4"/>
  <c r="H65" i="4"/>
  <c r="B183" i="4"/>
  <c r="D182" i="4"/>
  <c r="I182" i="4" s="1"/>
  <c r="H50" i="1"/>
  <c r="F50" i="1"/>
  <c r="F51" i="1"/>
  <c r="E52" i="1" s="1"/>
  <c r="H51" i="1"/>
  <c r="F67" i="4" l="1"/>
  <c r="H66" i="4"/>
  <c r="J77" i="4"/>
  <c r="K77" i="4" s="1"/>
  <c r="J78" i="4"/>
  <c r="K78" i="4" s="1"/>
  <c r="C80" i="4"/>
  <c r="D79" i="4"/>
  <c r="I79" i="4" s="1"/>
  <c r="B184" i="4"/>
  <c r="D183" i="4"/>
  <c r="I183" i="4" s="1"/>
  <c r="F52" i="1"/>
  <c r="E53" i="1" s="1"/>
  <c r="H52" i="1"/>
  <c r="J79" i="4" l="1"/>
  <c r="K79" i="4" s="1"/>
  <c r="C81" i="4"/>
  <c r="D80" i="4"/>
  <c r="I80" i="4" s="1"/>
  <c r="F68" i="4"/>
  <c r="H67" i="4"/>
  <c r="B185" i="4"/>
  <c r="D184" i="4"/>
  <c r="I184" i="4" s="1"/>
  <c r="F53" i="1"/>
  <c r="E54" i="1" s="1"/>
  <c r="H53" i="1"/>
  <c r="F69" i="4" l="1"/>
  <c r="H68" i="4"/>
  <c r="J80" i="4"/>
  <c r="K80" i="4" s="1"/>
  <c r="C82" i="4"/>
  <c r="D81" i="4"/>
  <c r="I81" i="4" s="1"/>
  <c r="B186" i="4"/>
  <c r="D185" i="4"/>
  <c r="I185" i="4" s="1"/>
  <c r="F54" i="1"/>
  <c r="H54" i="1"/>
  <c r="J81" i="4" l="1"/>
  <c r="K81" i="4" s="1"/>
  <c r="C83" i="4"/>
  <c r="D82" i="4"/>
  <c r="I82" i="4" s="1"/>
  <c r="F70" i="4"/>
  <c r="H69" i="4"/>
  <c r="B187" i="4"/>
  <c r="D186" i="4"/>
  <c r="I186" i="4" s="1"/>
  <c r="E56" i="1"/>
  <c r="E55" i="1"/>
  <c r="F71" i="4" l="1"/>
  <c r="H70" i="4"/>
  <c r="J82" i="4"/>
  <c r="K82" i="4" s="1"/>
  <c r="C84" i="4"/>
  <c r="D83" i="4"/>
  <c r="I83" i="4" s="1"/>
  <c r="B188" i="4"/>
  <c r="D187" i="4"/>
  <c r="I187" i="4" s="1"/>
  <c r="F55" i="1"/>
  <c r="H55" i="1"/>
  <c r="F56" i="1"/>
  <c r="E57" i="1" s="1"/>
  <c r="H56" i="1"/>
  <c r="J83" i="4" l="1"/>
  <c r="K83" i="4" s="1"/>
  <c r="C85" i="4"/>
  <c r="D85" i="4" s="1"/>
  <c r="I85" i="4" s="1"/>
  <c r="D84" i="4"/>
  <c r="I84" i="4" s="1"/>
  <c r="F72" i="4"/>
  <c r="H71" i="4"/>
  <c r="B189" i="4"/>
  <c r="D188" i="4"/>
  <c r="I188" i="4" s="1"/>
  <c r="F57" i="1"/>
  <c r="E58" i="1" s="1"/>
  <c r="H57" i="1"/>
  <c r="F73" i="4" l="1"/>
  <c r="H72" i="4"/>
  <c r="J84" i="4"/>
  <c r="K84" i="4" s="1"/>
  <c r="J85" i="4"/>
  <c r="K85" i="4" s="1"/>
  <c r="B191" i="4"/>
  <c r="B190" i="4"/>
  <c r="D190" i="4" s="1"/>
  <c r="D189" i="4"/>
  <c r="I189" i="4" s="1"/>
  <c r="F58" i="1"/>
  <c r="E59" i="1" s="1"/>
  <c r="H58" i="1"/>
  <c r="B88" i="4" l="1"/>
  <c r="B30" i="4"/>
  <c r="F74" i="4"/>
  <c r="H73" i="4"/>
  <c r="B192" i="4"/>
  <c r="D191" i="4"/>
  <c r="I191" i="4" s="1"/>
  <c r="F59" i="1"/>
  <c r="E60" i="1" s="1"/>
  <c r="H59" i="1"/>
  <c r="F75" i="4" l="1"/>
  <c r="H74" i="4"/>
  <c r="B32" i="4"/>
  <c r="D30" i="4"/>
  <c r="I30" i="4" s="1"/>
  <c r="B89" i="4"/>
  <c r="D89" i="4" s="1"/>
  <c r="I89" i="4" s="1"/>
  <c r="D88" i="4"/>
  <c r="I88" i="4" s="1"/>
  <c r="B193" i="4"/>
  <c r="D192" i="4"/>
  <c r="I192" i="4" s="1"/>
  <c r="F60" i="1"/>
  <c r="E61" i="1" s="1"/>
  <c r="H60" i="1"/>
  <c r="J88" i="4" l="1"/>
  <c r="K88" i="4" s="1"/>
  <c r="J89" i="4"/>
  <c r="K89" i="4" s="1"/>
  <c r="J30" i="4"/>
  <c r="K30" i="4" s="1"/>
  <c r="B34" i="4"/>
  <c r="B33" i="4"/>
  <c r="D33" i="4" s="1"/>
  <c r="I33" i="4" s="1"/>
  <c r="D32" i="4"/>
  <c r="I32" i="4" s="1"/>
  <c r="F76" i="4"/>
  <c r="H75" i="4"/>
  <c r="B194" i="4"/>
  <c r="D193" i="4"/>
  <c r="I193" i="4" s="1"/>
  <c r="H8" i="4"/>
  <c r="H242" i="4" s="1"/>
  <c r="H9" i="4"/>
  <c r="H243" i="4" s="1"/>
  <c r="H244" i="4"/>
  <c r="F61" i="1"/>
  <c r="E62" i="1" s="1"/>
  <c r="H61" i="1"/>
  <c r="F77" i="4" l="1"/>
  <c r="H76" i="4"/>
  <c r="J32" i="4"/>
  <c r="K32" i="4" s="1"/>
  <c r="J33" i="4"/>
  <c r="K33" i="4" s="1"/>
  <c r="B35" i="4"/>
  <c r="D35" i="4" s="1"/>
  <c r="I35" i="4" s="1"/>
  <c r="D34" i="4"/>
  <c r="I34" i="4" s="1"/>
  <c r="B195" i="4"/>
  <c r="D194" i="4"/>
  <c r="I194" i="4" s="1"/>
  <c r="H62" i="1"/>
  <c r="F62" i="1"/>
  <c r="E63" i="1" s="1"/>
  <c r="J34" i="4" l="1"/>
  <c r="K34" i="4" s="1"/>
  <c r="J35" i="4"/>
  <c r="K35" i="4" s="1"/>
  <c r="F79" i="4"/>
  <c r="F78" i="4"/>
  <c r="H77" i="4"/>
  <c r="H78" i="4" s="1"/>
  <c r="B196" i="4"/>
  <c r="D195" i="4"/>
  <c r="I195" i="4" s="1"/>
  <c r="E64" i="1"/>
  <c r="F63" i="1"/>
  <c r="H63" i="1"/>
  <c r="F80" i="4" l="1"/>
  <c r="H79" i="4"/>
  <c r="K120" i="4"/>
  <c r="B197" i="4"/>
  <c r="D196" i="4"/>
  <c r="I196" i="4" s="1"/>
  <c r="F64" i="1"/>
  <c r="E65" i="1" s="1"/>
  <c r="H64" i="1"/>
  <c r="F81" i="4" l="1"/>
  <c r="H80" i="4"/>
  <c r="B198" i="4"/>
  <c r="D197" i="4"/>
  <c r="I197" i="4" s="1"/>
  <c r="H7" i="4"/>
  <c r="H10" i="4" s="1"/>
  <c r="B242" i="4"/>
  <c r="F65" i="1"/>
  <c r="E66" i="1" s="1"/>
  <c r="H65" i="1"/>
  <c r="F82" i="4" l="1"/>
  <c r="H81" i="4"/>
  <c r="B199" i="4"/>
  <c r="D198" i="4"/>
  <c r="I198" i="4" s="1"/>
  <c r="E67" i="1"/>
  <c r="F66" i="1"/>
  <c r="H66" i="1"/>
  <c r="F83" i="4" l="1"/>
  <c r="H82" i="4"/>
  <c r="B200" i="4"/>
  <c r="D199" i="4"/>
  <c r="I199" i="4" s="1"/>
  <c r="F67" i="1"/>
  <c r="H67" i="1"/>
  <c r="E68" i="1"/>
  <c r="F84" i="4" l="1"/>
  <c r="H83" i="4"/>
  <c r="B201" i="4"/>
  <c r="D200" i="4"/>
  <c r="I200" i="4" s="1"/>
  <c r="E69" i="1"/>
  <c r="F68" i="1"/>
  <c r="H68" i="1"/>
  <c r="F85" i="4" l="1"/>
  <c r="H84" i="4"/>
  <c r="B202" i="4"/>
  <c r="D201" i="4"/>
  <c r="I201" i="4" s="1"/>
  <c r="F69" i="1"/>
  <c r="H69" i="1"/>
  <c r="E70" i="1"/>
  <c r="F86" i="4" l="1"/>
  <c r="H85" i="4"/>
  <c r="B203" i="4"/>
  <c r="D202" i="4"/>
  <c r="I202" i="4" s="1"/>
  <c r="E71" i="1"/>
  <c r="E72" i="1"/>
  <c r="F70" i="1"/>
  <c r="H70" i="1"/>
  <c r="F87" i="4" l="1"/>
  <c r="H86" i="4"/>
  <c r="B204" i="4"/>
  <c r="D203" i="4"/>
  <c r="I203" i="4" s="1"/>
  <c r="F72" i="1"/>
  <c r="H72" i="1"/>
  <c r="E73" i="1"/>
  <c r="F71" i="1"/>
  <c r="H71" i="1"/>
  <c r="F88" i="4" l="1"/>
  <c r="H87" i="4"/>
  <c r="B205" i="4"/>
  <c r="D204" i="4"/>
  <c r="I204" i="4" s="1"/>
  <c r="F73" i="1"/>
  <c r="H73" i="1"/>
  <c r="E74" i="1"/>
  <c r="F89" i="4" l="1"/>
  <c r="H88" i="4"/>
  <c r="B206" i="4"/>
  <c r="D205" i="4"/>
  <c r="I205" i="4" s="1"/>
  <c r="E75" i="1"/>
  <c r="F74" i="1"/>
  <c r="H74" i="1"/>
  <c r="H4" i="4"/>
  <c r="F90" i="4" l="1"/>
  <c r="H89" i="4"/>
  <c r="B207" i="4"/>
  <c r="D206" i="4"/>
  <c r="I206" i="4" s="1"/>
  <c r="F75" i="1"/>
  <c r="E76" i="1" s="1"/>
  <c r="H75" i="1"/>
  <c r="F91" i="4" l="1"/>
  <c r="H90" i="4"/>
  <c r="B208" i="4"/>
  <c r="D207" i="4"/>
  <c r="I207" i="4" s="1"/>
  <c r="F76" i="1"/>
  <c r="E77" i="1" s="1"/>
  <c r="H76" i="1"/>
  <c r="F92" i="4" l="1"/>
  <c r="H91" i="4"/>
  <c r="B209" i="4"/>
  <c r="D208" i="4"/>
  <c r="I208" i="4" s="1"/>
  <c r="F77" i="1"/>
  <c r="E78" i="1" s="1"/>
  <c r="H77" i="1"/>
  <c r="F93" i="4" l="1"/>
  <c r="H92" i="4"/>
  <c r="B210" i="4"/>
  <c r="D209" i="4"/>
  <c r="I209" i="4" s="1"/>
  <c r="E79" i="1"/>
  <c r="F78" i="1"/>
  <c r="H78" i="1"/>
  <c r="F94" i="4" l="1"/>
  <c r="H93" i="4"/>
  <c r="B211" i="4"/>
  <c r="D210" i="4"/>
  <c r="I210" i="4" s="1"/>
  <c r="F79" i="1"/>
  <c r="E80" i="1" s="1"/>
  <c r="H79" i="1"/>
  <c r="F95" i="4" l="1"/>
  <c r="H94" i="4"/>
  <c r="B212" i="4"/>
  <c r="D211" i="4"/>
  <c r="F80" i="1"/>
  <c r="E81" i="1" s="1"/>
  <c r="H80" i="1"/>
  <c r="F96" i="4" l="1"/>
  <c r="H95" i="4"/>
  <c r="B213" i="4"/>
  <c r="D212" i="4"/>
  <c r="I212" i="4" s="1"/>
  <c r="E82" i="1"/>
  <c r="F81" i="1"/>
  <c r="H81" i="1"/>
  <c r="F97" i="4" l="1"/>
  <c r="H96" i="4"/>
  <c r="B214" i="4"/>
  <c r="D213" i="4"/>
  <c r="I213" i="4" s="1"/>
  <c r="E83" i="1"/>
  <c r="F82" i="1"/>
  <c r="E84" i="1" s="1"/>
  <c r="H82" i="1"/>
  <c r="F98" i="4" l="1"/>
  <c r="H97" i="4"/>
  <c r="B215" i="4"/>
  <c r="D214" i="4"/>
  <c r="I214" i="4" s="1"/>
  <c r="F84" i="1"/>
  <c r="E85" i="1" s="1"/>
  <c r="H84" i="1"/>
  <c r="H83" i="1"/>
  <c r="F83" i="1"/>
  <c r="F99" i="4" l="1"/>
  <c r="H98" i="4"/>
  <c r="B216" i="4"/>
  <c r="D215" i="4"/>
  <c r="I215" i="4" s="1"/>
  <c r="F85" i="1"/>
  <c r="E86" i="1" s="1"/>
  <c r="H85" i="1"/>
  <c r="F100" i="4" l="1"/>
  <c r="H99" i="4"/>
  <c r="B217" i="4"/>
  <c r="D216" i="4"/>
  <c r="I216" i="4" s="1"/>
  <c r="F86" i="1"/>
  <c r="E87" i="1" s="1"/>
  <c r="H86" i="1"/>
  <c r="F101" i="4" l="1"/>
  <c r="H100" i="4"/>
  <c r="B218" i="4"/>
  <c r="D217" i="4"/>
  <c r="I217" i="4" s="1"/>
  <c r="F87" i="1"/>
  <c r="E88" i="1" s="1"/>
  <c r="H87" i="1"/>
  <c r="F102" i="4" l="1"/>
  <c r="H101" i="4"/>
  <c r="B219" i="4"/>
  <c r="D218" i="4"/>
  <c r="I218" i="4" s="1"/>
  <c r="F88" i="1"/>
  <c r="E89" i="1" s="1"/>
  <c r="H88" i="1"/>
  <c r="F103" i="4" l="1"/>
  <c r="H102" i="4"/>
  <c r="B220" i="4"/>
  <c r="D219" i="4"/>
  <c r="I219" i="4" s="1"/>
  <c r="F89" i="1"/>
  <c r="E90" i="1" s="1"/>
  <c r="H89" i="1"/>
  <c r="F104" i="4" l="1"/>
  <c r="H103" i="4"/>
  <c r="B221" i="4"/>
  <c r="D220" i="4"/>
  <c r="I220" i="4" s="1"/>
  <c r="F90" i="1"/>
  <c r="E91" i="1" s="1"/>
  <c r="H90" i="1"/>
  <c r="F105" i="4" l="1"/>
  <c r="H105" i="4" s="1"/>
  <c r="H104" i="4"/>
  <c r="B222" i="4"/>
  <c r="D221" i="4"/>
  <c r="I221" i="4" s="1"/>
  <c r="F91" i="1"/>
  <c r="H5" i="4" s="1"/>
  <c r="L243" i="4" s="1"/>
  <c r="H91" i="1"/>
  <c r="B223" i="4" l="1"/>
  <c r="D222" i="4"/>
  <c r="I222" i="4" s="1"/>
  <c r="B225" i="4" l="1"/>
  <c r="B224" i="4"/>
  <c r="B226" i="4" s="1"/>
  <c r="D223" i="4"/>
  <c r="I223" i="4" s="1"/>
  <c r="H11" i="4"/>
  <c r="B228" i="4" l="1"/>
  <c r="D228" i="4" s="1"/>
  <c r="I228" i="4" s="1"/>
  <c r="D226" i="4"/>
  <c r="I226" i="4" s="1"/>
  <c r="D225" i="4"/>
  <c r="I225" i="4" s="1"/>
  <c r="B227" i="4"/>
  <c r="B230" i="4"/>
  <c r="D224" i="4"/>
  <c r="I224" i="4" s="1"/>
  <c r="D227" i="4" l="1"/>
  <c r="I227" i="4" s="1"/>
  <c r="B229" i="4"/>
  <c r="D229" i="4" s="1"/>
  <c r="I229" i="4" s="1"/>
  <c r="B231" i="4"/>
  <c r="D230" i="4"/>
  <c r="I230" i="4" s="1"/>
  <c r="B232" i="4" l="1"/>
  <c r="D231" i="4"/>
  <c r="I231" i="4" s="1"/>
  <c r="B233" i="4" l="1"/>
  <c r="B236" i="4" s="1"/>
  <c r="D236" i="4" s="1"/>
  <c r="I236" i="4" s="1"/>
  <c r="D232" i="4"/>
  <c r="I232" i="4" s="1"/>
  <c r="B235" i="4" l="1"/>
  <c r="D235" i="4" s="1"/>
  <c r="I235" i="4" s="1"/>
  <c r="B234" i="4"/>
  <c r="D233" i="4"/>
  <c r="I233" i="4" s="1"/>
  <c r="B237" i="4" l="1"/>
  <c r="D237" i="4" s="1"/>
  <c r="I237" i="4" s="1"/>
  <c r="D234" i="4"/>
  <c r="I234" i="4" s="1"/>
  <c r="I211" i="4"/>
  <c r="H211" i="4" l="1"/>
  <c r="J211" i="4" l="1"/>
  <c r="K211" i="4" s="1"/>
  <c r="K238" i="4" s="1"/>
  <c r="H130" i="4"/>
  <c r="H131" i="4" s="1"/>
  <c r="H127" i="4"/>
  <c r="B243" i="4"/>
  <c r="B244" i="4"/>
  <c r="G242" i="4" s="1"/>
  <c r="G243" i="4"/>
  <c r="H124" i="4"/>
  <c r="L131" i="4" s="1"/>
  <c r="L244" i="4"/>
  <c r="I18" i="1" l="1"/>
  <c r="I17" i="1"/>
  <c r="I19" i="1"/>
  <c r="I35" i="1"/>
  <c r="I47" i="1"/>
  <c r="I66" i="1"/>
  <c r="I79" i="1"/>
  <c r="I80" i="1"/>
  <c r="I67" i="1"/>
  <c r="I52" i="1"/>
  <c r="I42" i="1"/>
  <c r="I4" i="1"/>
  <c r="I5" i="1"/>
  <c r="I3" i="1"/>
  <c r="I75" i="1"/>
  <c r="I31" i="1"/>
  <c r="I7" i="1"/>
  <c r="I9" i="1"/>
  <c r="I12" i="1"/>
  <c r="I8" i="1"/>
  <c r="I13" i="1"/>
  <c r="I26" i="1"/>
  <c r="I71" i="1"/>
  <c r="I73" i="1"/>
  <c r="I85" i="1"/>
  <c r="I87" i="1"/>
  <c r="I88" i="1"/>
  <c r="I89" i="1"/>
  <c r="I90" i="1"/>
  <c r="I86" i="1"/>
  <c r="I84" i="1"/>
  <c r="I32" i="1"/>
  <c r="I33" i="1"/>
  <c r="I45" i="1"/>
  <c r="I16" i="1"/>
  <c r="I15" i="1"/>
  <c r="I10" i="1"/>
  <c r="I6" i="1"/>
  <c r="I55" i="1"/>
  <c r="I27" i="1"/>
  <c r="I58" i="1"/>
  <c r="I76" i="1"/>
  <c r="I34" i="1"/>
  <c r="I50" i="1"/>
  <c r="I54" i="1"/>
  <c r="I41" i="1"/>
  <c r="I39" i="1"/>
  <c r="I53" i="1"/>
  <c r="I29" i="1"/>
  <c r="I36" i="1"/>
  <c r="I51" i="1"/>
  <c r="I46" i="1"/>
  <c r="I44" i="1"/>
  <c r="I72" i="1"/>
  <c r="I57" i="1"/>
  <c r="I74" i="1"/>
  <c r="I59" i="1"/>
  <c r="I62" i="1"/>
  <c r="I65" i="1"/>
  <c r="I78" i="1"/>
  <c r="I64" i="1"/>
  <c r="I28" i="1"/>
  <c r="I40" i="1"/>
  <c r="I61" i="1"/>
  <c r="I56" i="1"/>
  <c r="I81" i="1"/>
  <c r="I48" i="1"/>
  <c r="I63" i="1"/>
  <c r="I82" i="1"/>
  <c r="I37" i="1"/>
  <c r="I30" i="1"/>
  <c r="I49" i="1"/>
  <c r="I38" i="1"/>
  <c r="I70" i="1"/>
  <c r="I69" i="1"/>
  <c r="I60" i="1"/>
  <c r="I68" i="1"/>
  <c r="I43" i="1"/>
  <c r="I14" i="1"/>
  <c r="I77" i="1"/>
  <c r="I21" i="1"/>
  <c r="I11" i="1"/>
  <c r="I91" i="1"/>
  <c r="I83" i="1"/>
  <c r="I22" i="1"/>
  <c r="I23" i="1"/>
  <c r="I24" i="1"/>
  <c r="I25" i="1"/>
  <c r="I2" i="1"/>
  <c r="I20" i="1"/>
</calcChain>
</file>

<file path=xl/sharedStrings.xml><?xml version="1.0" encoding="utf-8"?>
<sst xmlns="http://schemas.openxmlformats.org/spreadsheetml/2006/main" count="722" uniqueCount="457">
  <si>
    <t>Item Key</t>
  </si>
  <si>
    <t>Summary of Initiatives</t>
  </si>
  <si>
    <t>Status</t>
  </si>
  <si>
    <t>Active</t>
  </si>
  <si>
    <t>Start Date</t>
  </si>
  <si>
    <t>End Date</t>
  </si>
  <si>
    <t>Duration</t>
  </si>
  <si>
    <t>Offset Days</t>
  </si>
  <si>
    <t>Total Cost</t>
  </si>
  <si>
    <t>Item Color</t>
  </si>
  <si>
    <t>Code</t>
  </si>
  <si>
    <t>SE11-01</t>
  </si>
  <si>
    <t>Punchlist Project Proposal</t>
  </si>
  <si>
    <t>Done</t>
  </si>
  <si>
    <t>Purple</t>
  </si>
  <si>
    <t>SE11-02</t>
  </si>
  <si>
    <t>Initial Project Survey</t>
  </si>
  <si>
    <t>SE11-03</t>
  </si>
  <si>
    <t>Initial Site Visit - Architect</t>
  </si>
  <si>
    <t>SE11-04</t>
  </si>
  <si>
    <t>Initial Site Visit - Designer</t>
  </si>
  <si>
    <t>SE11-05</t>
  </si>
  <si>
    <t>Send Architectural RFP</t>
  </si>
  <si>
    <t>SE11-06</t>
  </si>
  <si>
    <t>Architectural Due Diligence &amp; Proposal</t>
  </si>
  <si>
    <t>SE11-07</t>
  </si>
  <si>
    <t>Engineering Due Diligence &amp; Proposal</t>
  </si>
  <si>
    <t>SE11-08</t>
  </si>
  <si>
    <t>Landscaping Due Diligence &amp; Proposal</t>
  </si>
  <si>
    <t>SE11-09</t>
  </si>
  <si>
    <t>Hire Architect / Engineer</t>
  </si>
  <si>
    <t>Light Blue</t>
  </si>
  <si>
    <t>SE11-10</t>
  </si>
  <si>
    <t>Architectual Drafting and Review</t>
  </si>
  <si>
    <t>SE11-11</t>
  </si>
  <si>
    <t>Building Permit Application</t>
  </si>
  <si>
    <t>SE11-12</t>
  </si>
  <si>
    <t>Architectural Plan Revisions</t>
  </si>
  <si>
    <t>SE11-13</t>
  </si>
  <si>
    <t>Engineering Plan Revisions</t>
  </si>
  <si>
    <t>SE11-14</t>
  </si>
  <si>
    <t>Landscaping Plan Revisions</t>
  </si>
  <si>
    <t>SE11-15</t>
  </si>
  <si>
    <t>Send Contractor RFP</t>
  </si>
  <si>
    <t>SE11-16</t>
  </si>
  <si>
    <t>Planning Board Review - Site / Civil</t>
  </si>
  <si>
    <t>SE11-17</t>
  </si>
  <si>
    <t>Zoning Board Review</t>
  </si>
  <si>
    <t>SE11-18</t>
  </si>
  <si>
    <t>Architecture Board Review</t>
  </si>
  <si>
    <t>SE11-19</t>
  </si>
  <si>
    <t>Building Department Review</t>
  </si>
  <si>
    <t>To Do</t>
  </si>
  <si>
    <t>SE11-20</t>
  </si>
  <si>
    <t>Punchlist Value Engineer</t>
  </si>
  <si>
    <t>SE11-21</t>
  </si>
  <si>
    <t>GC Due Diligence &amp; Proposal</t>
  </si>
  <si>
    <t>SE11-22</t>
  </si>
  <si>
    <t>Design Due Diligence &amp; Proposal</t>
  </si>
  <si>
    <t>SE11-23</t>
  </si>
  <si>
    <t>Review GC Proposals</t>
  </si>
  <si>
    <t>SE11-24</t>
  </si>
  <si>
    <t>Review Design Proposals</t>
  </si>
  <si>
    <t>SE11-25</t>
  </si>
  <si>
    <t>Site Visit (#2) - Contactor</t>
  </si>
  <si>
    <t>SE11-26</t>
  </si>
  <si>
    <t>Site Visit (#2) - Designer</t>
  </si>
  <si>
    <t>SE11-27</t>
  </si>
  <si>
    <t>Accept Proposals &amp; Sign Contracts</t>
  </si>
  <si>
    <t>SE11-28</t>
  </si>
  <si>
    <t>Obtain Building Permits</t>
  </si>
  <si>
    <t>SE11-29</t>
  </si>
  <si>
    <t>Order Kitchen Appliances</t>
  </si>
  <si>
    <t>SE11-30</t>
  </si>
  <si>
    <t>Order Windows &amp; Siding</t>
  </si>
  <si>
    <t>SE11-31</t>
  </si>
  <si>
    <t>Order Cabinetry (Kitchen / Bath)</t>
  </si>
  <si>
    <t>SE11-32</t>
  </si>
  <si>
    <t>Order Countertops &amp; Tiling</t>
  </si>
  <si>
    <t>SE11-33</t>
  </si>
  <si>
    <t>Order Above Grade Flooring</t>
  </si>
  <si>
    <t>SE11-34</t>
  </si>
  <si>
    <t>Order Bathroom Vanities</t>
  </si>
  <si>
    <t>SE11-35</t>
  </si>
  <si>
    <t>Order Hardware &amp; Fixtures</t>
  </si>
  <si>
    <t>SE11-36</t>
  </si>
  <si>
    <t>Order HVAC Unit</t>
  </si>
  <si>
    <t>SE11-37</t>
  </si>
  <si>
    <t>Shut off of Utilities</t>
  </si>
  <si>
    <t>Blue</t>
  </si>
  <si>
    <t>SE11-38</t>
  </si>
  <si>
    <t>Demolition of Existing Structure</t>
  </si>
  <si>
    <t>SE11-39</t>
  </si>
  <si>
    <t>Land Clearing &amp; Site Grading</t>
  </si>
  <si>
    <t>SE11-40</t>
  </si>
  <si>
    <t>Excavation for Foundation &amp; Utilities</t>
  </si>
  <si>
    <t>SE11-41</t>
  </si>
  <si>
    <t>Install OnSite Hospitalities</t>
  </si>
  <si>
    <t>SE11-42</t>
  </si>
  <si>
    <t>Install Drainage &amp; Stormwater System</t>
  </si>
  <si>
    <t>SE11-43</t>
  </si>
  <si>
    <t>Form &amp; Pour Foundation Footings</t>
  </si>
  <si>
    <t>SE11-44</t>
  </si>
  <si>
    <t>Foundation Inspection #1</t>
  </si>
  <si>
    <t>SE11-45</t>
  </si>
  <si>
    <t>Build Foundation Walls / Slab</t>
  </si>
  <si>
    <t>SE11-46</t>
  </si>
  <si>
    <t>Waterproof Foundation &amp; Backfill</t>
  </si>
  <si>
    <t>SE11-47</t>
  </si>
  <si>
    <t>Foundation Utility Tie-In</t>
  </si>
  <si>
    <t>SE11-48</t>
  </si>
  <si>
    <t>Foundation Inspection #2</t>
  </si>
  <si>
    <t>SE11-49</t>
  </si>
  <si>
    <t>Civil Engineering Inspection</t>
  </si>
  <si>
    <t>SE11-50</t>
  </si>
  <si>
    <t>Frame Floors &amp; Subfloors</t>
  </si>
  <si>
    <t>SE11-51</t>
  </si>
  <si>
    <t>Frame Exterior &amp; Interior Walls</t>
  </si>
  <si>
    <t>SE11-52</t>
  </si>
  <si>
    <t>Frame Roof &amp; Install Sheating</t>
  </si>
  <si>
    <t>SE11-53</t>
  </si>
  <si>
    <t>Install Windows &amp; Exterior Doors</t>
  </si>
  <si>
    <t>SE11-54</t>
  </si>
  <si>
    <t>Framing Inspection</t>
  </si>
  <si>
    <t>SE11-55</t>
  </si>
  <si>
    <t>Install Roof Shingles</t>
  </si>
  <si>
    <t>SE11-56</t>
  </si>
  <si>
    <t>Install Rough Plumbing</t>
  </si>
  <si>
    <t>SE11-57</t>
  </si>
  <si>
    <t>Install Rough Electrical</t>
  </si>
  <si>
    <t>SE11-58</t>
  </si>
  <si>
    <t>Plumbing &amp; Electrical Inspection</t>
  </si>
  <si>
    <t>SE11-59</t>
  </si>
  <si>
    <t>Install Rough HVAC Ductwork</t>
  </si>
  <si>
    <t>SE11-60</t>
  </si>
  <si>
    <t>Install Exterior Siding &amp; Insulation</t>
  </si>
  <si>
    <t>SE11-61</t>
  </si>
  <si>
    <t>Weatherproof Structure Inspection</t>
  </si>
  <si>
    <t>SE11-62</t>
  </si>
  <si>
    <t>Install Decks, Patios, &amp; Fences</t>
  </si>
  <si>
    <t>SE11-63</t>
  </si>
  <si>
    <t>Install Interior Drywall</t>
  </si>
  <si>
    <t>SE11-64</t>
  </si>
  <si>
    <t>Install Hardwood / Stone Floors</t>
  </si>
  <si>
    <t>SE11-65</t>
  </si>
  <si>
    <t>Prime Walls &amp; Ceilings (1st Coat)</t>
  </si>
  <si>
    <t>SE11-66</t>
  </si>
  <si>
    <t>Install Interior &amp; Exterior Trim</t>
  </si>
  <si>
    <t>SE11-67</t>
  </si>
  <si>
    <t>Install Cabinetry (Kitchen &amp; Bath)</t>
  </si>
  <si>
    <t>SE11-68</t>
  </si>
  <si>
    <t>Install Countertops &amp; Tiling</t>
  </si>
  <si>
    <t>SE11-69</t>
  </si>
  <si>
    <t>Install Closet Shelving</t>
  </si>
  <si>
    <t>SE11-70</t>
  </si>
  <si>
    <t>Install Kitchen Appliances</t>
  </si>
  <si>
    <t>SE11-71</t>
  </si>
  <si>
    <t>Install Interior Hardware</t>
  </si>
  <si>
    <t>SE11-72</t>
  </si>
  <si>
    <t>Install Plumbing Fixtures</t>
  </si>
  <si>
    <t>SE11-73</t>
  </si>
  <si>
    <t>Install Electrical Fixtures</t>
  </si>
  <si>
    <t>SE11-74</t>
  </si>
  <si>
    <t>Install HVAC Units &amp; Thermostats</t>
  </si>
  <si>
    <t>SE11-75</t>
  </si>
  <si>
    <t>Paint Walls &amp; Ceilings (2nd Coat)</t>
  </si>
  <si>
    <t>SE11-76</t>
  </si>
  <si>
    <t>Stain Hardwood Floors (1st Coat)</t>
  </si>
  <si>
    <t>SE11-77</t>
  </si>
  <si>
    <t>Stain Hardwood Floors (2nd Coat)</t>
  </si>
  <si>
    <t>SE11-78</t>
  </si>
  <si>
    <t>Install Flooring (Carpet &amp; LVF)</t>
  </si>
  <si>
    <t>SE11-79</t>
  </si>
  <si>
    <t>Order Exterior Landscaping</t>
  </si>
  <si>
    <t>SE11-80</t>
  </si>
  <si>
    <t>Pour Driveway &amp; Walkways</t>
  </si>
  <si>
    <t>SE11-81</t>
  </si>
  <si>
    <t>Install Exterior Landscaping</t>
  </si>
  <si>
    <t>SE11-82</t>
  </si>
  <si>
    <t>Final Site Survey</t>
  </si>
  <si>
    <t>SE11-83</t>
  </si>
  <si>
    <t>Deck and Patio Inspection</t>
  </si>
  <si>
    <t>Grey</t>
  </si>
  <si>
    <t>SE11-84</t>
  </si>
  <si>
    <t>Interior &amp; Exterior Touch-ups</t>
  </si>
  <si>
    <t>SE11-85</t>
  </si>
  <si>
    <t>C of O Final Inspection</t>
  </si>
  <si>
    <t>SE11-86</t>
  </si>
  <si>
    <t>Obtain Certificate of Occupancy</t>
  </si>
  <si>
    <t>SE11-87</t>
  </si>
  <si>
    <t>Moving Services (1 Week)</t>
  </si>
  <si>
    <t>SE11-88</t>
  </si>
  <si>
    <t>Final Touch-ups &amp; Repairs</t>
  </si>
  <si>
    <t>SE11-89</t>
  </si>
  <si>
    <t>Cleanup &amp; Debris Removal</t>
  </si>
  <si>
    <t>SE11-90</t>
  </si>
  <si>
    <t>Final Punchlist Walk-Through</t>
  </si>
  <si>
    <t>`</t>
  </si>
  <si>
    <t>11 Clinton Lane - Unit / Material Cost</t>
  </si>
  <si>
    <t>Current Date:</t>
  </si>
  <si>
    <t>Total Project Duation (Hrs)</t>
  </si>
  <si>
    <t>Project Start:</t>
  </si>
  <si>
    <t>Expected Completion Date</t>
  </si>
  <si>
    <t>Lot Size</t>
  </si>
  <si>
    <t>Construction Cost</t>
  </si>
  <si>
    <t>Builder Grade (%)</t>
  </si>
  <si>
    <t>Building SF</t>
  </si>
  <si>
    <t>GC Fee (%)</t>
  </si>
  <si>
    <t>Market Grade (%)</t>
  </si>
  <si>
    <t># of Stories</t>
  </si>
  <si>
    <t>Punchlist Fee (%)</t>
  </si>
  <si>
    <t>Punchlist Grade (%)</t>
  </si>
  <si>
    <t>Above Grade SF</t>
  </si>
  <si>
    <t>Total Project Cost</t>
  </si>
  <si>
    <t>Design Grade (%)</t>
  </si>
  <si>
    <t>Below Grade SF</t>
  </si>
  <si>
    <t>$ per SF Cost</t>
  </si>
  <si>
    <t>Luxuary Grade (%)</t>
  </si>
  <si>
    <t>Unit / Service Desciption</t>
  </si>
  <si>
    <t>Unit Cost (1)</t>
  </si>
  <si>
    <t>% Market Grade</t>
  </si>
  <si>
    <t>Unit Cost + Grade</t>
  </si>
  <si>
    <t>Total Units / SF</t>
  </si>
  <si>
    <t>Labor Rate (Hr)</t>
  </si>
  <si>
    <t>Expected Hours</t>
  </si>
  <si>
    <t>Instillation Cost</t>
  </si>
  <si>
    <t>Total Unit Cost</t>
  </si>
  <si>
    <t>Waste (10.00%)</t>
  </si>
  <si>
    <t>Final Unit Cost</t>
  </si>
  <si>
    <t>Initiative Key</t>
  </si>
  <si>
    <t>Aluminum Sheathing</t>
  </si>
  <si>
    <t>Appliances (36" Range)</t>
  </si>
  <si>
    <t>Appliances (48” Range)</t>
  </si>
  <si>
    <t>Appliances (60" Range)</t>
  </si>
  <si>
    <t>Appliances (Dishwasher)</t>
  </si>
  <si>
    <t>Appliances (30" Oven)</t>
  </si>
  <si>
    <t>Appliances (30" Oven x2)</t>
  </si>
  <si>
    <t>Appliances (Microwave)</t>
  </si>
  <si>
    <t>Appliances (Range, Electic)</t>
  </si>
  <si>
    <t>Appliances (Range, Gas)</t>
  </si>
  <si>
    <t>Appliances (Range, Induction)</t>
  </si>
  <si>
    <t>Appliances (Freezer)</t>
  </si>
  <si>
    <t>Appliances (Fridge)</t>
  </si>
  <si>
    <t>Appliances (Fridge / Freezer)</t>
  </si>
  <si>
    <t>Appliances (Fridge / Mini)</t>
  </si>
  <si>
    <t>Appliances (Warming Drawer)</t>
  </si>
  <si>
    <t>Approvals (Architectual)</t>
  </si>
  <si>
    <t>Approvals (Building Permits)</t>
  </si>
  <si>
    <t>Approvals (Engineering)</t>
  </si>
  <si>
    <t>Approvals (Landscaping)</t>
  </si>
  <si>
    <t>Approvals (Zoning)</t>
  </si>
  <si>
    <t>Approvals (Site-Plan)</t>
  </si>
  <si>
    <t>Cabinetry (Kitchen / Bath)</t>
  </si>
  <si>
    <t>Countertops (Quartz)</t>
  </si>
  <si>
    <t>Countertops (Grantie)</t>
  </si>
  <si>
    <t>Copper (Gutters)</t>
  </si>
  <si>
    <t>Copper (Wiring)</t>
  </si>
  <si>
    <t>Cultec (Storm Water)</t>
  </si>
  <si>
    <t>Deck (Hardwood)</t>
  </si>
  <si>
    <t>Deck (Vinyl)</t>
  </si>
  <si>
    <t>Driveway (Asphault)</t>
  </si>
  <si>
    <t>Driveway (Crushed Gravel)</t>
  </si>
  <si>
    <t>Driveway (Pavers)</t>
  </si>
  <si>
    <t>Electrical (Circuit Breaker)</t>
  </si>
  <si>
    <t>Electrical (Generator)</t>
  </si>
  <si>
    <t>Flooring (Carpet)</t>
  </si>
  <si>
    <t>Flooring (Hardwood)</t>
  </si>
  <si>
    <t>Flooring (LVF)</t>
  </si>
  <si>
    <t>Flooring (Wood Stain)</t>
  </si>
  <si>
    <t>Flooring (Wood Stain #2)</t>
  </si>
  <si>
    <t>Flooring (Stone)</t>
  </si>
  <si>
    <t>Flooring (Vinyl)</t>
  </si>
  <si>
    <t>Foundations (Concrete)</t>
  </si>
  <si>
    <t>Foundations (Steel)</t>
  </si>
  <si>
    <t>Hardware (Blinds)</t>
  </si>
  <si>
    <t>Hardware (Door Knobs)</t>
  </si>
  <si>
    <t>Hardware (Doors)</t>
  </si>
  <si>
    <t>Hardware (Shades)</t>
  </si>
  <si>
    <t>Hardware (Windows)</t>
  </si>
  <si>
    <t>HVAC (Central AC)</t>
  </si>
  <si>
    <t>HVAC (Heated Floors)</t>
  </si>
  <si>
    <t>HVAC (Split System)</t>
  </si>
  <si>
    <t>HVAC (Duct Wok)</t>
  </si>
  <si>
    <t>Insulation (Foam)</t>
  </si>
  <si>
    <t>Insulation (Fiber Glass)</t>
  </si>
  <si>
    <t>Landscaping (Dirt)</t>
  </si>
  <si>
    <t>Landscaping (Grass Seed)</t>
  </si>
  <si>
    <t>Landscaping (Grass Sod)</t>
  </si>
  <si>
    <t>Landscaping (Mailbox)</t>
  </si>
  <si>
    <t>Landscaping (Rock)</t>
  </si>
  <si>
    <t>Landscaping (Shade Trees)</t>
  </si>
  <si>
    <t>Landscaping (Shrubs)</t>
  </si>
  <si>
    <t>Light Switches</t>
  </si>
  <si>
    <t>Lighting Fixtures</t>
  </si>
  <si>
    <t>Machinery (Light)</t>
  </si>
  <si>
    <t>Municipal Inspection</t>
  </si>
  <si>
    <t>Paint (2nd Coat)</t>
  </si>
  <si>
    <t>Paint (1st Coat / Primer)</t>
  </si>
  <si>
    <t>Patio (Blue Stone)</t>
  </si>
  <si>
    <t>Patio (Brick)</t>
  </si>
  <si>
    <t>Patio (Gravel)</t>
  </si>
  <si>
    <t>Plywood / Subboard</t>
  </si>
  <si>
    <t>Project Fee (Architect)</t>
  </si>
  <si>
    <t>Project Fee (Designer)</t>
  </si>
  <si>
    <t>Project Fee (GC)</t>
  </si>
  <si>
    <t>Project Fee (Punchlist)</t>
  </si>
  <si>
    <t>PVC Pipes</t>
  </si>
  <si>
    <t>Recessed Lighting</t>
  </si>
  <si>
    <t>Sealant (Caulking)</t>
  </si>
  <si>
    <t>Site Survey (1st Visit)</t>
  </si>
  <si>
    <t>Site Survey (C of O)</t>
  </si>
  <si>
    <t>Sheetrock</t>
  </si>
  <si>
    <t>Shelving (Closets)</t>
  </si>
  <si>
    <t>Shingels (Asphalt)</t>
  </si>
  <si>
    <t>Shingels (Metal)</t>
  </si>
  <si>
    <t>Shingels (Slate)</t>
  </si>
  <si>
    <t>Shingles (Wood)</t>
  </si>
  <si>
    <t>Siding (Brick)</t>
  </si>
  <si>
    <t>Siding (Hardie Board)</t>
  </si>
  <si>
    <t>Siding (Shutters)</t>
  </si>
  <si>
    <t>Siding (Stone)</t>
  </si>
  <si>
    <t>Siding (Wood)</t>
  </si>
  <si>
    <t>Support Beams (Steel)</t>
  </si>
  <si>
    <t>Support Beams (Wood)</t>
  </si>
  <si>
    <t>Trim (Baseboard Molding)</t>
  </si>
  <si>
    <t>Trim (Crown Molding)</t>
  </si>
  <si>
    <t>Trim (2" x 4")</t>
  </si>
  <si>
    <t>Trim (Finishes)</t>
  </si>
  <si>
    <t>Temporary Utilities</t>
  </si>
  <si>
    <t>Tyveck / Waterproofing</t>
  </si>
  <si>
    <t>Vanity (Bathtub)</t>
  </si>
  <si>
    <t>Vanity (Bathtub / Shower)</t>
  </si>
  <si>
    <t>Vanity (Bidet)</t>
  </si>
  <si>
    <t>Vanity (Double Sink)</t>
  </si>
  <si>
    <t>Vanity (Shower)</t>
  </si>
  <si>
    <t>Vanity (Sink)</t>
  </si>
  <si>
    <t>11 Clinton Lane - Instillation Cost</t>
  </si>
  <si>
    <t>Hourly - Architectual</t>
  </si>
  <si>
    <t>Professional Hourly</t>
  </si>
  <si>
    <t>Hourly - Design</t>
  </si>
  <si>
    <t>Punchlist Hourly</t>
  </si>
  <si>
    <t>Hourly - GC</t>
  </si>
  <si>
    <t>Total Instillation Cost</t>
  </si>
  <si>
    <t>Hourly - Punchlist</t>
  </si>
  <si>
    <t>AVG Hourly Rate</t>
  </si>
  <si>
    <t>Instillation - Aluminum Sheathing</t>
  </si>
  <si>
    <t>Instillation - Appliances (36" Range)</t>
  </si>
  <si>
    <t>Instillation - Appliances (48” Range)</t>
  </si>
  <si>
    <t>Instillation - Appliances (60" Range)</t>
  </si>
  <si>
    <t>Instillation - Appliances (Dishwasher)</t>
  </si>
  <si>
    <t>Instillation - Appliances (30" Oven)</t>
  </si>
  <si>
    <t>Instillation - Appliances (30" Oven x2)</t>
  </si>
  <si>
    <t>Instillation - Appliances (Microwave)</t>
  </si>
  <si>
    <t>Instillation - Appliances (Range, Electic)</t>
  </si>
  <si>
    <t>Instillation - Appliances (Range, Gas)</t>
  </si>
  <si>
    <t>Instillation - Appliances (Range, Induction)</t>
  </si>
  <si>
    <t>Instillation - Appliances (Freezer)</t>
  </si>
  <si>
    <t>Instillation - Appliances (Fridge)</t>
  </si>
  <si>
    <t>Instillation - Appliances (Fridge / Freezer)</t>
  </si>
  <si>
    <t>Instillation - Appliances (Fridge / Mini)</t>
  </si>
  <si>
    <t>Instillation - Appliances (Warming Drawer)</t>
  </si>
  <si>
    <t>Instillation - Cabinetry (Kitchen)</t>
  </si>
  <si>
    <t>Instillation - Copper (Gutters)</t>
  </si>
  <si>
    <t>Instillation - Copper (Wiring)</t>
  </si>
  <si>
    <t>Instillation - Counter Tops</t>
  </si>
  <si>
    <t>Instillation - Deck (Hardwood)</t>
  </si>
  <si>
    <t>Instillation - Deck (Vinyl)</t>
  </si>
  <si>
    <t>Instillation - Driveway (Asphault)</t>
  </si>
  <si>
    <t>Instillation - Driveway (Crushed Gravel)</t>
  </si>
  <si>
    <t>Instillation - Driveway (Pavers)</t>
  </si>
  <si>
    <t>Instillation - Electrical (Circuit Breaker)</t>
  </si>
  <si>
    <t>Instillation - Electrical (Generator)</t>
  </si>
  <si>
    <t>Instillation - Flooring (Carpet)</t>
  </si>
  <si>
    <t>Instillation - Flooring (Hardwood)</t>
  </si>
  <si>
    <t>Instillation - Flooring (LVF)</t>
  </si>
  <si>
    <t>Instillation - Flooring (Stain #1)</t>
  </si>
  <si>
    <t>Instillation - Flooring (Stain #2)</t>
  </si>
  <si>
    <t>Instillation - Flooring (Stone)</t>
  </si>
  <si>
    <t>Instillation - Flooring (Vinyl)</t>
  </si>
  <si>
    <t>Instillation - Foundations (Concrete)</t>
  </si>
  <si>
    <t>Instillation - Foundations (Steel)</t>
  </si>
  <si>
    <t>Instillation - Hardware (Blinds)</t>
  </si>
  <si>
    <t>Instillation - Hardware (Door Knobs)</t>
  </si>
  <si>
    <t>Instillation - Hardware (Doors)</t>
  </si>
  <si>
    <t>Instillation - Hardware (Shades)</t>
  </si>
  <si>
    <t>Instillation - Hardware (Widows)</t>
  </si>
  <si>
    <t>Instillation - HVAC (Central AC)</t>
  </si>
  <si>
    <t>Instillation - HVAC (Heated Floors)</t>
  </si>
  <si>
    <t>Instillation - HVAC (Split System)</t>
  </si>
  <si>
    <t>Instillation - HVAC (Duct Wok)</t>
  </si>
  <si>
    <t>Instillation - Insulation (Foam)</t>
  </si>
  <si>
    <t>Instillation - Insulation (Fiber Glass)</t>
  </si>
  <si>
    <t>Instillation - Landscaping (Dirt)</t>
  </si>
  <si>
    <t>Instillation - Landscaping (Grass Seed)</t>
  </si>
  <si>
    <t>Instillation - Landscaping (Grass Sod)</t>
  </si>
  <si>
    <t>Instillation - Landscaping (Mailbox)</t>
  </si>
  <si>
    <t>Instillation - Landscaping (Rock)</t>
  </si>
  <si>
    <t>Instillation - Landscaping (Shade Trees)</t>
  </si>
  <si>
    <t>Instillation - Landscaping (Shrubs)</t>
  </si>
  <si>
    <t>Instillation - Light Switches</t>
  </si>
  <si>
    <t>Instillation - Lighting Fixtures</t>
  </si>
  <si>
    <t>Instillation - Machinery</t>
  </si>
  <si>
    <t>Instillation - Paint (2nd Coat)</t>
  </si>
  <si>
    <t>Instillation - Paint (1st Coat / Primer)</t>
  </si>
  <si>
    <t>Instillation - Patio (Blue Stone)</t>
  </si>
  <si>
    <t>Instillation - Patio (Brick)</t>
  </si>
  <si>
    <t>Instillation - Patio (Gravel)</t>
  </si>
  <si>
    <t>Instillation - Plywood / Subboard</t>
  </si>
  <si>
    <t>Instillation - PVC Pipes</t>
  </si>
  <si>
    <t>Instillation - Recessed Lighting</t>
  </si>
  <si>
    <t>Instillation - Sealant (Caulking)</t>
  </si>
  <si>
    <t>Instillation - Sheetrock</t>
  </si>
  <si>
    <t>Instillation - Shelving (Closets)</t>
  </si>
  <si>
    <t>Instillation - Shingels (Asphalt)</t>
  </si>
  <si>
    <t>Instillation - Shinges (Metal)</t>
  </si>
  <si>
    <t>Instillation - Shinges (Slate)</t>
  </si>
  <si>
    <t>Instillation - Shingles (Wood)</t>
  </si>
  <si>
    <t>Instillation - Siding (Brick)</t>
  </si>
  <si>
    <t>Instillation - Siding (Hardie Board)</t>
  </si>
  <si>
    <t>Instillation - Siding (Shutters)</t>
  </si>
  <si>
    <t>Instillation - Siding (Stone)</t>
  </si>
  <si>
    <t>Instillation - Siding (Wood)</t>
  </si>
  <si>
    <t>Instillation - Support Beams (Steel)</t>
  </si>
  <si>
    <t>Instillation - Support Beams (Wood)</t>
  </si>
  <si>
    <t>Instillation - Trim (Baseboard Molding)</t>
  </si>
  <si>
    <t>Instillation - Trim (Crown Molding)</t>
  </si>
  <si>
    <t>Instillation - Trim (2" x 4")</t>
  </si>
  <si>
    <t>Instillation - Trim (Finishes)</t>
  </si>
  <si>
    <t>Instillation - Temporary Utilities</t>
  </si>
  <si>
    <t>Instillation - Tyveck / Waterproofing</t>
  </si>
  <si>
    <t>Instillation - Vanity (Bathtub)</t>
  </si>
  <si>
    <t>Instillation - Vanity (Bathtub/Shower)</t>
  </si>
  <si>
    <t>Instillation - Vanity (Bidet)</t>
  </si>
  <si>
    <t>Instillation - Vanity (Double Sink)</t>
  </si>
  <si>
    <t>Instillation - Vanity (Shower)</t>
  </si>
  <si>
    <t>Instillation - Vanity (Sink)</t>
  </si>
  <si>
    <t>Hourly - Building Permits</t>
  </si>
  <si>
    <t>Hourly - Clearing &amp; Site Grading</t>
  </si>
  <si>
    <t>Hourly - Demolition</t>
  </si>
  <si>
    <t>Hourly - Excavation</t>
  </si>
  <si>
    <t>Hourly - Form &amp; Pour (Concrete)</t>
  </si>
  <si>
    <t>Hourly - Project Fee (Architect)</t>
  </si>
  <si>
    <t>Hourly - Project Fee (Designer)</t>
  </si>
  <si>
    <t>Hourly - Project Fee (GC)</t>
  </si>
  <si>
    <t>Hourly - Project Fee (Punchlist)</t>
  </si>
  <si>
    <t>Hourly - Site Survey (1st Visit)</t>
  </si>
  <si>
    <t>Hourly - Site Survey (C of O)</t>
  </si>
  <si>
    <t>Hourly - Utilites (Con Edison)</t>
  </si>
  <si>
    <t>Hourly - Utilites (Tie-In)</t>
  </si>
  <si>
    <t>11 Clinton Lane - Total Project Cost</t>
  </si>
  <si>
    <t>Professional Fees</t>
  </si>
  <si>
    <t>Punchlist Fees</t>
  </si>
  <si>
    <t>Total Additional Fees</t>
  </si>
  <si>
    <t>Total Hours</t>
  </si>
  <si>
    <t>Color</t>
  </si>
  <si>
    <t>Dark Blue</t>
  </si>
  <si>
    <t>Cyan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</si>
</sst>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_(* #,##0_);_(* \(#,##0\);_(* &quot;-&quot;??_);_(@_)"/>
    <numFmt numFmtId="166" formatCode="&quot; &quot;* #,##0&quot; &quot;;&quot; &quot;* \(#,##0\);&quot; &quot;* &quot;-&quot;??&quot; &quot;"/>
  </numFmts>
  <fonts count="2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</font>
    <font>
      <b/>
      <sz val="12"/>
      <color indexed="8"/>
      <name val="Times New Roman"/>
    </font>
    <font>
      <sz val="12"/>
      <color indexed="8"/>
      <name val="Times New Roman"/>
    </font>
    <font>
      <b/>
      <sz val="12"/>
      <color indexed="9"/>
      <name val="Times New Roman"/>
    </font>
    <font>
      <sz val="12"/>
      <color rgb="FF000000"/>
      <name val="Times New Roman"/>
    </font>
    <font>
      <b/>
      <sz val="12"/>
      <color theme="1"/>
      <name val="Times New Roman"/>
    </font>
    <font>
      <b/>
      <sz val="12"/>
      <color theme="0"/>
      <name val="Times New Roman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</font>
    <font>
      <sz val="12"/>
      <color theme="3" tint="0.249977111117893"/>
      <name val="Times New Roman"/>
    </font>
    <font>
      <b/>
      <sz val="24"/>
      <color rgb="FF000000"/>
      <name val="Times New Roman"/>
    </font>
    <font>
      <sz val="24"/>
      <color theme="1"/>
      <name val="Times New Roman"/>
    </font>
    <font>
      <b/>
      <i/>
      <sz val="12"/>
      <color indexed="9"/>
      <name val="Times New Roman"/>
    </font>
    <font>
      <i/>
      <sz val="12"/>
      <color indexed="8"/>
      <name val="Times New Roman"/>
    </font>
    <font>
      <i/>
      <sz val="12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A25E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000000"/>
      </top>
      <bottom style="thin">
        <color theme="2" tint="-9.9978637043366805E-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A9A9A"/>
      </left>
      <right/>
      <top style="thin">
        <color rgb="FF000000"/>
      </top>
      <bottom style="thin">
        <color theme="2" tint="-9.9978637043366805E-2"/>
      </bottom>
      <diagonal/>
    </border>
    <border>
      <left style="thin">
        <color rgb="FF9A9A9A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9A9A9A"/>
      </left>
      <right/>
      <top style="thin">
        <color theme="2" tint="-9.9978637043366805E-2"/>
      </top>
      <bottom style="thin">
        <color rgb="FF9A9A9A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2" tint="-9.9978637043366805E-2"/>
      </right>
      <top style="thin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rgb="FF000000"/>
      </top>
      <bottom style="thin">
        <color theme="2" tint="-9.9978637043366805E-2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1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1"/>
      </bottom>
      <diagonal/>
    </border>
    <border>
      <left style="thin">
        <color theme="1"/>
      </left>
      <right style="thin">
        <color theme="2" tint="-9.9978637043366805E-2"/>
      </right>
      <top style="thin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1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vertical="center"/>
    </xf>
    <xf numFmtId="164" fontId="3" fillId="0" borderId="0" xfId="0" applyNumberFormat="1" applyFont="1" applyAlignment="1">
      <alignment vertical="center"/>
    </xf>
    <xf numFmtId="49" fontId="7" fillId="10" borderId="0" xfId="0" applyNumberFormat="1" applyFont="1" applyFill="1" applyAlignment="1">
      <alignment vertical="center"/>
    </xf>
    <xf numFmtId="0" fontId="7" fillId="10" borderId="0" xfId="0" applyFont="1" applyFill="1" applyAlignment="1">
      <alignment vertical="center"/>
    </xf>
    <xf numFmtId="49" fontId="6" fillId="10" borderId="0" xfId="0" applyNumberFormat="1" applyFont="1" applyFill="1" applyAlignment="1">
      <alignment vertical="center"/>
    </xf>
    <xf numFmtId="14" fontId="7" fillId="10" borderId="0" xfId="0" applyNumberFormat="1" applyFont="1" applyFill="1" applyAlignment="1">
      <alignment horizontal="right" vertical="center"/>
    </xf>
    <xf numFmtId="14" fontId="7" fillId="10" borderId="0" xfId="0" applyNumberFormat="1" applyFont="1" applyFill="1" applyAlignment="1">
      <alignment vertical="center"/>
    </xf>
    <xf numFmtId="14" fontId="7" fillId="10" borderId="0" xfId="0" applyNumberFormat="1" applyFont="1" applyFill="1" applyAlignment="1">
      <alignment horizontal="left" vertical="center"/>
    </xf>
    <xf numFmtId="166" fontId="7" fillId="10" borderId="0" xfId="0" applyNumberFormat="1" applyFont="1" applyFill="1" applyAlignment="1">
      <alignment vertical="center"/>
    </xf>
    <xf numFmtId="166" fontId="7" fillId="1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6" fontId="7" fillId="0" borderId="2" xfId="0" applyNumberFormat="1" applyFont="1" applyBorder="1" applyAlignment="1">
      <alignment horizontal="right" vertical="center" wrapText="1"/>
    </xf>
    <xf numFmtId="8" fontId="9" fillId="0" borderId="2" xfId="0" applyNumberFormat="1" applyFont="1" applyBorder="1" applyAlignment="1">
      <alignment vertical="center"/>
    </xf>
    <xf numFmtId="166" fontId="7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vertical="center" wrapText="1"/>
    </xf>
    <xf numFmtId="164" fontId="6" fillId="0" borderId="2" xfId="0" applyNumberFormat="1" applyFont="1" applyBorder="1" applyAlignment="1">
      <alignment vertical="center"/>
    </xf>
    <xf numFmtId="0" fontId="9" fillId="0" borderId="3" xfId="0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right" vertical="center" wrapText="1"/>
    </xf>
    <xf numFmtId="8" fontId="9" fillId="0" borderId="4" xfId="0" applyNumberFormat="1" applyFont="1" applyBorder="1" applyAlignment="1">
      <alignment vertical="center"/>
    </xf>
    <xf numFmtId="166" fontId="7" fillId="0" borderId="4" xfId="0" applyNumberFormat="1" applyFont="1" applyBorder="1" applyAlignment="1">
      <alignment horizontal="right" vertical="center"/>
    </xf>
    <xf numFmtId="0" fontId="6" fillId="10" borderId="0" xfId="0" applyFont="1" applyFill="1" applyAlignment="1">
      <alignment vertical="center"/>
    </xf>
    <xf numFmtId="164" fontId="7" fillId="10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49" fontId="8" fillId="2" borderId="5" xfId="0" applyNumberFormat="1" applyFont="1" applyFill="1" applyBorder="1" applyAlignment="1">
      <alignment vertical="center"/>
    </xf>
    <xf numFmtId="10" fontId="5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49" fontId="6" fillId="9" borderId="9" xfId="0" applyNumberFormat="1" applyFont="1" applyFill="1" applyBorder="1" applyAlignment="1">
      <alignment vertical="center"/>
    </xf>
    <xf numFmtId="49" fontId="6" fillId="9" borderId="6" xfId="0" applyNumberFormat="1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horizontal="right" vertical="center"/>
    </xf>
    <xf numFmtId="49" fontId="8" fillId="2" borderId="10" xfId="0" applyNumberFormat="1" applyFont="1" applyFill="1" applyBorder="1" applyAlignment="1">
      <alignment horizontal="right" vertical="center"/>
    </xf>
    <xf numFmtId="10" fontId="15" fillId="10" borderId="0" xfId="0" applyNumberFormat="1" applyFont="1" applyFill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14" fontId="12" fillId="0" borderId="8" xfId="0" applyNumberFormat="1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164" fontId="12" fillId="0" borderId="8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164" fontId="13" fillId="0" borderId="2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164" fontId="12" fillId="0" borderId="2" xfId="0" applyNumberFormat="1" applyFont="1" applyBorder="1" applyAlignment="1">
      <alignment horizontal="right" vertical="center"/>
    </xf>
    <xf numFmtId="0" fontId="14" fillId="0" borderId="12" xfId="0" applyFont="1" applyBorder="1"/>
    <xf numFmtId="0" fontId="9" fillId="0" borderId="13" xfId="0" applyFont="1" applyBorder="1"/>
    <xf numFmtId="0" fontId="14" fillId="0" borderId="13" xfId="0" applyFont="1" applyBorder="1"/>
    <xf numFmtId="0" fontId="14" fillId="0" borderId="14" xfId="0" applyFont="1" applyBorder="1"/>
    <xf numFmtId="0" fontId="2" fillId="2" borderId="1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3" xfId="0" applyFont="1" applyBorder="1" applyAlignment="1">
      <alignment horizontal="right" vertical="center"/>
    </xf>
    <xf numFmtId="0" fontId="12" fillId="0" borderId="18" xfId="0" applyFont="1" applyBorder="1" applyAlignment="1">
      <alignment vertical="center"/>
    </xf>
    <xf numFmtId="0" fontId="12" fillId="0" borderId="3" xfId="0" applyFont="1" applyBorder="1" applyAlignment="1">
      <alignment horizontal="right" vertical="center"/>
    </xf>
    <xf numFmtId="0" fontId="12" fillId="0" borderId="1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164" fontId="12" fillId="0" borderId="4" xfId="0" applyNumberFormat="1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10" fontId="9" fillId="0" borderId="2" xfId="0" applyNumberFormat="1" applyFont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8" fontId="9" fillId="0" borderId="21" xfId="0" applyNumberFormat="1" applyFont="1" applyBorder="1" applyAlignment="1">
      <alignment vertical="center"/>
    </xf>
    <xf numFmtId="10" fontId="9" fillId="0" borderId="22" xfId="0" applyNumberFormat="1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166" fontId="7" fillId="0" borderId="22" xfId="0" applyNumberFormat="1" applyFont="1" applyBorder="1" applyAlignment="1">
      <alignment horizontal="right" vertical="center"/>
    </xf>
    <xf numFmtId="8" fontId="9" fillId="0" borderId="22" xfId="0" applyNumberFormat="1" applyFont="1" applyBorder="1" applyAlignment="1">
      <alignment vertical="center"/>
    </xf>
    <xf numFmtId="164" fontId="7" fillId="0" borderId="22" xfId="0" applyNumberFormat="1" applyFont="1" applyBorder="1" applyAlignment="1">
      <alignment vertical="center" wrapText="1"/>
    </xf>
    <xf numFmtId="0" fontId="9" fillId="0" borderId="23" xfId="0" applyFont="1" applyBorder="1" applyAlignment="1">
      <alignment horizontal="right" vertical="center"/>
    </xf>
    <xf numFmtId="8" fontId="9" fillId="0" borderId="18" xfId="0" applyNumberFormat="1" applyFont="1" applyBorder="1" applyAlignment="1">
      <alignment vertical="center"/>
    </xf>
    <xf numFmtId="8" fontId="9" fillId="0" borderId="19" xfId="0" applyNumberFormat="1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right" vertical="center"/>
    </xf>
    <xf numFmtId="166" fontId="19" fillId="0" borderId="22" xfId="0" applyNumberFormat="1" applyFont="1" applyBorder="1" applyAlignment="1">
      <alignment horizontal="right" vertical="center"/>
    </xf>
    <xf numFmtId="166" fontId="19" fillId="0" borderId="2" xfId="0" applyNumberFormat="1" applyFont="1" applyBorder="1" applyAlignment="1">
      <alignment horizontal="right" vertical="center"/>
    </xf>
    <xf numFmtId="10" fontId="9" fillId="0" borderId="4" xfId="0" applyNumberFormat="1" applyFont="1" applyBorder="1" applyAlignment="1">
      <alignment vertical="center"/>
    </xf>
    <xf numFmtId="164" fontId="7" fillId="0" borderId="4" xfId="0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/>
    </xf>
    <xf numFmtId="8" fontId="20" fillId="0" borderId="22" xfId="0" applyNumberFormat="1" applyFont="1" applyBorder="1" applyAlignment="1">
      <alignment vertical="center"/>
    </xf>
    <xf numFmtId="8" fontId="20" fillId="0" borderId="2" xfId="0" applyNumberFormat="1" applyFont="1" applyBorder="1" applyAlignment="1">
      <alignment vertical="center"/>
    </xf>
    <xf numFmtId="8" fontId="20" fillId="0" borderId="4" xfId="0" applyNumberFormat="1" applyFont="1" applyBorder="1" applyAlignment="1">
      <alignment vertical="center"/>
    </xf>
    <xf numFmtId="166" fontId="19" fillId="0" borderId="4" xfId="0" applyNumberFormat="1" applyFont="1" applyBorder="1" applyAlignment="1">
      <alignment horizontal="right" vertical="center"/>
    </xf>
    <xf numFmtId="8" fontId="20" fillId="0" borderId="21" xfId="0" applyNumberFormat="1" applyFont="1" applyBorder="1" applyAlignment="1">
      <alignment vertical="center"/>
    </xf>
    <xf numFmtId="10" fontId="20" fillId="0" borderId="22" xfId="0" applyNumberFormat="1" applyFont="1" applyBorder="1" applyAlignment="1">
      <alignment vertical="center"/>
    </xf>
    <xf numFmtId="164" fontId="20" fillId="0" borderId="22" xfId="0" applyNumberFormat="1" applyFont="1" applyBorder="1" applyAlignment="1">
      <alignment vertical="center"/>
    </xf>
    <xf numFmtId="8" fontId="20" fillId="0" borderId="18" xfId="0" applyNumberFormat="1" applyFont="1" applyBorder="1" applyAlignment="1">
      <alignment vertical="center"/>
    </xf>
    <xf numFmtId="10" fontId="20" fillId="0" borderId="2" xfId="0" applyNumberFormat="1" applyFont="1" applyBorder="1" applyAlignment="1">
      <alignment vertical="center"/>
    </xf>
    <xf numFmtId="164" fontId="20" fillId="0" borderId="2" xfId="0" applyNumberFormat="1" applyFont="1" applyBorder="1" applyAlignment="1">
      <alignment vertical="center"/>
    </xf>
    <xf numFmtId="8" fontId="20" fillId="0" borderId="19" xfId="0" applyNumberFormat="1" applyFont="1" applyBorder="1" applyAlignment="1">
      <alignment vertical="center"/>
    </xf>
    <xf numFmtId="10" fontId="20" fillId="0" borderId="4" xfId="0" applyNumberFormat="1" applyFont="1" applyBorder="1" applyAlignment="1">
      <alignment vertical="center"/>
    </xf>
    <xf numFmtId="164" fontId="20" fillId="0" borderId="4" xfId="0" applyNumberFormat="1" applyFont="1" applyBorder="1" applyAlignment="1">
      <alignment vertical="center"/>
    </xf>
    <xf numFmtId="164" fontId="19" fillId="0" borderId="22" xfId="0" applyNumberFormat="1" applyFont="1" applyBorder="1" applyAlignment="1">
      <alignment vertical="center" wrapText="1"/>
    </xf>
    <xf numFmtId="164" fontId="19" fillId="0" borderId="2" xfId="0" applyNumberFormat="1" applyFont="1" applyBorder="1" applyAlignment="1">
      <alignment vertical="center" wrapText="1"/>
    </xf>
    <xf numFmtId="164" fontId="19" fillId="0" borderId="4" xfId="0" applyNumberFormat="1" applyFont="1" applyBorder="1" applyAlignment="1">
      <alignment vertical="center" wrapText="1"/>
    </xf>
    <xf numFmtId="164" fontId="15" fillId="10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vertical="center" wrapText="1"/>
    </xf>
    <xf numFmtId="49" fontId="8" fillId="2" borderId="15" xfId="0" applyNumberFormat="1" applyFont="1" applyFill="1" applyBorder="1" applyAlignment="1">
      <alignment vertical="center"/>
    </xf>
    <xf numFmtId="0" fontId="5" fillId="12" borderId="0" xfId="0" applyFont="1" applyFill="1" applyAlignment="1">
      <alignment vertical="center"/>
    </xf>
    <xf numFmtId="164" fontId="5" fillId="12" borderId="0" xfId="0" applyNumberFormat="1" applyFont="1" applyFill="1" applyAlignment="1">
      <alignment vertical="center"/>
    </xf>
    <xf numFmtId="0" fontId="6" fillId="12" borderId="0" xfId="0" applyFont="1" applyFill="1" applyAlignment="1">
      <alignment vertical="center"/>
    </xf>
    <xf numFmtId="164" fontId="10" fillId="12" borderId="1" xfId="0" applyNumberFormat="1" applyFont="1" applyFill="1" applyBorder="1" applyAlignment="1">
      <alignment vertical="center"/>
    </xf>
    <xf numFmtId="0" fontId="10" fillId="12" borderId="0" xfId="0" applyFont="1" applyFill="1" applyAlignment="1">
      <alignment vertical="center"/>
    </xf>
    <xf numFmtId="164" fontId="5" fillId="12" borderId="1" xfId="0" applyNumberFormat="1" applyFont="1" applyFill="1" applyBorder="1" applyAlignment="1">
      <alignment vertical="center"/>
    </xf>
    <xf numFmtId="10" fontId="15" fillId="12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0" fontId="14" fillId="9" borderId="15" xfId="0" applyFont="1" applyFill="1" applyBorder="1" applyAlignment="1">
      <alignment vertical="center"/>
    </xf>
    <xf numFmtId="0" fontId="14" fillId="9" borderId="9" xfId="0" applyFont="1" applyFill="1" applyBorder="1" applyAlignment="1">
      <alignment vertical="center"/>
    </xf>
    <xf numFmtId="0" fontId="14" fillId="9" borderId="6" xfId="0" applyFont="1" applyFill="1" applyBorder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9" fontId="16" fillId="12" borderId="0" xfId="0" applyNumberFormat="1" applyFont="1" applyFill="1" applyAlignment="1">
      <alignment horizontal="left" vertical="center"/>
    </xf>
    <xf numFmtId="0" fontId="17" fillId="12" borderId="0" xfId="0" applyFont="1" applyFill="1" applyAlignment="1">
      <alignment horizontal="left" vertical="center"/>
    </xf>
    <xf numFmtId="49" fontId="16" fillId="10" borderId="0" xfId="0" applyNumberFormat="1" applyFont="1" applyFill="1" applyAlignment="1">
      <alignment horizontal="left" vertical="center"/>
    </xf>
    <xf numFmtId="0" fontId="17" fillId="10" borderId="0" xfId="0" applyFont="1" applyFill="1" applyAlignment="1">
      <alignment horizontal="left" vertical="center"/>
    </xf>
    <xf numFmtId="164" fontId="10" fillId="11" borderId="6" xfId="0" applyNumberFormat="1" applyFont="1" applyFill="1" applyBorder="1" applyAlignment="1">
      <alignment horizontal="center" vertical="center"/>
    </xf>
    <xf numFmtId="164" fontId="5" fillId="11" borderId="7" xfId="0" applyNumberFormat="1" applyFont="1" applyFill="1" applyBorder="1" applyAlignment="1">
      <alignment horizontal="center" vertical="center"/>
    </xf>
    <xf numFmtId="164" fontId="5" fillId="11" borderId="6" xfId="0" applyNumberFormat="1" applyFont="1" applyFill="1" applyBorder="1" applyAlignment="1">
      <alignment horizontal="center" vertical="center"/>
    </xf>
    <xf numFmtId="164" fontId="10" fillId="11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1"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Medium9"/>
  <colors>
    <mruColors>
      <color rgb="FF00FFFC"/>
      <color rgb="FFA25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"/>
  <sheetViews>
    <sheetView workbookViewId="0">
      <selection activeCell="I13" sqref="I13"/>
    </sheetView>
  </sheetViews>
  <sheetFormatPr defaultColWidth="8.85546875" defaultRowHeight="15"/>
  <cols>
    <col min="1" max="1" width="9.42578125" bestFit="1" customWidth="1"/>
    <col min="2" max="2" width="43" bestFit="1" customWidth="1"/>
    <col min="3" max="3" width="7.140625" style="1" bestFit="1" customWidth="1"/>
    <col min="4" max="4" width="8.28515625" style="1" bestFit="1" customWidth="1"/>
    <col min="5" max="8" width="15.7109375" customWidth="1"/>
    <col min="9" max="10" width="15.7109375" style="2" customWidth="1"/>
    <col min="11" max="11" width="5.7109375" bestFit="1" customWidth="1"/>
  </cols>
  <sheetData>
    <row r="1" spans="1:12" ht="15.75">
      <c r="A1" s="54" t="s">
        <v>0</v>
      </c>
      <c r="B1" s="71" t="s">
        <v>1</v>
      </c>
      <c r="C1" s="72" t="s">
        <v>2</v>
      </c>
      <c r="D1" s="72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4" t="s">
        <v>8</v>
      </c>
      <c r="J1" s="74" t="s">
        <v>9</v>
      </c>
      <c r="K1" s="75" t="s">
        <v>10</v>
      </c>
    </row>
    <row r="2" spans="1:12" ht="15.75">
      <c r="A2" s="67" t="s">
        <v>11</v>
      </c>
      <c r="B2" s="76" t="s">
        <v>12</v>
      </c>
      <c r="C2" s="55" t="s">
        <v>13</v>
      </c>
      <c r="D2" s="55" t="b">
        <v>0</v>
      </c>
      <c r="E2" s="56">
        <v>45658</v>
      </c>
      <c r="F2" s="56">
        <f>E2+G2</f>
        <v>45665</v>
      </c>
      <c r="G2" s="57">
        <v>7</v>
      </c>
      <c r="H2" s="57">
        <f>E2-$E$2</f>
        <v>0</v>
      </c>
      <c r="I2" s="58">
        <f>SUMIF('Pricing Info'!$L:$L,A2,'Pricing Info'!$K:$K)</f>
        <v>5500</v>
      </c>
      <c r="J2" s="58" t="s">
        <v>14</v>
      </c>
      <c r="K2" s="77">
        <v>0</v>
      </c>
      <c r="L2" s="3"/>
    </row>
    <row r="3" spans="1:12" ht="15.75">
      <c r="A3" s="68" t="s">
        <v>15</v>
      </c>
      <c r="B3" s="78" t="s">
        <v>16</v>
      </c>
      <c r="C3" s="59" t="s">
        <v>13</v>
      </c>
      <c r="D3" s="59" t="b">
        <f>D2</f>
        <v>0</v>
      </c>
      <c r="E3" s="60">
        <f>F2</f>
        <v>45665</v>
      </c>
      <c r="F3" s="60">
        <f t="shared" ref="F3:F81" si="0">E3+G3</f>
        <v>45672</v>
      </c>
      <c r="G3" s="61">
        <v>7</v>
      </c>
      <c r="H3" s="61">
        <f t="shared" ref="H3:H81" si="1">E3-$E$2</f>
        <v>7</v>
      </c>
      <c r="I3" s="62">
        <f>SUMIF('Pricing Info'!$L:$L,A3,'Pricing Info'!$K:$K)</f>
        <v>1100</v>
      </c>
      <c r="J3" s="62" t="str">
        <f>VLOOKUP(K3,'Color Code'!$A$2:$B$7,2,FALSE)</f>
        <v>Dark Blue</v>
      </c>
      <c r="K3" s="79">
        <v>1</v>
      </c>
      <c r="L3" s="3"/>
    </row>
    <row r="4" spans="1:12" ht="15.75">
      <c r="A4" s="68" t="s">
        <v>17</v>
      </c>
      <c r="B4" s="78" t="s">
        <v>18</v>
      </c>
      <c r="C4" s="59" t="s">
        <v>13</v>
      </c>
      <c r="D4" s="59" t="b">
        <f t="shared" ref="D4:D80" si="2">D3</f>
        <v>0</v>
      </c>
      <c r="E4" s="60">
        <f>F3</f>
        <v>45672</v>
      </c>
      <c r="F4" s="60">
        <f t="shared" si="0"/>
        <v>45673</v>
      </c>
      <c r="G4" s="61">
        <v>1</v>
      </c>
      <c r="H4" s="61">
        <f t="shared" si="1"/>
        <v>14</v>
      </c>
      <c r="I4" s="62">
        <f>SUMIF('Pricing Info'!$L:$L,A4,'Pricing Info'!$K:$K)</f>
        <v>0</v>
      </c>
      <c r="J4" s="62" t="str">
        <f>VLOOKUP(K4,'Color Code'!$A$2:$B$7,2,FALSE)</f>
        <v>Dark Blue</v>
      </c>
      <c r="K4" s="79">
        <v>1</v>
      </c>
      <c r="L4" s="3"/>
    </row>
    <row r="5" spans="1:12" ht="15.75">
      <c r="A5" s="68" t="s">
        <v>19</v>
      </c>
      <c r="B5" s="78" t="s">
        <v>20</v>
      </c>
      <c r="C5" s="59" t="s">
        <v>13</v>
      </c>
      <c r="D5" s="59" t="b">
        <f t="shared" si="2"/>
        <v>0</v>
      </c>
      <c r="E5" s="60">
        <f>E4</f>
        <v>45672</v>
      </c>
      <c r="F5" s="60">
        <f t="shared" si="0"/>
        <v>45673</v>
      </c>
      <c r="G5" s="61">
        <v>1</v>
      </c>
      <c r="H5" s="61">
        <f t="shared" si="1"/>
        <v>14</v>
      </c>
      <c r="I5" s="62">
        <f>SUMIF('Pricing Info'!$L:$L,A5,'Pricing Info'!$K:$K)</f>
        <v>0</v>
      </c>
      <c r="J5" s="62" t="str">
        <f>VLOOKUP(K5,'Color Code'!$A$2:$B$7,2,FALSE)</f>
        <v>Dark Blue</v>
      </c>
      <c r="K5" s="79">
        <v>1</v>
      </c>
      <c r="L5" s="3"/>
    </row>
    <row r="6" spans="1:12" ht="15.75">
      <c r="A6" s="68" t="s">
        <v>21</v>
      </c>
      <c r="B6" s="78" t="s">
        <v>22</v>
      </c>
      <c r="C6" s="59" t="s">
        <v>13</v>
      </c>
      <c r="D6" s="59" t="b">
        <f t="shared" si="2"/>
        <v>0</v>
      </c>
      <c r="E6" s="60">
        <f>F5</f>
        <v>45673</v>
      </c>
      <c r="F6" s="60">
        <f t="shared" ref="F6" si="3">E6+G6</f>
        <v>45674</v>
      </c>
      <c r="G6" s="61">
        <v>1</v>
      </c>
      <c r="H6" s="61">
        <f t="shared" ref="H6" si="4">E6-$E$2</f>
        <v>15</v>
      </c>
      <c r="I6" s="62">
        <f>SUMIF('Pricing Info'!$L:$L,A6,'Pricing Info'!$K:$K)</f>
        <v>0</v>
      </c>
      <c r="J6" s="62" t="str">
        <f>VLOOKUP(K6,'Color Code'!$A$2:$B$7,2,FALSE)</f>
        <v>Dark Blue</v>
      </c>
      <c r="K6" s="79">
        <v>1</v>
      </c>
      <c r="L6" s="3"/>
    </row>
    <row r="7" spans="1:12" ht="15.75">
      <c r="A7" s="68" t="s">
        <v>23</v>
      </c>
      <c r="B7" s="78" t="s">
        <v>24</v>
      </c>
      <c r="C7" s="59" t="s">
        <v>13</v>
      </c>
      <c r="D7" s="59" t="b">
        <f>D5</f>
        <v>0</v>
      </c>
      <c r="E7" s="60">
        <f>F6</f>
        <v>45674</v>
      </c>
      <c r="F7" s="60">
        <f t="shared" si="0"/>
        <v>45688</v>
      </c>
      <c r="G7" s="61">
        <v>14</v>
      </c>
      <c r="H7" s="61">
        <f t="shared" si="1"/>
        <v>16</v>
      </c>
      <c r="I7" s="62">
        <f>SUMIF('Pricing Info'!$L:$L,A7,'Pricing Info'!$K:$K)</f>
        <v>0</v>
      </c>
      <c r="J7" s="62" t="str">
        <f>VLOOKUP(K7,'Color Code'!$A$2:$B$7,2,FALSE)</f>
        <v>Light Blue</v>
      </c>
      <c r="K7" s="79">
        <v>2</v>
      </c>
      <c r="L7" s="3"/>
    </row>
    <row r="8" spans="1:12" ht="15.75">
      <c r="A8" s="68" t="s">
        <v>25</v>
      </c>
      <c r="B8" s="78" t="s">
        <v>26</v>
      </c>
      <c r="C8" s="59" t="s">
        <v>13</v>
      </c>
      <c r="D8" s="59" t="b">
        <f>D23</f>
        <v>0</v>
      </c>
      <c r="E8" s="60">
        <f>E7</f>
        <v>45674</v>
      </c>
      <c r="F8" s="60">
        <f>E8+G8</f>
        <v>45688</v>
      </c>
      <c r="G8" s="61">
        <v>14</v>
      </c>
      <c r="H8" s="61">
        <f>E8-$E$2</f>
        <v>16</v>
      </c>
      <c r="I8" s="62">
        <f>SUMIF('Pricing Info'!$L:$L,A8,'Pricing Info'!$K:$K)</f>
        <v>0</v>
      </c>
      <c r="J8" s="62" t="str">
        <f>VLOOKUP(K8,'Color Code'!$A$2:$B$7,2,FALSE)</f>
        <v>Light Blue</v>
      </c>
      <c r="K8" s="79">
        <v>2</v>
      </c>
    </row>
    <row r="9" spans="1:12" ht="15.75">
      <c r="A9" s="68" t="s">
        <v>27</v>
      </c>
      <c r="B9" s="78" t="s">
        <v>28</v>
      </c>
      <c r="C9" s="59" t="s">
        <v>13</v>
      </c>
      <c r="D9" s="59" t="b">
        <f>D7</f>
        <v>0</v>
      </c>
      <c r="E9" s="60">
        <f>E7</f>
        <v>45674</v>
      </c>
      <c r="F9" s="60">
        <f t="shared" si="0"/>
        <v>45688</v>
      </c>
      <c r="G9" s="61">
        <v>14</v>
      </c>
      <c r="H9" s="61">
        <f t="shared" ref="H9:H13" si="5">E9-$E$2</f>
        <v>16</v>
      </c>
      <c r="I9" s="62">
        <f>SUMIF('Pricing Info'!$L:$L,A9,'Pricing Info'!$K:$K)</f>
        <v>0</v>
      </c>
      <c r="J9" s="62" t="str">
        <f>VLOOKUP(K9,'Color Code'!$A$2:$B$7,2,FALSE)</f>
        <v>Light Blue</v>
      </c>
      <c r="K9" s="79">
        <v>2</v>
      </c>
      <c r="L9" s="3"/>
    </row>
    <row r="10" spans="1:12" ht="15.75">
      <c r="A10" s="68" t="s">
        <v>29</v>
      </c>
      <c r="B10" s="78" t="s">
        <v>30</v>
      </c>
      <c r="C10" s="59" t="s">
        <v>13</v>
      </c>
      <c r="D10" s="59" t="b">
        <v>0</v>
      </c>
      <c r="E10" s="60">
        <f>F9</f>
        <v>45688</v>
      </c>
      <c r="F10" s="60">
        <f t="shared" si="0"/>
        <v>45702</v>
      </c>
      <c r="G10" s="61">
        <v>14</v>
      </c>
      <c r="H10" s="61">
        <f t="shared" si="5"/>
        <v>30</v>
      </c>
      <c r="I10" s="62">
        <f>SUMIF('Pricing Info'!$L:$L,A10,'Pricing Info'!$K:$K)</f>
        <v>0</v>
      </c>
      <c r="J10" s="62" t="s">
        <v>31</v>
      </c>
      <c r="K10" s="79">
        <v>2</v>
      </c>
      <c r="L10" s="3"/>
    </row>
    <row r="11" spans="1:12" ht="15.75">
      <c r="A11" s="68" t="s">
        <v>32</v>
      </c>
      <c r="B11" s="78" t="s">
        <v>33</v>
      </c>
      <c r="C11" s="59" t="s">
        <v>13</v>
      </c>
      <c r="D11" s="59" t="b">
        <v>0</v>
      </c>
      <c r="E11" s="60">
        <f>F10</f>
        <v>45702</v>
      </c>
      <c r="F11" s="60">
        <f t="shared" si="0"/>
        <v>45732</v>
      </c>
      <c r="G11" s="61">
        <v>30</v>
      </c>
      <c r="H11" s="61">
        <f t="shared" si="5"/>
        <v>44</v>
      </c>
      <c r="I11" s="62">
        <f>SUMIF('Pricing Info'!$L:$L,A11,'Pricing Info'!$K:$K)</f>
        <v>16500</v>
      </c>
      <c r="J11" s="62" t="s">
        <v>31</v>
      </c>
      <c r="K11" s="79">
        <v>2</v>
      </c>
      <c r="L11" s="3"/>
    </row>
    <row r="12" spans="1:12" ht="15.75">
      <c r="A12" s="68" t="s">
        <v>34</v>
      </c>
      <c r="B12" s="78" t="s">
        <v>35</v>
      </c>
      <c r="C12" s="59" t="s">
        <v>13</v>
      </c>
      <c r="D12" s="59" t="b">
        <f>D9</f>
        <v>0</v>
      </c>
      <c r="E12" s="60">
        <f>F11</f>
        <v>45732</v>
      </c>
      <c r="F12" s="60">
        <f t="shared" si="0"/>
        <v>45746</v>
      </c>
      <c r="G12" s="61">
        <v>14</v>
      </c>
      <c r="H12" s="61">
        <f t="shared" si="5"/>
        <v>74</v>
      </c>
      <c r="I12" s="62">
        <f>SUMIF('Pricing Info'!$L:$L,A12,'Pricing Info'!$K:$K)</f>
        <v>275</v>
      </c>
      <c r="J12" s="62" t="str">
        <f>VLOOKUP(K12,'Color Code'!$A$2:$B$7,2,FALSE)</f>
        <v>Light Blue</v>
      </c>
      <c r="K12" s="79">
        <v>2</v>
      </c>
    </row>
    <row r="13" spans="1:12" ht="15.75">
      <c r="A13" s="68" t="s">
        <v>36</v>
      </c>
      <c r="B13" s="78" t="s">
        <v>37</v>
      </c>
      <c r="C13" s="59" t="s">
        <v>13</v>
      </c>
      <c r="D13" s="59" t="b">
        <f>D8</f>
        <v>0</v>
      </c>
      <c r="E13" s="60">
        <f>E12</f>
        <v>45732</v>
      </c>
      <c r="F13" s="60">
        <f>E13+G13</f>
        <v>45739</v>
      </c>
      <c r="G13" s="61">
        <v>7</v>
      </c>
      <c r="H13" s="61">
        <f t="shared" si="5"/>
        <v>74</v>
      </c>
      <c r="I13" s="62">
        <f>SUMIF('Pricing Info'!$L:$L,A13,'Pricing Info'!$K:$K)</f>
        <v>0</v>
      </c>
      <c r="J13" s="62" t="str">
        <f>VLOOKUP(K13,'Color Code'!$A$2:$B$7,2,FALSE)</f>
        <v>Light Blue</v>
      </c>
      <c r="K13" s="79">
        <v>2</v>
      </c>
    </row>
    <row r="14" spans="1:12" ht="15.75">
      <c r="A14" s="68" t="s">
        <v>38</v>
      </c>
      <c r="B14" s="78" t="s">
        <v>39</v>
      </c>
      <c r="C14" s="59" t="s">
        <v>13</v>
      </c>
      <c r="D14" s="59" t="b">
        <f>D12</f>
        <v>0</v>
      </c>
      <c r="E14" s="60">
        <f>E12</f>
        <v>45732</v>
      </c>
      <c r="F14" s="60">
        <f t="shared" si="0"/>
        <v>45739</v>
      </c>
      <c r="G14" s="61">
        <v>7</v>
      </c>
      <c r="H14" s="61">
        <f t="shared" si="1"/>
        <v>74</v>
      </c>
      <c r="I14" s="62">
        <f>SUMIF('Pricing Info'!$L:$L,A14,'Pricing Info'!$K:$K)</f>
        <v>0</v>
      </c>
      <c r="J14" s="62" t="str">
        <f>VLOOKUP(K14,'Color Code'!$A$2:$B$7,2,FALSE)</f>
        <v>Light Blue</v>
      </c>
      <c r="K14" s="79">
        <v>2</v>
      </c>
    </row>
    <row r="15" spans="1:12" ht="15.75">
      <c r="A15" s="68" t="s">
        <v>40</v>
      </c>
      <c r="B15" s="78" t="s">
        <v>41</v>
      </c>
      <c r="C15" s="59" t="s">
        <v>13</v>
      </c>
      <c r="D15" s="59" t="b">
        <f t="shared" si="2"/>
        <v>0</v>
      </c>
      <c r="E15" s="60">
        <f>E14</f>
        <v>45732</v>
      </c>
      <c r="F15" s="60">
        <f t="shared" ref="F15" si="6">E15+G15</f>
        <v>45739</v>
      </c>
      <c r="G15" s="61">
        <v>7</v>
      </c>
      <c r="H15" s="61">
        <f t="shared" ref="H15" si="7">E15-$E$2</f>
        <v>74</v>
      </c>
      <c r="I15" s="62">
        <f>SUMIF('Pricing Info'!$L:$L,A15,'Pricing Info'!$K:$K)</f>
        <v>0</v>
      </c>
      <c r="J15" s="62" t="str">
        <f>VLOOKUP(K15,'Color Code'!$A$2:$B$7,2,FALSE)</f>
        <v>Light Blue</v>
      </c>
      <c r="K15" s="79">
        <v>2</v>
      </c>
    </row>
    <row r="16" spans="1:12" ht="15.75">
      <c r="A16" s="68" t="s">
        <v>42</v>
      </c>
      <c r="B16" s="78" t="s">
        <v>43</v>
      </c>
      <c r="C16" s="59" t="s">
        <v>13</v>
      </c>
      <c r="D16" s="59" t="b">
        <f>D14</f>
        <v>0</v>
      </c>
      <c r="E16" s="60">
        <f>F15</f>
        <v>45739</v>
      </c>
      <c r="F16" s="60">
        <f t="shared" ref="F16:F20" si="8">E16+G16</f>
        <v>45740</v>
      </c>
      <c r="G16" s="61">
        <v>1</v>
      </c>
      <c r="H16" s="61">
        <f t="shared" ref="H16:H20" si="9">E16-$E$2</f>
        <v>81</v>
      </c>
      <c r="I16" s="62">
        <f>SUMIF('Pricing Info'!$L:$L,A16,'Pricing Info'!$K:$K)</f>
        <v>0</v>
      </c>
      <c r="J16" s="62" t="s">
        <v>31</v>
      </c>
      <c r="K16" s="79">
        <v>2</v>
      </c>
    </row>
    <row r="17" spans="1:11" ht="15.75">
      <c r="A17" s="69" t="s">
        <v>44</v>
      </c>
      <c r="B17" s="80" t="s">
        <v>45</v>
      </c>
      <c r="C17" s="63" t="s">
        <v>13</v>
      </c>
      <c r="D17" s="63" t="b">
        <f>D9</f>
        <v>0</v>
      </c>
      <c r="E17" s="64">
        <f>F16</f>
        <v>45740</v>
      </c>
      <c r="F17" s="64">
        <f t="shared" si="8"/>
        <v>45754</v>
      </c>
      <c r="G17" s="65">
        <v>14</v>
      </c>
      <c r="H17" s="65">
        <f t="shared" si="9"/>
        <v>82</v>
      </c>
      <c r="I17" s="66">
        <f>SUMIF('Pricing Info'!$L:$L,A17,'Pricing Info'!$K:$K)</f>
        <v>10797.255314999999</v>
      </c>
      <c r="J17" s="66" t="str">
        <f>VLOOKUP(K17,'Color Code'!$A$2:$B$7,2,FALSE)</f>
        <v>Grey</v>
      </c>
      <c r="K17" s="81">
        <v>3</v>
      </c>
    </row>
    <row r="18" spans="1:11" ht="15.75">
      <c r="A18" s="69" t="s">
        <v>46</v>
      </c>
      <c r="B18" s="80" t="s">
        <v>47</v>
      </c>
      <c r="C18" s="63" t="s">
        <v>13</v>
      </c>
      <c r="D18" s="63" t="b">
        <f t="shared" si="2"/>
        <v>0</v>
      </c>
      <c r="E18" s="64">
        <f>E17</f>
        <v>45740</v>
      </c>
      <c r="F18" s="64">
        <f t="shared" si="8"/>
        <v>45754</v>
      </c>
      <c r="G18" s="65">
        <v>14</v>
      </c>
      <c r="H18" s="65">
        <f t="shared" si="9"/>
        <v>82</v>
      </c>
      <c r="I18" s="66">
        <f>SUMIF('Pricing Info'!$L:$L,A18,'Pricing Info'!$K:$K)</f>
        <v>5398.6276574999993</v>
      </c>
      <c r="J18" s="66" t="str">
        <f>VLOOKUP(K18,'Color Code'!$A$2:$B$7,2,FALSE)</f>
        <v>Grey</v>
      </c>
      <c r="K18" s="81">
        <v>3</v>
      </c>
    </row>
    <row r="19" spans="1:11" ht="15.75">
      <c r="A19" s="69" t="s">
        <v>48</v>
      </c>
      <c r="B19" s="80" t="s">
        <v>49</v>
      </c>
      <c r="C19" s="63" t="s">
        <v>13</v>
      </c>
      <c r="D19" s="63" t="b">
        <f t="shared" si="2"/>
        <v>0</v>
      </c>
      <c r="E19" s="64">
        <f t="shared" ref="E19" si="10">F18</f>
        <v>45754</v>
      </c>
      <c r="F19" s="64">
        <f t="shared" si="8"/>
        <v>45768</v>
      </c>
      <c r="G19" s="65">
        <v>14</v>
      </c>
      <c r="H19" s="65">
        <f t="shared" si="9"/>
        <v>96</v>
      </c>
      <c r="I19" s="66">
        <f>SUMIF('Pricing Info'!$L:$L,A19,'Pricing Info'!$K:$K)</f>
        <v>5398.6276574999993</v>
      </c>
      <c r="J19" s="66" t="str">
        <f>VLOOKUP(K19,'Color Code'!$A$2:$B$7,2,FALSE)</f>
        <v>Grey</v>
      </c>
      <c r="K19" s="81">
        <v>3</v>
      </c>
    </row>
    <row r="20" spans="1:11" ht="15.75">
      <c r="A20" s="69" t="s">
        <v>50</v>
      </c>
      <c r="B20" s="80" t="s">
        <v>51</v>
      </c>
      <c r="C20" s="63" t="s">
        <v>52</v>
      </c>
      <c r="D20" s="63" t="b">
        <v>1</v>
      </c>
      <c r="E20" s="64">
        <f>F19</f>
        <v>45768</v>
      </c>
      <c r="F20" s="64">
        <f t="shared" si="8"/>
        <v>45782</v>
      </c>
      <c r="G20" s="65">
        <v>14</v>
      </c>
      <c r="H20" s="65">
        <f t="shared" si="9"/>
        <v>110</v>
      </c>
      <c r="I20" s="66">
        <f>SUMIF('Pricing Info'!$L:$L,A20,'Pricing Info'!$K:$K)</f>
        <v>5398.6276574999993</v>
      </c>
      <c r="J20" s="66" t="str">
        <f>VLOOKUP(K20,'Color Code'!$A$2:$B$7,2,FALSE)</f>
        <v>Grey</v>
      </c>
      <c r="K20" s="81">
        <v>3</v>
      </c>
    </row>
    <row r="21" spans="1:11" ht="15.75">
      <c r="A21" s="69" t="s">
        <v>53</v>
      </c>
      <c r="B21" s="80" t="s">
        <v>54</v>
      </c>
      <c r="C21" s="63" t="s">
        <v>52</v>
      </c>
      <c r="D21" s="63" t="b">
        <v>1</v>
      </c>
      <c r="E21" s="64">
        <f>E20</f>
        <v>45768</v>
      </c>
      <c r="F21" s="64">
        <f>E21+G21</f>
        <v>45782</v>
      </c>
      <c r="G21" s="65">
        <v>14</v>
      </c>
      <c r="H21" s="65">
        <f>E21-$E$2</f>
        <v>110</v>
      </c>
      <c r="I21" s="66">
        <f>SUMIF('Pricing Info'!$L:$L,A21,'Pricing Info'!$K:$K)</f>
        <v>0</v>
      </c>
      <c r="J21" s="66" t="str">
        <f>VLOOKUP(K21,'Color Code'!$A$2:$B$7,2,FALSE)</f>
        <v>Purple</v>
      </c>
      <c r="K21" s="81">
        <v>0</v>
      </c>
    </row>
    <row r="22" spans="1:11" ht="15.75">
      <c r="A22" s="68" t="s">
        <v>55</v>
      </c>
      <c r="B22" s="78" t="s">
        <v>56</v>
      </c>
      <c r="C22" s="59" t="str">
        <f>C21</f>
        <v>To Do</v>
      </c>
      <c r="D22" s="59" t="b">
        <v>0</v>
      </c>
      <c r="E22" s="60">
        <f>E21</f>
        <v>45768</v>
      </c>
      <c r="F22" s="60">
        <f>E22+G22</f>
        <v>45775</v>
      </c>
      <c r="G22" s="61">
        <v>7</v>
      </c>
      <c r="H22" s="61">
        <f>E22-$E$2</f>
        <v>110</v>
      </c>
      <c r="I22" s="62">
        <f>SUMIF('Pricing Info'!$L:$L,A22,'Pricing Info'!$K:$K)</f>
        <v>0</v>
      </c>
      <c r="J22" s="62" t="str">
        <f>VLOOKUP(K22,'Color Code'!$A$2:$B$7,2,FALSE)</f>
        <v>Light Blue</v>
      </c>
      <c r="K22" s="79">
        <v>2</v>
      </c>
    </row>
    <row r="23" spans="1:11" ht="15.75">
      <c r="A23" s="68" t="s">
        <v>57</v>
      </c>
      <c r="B23" s="78" t="s">
        <v>58</v>
      </c>
      <c r="C23" s="59" t="str">
        <f>C22</f>
        <v>To Do</v>
      </c>
      <c r="D23" s="59" t="b">
        <v>0</v>
      </c>
      <c r="E23" s="60">
        <f>E22</f>
        <v>45768</v>
      </c>
      <c r="F23" s="60">
        <f>E23+G23</f>
        <v>45775</v>
      </c>
      <c r="G23" s="61">
        <v>7</v>
      </c>
      <c r="H23" s="61">
        <f>E23-$E$2</f>
        <v>110</v>
      </c>
      <c r="I23" s="62">
        <f>SUMIF('Pricing Info'!$L:$L,A23,'Pricing Info'!$K:$K)</f>
        <v>0</v>
      </c>
      <c r="J23" s="62" t="str">
        <f>VLOOKUP(K23,'Color Code'!$A$2:$B$7,2,FALSE)</f>
        <v>Light Blue</v>
      </c>
      <c r="K23" s="79">
        <v>2</v>
      </c>
    </row>
    <row r="24" spans="1:11" ht="15.75">
      <c r="A24" s="68" t="s">
        <v>59</v>
      </c>
      <c r="B24" s="78" t="s">
        <v>60</v>
      </c>
      <c r="C24" s="59" t="s">
        <v>52</v>
      </c>
      <c r="D24" s="59" t="b">
        <f>D23</f>
        <v>0</v>
      </c>
      <c r="E24" s="60">
        <f>F23</f>
        <v>45775</v>
      </c>
      <c r="F24" s="60">
        <f>E24+G24</f>
        <v>45782</v>
      </c>
      <c r="G24" s="61">
        <v>7</v>
      </c>
      <c r="H24" s="61">
        <f>E24-$E$2</f>
        <v>117</v>
      </c>
      <c r="I24" s="62">
        <f>SUMIF('Pricing Info'!$L:$L,A24,'Pricing Info'!$K:$K)</f>
        <v>0</v>
      </c>
      <c r="J24" s="62" t="str">
        <f>VLOOKUP(K24,'Color Code'!$A$2:$B$7,2,FALSE)</f>
        <v>Light Blue</v>
      </c>
      <c r="K24" s="79">
        <v>2</v>
      </c>
    </row>
    <row r="25" spans="1:11" ht="15.75">
      <c r="A25" s="68" t="s">
        <v>61</v>
      </c>
      <c r="B25" s="78" t="s">
        <v>62</v>
      </c>
      <c r="C25" s="59" t="str">
        <f>C24</f>
        <v>To Do</v>
      </c>
      <c r="D25" s="59" t="b">
        <f>D24</f>
        <v>0</v>
      </c>
      <c r="E25" s="60">
        <f>E24</f>
        <v>45775</v>
      </c>
      <c r="F25" s="60">
        <f>E25+G25</f>
        <v>45782</v>
      </c>
      <c r="G25" s="61">
        <v>7</v>
      </c>
      <c r="H25" s="61">
        <f>E25-$E$2</f>
        <v>117</v>
      </c>
      <c r="I25" s="62">
        <f>SUMIF('Pricing Info'!$L:$L,A25,'Pricing Info'!$K:$K)</f>
        <v>0</v>
      </c>
      <c r="J25" s="62" t="str">
        <f>VLOOKUP(K25,'Color Code'!$A$2:$B$7,2,FALSE)</f>
        <v>Light Blue</v>
      </c>
      <c r="K25" s="79">
        <v>2</v>
      </c>
    </row>
    <row r="26" spans="1:11" ht="15.75">
      <c r="A26" s="68" t="s">
        <v>63</v>
      </c>
      <c r="B26" s="78" t="s">
        <v>64</v>
      </c>
      <c r="C26" s="59" t="s">
        <v>52</v>
      </c>
      <c r="D26" s="59" t="b">
        <v>0</v>
      </c>
      <c r="E26" s="60">
        <f>F25+1</f>
        <v>45783</v>
      </c>
      <c r="F26" s="60">
        <f t="shared" si="0"/>
        <v>45784</v>
      </c>
      <c r="G26" s="61">
        <v>1</v>
      </c>
      <c r="H26" s="61">
        <f t="shared" si="1"/>
        <v>125</v>
      </c>
      <c r="I26" s="62">
        <f>SUMIF('Pricing Info'!$L:$L,A26,'Pricing Info'!$K:$K)</f>
        <v>0</v>
      </c>
      <c r="J26" s="62" t="str">
        <f>VLOOKUP(K26,'Color Code'!$A$2:$B$7,2,FALSE)</f>
        <v>Dark Blue</v>
      </c>
      <c r="K26" s="79">
        <v>1</v>
      </c>
    </row>
    <row r="27" spans="1:11" ht="15.75">
      <c r="A27" s="68" t="s">
        <v>65</v>
      </c>
      <c r="B27" s="78" t="s">
        <v>66</v>
      </c>
      <c r="C27" s="59" t="str">
        <f>C26</f>
        <v>To Do</v>
      </c>
      <c r="D27" s="59" t="b">
        <f t="shared" si="2"/>
        <v>0</v>
      </c>
      <c r="E27" s="60">
        <f>E26</f>
        <v>45783</v>
      </c>
      <c r="F27" s="60">
        <f t="shared" si="0"/>
        <v>45784</v>
      </c>
      <c r="G27" s="61">
        <v>1</v>
      </c>
      <c r="H27" s="61">
        <f t="shared" si="1"/>
        <v>125</v>
      </c>
      <c r="I27" s="62">
        <f>SUMIF('Pricing Info'!$L:$L,A27,'Pricing Info'!$K:$K)</f>
        <v>0</v>
      </c>
      <c r="J27" s="62" t="str">
        <f>VLOOKUP(K27,'Color Code'!$A$2:$B$7,2,FALSE)</f>
        <v>Dark Blue</v>
      </c>
      <c r="K27" s="79">
        <v>1</v>
      </c>
    </row>
    <row r="28" spans="1:11" ht="15.75">
      <c r="A28" s="69" t="s">
        <v>67</v>
      </c>
      <c r="B28" s="80" t="s">
        <v>68</v>
      </c>
      <c r="C28" s="63" t="str">
        <f>C27</f>
        <v>To Do</v>
      </c>
      <c r="D28" s="63" t="b">
        <v>0</v>
      </c>
      <c r="E28" s="64">
        <f>F27</f>
        <v>45784</v>
      </c>
      <c r="F28" s="64">
        <f t="shared" si="0"/>
        <v>45785</v>
      </c>
      <c r="G28" s="65">
        <v>1</v>
      </c>
      <c r="H28" s="65">
        <f t="shared" si="1"/>
        <v>126</v>
      </c>
      <c r="I28" s="66">
        <f>SUMIF('Pricing Info'!$L:$L,A28,'Pricing Info'!$K:$K)</f>
        <v>104198.07914999999</v>
      </c>
      <c r="J28" s="66" t="str">
        <f>VLOOKUP(K28,'Color Code'!$A$2:$B$7,2,FALSE)</f>
        <v>Dark Blue</v>
      </c>
      <c r="K28" s="81">
        <v>1</v>
      </c>
    </row>
    <row r="29" spans="1:11" ht="15.75">
      <c r="A29" s="69" t="s">
        <v>69</v>
      </c>
      <c r="B29" s="80" t="s">
        <v>70</v>
      </c>
      <c r="C29" s="63" t="str">
        <f t="shared" ref="C29:C91" si="11">C28</f>
        <v>To Do</v>
      </c>
      <c r="D29" s="63" t="b">
        <f t="shared" si="2"/>
        <v>0</v>
      </c>
      <c r="E29" s="64">
        <f t="shared" ref="E23:E80" si="12">F28</f>
        <v>45785</v>
      </c>
      <c r="F29" s="64">
        <f t="shared" si="0"/>
        <v>45786</v>
      </c>
      <c r="G29" s="65">
        <v>1</v>
      </c>
      <c r="H29" s="65">
        <f t="shared" si="1"/>
        <v>127</v>
      </c>
      <c r="I29" s="66">
        <f>SUMIF('Pricing Info'!$L:$L,A29,'Pricing Info'!$K:$K)</f>
        <v>165</v>
      </c>
      <c r="J29" s="66" t="str">
        <f>VLOOKUP(K29,'Color Code'!$A$2:$B$7,2,FALSE)</f>
        <v>Grey</v>
      </c>
      <c r="K29" s="81">
        <v>3</v>
      </c>
    </row>
    <row r="30" spans="1:11" ht="15.75">
      <c r="A30" s="68" t="s">
        <v>71</v>
      </c>
      <c r="B30" s="78" t="s">
        <v>72</v>
      </c>
      <c r="C30" s="59" t="str">
        <f t="shared" si="11"/>
        <v>To Do</v>
      </c>
      <c r="D30" s="59" t="b">
        <f t="shared" si="2"/>
        <v>0</v>
      </c>
      <c r="E30" s="60">
        <f t="shared" si="12"/>
        <v>45786</v>
      </c>
      <c r="F30" s="60">
        <f t="shared" si="0"/>
        <v>45793</v>
      </c>
      <c r="G30" s="61">
        <v>7</v>
      </c>
      <c r="H30" s="61">
        <f t="shared" si="1"/>
        <v>128</v>
      </c>
      <c r="I30" s="62">
        <f>SUMIF('Pricing Info'!$L:$L,A30,'Pricing Info'!$K:$K)</f>
        <v>22875.599999999999</v>
      </c>
      <c r="J30" s="62" t="str">
        <f>VLOOKUP(K30,'Color Code'!$A$2:$B$7,2,FALSE)</f>
        <v>Cyan</v>
      </c>
      <c r="K30" s="79">
        <v>5</v>
      </c>
    </row>
    <row r="31" spans="1:11" ht="15.75">
      <c r="A31" s="68" t="s">
        <v>73</v>
      </c>
      <c r="B31" s="78" t="s">
        <v>74</v>
      </c>
      <c r="C31" s="59" t="str">
        <f t="shared" si="11"/>
        <v>To Do</v>
      </c>
      <c r="D31" s="59" t="b">
        <f t="shared" si="2"/>
        <v>0</v>
      </c>
      <c r="E31" s="60">
        <f>E30</f>
        <v>45786</v>
      </c>
      <c r="F31" s="60">
        <f t="shared" si="0"/>
        <v>45793</v>
      </c>
      <c r="G31" s="61">
        <f>G30</f>
        <v>7</v>
      </c>
      <c r="H31" s="61">
        <f t="shared" si="1"/>
        <v>128</v>
      </c>
      <c r="I31" s="62">
        <f>SUMIF('Pricing Info'!$L:$L,A31,'Pricing Info'!$K:$K)</f>
        <v>41068.5</v>
      </c>
      <c r="J31" s="62" t="str">
        <f>VLOOKUP(K31,'Color Code'!$A$2:$B$7,2,FALSE)</f>
        <v>Cyan</v>
      </c>
      <c r="K31" s="79">
        <v>5</v>
      </c>
    </row>
    <row r="32" spans="1:11" ht="15.75">
      <c r="A32" s="68" t="s">
        <v>75</v>
      </c>
      <c r="B32" s="78" t="s">
        <v>76</v>
      </c>
      <c r="C32" s="59" t="str">
        <f t="shared" si="11"/>
        <v>To Do</v>
      </c>
      <c r="D32" s="59" t="b">
        <f t="shared" si="2"/>
        <v>0</v>
      </c>
      <c r="E32" s="60">
        <f>E31</f>
        <v>45786</v>
      </c>
      <c r="F32" s="60">
        <f t="shared" ref="F32" si="13">E32+G32</f>
        <v>45793</v>
      </c>
      <c r="G32" s="61">
        <f t="shared" ref="G32:G37" si="14">G31</f>
        <v>7</v>
      </c>
      <c r="H32" s="61">
        <f t="shared" ref="H32" si="15">E32-$E$2</f>
        <v>128</v>
      </c>
      <c r="I32" s="62">
        <f>SUMIF('Pricing Info'!$L:$L,A32,'Pricing Info'!$K:$K)</f>
        <v>66000</v>
      </c>
      <c r="J32" s="62" t="str">
        <f>VLOOKUP(K32,'Color Code'!$A$2:$B$7,2,FALSE)</f>
        <v>Cyan</v>
      </c>
      <c r="K32" s="79">
        <v>5</v>
      </c>
    </row>
    <row r="33" spans="1:11" ht="15.75">
      <c r="A33" s="68" t="s">
        <v>77</v>
      </c>
      <c r="B33" s="78" t="s">
        <v>78</v>
      </c>
      <c r="C33" s="59" t="str">
        <f t="shared" si="11"/>
        <v>To Do</v>
      </c>
      <c r="D33" s="59" t="b">
        <f t="shared" si="2"/>
        <v>0</v>
      </c>
      <c r="E33" s="60">
        <f>E32</f>
        <v>45786</v>
      </c>
      <c r="F33" s="60">
        <f t="shared" ref="F33:F36" si="16">E33+G33</f>
        <v>45793</v>
      </c>
      <c r="G33" s="61">
        <f t="shared" si="14"/>
        <v>7</v>
      </c>
      <c r="H33" s="61">
        <f t="shared" ref="H33:H36" si="17">E33-$E$2</f>
        <v>128</v>
      </c>
      <c r="I33" s="62">
        <f>SUMIF('Pricing Info'!$L:$L,A33,'Pricing Info'!$K:$K)</f>
        <v>5568.75</v>
      </c>
      <c r="J33" s="62" t="str">
        <f>VLOOKUP(K33,'Color Code'!$A$2:$B$7,2,FALSE)</f>
        <v>Cyan</v>
      </c>
      <c r="K33" s="79">
        <v>5</v>
      </c>
    </row>
    <row r="34" spans="1:11" ht="15.75">
      <c r="A34" s="68" t="s">
        <v>79</v>
      </c>
      <c r="B34" s="78" t="s">
        <v>80</v>
      </c>
      <c r="C34" s="59" t="str">
        <f t="shared" si="11"/>
        <v>To Do</v>
      </c>
      <c r="D34" s="59" t="b">
        <f t="shared" si="2"/>
        <v>0</v>
      </c>
      <c r="E34" s="60">
        <f>E33</f>
        <v>45786</v>
      </c>
      <c r="F34" s="60">
        <f t="shared" si="16"/>
        <v>45793</v>
      </c>
      <c r="G34" s="61">
        <f t="shared" si="14"/>
        <v>7</v>
      </c>
      <c r="H34" s="61">
        <f t="shared" si="17"/>
        <v>128</v>
      </c>
      <c r="I34" s="62">
        <f>SUMIF('Pricing Info'!$L:$L,A34,'Pricing Info'!$K:$K)</f>
        <v>14419.35</v>
      </c>
      <c r="J34" s="62" t="str">
        <f>VLOOKUP(K34,'Color Code'!$A$2:$B$7,2,FALSE)</f>
        <v>Cyan</v>
      </c>
      <c r="K34" s="79">
        <v>5</v>
      </c>
    </row>
    <row r="35" spans="1:11" ht="15.75">
      <c r="A35" s="68" t="s">
        <v>81</v>
      </c>
      <c r="B35" s="78" t="s">
        <v>82</v>
      </c>
      <c r="C35" s="59" t="str">
        <f t="shared" si="11"/>
        <v>To Do</v>
      </c>
      <c r="D35" s="59" t="b">
        <f t="shared" si="2"/>
        <v>0</v>
      </c>
      <c r="E35" s="60">
        <f>E34</f>
        <v>45786</v>
      </c>
      <c r="F35" s="60">
        <f t="shared" si="16"/>
        <v>45793</v>
      </c>
      <c r="G35" s="61">
        <f t="shared" si="14"/>
        <v>7</v>
      </c>
      <c r="H35" s="61">
        <f t="shared" si="17"/>
        <v>128</v>
      </c>
      <c r="I35" s="62">
        <f>SUMIF('Pricing Info'!$L:$L,A35,'Pricing Info'!$K:$K)</f>
        <v>8250</v>
      </c>
      <c r="J35" s="62" t="str">
        <f>VLOOKUP(K35,'Color Code'!$A$2:$B$7,2,FALSE)</f>
        <v>Cyan</v>
      </c>
      <c r="K35" s="79">
        <v>5</v>
      </c>
    </row>
    <row r="36" spans="1:11" ht="15.75">
      <c r="A36" s="68" t="s">
        <v>83</v>
      </c>
      <c r="B36" s="78" t="s">
        <v>84</v>
      </c>
      <c r="C36" s="59" t="str">
        <f t="shared" si="11"/>
        <v>To Do</v>
      </c>
      <c r="D36" s="59" t="b">
        <f t="shared" si="2"/>
        <v>0</v>
      </c>
      <c r="E36" s="60">
        <f>E35</f>
        <v>45786</v>
      </c>
      <c r="F36" s="60">
        <f t="shared" si="16"/>
        <v>45793</v>
      </c>
      <c r="G36" s="61">
        <f t="shared" si="14"/>
        <v>7</v>
      </c>
      <c r="H36" s="61">
        <f t="shared" si="17"/>
        <v>128</v>
      </c>
      <c r="I36" s="62">
        <f>SUMIF('Pricing Info'!$L:$L,A36,'Pricing Info'!$K:$K)</f>
        <v>5024.8</v>
      </c>
      <c r="J36" s="62" t="str">
        <f>VLOOKUP(K36,'Color Code'!$A$2:$B$7,2,FALSE)</f>
        <v>Cyan</v>
      </c>
      <c r="K36" s="79">
        <v>5</v>
      </c>
    </row>
    <row r="37" spans="1:11" ht="15.75">
      <c r="A37" s="68" t="s">
        <v>85</v>
      </c>
      <c r="B37" s="78" t="s">
        <v>86</v>
      </c>
      <c r="C37" s="59" t="str">
        <f>C35</f>
        <v>To Do</v>
      </c>
      <c r="D37" s="59" t="b">
        <f>D35</f>
        <v>0</v>
      </c>
      <c r="E37" s="60">
        <f>E36</f>
        <v>45786</v>
      </c>
      <c r="F37" s="60">
        <f t="shared" ref="F37" si="18">E37+G37</f>
        <v>45793</v>
      </c>
      <c r="G37" s="61">
        <f t="shared" si="14"/>
        <v>7</v>
      </c>
      <c r="H37" s="61">
        <f t="shared" ref="H37" si="19">E37-$E$2</f>
        <v>128</v>
      </c>
      <c r="I37" s="62">
        <f>SUMIF('Pricing Info'!$L:$L,A37,'Pricing Info'!$K:$K)</f>
        <v>17644</v>
      </c>
      <c r="J37" s="62" t="str">
        <f>VLOOKUP(K37,'Color Code'!$A$2:$B$7,2,FALSE)</f>
        <v>Cyan</v>
      </c>
      <c r="K37" s="79">
        <v>5</v>
      </c>
    </row>
    <row r="38" spans="1:11" ht="15.75">
      <c r="A38" s="68" t="s">
        <v>87</v>
      </c>
      <c r="B38" s="78" t="s">
        <v>88</v>
      </c>
      <c r="C38" s="59" t="str">
        <f t="shared" si="11"/>
        <v>To Do</v>
      </c>
      <c r="D38" s="59" t="b">
        <f t="shared" si="2"/>
        <v>0</v>
      </c>
      <c r="E38" s="60">
        <f t="shared" ref="E38" si="20">F37</f>
        <v>45793</v>
      </c>
      <c r="F38" s="60">
        <f t="shared" ref="F38" si="21">E38+G38</f>
        <v>45794</v>
      </c>
      <c r="G38" s="61">
        <v>1</v>
      </c>
      <c r="H38" s="61">
        <f t="shared" ref="H38" si="22">E38-$E$2</f>
        <v>135</v>
      </c>
      <c r="I38" s="62">
        <f>SUMIF('Pricing Info'!$L:$L,A38,'Pricing Info'!$K:$K)</f>
        <v>6708.2400000000007</v>
      </c>
      <c r="J38" s="62" t="s">
        <v>89</v>
      </c>
      <c r="K38" s="79">
        <v>4</v>
      </c>
    </row>
    <row r="39" spans="1:11" ht="15.75">
      <c r="A39" s="68" t="s">
        <v>90</v>
      </c>
      <c r="B39" s="78" t="s">
        <v>91</v>
      </c>
      <c r="C39" s="59" t="str">
        <f>C35</f>
        <v>To Do</v>
      </c>
      <c r="D39" s="59" t="b">
        <f>D35</f>
        <v>0</v>
      </c>
      <c r="E39" s="60">
        <f>F38+1</f>
        <v>45795</v>
      </c>
      <c r="F39" s="60">
        <f t="shared" si="0"/>
        <v>45809</v>
      </c>
      <c r="G39" s="61">
        <v>14</v>
      </c>
      <c r="H39" s="61">
        <f t="shared" si="1"/>
        <v>137</v>
      </c>
      <c r="I39" s="62">
        <f>SUMIF('Pricing Info'!$L:$L,A39,'Pricing Info'!$K:$K)</f>
        <v>47784</v>
      </c>
      <c r="J39" s="62" t="str">
        <f>VLOOKUP(K39,'Color Code'!$A$2:$B$7,2,FALSE)</f>
        <v>Blue</v>
      </c>
      <c r="K39" s="79">
        <v>4</v>
      </c>
    </row>
    <row r="40" spans="1:11" ht="15.75">
      <c r="A40" s="68" t="s">
        <v>92</v>
      </c>
      <c r="B40" s="78" t="s">
        <v>93</v>
      </c>
      <c r="C40" s="59" t="str">
        <f t="shared" si="11"/>
        <v>To Do</v>
      </c>
      <c r="D40" s="59" t="b">
        <f t="shared" si="2"/>
        <v>0</v>
      </c>
      <c r="E40" s="60">
        <f>E39</f>
        <v>45795</v>
      </c>
      <c r="F40" s="60">
        <f t="shared" si="0"/>
        <v>45802</v>
      </c>
      <c r="G40" s="61">
        <v>7</v>
      </c>
      <c r="H40" s="61">
        <f t="shared" si="1"/>
        <v>137</v>
      </c>
      <c r="I40" s="62">
        <f>SUMIF('Pricing Info'!$L:$L,A40,'Pricing Info'!$K:$K)</f>
        <v>17248</v>
      </c>
      <c r="J40" s="62" t="str">
        <f>VLOOKUP(K40,'Color Code'!$A$2:$B$7,2,FALSE)</f>
        <v>Blue</v>
      </c>
      <c r="K40" s="79">
        <v>4</v>
      </c>
    </row>
    <row r="41" spans="1:11" ht="15.75">
      <c r="A41" s="68" t="s">
        <v>94</v>
      </c>
      <c r="B41" s="78" t="s">
        <v>95</v>
      </c>
      <c r="C41" s="59" t="str">
        <f t="shared" si="11"/>
        <v>To Do</v>
      </c>
      <c r="D41" s="59" t="b">
        <f t="shared" si="2"/>
        <v>0</v>
      </c>
      <c r="E41" s="60">
        <f>F40</f>
        <v>45802</v>
      </c>
      <c r="F41" s="60">
        <f t="shared" si="0"/>
        <v>45809</v>
      </c>
      <c r="G41" s="61">
        <v>7</v>
      </c>
      <c r="H41" s="61">
        <f t="shared" si="1"/>
        <v>144</v>
      </c>
      <c r="I41" s="62">
        <f>SUMIF('Pricing Info'!$L:$L,A41,'Pricing Info'!$K:$K)</f>
        <v>19712</v>
      </c>
      <c r="J41" s="62" t="str">
        <f>VLOOKUP(K41,'Color Code'!$A$2:$B$7,2,FALSE)</f>
        <v>Blue</v>
      </c>
      <c r="K41" s="79">
        <v>4</v>
      </c>
    </row>
    <row r="42" spans="1:11" ht="15.75">
      <c r="A42" s="68" t="s">
        <v>96</v>
      </c>
      <c r="B42" s="78" t="s">
        <v>97</v>
      </c>
      <c r="C42" s="59" t="str">
        <f t="shared" si="11"/>
        <v>To Do</v>
      </c>
      <c r="D42" s="59" t="b">
        <f t="shared" si="2"/>
        <v>0</v>
      </c>
      <c r="E42" s="60">
        <f t="shared" si="12"/>
        <v>45809</v>
      </c>
      <c r="F42" s="60">
        <f t="shared" si="0"/>
        <v>45810</v>
      </c>
      <c r="G42" s="61">
        <v>1</v>
      </c>
      <c r="H42" s="61">
        <f t="shared" si="1"/>
        <v>151</v>
      </c>
      <c r="I42" s="62">
        <f>SUMIF('Pricing Info'!$L:$L,A42,'Pricing Info'!$K:$K)</f>
        <v>1276</v>
      </c>
      <c r="J42" s="62" t="str">
        <f>VLOOKUP(K42,'Color Code'!$A$2:$B$7,2,FALSE)</f>
        <v>Blue</v>
      </c>
      <c r="K42" s="79">
        <v>4</v>
      </c>
    </row>
    <row r="43" spans="1:11" ht="15.75">
      <c r="A43" s="68" t="s">
        <v>98</v>
      </c>
      <c r="B43" s="78" t="s">
        <v>99</v>
      </c>
      <c r="C43" s="59" t="str">
        <f t="shared" si="11"/>
        <v>To Do</v>
      </c>
      <c r="D43" s="59" t="b">
        <f t="shared" si="2"/>
        <v>0</v>
      </c>
      <c r="E43" s="60">
        <f>E42</f>
        <v>45809</v>
      </c>
      <c r="F43" s="60">
        <f t="shared" si="0"/>
        <v>45823</v>
      </c>
      <c r="G43" s="61">
        <v>14</v>
      </c>
      <c r="H43" s="61">
        <f t="shared" si="1"/>
        <v>151</v>
      </c>
      <c r="I43" s="62">
        <f>SUMIF('Pricing Info'!$L:$L,A43,'Pricing Info'!$K:$K)</f>
        <v>26400</v>
      </c>
      <c r="J43" s="62" t="str">
        <f>VLOOKUP(K43,'Color Code'!$A$2:$B$7,2,FALSE)</f>
        <v>Blue</v>
      </c>
      <c r="K43" s="79">
        <v>4</v>
      </c>
    </row>
    <row r="44" spans="1:11" ht="15.75">
      <c r="A44" s="68" t="s">
        <v>100</v>
      </c>
      <c r="B44" s="78" t="s">
        <v>101</v>
      </c>
      <c r="C44" s="59" t="str">
        <f t="shared" si="11"/>
        <v>To Do</v>
      </c>
      <c r="D44" s="59" t="b">
        <f t="shared" si="2"/>
        <v>0</v>
      </c>
      <c r="E44" s="60">
        <f>E43</f>
        <v>45809</v>
      </c>
      <c r="F44" s="60">
        <f t="shared" si="0"/>
        <v>45811</v>
      </c>
      <c r="G44" s="61">
        <v>2</v>
      </c>
      <c r="H44" s="61">
        <f t="shared" si="1"/>
        <v>151</v>
      </c>
      <c r="I44" s="62">
        <f>SUMIF('Pricing Info'!$L:$L,A44,'Pricing Info'!$K:$K)</f>
        <v>49500</v>
      </c>
      <c r="J44" s="62" t="str">
        <f>VLOOKUP(K44,'Color Code'!$A$2:$B$7,2,FALSE)</f>
        <v>Blue</v>
      </c>
      <c r="K44" s="79">
        <v>4</v>
      </c>
    </row>
    <row r="45" spans="1:11" ht="15.75">
      <c r="A45" s="69" t="s">
        <v>102</v>
      </c>
      <c r="B45" s="80" t="s">
        <v>103</v>
      </c>
      <c r="C45" s="63" t="str">
        <f t="shared" si="11"/>
        <v>To Do</v>
      </c>
      <c r="D45" s="63" t="b">
        <f t="shared" si="2"/>
        <v>0</v>
      </c>
      <c r="E45" s="64">
        <f t="shared" ref="E45" si="23">F44</f>
        <v>45811</v>
      </c>
      <c r="F45" s="64">
        <f t="shared" ref="F45" si="24">E45+G45</f>
        <v>45812</v>
      </c>
      <c r="G45" s="65">
        <v>1</v>
      </c>
      <c r="H45" s="65">
        <f t="shared" ref="H45" si="25">E45-$E$2</f>
        <v>153</v>
      </c>
      <c r="I45" s="66">
        <f>SUMIF('Pricing Info'!$L:$L,A45,'Pricing Info'!$K:$K)</f>
        <v>0</v>
      </c>
      <c r="J45" s="66" t="str">
        <f>VLOOKUP(K45,'Color Code'!$A$2:$B$7,2,FALSE)</f>
        <v>Grey</v>
      </c>
      <c r="K45" s="81">
        <v>3</v>
      </c>
    </row>
    <row r="46" spans="1:11" ht="15.75">
      <c r="A46" s="68" t="s">
        <v>104</v>
      </c>
      <c r="B46" s="78" t="s">
        <v>105</v>
      </c>
      <c r="C46" s="59" t="str">
        <f>C44</f>
        <v>To Do</v>
      </c>
      <c r="D46" s="59" t="b">
        <f>D44</f>
        <v>0</v>
      </c>
      <c r="E46" s="60">
        <f>F44</f>
        <v>45811</v>
      </c>
      <c r="F46" s="60">
        <f t="shared" si="0"/>
        <v>45818</v>
      </c>
      <c r="G46" s="61">
        <v>7</v>
      </c>
      <c r="H46" s="61">
        <f t="shared" si="1"/>
        <v>153</v>
      </c>
      <c r="I46" s="62">
        <f>SUMIF('Pricing Info'!$L:$L,A46,'Pricing Info'!$K:$K)</f>
        <v>34953.270000000004</v>
      </c>
      <c r="J46" s="62" t="str">
        <f>VLOOKUP(K46,'Color Code'!$A$2:$B$7,2,FALSE)</f>
        <v>Blue</v>
      </c>
      <c r="K46" s="79">
        <v>4</v>
      </c>
    </row>
    <row r="47" spans="1:11" ht="15.75">
      <c r="A47" s="68" t="s">
        <v>106</v>
      </c>
      <c r="B47" s="78" t="s">
        <v>107</v>
      </c>
      <c r="C47" s="59" t="str">
        <f t="shared" si="11"/>
        <v>To Do</v>
      </c>
      <c r="D47" s="59" t="b">
        <f t="shared" si="2"/>
        <v>0</v>
      </c>
      <c r="E47" s="60">
        <f t="shared" si="12"/>
        <v>45818</v>
      </c>
      <c r="F47" s="60">
        <f t="shared" si="0"/>
        <v>45825</v>
      </c>
      <c r="G47" s="61">
        <v>7</v>
      </c>
      <c r="H47" s="61">
        <f t="shared" si="1"/>
        <v>160</v>
      </c>
      <c r="I47" s="62">
        <f>SUMIF('Pricing Info'!$L:$L,A47,'Pricing Info'!$K:$K)</f>
        <v>3960</v>
      </c>
      <c r="J47" s="62" t="str">
        <f>VLOOKUP(K47,'Color Code'!$A$2:$B$7,2,FALSE)</f>
        <v>Blue</v>
      </c>
      <c r="K47" s="79">
        <v>4</v>
      </c>
    </row>
    <row r="48" spans="1:11" ht="15.75">
      <c r="A48" s="68" t="s">
        <v>108</v>
      </c>
      <c r="B48" s="78" t="s">
        <v>109</v>
      </c>
      <c r="C48" s="59" t="str">
        <f t="shared" si="11"/>
        <v>To Do</v>
      </c>
      <c r="D48" s="59" t="b">
        <f t="shared" si="2"/>
        <v>0</v>
      </c>
      <c r="E48" s="60">
        <f t="shared" si="12"/>
        <v>45825</v>
      </c>
      <c r="F48" s="60">
        <f t="shared" si="0"/>
        <v>45832</v>
      </c>
      <c r="G48" s="61">
        <v>7</v>
      </c>
      <c r="H48" s="61">
        <f t="shared" si="1"/>
        <v>167</v>
      </c>
      <c r="I48" s="62">
        <f>SUMIF('Pricing Info'!$L:$L,A48,'Pricing Info'!$K:$K)</f>
        <v>2874.96</v>
      </c>
      <c r="J48" s="62" t="str">
        <f>VLOOKUP(K48,'Color Code'!$A$2:$B$7,2,FALSE)</f>
        <v>Blue</v>
      </c>
      <c r="K48" s="79">
        <v>4</v>
      </c>
    </row>
    <row r="49" spans="1:11" ht="15.75">
      <c r="A49" s="69" t="s">
        <v>110</v>
      </c>
      <c r="B49" s="80" t="s">
        <v>111</v>
      </c>
      <c r="C49" s="63" t="str">
        <f t="shared" si="11"/>
        <v>To Do</v>
      </c>
      <c r="D49" s="63" t="b">
        <f t="shared" si="2"/>
        <v>0</v>
      </c>
      <c r="E49" s="64">
        <f t="shared" si="12"/>
        <v>45832</v>
      </c>
      <c r="F49" s="64">
        <f t="shared" si="0"/>
        <v>45833</v>
      </c>
      <c r="G49" s="65">
        <v>1</v>
      </c>
      <c r="H49" s="65">
        <f t="shared" si="1"/>
        <v>174</v>
      </c>
      <c r="I49" s="66">
        <f>SUMIF('Pricing Info'!$L:$L,A49,'Pricing Info'!$K:$K)</f>
        <v>0</v>
      </c>
      <c r="J49" s="66" t="str">
        <f>VLOOKUP(K49,'Color Code'!$A$2:$B$7,2,FALSE)</f>
        <v>Grey</v>
      </c>
      <c r="K49" s="81">
        <v>3</v>
      </c>
    </row>
    <row r="50" spans="1:11" ht="15.75">
      <c r="A50" s="69" t="s">
        <v>112</v>
      </c>
      <c r="B50" s="80" t="s">
        <v>113</v>
      </c>
      <c r="C50" s="63" t="str">
        <f t="shared" si="11"/>
        <v>To Do</v>
      </c>
      <c r="D50" s="63" t="b">
        <f t="shared" si="2"/>
        <v>0</v>
      </c>
      <c r="E50" s="64">
        <f t="shared" ref="E50" si="26">F49</f>
        <v>45833</v>
      </c>
      <c r="F50" s="64">
        <f t="shared" ref="F50" si="27">E50+G50</f>
        <v>45834</v>
      </c>
      <c r="G50" s="65">
        <v>1</v>
      </c>
      <c r="H50" s="65">
        <f t="shared" ref="H50" si="28">E50-$E$2</f>
        <v>175</v>
      </c>
      <c r="I50" s="66">
        <f>SUMIF('Pricing Info'!$L:$L,A50,'Pricing Info'!$K:$K)</f>
        <v>0</v>
      </c>
      <c r="J50" s="66" t="str">
        <f>VLOOKUP(K50,'Color Code'!$A$2:$B$7,2,FALSE)</f>
        <v>Grey</v>
      </c>
      <c r="K50" s="81">
        <v>3</v>
      </c>
    </row>
    <row r="51" spans="1:11" ht="15.75">
      <c r="A51" s="68" t="s">
        <v>114</v>
      </c>
      <c r="B51" s="78" t="s">
        <v>115</v>
      </c>
      <c r="C51" s="59" t="str">
        <f>C49</f>
        <v>To Do</v>
      </c>
      <c r="D51" s="59" t="b">
        <f>D49</f>
        <v>0</v>
      </c>
      <c r="E51" s="60">
        <f>F49</f>
        <v>45833</v>
      </c>
      <c r="F51" s="60">
        <f t="shared" si="0"/>
        <v>45840</v>
      </c>
      <c r="G51" s="61">
        <v>7</v>
      </c>
      <c r="H51" s="61">
        <f t="shared" si="1"/>
        <v>175</v>
      </c>
      <c r="I51" s="62">
        <f>SUMIF('Pricing Info'!$L:$L,A51,'Pricing Info'!$K:$K)</f>
        <v>9462.2000000000007</v>
      </c>
      <c r="J51" s="62" t="str">
        <f>VLOOKUP(K51,'Color Code'!$A$2:$B$7,2,FALSE)</f>
        <v>Blue</v>
      </c>
      <c r="K51" s="79">
        <v>4</v>
      </c>
    </row>
    <row r="52" spans="1:11" ht="15.75">
      <c r="A52" s="68" t="s">
        <v>116</v>
      </c>
      <c r="B52" s="78" t="s">
        <v>117</v>
      </c>
      <c r="C52" s="59" t="str">
        <f t="shared" si="11"/>
        <v>To Do</v>
      </c>
      <c r="D52" s="59" t="b">
        <f t="shared" si="2"/>
        <v>0</v>
      </c>
      <c r="E52" s="60">
        <f t="shared" si="12"/>
        <v>45840</v>
      </c>
      <c r="F52" s="60">
        <f t="shared" si="0"/>
        <v>45847</v>
      </c>
      <c r="G52" s="61">
        <v>7</v>
      </c>
      <c r="H52" s="61">
        <f t="shared" si="1"/>
        <v>182</v>
      </c>
      <c r="I52" s="62">
        <f>SUMIF('Pricing Info'!$L:$L,A52,'Pricing Info'!$K:$K)</f>
        <v>19123.5</v>
      </c>
      <c r="J52" s="62" t="str">
        <f>VLOOKUP(K52,'Color Code'!$A$2:$B$7,2,FALSE)</f>
        <v>Blue</v>
      </c>
      <c r="K52" s="79">
        <v>4</v>
      </c>
    </row>
    <row r="53" spans="1:11" ht="15.75">
      <c r="A53" s="68" t="s">
        <v>118</v>
      </c>
      <c r="B53" s="78" t="s">
        <v>119</v>
      </c>
      <c r="C53" s="59" t="str">
        <f t="shared" si="11"/>
        <v>To Do</v>
      </c>
      <c r="D53" s="59" t="b">
        <f t="shared" si="2"/>
        <v>0</v>
      </c>
      <c r="E53" s="60">
        <f t="shared" si="12"/>
        <v>45847</v>
      </c>
      <c r="F53" s="60">
        <f t="shared" si="0"/>
        <v>45854</v>
      </c>
      <c r="G53" s="61">
        <v>7</v>
      </c>
      <c r="H53" s="61">
        <f t="shared" si="1"/>
        <v>189</v>
      </c>
      <c r="I53" s="62">
        <f>SUMIF('Pricing Info'!$L:$L,A53,'Pricing Info'!$K:$K)</f>
        <v>70702.2</v>
      </c>
      <c r="J53" s="62" t="str">
        <f>VLOOKUP(K53,'Color Code'!$A$2:$B$7,2,FALSE)</f>
        <v>Blue</v>
      </c>
      <c r="K53" s="79">
        <v>4</v>
      </c>
    </row>
    <row r="54" spans="1:11" ht="15.75">
      <c r="A54" s="68" t="s">
        <v>120</v>
      </c>
      <c r="B54" s="78" t="s">
        <v>121</v>
      </c>
      <c r="C54" s="59" t="str">
        <f t="shared" si="11"/>
        <v>To Do</v>
      </c>
      <c r="D54" s="59" t="b">
        <f t="shared" si="2"/>
        <v>0</v>
      </c>
      <c r="E54" s="60">
        <f t="shared" si="12"/>
        <v>45854</v>
      </c>
      <c r="F54" s="60">
        <f t="shared" si="0"/>
        <v>45861</v>
      </c>
      <c r="G54" s="61">
        <v>7</v>
      </c>
      <c r="H54" s="61">
        <f t="shared" si="1"/>
        <v>196</v>
      </c>
      <c r="I54" s="62">
        <f>SUMIF('Pricing Info'!$L:$L,A54,'Pricing Info'!$K:$K)</f>
        <v>924</v>
      </c>
      <c r="J54" s="62" t="str">
        <f>VLOOKUP(K54,'Color Code'!$A$2:$B$7,2,FALSE)</f>
        <v>Blue</v>
      </c>
      <c r="K54" s="79">
        <v>4</v>
      </c>
    </row>
    <row r="55" spans="1:11" ht="15.75">
      <c r="A55" s="69" t="s">
        <v>122</v>
      </c>
      <c r="B55" s="80" t="s">
        <v>123</v>
      </c>
      <c r="C55" s="63" t="str">
        <f>C60</f>
        <v>To Do</v>
      </c>
      <c r="D55" s="63" t="b">
        <f>D60</f>
        <v>0</v>
      </c>
      <c r="E55" s="64">
        <f>F54+1</f>
        <v>45862</v>
      </c>
      <c r="F55" s="64">
        <f>E55+G55</f>
        <v>45863</v>
      </c>
      <c r="G55" s="65">
        <v>1</v>
      </c>
      <c r="H55" s="65">
        <f>E55-$E$2</f>
        <v>204</v>
      </c>
      <c r="I55" s="66">
        <f>SUMIF('Pricing Info'!$L:$L,A55,'Pricing Info'!$K:$K)</f>
        <v>0</v>
      </c>
      <c r="J55" s="66" t="str">
        <f>VLOOKUP(K55,'Color Code'!$A$2:$B$7,2,FALSE)</f>
        <v>Grey</v>
      </c>
      <c r="K55" s="81">
        <v>3</v>
      </c>
    </row>
    <row r="56" spans="1:11" ht="15.75">
      <c r="A56" s="68" t="s">
        <v>124</v>
      </c>
      <c r="B56" s="78" t="s">
        <v>125</v>
      </c>
      <c r="C56" s="59" t="str">
        <f>C54</f>
        <v>To Do</v>
      </c>
      <c r="D56" s="59" t="b">
        <f>D54</f>
        <v>0</v>
      </c>
      <c r="E56" s="60">
        <f>F54</f>
        <v>45861</v>
      </c>
      <c r="F56" s="60">
        <f t="shared" si="0"/>
        <v>45868</v>
      </c>
      <c r="G56" s="61">
        <v>7</v>
      </c>
      <c r="H56" s="61">
        <f t="shared" si="1"/>
        <v>203</v>
      </c>
      <c r="I56" s="62">
        <f>SUMIF('Pricing Info'!$L:$L,A56,'Pricing Info'!$K:$K)</f>
        <v>7040</v>
      </c>
      <c r="J56" s="62" t="str">
        <f>VLOOKUP(K56,'Color Code'!$A$2:$B$7,2,FALSE)</f>
        <v>Blue</v>
      </c>
      <c r="K56" s="79">
        <v>4</v>
      </c>
    </row>
    <row r="57" spans="1:11" ht="15.75">
      <c r="A57" s="68" t="s">
        <v>126</v>
      </c>
      <c r="B57" s="78" t="s">
        <v>127</v>
      </c>
      <c r="C57" s="59" t="str">
        <f t="shared" si="11"/>
        <v>To Do</v>
      </c>
      <c r="D57" s="59" t="b">
        <f t="shared" si="2"/>
        <v>0</v>
      </c>
      <c r="E57" s="60">
        <f t="shared" si="12"/>
        <v>45868</v>
      </c>
      <c r="F57" s="60">
        <f t="shared" si="0"/>
        <v>45882</v>
      </c>
      <c r="G57" s="61">
        <v>14</v>
      </c>
      <c r="H57" s="61">
        <f t="shared" si="1"/>
        <v>210</v>
      </c>
      <c r="I57" s="62">
        <f>SUMIF('Pricing Info'!$L:$L,A57,'Pricing Info'!$K:$K)</f>
        <v>8580</v>
      </c>
      <c r="J57" s="62" t="str">
        <f>VLOOKUP(K57,'Color Code'!$A$2:$B$7,2,FALSE)</f>
        <v>Blue</v>
      </c>
      <c r="K57" s="79">
        <v>4</v>
      </c>
    </row>
    <row r="58" spans="1:11" ht="15.75">
      <c r="A58" s="68" t="s">
        <v>128</v>
      </c>
      <c r="B58" s="78" t="s">
        <v>129</v>
      </c>
      <c r="C58" s="59" t="str">
        <f t="shared" si="11"/>
        <v>To Do</v>
      </c>
      <c r="D58" s="59" t="b">
        <f t="shared" si="2"/>
        <v>0</v>
      </c>
      <c r="E58" s="60">
        <f t="shared" si="12"/>
        <v>45882</v>
      </c>
      <c r="F58" s="60">
        <f t="shared" si="0"/>
        <v>45896</v>
      </c>
      <c r="G58" s="61">
        <v>14</v>
      </c>
      <c r="H58" s="61">
        <f t="shared" si="1"/>
        <v>224</v>
      </c>
      <c r="I58" s="62">
        <f>SUMIF('Pricing Info'!$L:$L,A58,'Pricing Info'!$K:$K)</f>
        <v>76340.990000000005</v>
      </c>
      <c r="J58" s="62" t="str">
        <f>VLOOKUP(K58,'Color Code'!$A$2:$B$7,2,FALSE)</f>
        <v>Blue</v>
      </c>
      <c r="K58" s="79">
        <v>4</v>
      </c>
    </row>
    <row r="59" spans="1:11" ht="15.75">
      <c r="A59" s="69" t="s">
        <v>130</v>
      </c>
      <c r="B59" s="80" t="s">
        <v>131</v>
      </c>
      <c r="C59" s="63" t="str">
        <f>C80</f>
        <v>To Do</v>
      </c>
      <c r="D59" s="63" t="b">
        <f>D80</f>
        <v>0</v>
      </c>
      <c r="E59" s="64">
        <f>F58</f>
        <v>45896</v>
      </c>
      <c r="F59" s="64">
        <f>E59+G59</f>
        <v>45897</v>
      </c>
      <c r="G59" s="65">
        <v>1</v>
      </c>
      <c r="H59" s="65">
        <f>E59-$E$2</f>
        <v>238</v>
      </c>
      <c r="I59" s="66">
        <f>SUMIF('Pricing Info'!$L:$L,A59,'Pricing Info'!$K:$K)</f>
        <v>0</v>
      </c>
      <c r="J59" s="66" t="str">
        <f>VLOOKUP(K59,'Color Code'!$A$2:$B$7,2,FALSE)</f>
        <v>Grey</v>
      </c>
      <c r="K59" s="81">
        <v>3</v>
      </c>
    </row>
    <row r="60" spans="1:11" ht="15.75">
      <c r="A60" s="68" t="s">
        <v>132</v>
      </c>
      <c r="B60" s="78" t="s">
        <v>133</v>
      </c>
      <c r="C60" s="59" t="str">
        <f>C58</f>
        <v>To Do</v>
      </c>
      <c r="D60" s="59" t="b">
        <f>D58</f>
        <v>0</v>
      </c>
      <c r="E60" s="60">
        <f>F59+1</f>
        <v>45898</v>
      </c>
      <c r="F60" s="60">
        <f t="shared" si="0"/>
        <v>45912</v>
      </c>
      <c r="G60" s="61">
        <v>14</v>
      </c>
      <c r="H60" s="61">
        <f t="shared" si="1"/>
        <v>240</v>
      </c>
      <c r="I60" s="62">
        <f>SUMIF('Pricing Info'!$L:$L,A60,'Pricing Info'!$K:$K)</f>
        <v>440</v>
      </c>
      <c r="J60" s="62" t="str">
        <f>VLOOKUP(K60,'Color Code'!$A$2:$B$7,2,FALSE)</f>
        <v>Blue</v>
      </c>
      <c r="K60" s="79">
        <v>4</v>
      </c>
    </row>
    <row r="61" spans="1:11" ht="15.75">
      <c r="A61" s="68" t="s">
        <v>134</v>
      </c>
      <c r="B61" s="78" t="s">
        <v>135</v>
      </c>
      <c r="C61" s="59" t="str">
        <f>C55</f>
        <v>To Do</v>
      </c>
      <c r="D61" s="59" t="b">
        <f>D55</f>
        <v>0</v>
      </c>
      <c r="E61" s="60">
        <f>F60+1</f>
        <v>45913</v>
      </c>
      <c r="F61" s="60">
        <f t="shared" si="0"/>
        <v>45920</v>
      </c>
      <c r="G61" s="61">
        <v>7</v>
      </c>
      <c r="H61" s="61">
        <f t="shared" si="1"/>
        <v>255</v>
      </c>
      <c r="I61" s="62">
        <f>SUMIF('Pricing Info'!$L:$L,A61,'Pricing Info'!$K:$K)</f>
        <v>18227</v>
      </c>
      <c r="J61" s="62" t="str">
        <f>VLOOKUP(K61,'Color Code'!$A$2:$B$7,2,FALSE)</f>
        <v>Blue</v>
      </c>
      <c r="K61" s="79">
        <v>4</v>
      </c>
    </row>
    <row r="62" spans="1:11" ht="15.75">
      <c r="A62" s="69" t="s">
        <v>136</v>
      </c>
      <c r="B62" s="80" t="s">
        <v>137</v>
      </c>
      <c r="C62" s="63" t="str">
        <f>C63</f>
        <v>To Do</v>
      </c>
      <c r="D62" s="63" t="b">
        <f>D63</f>
        <v>0</v>
      </c>
      <c r="E62" s="64">
        <f>F61+1</f>
        <v>45921</v>
      </c>
      <c r="F62" s="64">
        <f>E62+G62</f>
        <v>45922</v>
      </c>
      <c r="G62" s="65">
        <v>1</v>
      </c>
      <c r="H62" s="65">
        <f>E62-$E$2</f>
        <v>263</v>
      </c>
      <c r="I62" s="66">
        <f>SUMIF('Pricing Info'!$L:$L,A62,'Pricing Info'!$K:$K)</f>
        <v>0</v>
      </c>
      <c r="J62" s="66" t="str">
        <f>VLOOKUP(K62,'Color Code'!$A$2:$B$7,2,FALSE)</f>
        <v>Grey</v>
      </c>
      <c r="K62" s="81">
        <v>3</v>
      </c>
    </row>
    <row r="63" spans="1:11" ht="15.75">
      <c r="A63" s="68" t="s">
        <v>138</v>
      </c>
      <c r="B63" s="78" t="s">
        <v>139</v>
      </c>
      <c r="C63" s="59" t="str">
        <f>C82</f>
        <v>To Do</v>
      </c>
      <c r="D63" s="59" t="b">
        <f>D82</f>
        <v>0</v>
      </c>
      <c r="E63" s="60">
        <f>F62</f>
        <v>45922</v>
      </c>
      <c r="F63" s="60">
        <f>E63+G63</f>
        <v>45936</v>
      </c>
      <c r="G63" s="61">
        <v>14</v>
      </c>
      <c r="H63" s="61">
        <f>E63-$E$2</f>
        <v>264</v>
      </c>
      <c r="I63" s="62">
        <f>SUMIF('Pricing Info'!$L:$L,A63,'Pricing Info'!$K:$K)</f>
        <v>115.5</v>
      </c>
      <c r="J63" s="62" t="str">
        <f>VLOOKUP(K63,'Color Code'!$A$2:$B$7,2,FALSE)</f>
        <v>Blue</v>
      </c>
      <c r="K63" s="79">
        <v>4</v>
      </c>
    </row>
    <row r="64" spans="1:11" ht="15.75">
      <c r="A64" s="68" t="s">
        <v>140</v>
      </c>
      <c r="B64" s="78" t="s">
        <v>141</v>
      </c>
      <c r="C64" s="59" t="str">
        <f>C61</f>
        <v>To Do</v>
      </c>
      <c r="D64" s="59" t="b">
        <f>D61</f>
        <v>0</v>
      </c>
      <c r="E64" s="60">
        <f>E63</f>
        <v>45922</v>
      </c>
      <c r="F64" s="60">
        <f t="shared" si="0"/>
        <v>45929</v>
      </c>
      <c r="G64" s="61">
        <v>7</v>
      </c>
      <c r="H64" s="61">
        <f t="shared" si="1"/>
        <v>264</v>
      </c>
      <c r="I64" s="62">
        <f>SUMIF('Pricing Info'!$L:$L,A64,'Pricing Info'!$K:$K)</f>
        <v>10406.137500000001</v>
      </c>
      <c r="J64" s="62" t="str">
        <f>VLOOKUP(K64,'Color Code'!$A$2:$B$7,2,FALSE)</f>
        <v>Blue</v>
      </c>
      <c r="K64" s="79">
        <v>4</v>
      </c>
    </row>
    <row r="65" spans="1:11" ht="15.75">
      <c r="A65" s="68" t="s">
        <v>142</v>
      </c>
      <c r="B65" s="78" t="s">
        <v>143</v>
      </c>
      <c r="C65" s="59" t="str">
        <f>C62</f>
        <v>To Do</v>
      </c>
      <c r="D65" s="59" t="b">
        <f>D62</f>
        <v>0</v>
      </c>
      <c r="E65" s="60">
        <f>F64</f>
        <v>45929</v>
      </c>
      <c r="F65" s="60">
        <f t="shared" ref="F65" si="29">E65+G65</f>
        <v>45936</v>
      </c>
      <c r="G65" s="61">
        <v>7</v>
      </c>
      <c r="H65" s="61">
        <f t="shared" ref="H65" si="30">E65-$E$2</f>
        <v>271</v>
      </c>
      <c r="I65" s="62">
        <f>SUMIF('Pricing Info'!$L:$L,A65,'Pricing Info'!$K:$K)</f>
        <v>0</v>
      </c>
      <c r="J65" s="62" t="str">
        <f>VLOOKUP(K65,'Color Code'!$A$2:$B$7,2,FALSE)</f>
        <v>Blue</v>
      </c>
      <c r="K65" s="79">
        <v>4</v>
      </c>
    </row>
    <row r="66" spans="1:11" ht="15.75">
      <c r="A66" s="68" t="s">
        <v>144</v>
      </c>
      <c r="B66" s="78" t="s">
        <v>145</v>
      </c>
      <c r="C66" s="59" t="str">
        <f>C64</f>
        <v>To Do</v>
      </c>
      <c r="D66" s="59" t="b">
        <f>D64</f>
        <v>0</v>
      </c>
      <c r="E66" s="60">
        <f>F65</f>
        <v>45936</v>
      </c>
      <c r="F66" s="60">
        <f t="shared" si="0"/>
        <v>45938</v>
      </c>
      <c r="G66" s="61">
        <v>2</v>
      </c>
      <c r="H66" s="61">
        <f t="shared" si="1"/>
        <v>278</v>
      </c>
      <c r="I66" s="62">
        <f>SUMIF('Pricing Info'!$L:$L,A66,'Pricing Info'!$K:$K)</f>
        <v>9350</v>
      </c>
      <c r="J66" s="62" t="str">
        <f>VLOOKUP(K66,'Color Code'!$A$2:$B$7,2,FALSE)</f>
        <v>Blue</v>
      </c>
      <c r="K66" s="79">
        <v>4</v>
      </c>
    </row>
    <row r="67" spans="1:11" ht="15.75">
      <c r="A67" s="68" t="s">
        <v>146</v>
      </c>
      <c r="B67" s="78" t="s">
        <v>147</v>
      </c>
      <c r="C67" s="59" t="str">
        <f t="shared" si="11"/>
        <v>To Do</v>
      </c>
      <c r="D67" s="59" t="b">
        <f t="shared" si="2"/>
        <v>0</v>
      </c>
      <c r="E67" s="60">
        <f>E66</f>
        <v>45936</v>
      </c>
      <c r="F67" s="60">
        <f t="shared" si="0"/>
        <v>45943</v>
      </c>
      <c r="G67" s="61">
        <v>7</v>
      </c>
      <c r="H67" s="61">
        <f t="shared" si="1"/>
        <v>278</v>
      </c>
      <c r="I67" s="62">
        <f>SUMIF('Pricing Info'!$L:$L,A67,'Pricing Info'!$K:$K)</f>
        <v>28257.9</v>
      </c>
      <c r="J67" s="62" t="str">
        <f>VLOOKUP(K67,'Color Code'!$A$2:$B$7,2,FALSE)</f>
        <v>Blue</v>
      </c>
      <c r="K67" s="79">
        <v>4</v>
      </c>
    </row>
    <row r="68" spans="1:11" ht="15.75">
      <c r="A68" s="68" t="s">
        <v>148</v>
      </c>
      <c r="B68" s="78" t="s">
        <v>149</v>
      </c>
      <c r="C68" s="59" t="str">
        <f t="shared" si="11"/>
        <v>To Do</v>
      </c>
      <c r="D68" s="59" t="b">
        <f t="shared" si="2"/>
        <v>0</v>
      </c>
      <c r="E68" s="60">
        <f>E67</f>
        <v>45936</v>
      </c>
      <c r="F68" s="60">
        <f t="shared" si="0"/>
        <v>45943</v>
      </c>
      <c r="G68" s="61">
        <v>7</v>
      </c>
      <c r="H68" s="61">
        <f t="shared" si="1"/>
        <v>278</v>
      </c>
      <c r="I68" s="62">
        <f>SUMIF('Pricing Info'!$L:$L,A68,'Pricing Info'!$K:$K)</f>
        <v>0</v>
      </c>
      <c r="J68" s="62" t="str">
        <f>VLOOKUP(K68,'Color Code'!$A$2:$B$7,2,FALSE)</f>
        <v>Blue</v>
      </c>
      <c r="K68" s="79">
        <v>4</v>
      </c>
    </row>
    <row r="69" spans="1:11" ht="15.75">
      <c r="A69" s="68" t="s">
        <v>150</v>
      </c>
      <c r="B69" s="78" t="s">
        <v>151</v>
      </c>
      <c r="C69" s="59" t="str">
        <f t="shared" si="11"/>
        <v>To Do</v>
      </c>
      <c r="D69" s="59" t="b">
        <f t="shared" si="2"/>
        <v>0</v>
      </c>
      <c r="E69" s="60">
        <f>E68</f>
        <v>45936</v>
      </c>
      <c r="F69" s="60">
        <f t="shared" si="0"/>
        <v>45943</v>
      </c>
      <c r="G69" s="61">
        <v>7</v>
      </c>
      <c r="H69" s="61">
        <f t="shared" si="1"/>
        <v>278</v>
      </c>
      <c r="I69" s="62">
        <f>SUMIF('Pricing Info'!$L:$L,A69,'Pricing Info'!$K:$K)</f>
        <v>990</v>
      </c>
      <c r="J69" s="62" t="str">
        <f>VLOOKUP(K69,'Color Code'!$A$2:$B$7,2,FALSE)</f>
        <v>Blue</v>
      </c>
      <c r="K69" s="79">
        <v>4</v>
      </c>
    </row>
    <row r="70" spans="1:11" ht="15.75">
      <c r="A70" s="68" t="s">
        <v>152</v>
      </c>
      <c r="B70" s="78" t="s">
        <v>153</v>
      </c>
      <c r="C70" s="59" t="str">
        <f t="shared" si="11"/>
        <v>To Do</v>
      </c>
      <c r="D70" s="59" t="b">
        <f t="shared" si="2"/>
        <v>0</v>
      </c>
      <c r="E70" s="60">
        <f>E69</f>
        <v>45936</v>
      </c>
      <c r="F70" s="60">
        <f t="shared" si="0"/>
        <v>45943</v>
      </c>
      <c r="G70" s="61">
        <v>7</v>
      </c>
      <c r="H70" s="61">
        <f t="shared" si="1"/>
        <v>278</v>
      </c>
      <c r="I70" s="62">
        <f>SUMIF('Pricing Info'!$L:$L,A70,'Pricing Info'!$K:$K)</f>
        <v>11550</v>
      </c>
      <c r="J70" s="62" t="str">
        <f>VLOOKUP(K70,'Color Code'!$A$2:$B$7,2,FALSE)</f>
        <v>Blue</v>
      </c>
      <c r="K70" s="79">
        <v>4</v>
      </c>
    </row>
    <row r="71" spans="1:11" ht="15.75">
      <c r="A71" s="68" t="s">
        <v>154</v>
      </c>
      <c r="B71" s="78" t="s">
        <v>155</v>
      </c>
      <c r="C71" s="59" t="str">
        <f t="shared" si="11"/>
        <v>To Do</v>
      </c>
      <c r="D71" s="59" t="b">
        <f t="shared" si="2"/>
        <v>0</v>
      </c>
      <c r="E71" s="60">
        <f>E70</f>
        <v>45936</v>
      </c>
      <c r="F71" s="60">
        <f t="shared" si="0"/>
        <v>45943</v>
      </c>
      <c r="G71" s="61">
        <v>7</v>
      </c>
      <c r="H71" s="61">
        <f t="shared" si="1"/>
        <v>278</v>
      </c>
      <c r="I71" s="62">
        <f>SUMIF('Pricing Info'!$L:$L,A71,'Pricing Info'!$K:$K)</f>
        <v>2420</v>
      </c>
      <c r="J71" s="62" t="str">
        <f>VLOOKUP(K71,'Color Code'!$A$2:$B$7,2,FALSE)</f>
        <v>Blue</v>
      </c>
      <c r="K71" s="79">
        <v>4</v>
      </c>
    </row>
    <row r="72" spans="1:11" ht="15.75">
      <c r="A72" s="68" t="s">
        <v>156</v>
      </c>
      <c r="B72" s="78" t="s">
        <v>157</v>
      </c>
      <c r="C72" s="59" t="str">
        <f t="shared" si="11"/>
        <v>To Do</v>
      </c>
      <c r="D72" s="59" t="b">
        <f t="shared" si="2"/>
        <v>0</v>
      </c>
      <c r="E72" s="60">
        <f>E70</f>
        <v>45936</v>
      </c>
      <c r="F72" s="60">
        <f t="shared" si="0"/>
        <v>45943</v>
      </c>
      <c r="G72" s="61">
        <v>7</v>
      </c>
      <c r="H72" s="61">
        <f t="shared" si="1"/>
        <v>278</v>
      </c>
      <c r="I72" s="62">
        <f>SUMIF('Pricing Info'!$L:$L,A72,'Pricing Info'!$K:$K)</f>
        <v>431.64</v>
      </c>
      <c r="J72" s="62" t="str">
        <f>VLOOKUP(K72,'Color Code'!$A$2:$B$7,2,FALSE)</f>
        <v>Blue</v>
      </c>
      <c r="K72" s="79">
        <v>4</v>
      </c>
    </row>
    <row r="73" spans="1:11" ht="15.75">
      <c r="A73" s="68" t="s">
        <v>158</v>
      </c>
      <c r="B73" s="78" t="s">
        <v>159</v>
      </c>
      <c r="C73" s="59" t="str">
        <f t="shared" si="11"/>
        <v>To Do</v>
      </c>
      <c r="D73" s="59" t="b">
        <f t="shared" si="2"/>
        <v>0</v>
      </c>
      <c r="E73" s="60">
        <f>E71</f>
        <v>45936</v>
      </c>
      <c r="F73" s="60">
        <f t="shared" si="0"/>
        <v>45943</v>
      </c>
      <c r="G73" s="61">
        <v>7</v>
      </c>
      <c r="H73" s="61">
        <f t="shared" si="1"/>
        <v>278</v>
      </c>
      <c r="I73" s="62">
        <f>SUMIF('Pricing Info'!$L:$L,A73,'Pricing Info'!$K:$K)</f>
        <v>4.4550000000000001</v>
      </c>
      <c r="J73" s="62" t="str">
        <f>VLOOKUP(K73,'Color Code'!$A$2:$B$7,2,FALSE)</f>
        <v>Blue</v>
      </c>
      <c r="K73" s="79">
        <v>4</v>
      </c>
    </row>
    <row r="74" spans="1:11" ht="15.75">
      <c r="A74" s="68" t="s">
        <v>160</v>
      </c>
      <c r="B74" s="78" t="s">
        <v>161</v>
      </c>
      <c r="C74" s="59" t="str">
        <f t="shared" si="11"/>
        <v>To Do</v>
      </c>
      <c r="D74" s="59" t="b">
        <f t="shared" si="2"/>
        <v>0</v>
      </c>
      <c r="E74" s="60">
        <f>E73</f>
        <v>45936</v>
      </c>
      <c r="F74" s="60">
        <f t="shared" si="0"/>
        <v>45943</v>
      </c>
      <c r="G74" s="61">
        <v>7</v>
      </c>
      <c r="H74" s="61">
        <f t="shared" si="1"/>
        <v>278</v>
      </c>
      <c r="I74" s="62">
        <f>SUMIF('Pricing Info'!$L:$L,A74,'Pricing Info'!$K:$K)</f>
        <v>45827.1</v>
      </c>
      <c r="J74" s="62" t="str">
        <f>VLOOKUP(K74,'Color Code'!$A$2:$B$7,2,FALSE)</f>
        <v>Blue</v>
      </c>
      <c r="K74" s="79">
        <v>4</v>
      </c>
    </row>
    <row r="75" spans="1:11" ht="15.75">
      <c r="A75" s="68" t="s">
        <v>162</v>
      </c>
      <c r="B75" s="78" t="s">
        <v>163</v>
      </c>
      <c r="C75" s="59" t="str">
        <f t="shared" si="11"/>
        <v>To Do</v>
      </c>
      <c r="D75" s="59" t="b">
        <f t="shared" si="2"/>
        <v>0</v>
      </c>
      <c r="E75" s="60">
        <f>E74</f>
        <v>45936</v>
      </c>
      <c r="F75" s="60">
        <f t="shared" si="0"/>
        <v>45943</v>
      </c>
      <c r="G75" s="61">
        <v>7</v>
      </c>
      <c r="H75" s="61">
        <f t="shared" si="1"/>
        <v>278</v>
      </c>
      <c r="I75" s="62">
        <f>SUMIF('Pricing Info'!$L:$L,A75,'Pricing Info'!$K:$K)</f>
        <v>99</v>
      </c>
      <c r="J75" s="62" t="str">
        <f>VLOOKUP(K75,'Color Code'!$A$2:$B$7,2,FALSE)</f>
        <v>Blue</v>
      </c>
      <c r="K75" s="79">
        <v>4</v>
      </c>
    </row>
    <row r="76" spans="1:11" ht="15.75">
      <c r="A76" s="68" t="s">
        <v>164</v>
      </c>
      <c r="B76" s="78" t="s">
        <v>165</v>
      </c>
      <c r="C76" s="59" t="str">
        <f t="shared" si="11"/>
        <v>To Do</v>
      </c>
      <c r="D76" s="59" t="b">
        <f t="shared" si="2"/>
        <v>0</v>
      </c>
      <c r="E76" s="60">
        <f t="shared" si="12"/>
        <v>45943</v>
      </c>
      <c r="F76" s="60">
        <f t="shared" si="0"/>
        <v>45957</v>
      </c>
      <c r="G76" s="61">
        <v>14</v>
      </c>
      <c r="H76" s="61">
        <f t="shared" si="1"/>
        <v>285</v>
      </c>
      <c r="I76" s="62">
        <f>SUMIF('Pricing Info'!$L:$L,A76,'Pricing Info'!$K:$K)</f>
        <v>10725</v>
      </c>
      <c r="J76" s="62" t="str">
        <f>VLOOKUP(K76,'Color Code'!$A$2:$B$7,2,FALSE)</f>
        <v>Blue</v>
      </c>
      <c r="K76" s="79">
        <v>4</v>
      </c>
    </row>
    <row r="77" spans="1:11" ht="15.75">
      <c r="A77" s="68" t="s">
        <v>166</v>
      </c>
      <c r="B77" s="78" t="s">
        <v>167</v>
      </c>
      <c r="C77" s="59" t="str">
        <f t="shared" si="11"/>
        <v>To Do</v>
      </c>
      <c r="D77" s="59" t="b">
        <f t="shared" si="2"/>
        <v>0</v>
      </c>
      <c r="E77" s="60">
        <f t="shared" si="12"/>
        <v>45957</v>
      </c>
      <c r="F77" s="60">
        <f t="shared" si="0"/>
        <v>45959</v>
      </c>
      <c r="G77" s="61">
        <v>2</v>
      </c>
      <c r="H77" s="61">
        <f t="shared" si="1"/>
        <v>299</v>
      </c>
      <c r="I77" s="62">
        <f>SUMIF('Pricing Info'!$L:$L,A77,'Pricing Info'!$K:$K)</f>
        <v>1004.3</v>
      </c>
      <c r="J77" s="62" t="str">
        <f>VLOOKUP(K77,'Color Code'!$A$2:$B$7,2,FALSE)</f>
        <v>Blue</v>
      </c>
      <c r="K77" s="79">
        <v>4</v>
      </c>
    </row>
    <row r="78" spans="1:11" ht="15.75">
      <c r="A78" s="68" t="s">
        <v>168</v>
      </c>
      <c r="B78" s="78" t="s">
        <v>169</v>
      </c>
      <c r="C78" s="59" t="str">
        <f t="shared" si="11"/>
        <v>To Do</v>
      </c>
      <c r="D78" s="59" t="b">
        <f t="shared" si="2"/>
        <v>0</v>
      </c>
      <c r="E78" s="60">
        <f t="shared" si="12"/>
        <v>45959</v>
      </c>
      <c r="F78" s="60">
        <f t="shared" si="0"/>
        <v>45961</v>
      </c>
      <c r="G78" s="61">
        <v>2</v>
      </c>
      <c r="H78" s="61">
        <f t="shared" si="1"/>
        <v>301</v>
      </c>
      <c r="I78" s="62">
        <f>SUMIF('Pricing Info'!$L:$L,A78,'Pricing Info'!$K:$K)</f>
        <v>1004.3</v>
      </c>
      <c r="J78" s="62" t="str">
        <f>VLOOKUP(K78,'Color Code'!$A$2:$B$7,2,FALSE)</f>
        <v>Blue</v>
      </c>
      <c r="K78" s="79">
        <v>4</v>
      </c>
    </row>
    <row r="79" spans="1:11" ht="15.75">
      <c r="A79" s="68" t="s">
        <v>170</v>
      </c>
      <c r="B79" s="78" t="s">
        <v>171</v>
      </c>
      <c r="C79" s="59" t="str">
        <f t="shared" si="11"/>
        <v>To Do</v>
      </c>
      <c r="D79" s="59" t="b">
        <f t="shared" si="2"/>
        <v>0</v>
      </c>
      <c r="E79" s="60">
        <f>E78</f>
        <v>45959</v>
      </c>
      <c r="F79" s="60">
        <f t="shared" si="0"/>
        <v>45961</v>
      </c>
      <c r="G79" s="61">
        <v>2</v>
      </c>
      <c r="H79" s="61">
        <f t="shared" si="1"/>
        <v>301</v>
      </c>
      <c r="I79" s="62">
        <f>SUMIF('Pricing Info'!$L:$L,A79,'Pricing Info'!$K:$K)</f>
        <v>4925.5249999999996</v>
      </c>
      <c r="J79" s="62" t="str">
        <f>VLOOKUP(K79,'Color Code'!$A$2:$B$7,2,FALSE)</f>
        <v>Blue</v>
      </c>
      <c r="K79" s="79">
        <v>4</v>
      </c>
    </row>
    <row r="80" spans="1:11" ht="15.75">
      <c r="A80" s="68" t="s">
        <v>172</v>
      </c>
      <c r="B80" s="78" t="s">
        <v>173</v>
      </c>
      <c r="C80" s="59" t="str">
        <f t="shared" si="11"/>
        <v>To Do</v>
      </c>
      <c r="D80" s="59" t="b">
        <f t="shared" si="2"/>
        <v>0</v>
      </c>
      <c r="E80" s="60">
        <f t="shared" si="12"/>
        <v>45961</v>
      </c>
      <c r="F80" s="60">
        <f t="shared" si="0"/>
        <v>45962</v>
      </c>
      <c r="G80" s="61">
        <v>1</v>
      </c>
      <c r="H80" s="61">
        <f t="shared" si="1"/>
        <v>303</v>
      </c>
      <c r="I80" s="62">
        <f>SUMIF('Pricing Info'!$L:$L,A80,'Pricing Info'!$K:$K)</f>
        <v>87905.647500000006</v>
      </c>
      <c r="J80" s="62" t="str">
        <f>VLOOKUP(K80,'Color Code'!$A$2:$B$7,2,FALSE)</f>
        <v>Cyan</v>
      </c>
      <c r="K80" s="79">
        <v>5</v>
      </c>
    </row>
    <row r="81" spans="1:11" ht="15.75">
      <c r="A81" s="68" t="s">
        <v>174</v>
      </c>
      <c r="B81" s="78" t="s">
        <v>175</v>
      </c>
      <c r="C81" s="59" t="str">
        <f>C59</f>
        <v>To Do</v>
      </c>
      <c r="D81" s="59" t="b">
        <f>D59</f>
        <v>0</v>
      </c>
      <c r="E81" s="60">
        <f>F80</f>
        <v>45962</v>
      </c>
      <c r="F81" s="60">
        <f t="shared" si="0"/>
        <v>45964</v>
      </c>
      <c r="G81" s="61">
        <v>2</v>
      </c>
      <c r="H81" s="61">
        <f t="shared" si="1"/>
        <v>304</v>
      </c>
      <c r="I81" s="62">
        <f>SUMIF('Pricing Info'!$L:$L,A81,'Pricing Info'!$K:$K)</f>
        <v>5009.3999999999996</v>
      </c>
      <c r="J81" s="62" t="str">
        <f>VLOOKUP(K81,'Color Code'!$A$2:$B$7,2,FALSE)</f>
        <v>Blue</v>
      </c>
      <c r="K81" s="79">
        <v>4</v>
      </c>
    </row>
    <row r="82" spans="1:11" ht="15.75">
      <c r="A82" s="68" t="s">
        <v>176</v>
      </c>
      <c r="B82" s="78" t="s">
        <v>177</v>
      </c>
      <c r="C82" s="59" t="str">
        <f>C81</f>
        <v>To Do</v>
      </c>
      <c r="D82" s="59" t="b">
        <f>D81</f>
        <v>0</v>
      </c>
      <c r="E82" s="60">
        <f>E81</f>
        <v>45962</v>
      </c>
      <c r="F82" s="60">
        <f t="shared" ref="F82:F91" si="31">E82+G82</f>
        <v>45969</v>
      </c>
      <c r="G82" s="61">
        <v>7</v>
      </c>
      <c r="H82" s="61">
        <f t="shared" ref="H82:H91" si="32">E82-$E$2</f>
        <v>304</v>
      </c>
      <c r="I82" s="62">
        <f>SUMIF('Pricing Info'!$L:$L,A82,'Pricing Info'!$K:$K)</f>
        <v>10071.271375</v>
      </c>
      <c r="J82" s="62" t="str">
        <f>VLOOKUP(K82,'Color Code'!$A$2:$B$7,2,FALSE)</f>
        <v>Blue</v>
      </c>
      <c r="K82" s="79">
        <v>4</v>
      </c>
    </row>
    <row r="83" spans="1:11" ht="15.75">
      <c r="A83" s="69" t="s">
        <v>178</v>
      </c>
      <c r="B83" s="80" t="s">
        <v>179</v>
      </c>
      <c r="C83" s="63" t="str">
        <f>C82</f>
        <v>To Do</v>
      </c>
      <c r="D83" s="63" t="b">
        <f>D82</f>
        <v>0</v>
      </c>
      <c r="E83" s="64">
        <f>E82</f>
        <v>45962</v>
      </c>
      <c r="F83" s="64">
        <f t="shared" ref="F83" si="33">E83+G83</f>
        <v>45963</v>
      </c>
      <c r="G83" s="65">
        <v>1</v>
      </c>
      <c r="H83" s="65">
        <f t="shared" ref="H83" si="34">E83-$E$2</f>
        <v>304</v>
      </c>
      <c r="I83" s="66">
        <f>SUMIF('Pricing Info'!$L:$L,A83,'Pricing Info'!$K:$K)</f>
        <v>1100</v>
      </c>
      <c r="J83" s="66" t="str">
        <f>VLOOKUP(K83,'Color Code'!$A$2:$B$7,2,FALSE)</f>
        <v>Blue</v>
      </c>
      <c r="K83" s="81">
        <v>4</v>
      </c>
    </row>
    <row r="84" spans="1:11" ht="15.75">
      <c r="A84" s="69" t="s">
        <v>180</v>
      </c>
      <c r="B84" s="80" t="s">
        <v>181</v>
      </c>
      <c r="C84" s="63" t="str">
        <f>C63</f>
        <v>To Do</v>
      </c>
      <c r="D84" s="63" t="b">
        <f>D63</f>
        <v>0</v>
      </c>
      <c r="E84" s="64">
        <f>F82</f>
        <v>45969</v>
      </c>
      <c r="F84" s="64">
        <f t="shared" ref="F84" si="35">E84+G84</f>
        <v>45970</v>
      </c>
      <c r="G84" s="65">
        <v>1</v>
      </c>
      <c r="H84" s="65">
        <f t="shared" ref="H84" si="36">E84-$E$2</f>
        <v>311</v>
      </c>
      <c r="I84" s="66">
        <f>SUMIF('Pricing Info'!$L:$L,A84,'Pricing Info'!$K:$K)</f>
        <v>0</v>
      </c>
      <c r="J84" s="66" t="s">
        <v>182</v>
      </c>
      <c r="K84" s="81">
        <v>3</v>
      </c>
    </row>
    <row r="85" spans="1:11" ht="15.75">
      <c r="A85" s="68" t="s">
        <v>183</v>
      </c>
      <c r="B85" s="78" t="s">
        <v>184</v>
      </c>
      <c r="C85" s="59" t="str">
        <f>C63</f>
        <v>To Do</v>
      </c>
      <c r="D85" s="59" t="b">
        <f>D63</f>
        <v>0</v>
      </c>
      <c r="E85" s="60">
        <f>F84</f>
        <v>45970</v>
      </c>
      <c r="F85" s="60">
        <f t="shared" si="31"/>
        <v>45972</v>
      </c>
      <c r="G85" s="61">
        <v>2</v>
      </c>
      <c r="H85" s="61">
        <f t="shared" si="32"/>
        <v>312</v>
      </c>
      <c r="I85" s="62">
        <f>SUMIF('Pricing Info'!$L:$L,A85,'Pricing Info'!$K:$K)</f>
        <v>0</v>
      </c>
      <c r="J85" s="62" t="str">
        <f>VLOOKUP(K85,'Color Code'!$A$2:$B$7,2,FALSE)</f>
        <v>Blue</v>
      </c>
      <c r="K85" s="79">
        <v>4</v>
      </c>
    </row>
    <row r="86" spans="1:11" ht="15.75">
      <c r="A86" s="69" t="s">
        <v>185</v>
      </c>
      <c r="B86" s="80" t="s">
        <v>186</v>
      </c>
      <c r="C86" s="63" t="str">
        <f t="shared" si="11"/>
        <v>To Do</v>
      </c>
      <c r="D86" s="63" t="b">
        <f t="shared" ref="D86:D91" si="37">D85</f>
        <v>0</v>
      </c>
      <c r="E86" s="64">
        <f t="shared" ref="E86:E91" si="38">F85</f>
        <v>45972</v>
      </c>
      <c r="F86" s="64">
        <f t="shared" si="31"/>
        <v>45973</v>
      </c>
      <c r="G86" s="65">
        <v>1</v>
      </c>
      <c r="H86" s="65">
        <f t="shared" si="32"/>
        <v>314</v>
      </c>
      <c r="I86" s="66">
        <f>SUMIF('Pricing Info'!$L:$L,A86,'Pricing Info'!$K:$K)</f>
        <v>0</v>
      </c>
      <c r="J86" s="66" t="str">
        <f>VLOOKUP(K86,'Color Code'!$A$2:$B$7,2,FALSE)</f>
        <v>Grey</v>
      </c>
      <c r="K86" s="81">
        <v>3</v>
      </c>
    </row>
    <row r="87" spans="1:11" ht="15.75">
      <c r="A87" s="69" t="s">
        <v>187</v>
      </c>
      <c r="B87" s="80" t="s">
        <v>188</v>
      </c>
      <c r="C87" s="63" t="str">
        <f t="shared" si="11"/>
        <v>To Do</v>
      </c>
      <c r="D87" s="63" t="b">
        <f t="shared" si="37"/>
        <v>0</v>
      </c>
      <c r="E87" s="64">
        <f t="shared" si="38"/>
        <v>45973</v>
      </c>
      <c r="F87" s="64">
        <f t="shared" si="31"/>
        <v>45974</v>
      </c>
      <c r="G87" s="65">
        <v>1</v>
      </c>
      <c r="H87" s="65">
        <f t="shared" si="32"/>
        <v>315</v>
      </c>
      <c r="I87" s="66">
        <f>SUMIF('Pricing Info'!$L:$L,A87,'Pricing Info'!$K:$K)</f>
        <v>0</v>
      </c>
      <c r="J87" s="66" t="str">
        <f>VLOOKUP(K87,'Color Code'!$A$2:$B$7,2,FALSE)</f>
        <v>Grey</v>
      </c>
      <c r="K87" s="81">
        <v>3</v>
      </c>
    </row>
    <row r="88" spans="1:11" ht="15.75">
      <c r="A88" s="68" t="s">
        <v>189</v>
      </c>
      <c r="B88" s="78" t="s">
        <v>190</v>
      </c>
      <c r="C88" s="59" t="str">
        <f t="shared" si="11"/>
        <v>To Do</v>
      </c>
      <c r="D88" s="59" t="b">
        <f t="shared" si="37"/>
        <v>0</v>
      </c>
      <c r="E88" s="60">
        <f t="shared" si="38"/>
        <v>45974</v>
      </c>
      <c r="F88" s="60">
        <f t="shared" si="31"/>
        <v>45975</v>
      </c>
      <c r="G88" s="61">
        <v>1</v>
      </c>
      <c r="H88" s="61">
        <f t="shared" si="32"/>
        <v>316</v>
      </c>
      <c r="I88" s="62">
        <f>SUMIF('Pricing Info'!$L:$L,A88,'Pricing Info'!$K:$K)</f>
        <v>0</v>
      </c>
      <c r="J88" s="62" t="str">
        <f>VLOOKUP(K88,'Color Code'!$A$2:$B$7,2,FALSE)</f>
        <v>Blue</v>
      </c>
      <c r="K88" s="79">
        <v>4</v>
      </c>
    </row>
    <row r="89" spans="1:11" ht="15.75">
      <c r="A89" s="68" t="s">
        <v>191</v>
      </c>
      <c r="B89" s="78" t="s">
        <v>192</v>
      </c>
      <c r="C89" s="59" t="str">
        <f t="shared" si="11"/>
        <v>To Do</v>
      </c>
      <c r="D89" s="59" t="b">
        <f t="shared" si="37"/>
        <v>0</v>
      </c>
      <c r="E89" s="60">
        <f t="shared" si="38"/>
        <v>45975</v>
      </c>
      <c r="F89" s="60">
        <f t="shared" si="31"/>
        <v>45977</v>
      </c>
      <c r="G89" s="61">
        <v>2</v>
      </c>
      <c r="H89" s="61">
        <f t="shared" si="32"/>
        <v>317</v>
      </c>
      <c r="I89" s="62">
        <f>SUMIF('Pricing Info'!$L:$L,A89,'Pricing Info'!$K:$K)</f>
        <v>0</v>
      </c>
      <c r="J89" s="62" t="str">
        <f>VLOOKUP(K89,'Color Code'!$A$2:$B$7,2,FALSE)</f>
        <v>Blue</v>
      </c>
      <c r="K89" s="79">
        <v>4</v>
      </c>
    </row>
    <row r="90" spans="1:11" ht="15.75">
      <c r="A90" s="68" t="s">
        <v>193</v>
      </c>
      <c r="B90" s="78" t="s">
        <v>194</v>
      </c>
      <c r="C90" s="59" t="str">
        <f t="shared" si="11"/>
        <v>To Do</v>
      </c>
      <c r="D90" s="59" t="b">
        <f t="shared" si="37"/>
        <v>0</v>
      </c>
      <c r="E90" s="60">
        <f t="shared" si="38"/>
        <v>45977</v>
      </c>
      <c r="F90" s="60">
        <f t="shared" si="31"/>
        <v>45979</v>
      </c>
      <c r="G90" s="61">
        <v>2</v>
      </c>
      <c r="H90" s="61">
        <f t="shared" si="32"/>
        <v>319</v>
      </c>
      <c r="I90" s="66">
        <f>SUMIF('Pricing Info'!$L:$L,A90,'Pricing Info'!$K:$K)</f>
        <v>0</v>
      </c>
      <c r="J90" s="62" t="str">
        <f>VLOOKUP(K90,'Color Code'!$A$2:$B$7,2,FALSE)</f>
        <v>Blue</v>
      </c>
      <c r="K90" s="79">
        <v>4</v>
      </c>
    </row>
    <row r="91" spans="1:11" ht="15.75">
      <c r="A91" s="70" t="s">
        <v>195</v>
      </c>
      <c r="B91" s="82" t="s">
        <v>196</v>
      </c>
      <c r="C91" s="83" t="str">
        <f t="shared" si="11"/>
        <v>To Do</v>
      </c>
      <c r="D91" s="83" t="b">
        <f t="shared" si="37"/>
        <v>0</v>
      </c>
      <c r="E91" s="84">
        <f t="shared" si="38"/>
        <v>45979</v>
      </c>
      <c r="F91" s="84">
        <f t="shared" si="31"/>
        <v>45980</v>
      </c>
      <c r="G91" s="85">
        <v>1</v>
      </c>
      <c r="H91" s="85">
        <f t="shared" si="32"/>
        <v>321</v>
      </c>
      <c r="I91" s="86">
        <f>SUMIF('Pricing Info'!$L:$L,A91,'Pricing Info'!$K:$K)</f>
        <v>49032.693050000002</v>
      </c>
      <c r="J91" s="86" t="str">
        <f>VLOOKUP(K91,'Color Code'!$A$2:$B$7,2,FALSE)</f>
        <v>Purple</v>
      </c>
      <c r="K91" s="87">
        <v>0</v>
      </c>
    </row>
    <row r="92" spans="1:11">
      <c r="C92"/>
      <c r="D92"/>
      <c r="I92"/>
      <c r="J92"/>
    </row>
    <row r="94" spans="1:11">
      <c r="A94" s="4"/>
      <c r="B94" s="4"/>
      <c r="C94" s="5"/>
      <c r="D94" s="5"/>
      <c r="E94" s="141"/>
      <c r="F94" s="141"/>
      <c r="G94" s="4"/>
      <c r="H94" s="4"/>
      <c r="I94" s="142"/>
      <c r="J94" s="142"/>
      <c r="K94" s="142"/>
    </row>
    <row r="95" spans="1:11">
      <c r="A95" s="4"/>
      <c r="B95" s="4"/>
      <c r="C95" s="5"/>
      <c r="D95" s="5"/>
      <c r="E95" s="141"/>
      <c r="F95" s="141"/>
      <c r="G95" s="4"/>
      <c r="H95" s="4"/>
      <c r="I95" s="10"/>
      <c r="J95" s="10"/>
      <c r="K95" s="11"/>
    </row>
    <row r="96" spans="1:11">
      <c r="A96" s="6"/>
      <c r="B96" s="6"/>
      <c r="C96" s="7"/>
      <c r="D96" s="7"/>
      <c r="E96" s="143"/>
      <c r="F96" s="143"/>
      <c r="G96" s="8"/>
      <c r="H96" s="8"/>
      <c r="I96" s="12"/>
      <c r="J96" s="12"/>
      <c r="K96" s="10"/>
    </row>
    <row r="97" spans="1:11">
      <c r="A97" s="8"/>
      <c r="B97" s="8"/>
      <c r="C97" s="9"/>
      <c r="D97" s="9"/>
      <c r="E97" s="8"/>
      <c r="F97" s="8"/>
      <c r="G97" s="8"/>
      <c r="H97" s="8"/>
      <c r="I97" s="12"/>
      <c r="J97" s="12"/>
      <c r="K97" s="8"/>
    </row>
    <row r="98" spans="1:11">
      <c r="A98" s="4"/>
      <c r="B98" s="4"/>
      <c r="C98" s="5"/>
      <c r="D98" s="5"/>
      <c r="E98" s="144"/>
      <c r="F98" s="145"/>
      <c r="G98" s="8"/>
      <c r="H98" s="8"/>
      <c r="I98" s="142"/>
      <c r="J98" s="142"/>
      <c r="K98" s="142"/>
    </row>
    <row r="99" spans="1:11">
      <c r="A99" s="4"/>
      <c r="B99" s="4"/>
      <c r="C99" s="5"/>
      <c r="D99" s="5"/>
      <c r="E99" s="144"/>
      <c r="F99" s="145"/>
      <c r="G99" s="8"/>
      <c r="H99" s="8"/>
      <c r="I99" s="12"/>
      <c r="J99" s="12"/>
      <c r="K99" s="13"/>
    </row>
    <row r="100" spans="1:11">
      <c r="A100" s="6"/>
      <c r="B100" s="6"/>
      <c r="C100" s="7"/>
      <c r="D100" s="7"/>
      <c r="E100" s="139"/>
      <c r="F100" s="140"/>
      <c r="G100" s="8"/>
      <c r="H100" s="8"/>
      <c r="I100" s="12"/>
      <c r="J100" s="12"/>
      <c r="K100" s="13"/>
    </row>
  </sheetData>
  <mergeCells count="8">
    <mergeCell ref="E100:F100"/>
    <mergeCell ref="E94:F94"/>
    <mergeCell ref="I94:K94"/>
    <mergeCell ref="I98:K98"/>
    <mergeCell ref="E95:F95"/>
    <mergeCell ref="E96:F96"/>
    <mergeCell ref="E98:F98"/>
    <mergeCell ref="E99:F99"/>
  </mergeCells>
  <conditionalFormatting sqref="C2:D21 C26:D91">
    <cfRule type="containsText" dxfId="10" priority="2" operator="containsText" text="Done">
      <formula>NOT(ISERROR(SEARCH("Done",C2)))</formula>
    </cfRule>
  </conditionalFormatting>
  <conditionalFormatting sqref="C22:D25">
    <cfRule type="containsText" dxfId="9" priority="1" operator="containsText" text="Done">
      <formula>NOT(ISERROR(SEARCH("Done",C22)))</formula>
    </cfRule>
  </conditionalFormatting>
  <printOptions horizontalCentered="1" verticalCentered="1"/>
  <pageMargins left="0.25" right="0.25" top="0.75" bottom="0.75" header="0.3" footer="0.3"/>
  <pageSetup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5ED9-16DC-48E9-B668-8F9EDFB442E8}">
  <dimension ref="A1:L244"/>
  <sheetViews>
    <sheetView showGridLines="0" tabSelected="1" topLeftCell="A182" workbookViewId="0">
      <selection activeCell="C244" sqref="C244"/>
    </sheetView>
  </sheetViews>
  <sheetFormatPr defaultColWidth="8.85546875" defaultRowHeight="15.75" customHeight="1"/>
  <cols>
    <col min="1" max="1" width="43.7109375" style="41" bestFit="1" customWidth="1"/>
    <col min="2" max="2" width="14" style="41" bestFit="1" customWidth="1"/>
    <col min="3" max="3" width="17.85546875" style="41" bestFit="1" customWidth="1"/>
    <col min="4" max="4" width="18.85546875" style="42" bestFit="1" customWidth="1"/>
    <col min="5" max="5" width="16.28515625" style="41" bestFit="1" customWidth="1"/>
    <col min="6" max="6" width="28" style="41" bestFit="1" customWidth="1"/>
    <col min="7" max="8" width="16.5703125" style="41" bestFit="1" customWidth="1"/>
    <col min="9" max="9" width="16" style="41" bestFit="1" customWidth="1"/>
    <col min="10" max="10" width="16.42578125" style="41" bestFit="1" customWidth="1"/>
    <col min="11" max="11" width="22" style="41" bestFit="1" customWidth="1"/>
    <col min="12" max="12" width="14.28515625" style="43" bestFit="1" customWidth="1"/>
    <col min="13" max="16384" width="8.85546875" style="41"/>
  </cols>
  <sheetData>
    <row r="1" spans="1:12" ht="15" customHeight="1">
      <c r="A1" s="14" t="s">
        <v>197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41"/>
    </row>
    <row r="2" spans="1:12" ht="30.75">
      <c r="A2" s="148" t="s">
        <v>198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41"/>
    </row>
    <row r="3" spans="1:12" ht="17.4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41"/>
    </row>
    <row r="4" spans="1:12" ht="17.45" customHeight="1">
      <c r="A4" s="16" t="s">
        <v>199</v>
      </c>
      <c r="B4" s="17">
        <f ca="1">TODAY()</f>
        <v>45739</v>
      </c>
      <c r="C4" s="17"/>
      <c r="D4" s="17"/>
      <c r="E4" s="17"/>
      <c r="F4" s="39" t="s">
        <v>200</v>
      </c>
      <c r="G4" s="15"/>
      <c r="H4" s="20">
        <f>SUM(G14:G119)</f>
        <v>0</v>
      </c>
      <c r="I4" s="20"/>
      <c r="J4" s="20"/>
      <c r="K4" s="15"/>
      <c r="L4" s="41"/>
    </row>
    <row r="5" spans="1:12" ht="17.45" customHeight="1">
      <c r="A5" s="16" t="s">
        <v>201</v>
      </c>
      <c r="B5" s="17">
        <v>45658</v>
      </c>
      <c r="C5" s="17"/>
      <c r="D5" s="17"/>
      <c r="E5" s="17"/>
      <c r="F5" s="39" t="s">
        <v>202</v>
      </c>
      <c r="G5" s="15"/>
      <c r="H5" s="18">
        <f>Data!F91</f>
        <v>45980</v>
      </c>
      <c r="I5" s="18"/>
      <c r="J5" s="15"/>
      <c r="K5" s="15"/>
      <c r="L5" s="41"/>
    </row>
    <row r="6" spans="1:12" ht="17.45" customHeight="1">
      <c r="A6" s="18"/>
      <c r="B6" s="19"/>
      <c r="C6" s="19"/>
      <c r="D6" s="19"/>
      <c r="E6" s="19"/>
      <c r="F6" s="15"/>
      <c r="G6" s="15"/>
      <c r="H6" s="40"/>
      <c r="I6" s="40"/>
      <c r="J6" s="15"/>
      <c r="K6" s="15"/>
      <c r="L6" s="41"/>
    </row>
    <row r="7" spans="1:12" ht="17.45" customHeight="1">
      <c r="A7" s="16" t="s">
        <v>203</v>
      </c>
      <c r="B7" s="20">
        <v>43560</v>
      </c>
      <c r="C7" s="20"/>
      <c r="D7" s="20"/>
      <c r="E7" s="21"/>
      <c r="F7" s="39" t="s">
        <v>204</v>
      </c>
      <c r="G7" s="15"/>
      <c r="H7" s="42">
        <f>K120-SUM(H8:H9)</f>
        <v>681647.24828749988</v>
      </c>
      <c r="I7" s="42"/>
      <c r="J7" s="15"/>
      <c r="K7" s="52" t="s">
        <v>205</v>
      </c>
      <c r="L7" s="45">
        <v>0.75</v>
      </c>
    </row>
    <row r="8" spans="1:12" ht="17.45" customHeight="1">
      <c r="A8" s="16" t="s">
        <v>206</v>
      </c>
      <c r="B8" s="20">
        <v>4000</v>
      </c>
      <c r="C8" s="20"/>
      <c r="D8" s="20"/>
      <c r="E8" s="21"/>
      <c r="F8" s="39" t="s">
        <v>207</v>
      </c>
      <c r="G8" s="51">
        <v>0.15</v>
      </c>
      <c r="H8" s="42">
        <f>K88</f>
        <v>104198.07914999999</v>
      </c>
      <c r="I8" s="42"/>
      <c r="J8" s="15"/>
      <c r="K8" s="46" t="s">
        <v>208</v>
      </c>
      <c r="L8" s="45">
        <v>0.85</v>
      </c>
    </row>
    <row r="9" spans="1:12" ht="17.45" customHeight="1">
      <c r="A9" s="16" t="s">
        <v>209</v>
      </c>
      <c r="B9" s="20">
        <v>2</v>
      </c>
      <c r="C9" s="20"/>
      <c r="D9" s="20"/>
      <c r="E9" s="21"/>
      <c r="F9" s="39" t="s">
        <v>210</v>
      </c>
      <c r="G9" s="51">
        <v>0.05</v>
      </c>
      <c r="H9" s="42">
        <f>K89</f>
        <v>34732.693050000002</v>
      </c>
      <c r="I9" s="42"/>
      <c r="J9" s="15"/>
      <c r="K9" s="46" t="s">
        <v>211</v>
      </c>
      <c r="L9" s="45">
        <v>1</v>
      </c>
    </row>
    <row r="10" spans="1:12" ht="17.45" customHeight="1">
      <c r="A10" s="16" t="s">
        <v>212</v>
      </c>
      <c r="B10" s="20">
        <f>B8*0.85</f>
        <v>3400</v>
      </c>
      <c r="C10" s="20"/>
      <c r="D10" s="20"/>
      <c r="E10" s="21"/>
      <c r="F10" s="39" t="s">
        <v>213</v>
      </c>
      <c r="G10" s="15"/>
      <c r="H10" s="42">
        <f>SUM(H7:H9)</f>
        <v>820578.02048749989</v>
      </c>
      <c r="I10" s="42"/>
      <c r="J10" s="15"/>
      <c r="K10" s="46" t="s">
        <v>214</v>
      </c>
      <c r="L10" s="45">
        <v>1.1499999999999999</v>
      </c>
    </row>
    <row r="11" spans="1:12" ht="17.45" customHeight="1">
      <c r="A11" s="16" t="s">
        <v>215</v>
      </c>
      <c r="B11" s="20">
        <f>SUM(B8-B10)</f>
        <v>600</v>
      </c>
      <c r="C11" s="20"/>
      <c r="D11" s="20"/>
      <c r="E11" s="21"/>
      <c r="F11" s="39" t="s">
        <v>216</v>
      </c>
      <c r="G11" s="15"/>
      <c r="H11" s="53">
        <f>H10/B8</f>
        <v>205.14450512187497</v>
      </c>
      <c r="I11" s="42"/>
      <c r="J11" s="15"/>
      <c r="K11" s="39" t="s">
        <v>217</v>
      </c>
      <c r="L11" s="45">
        <v>1.25</v>
      </c>
    </row>
    <row r="12" spans="1:12" ht="17.4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41"/>
    </row>
    <row r="13" spans="1:12" ht="17.45" customHeight="1">
      <c r="A13" s="44" t="s">
        <v>218</v>
      </c>
      <c r="B13" s="49" t="s">
        <v>219</v>
      </c>
      <c r="C13" s="49" t="s">
        <v>220</v>
      </c>
      <c r="D13" s="49" t="s">
        <v>221</v>
      </c>
      <c r="E13" s="49" t="s">
        <v>222</v>
      </c>
      <c r="F13" s="102" t="s">
        <v>223</v>
      </c>
      <c r="G13" s="102" t="s">
        <v>224</v>
      </c>
      <c r="H13" s="49" t="s">
        <v>225</v>
      </c>
      <c r="I13" s="49" t="s">
        <v>226</v>
      </c>
      <c r="J13" s="49" t="s">
        <v>227</v>
      </c>
      <c r="K13" s="49" t="s">
        <v>228</v>
      </c>
      <c r="L13" s="50" t="s">
        <v>229</v>
      </c>
    </row>
    <row r="14" spans="1:12" ht="17.45" customHeight="1">
      <c r="A14" s="47" t="s">
        <v>230</v>
      </c>
      <c r="B14" s="92">
        <v>10</v>
      </c>
      <c r="C14" s="93">
        <f>L9</f>
        <v>1</v>
      </c>
      <c r="D14" s="94">
        <f>B14*C14</f>
        <v>10</v>
      </c>
      <c r="E14" s="95">
        <f>ROUNDUP(B8/10,0)</f>
        <v>400</v>
      </c>
      <c r="F14" s="108">
        <v>0</v>
      </c>
      <c r="G14" s="103">
        <v>0</v>
      </c>
      <c r="H14" s="97">
        <f>F14*G14</f>
        <v>0</v>
      </c>
      <c r="I14" s="97">
        <f>D14*E14</f>
        <v>4000</v>
      </c>
      <c r="J14" s="97">
        <f>I14*0.1</f>
        <v>400</v>
      </c>
      <c r="K14" s="101">
        <f>SUM(I14:J14)</f>
        <v>4400</v>
      </c>
      <c r="L14" s="98" t="s">
        <v>118</v>
      </c>
    </row>
    <row r="15" spans="1:12" ht="17.45" customHeight="1">
      <c r="A15" s="47" t="s">
        <v>231</v>
      </c>
      <c r="B15" s="99">
        <v>5759.2</v>
      </c>
      <c r="C15" s="89">
        <f>C14</f>
        <v>1</v>
      </c>
      <c r="D15" s="90">
        <v>9500</v>
      </c>
      <c r="E15" s="30">
        <f>IF($B$9&gt;=4000,1,0)</f>
        <v>0</v>
      </c>
      <c r="F15" s="109">
        <f>F14</f>
        <v>0</v>
      </c>
      <c r="G15" s="104">
        <f>G14</f>
        <v>0</v>
      </c>
      <c r="H15" s="33">
        <f>F15*G15</f>
        <v>0</v>
      </c>
      <c r="I15" s="33">
        <f>D15*E15</f>
        <v>0</v>
      </c>
      <c r="J15" s="33">
        <f>I15*0.1</f>
        <v>0</v>
      </c>
      <c r="K15" s="34">
        <f>SUM(I15:J15)</f>
        <v>0</v>
      </c>
      <c r="L15" s="35" t="s">
        <v>71</v>
      </c>
    </row>
    <row r="16" spans="1:12" ht="17.45" customHeight="1">
      <c r="A16" s="47" t="s">
        <v>232</v>
      </c>
      <c r="B16" s="99">
        <v>9279.2000000000007</v>
      </c>
      <c r="C16" s="89">
        <f>C15</f>
        <v>1</v>
      </c>
      <c r="D16" s="90">
        <v>11500</v>
      </c>
      <c r="E16" s="30">
        <f>IF($B$9&gt;=4500,1,0)</f>
        <v>0</v>
      </c>
      <c r="F16" s="109">
        <f>F15</f>
        <v>0</v>
      </c>
      <c r="G16" s="104">
        <f>G15</f>
        <v>0</v>
      </c>
      <c r="H16" s="33">
        <f>F16*G16</f>
        <v>0</v>
      </c>
      <c r="I16" s="33">
        <f>D16*E16</f>
        <v>0</v>
      </c>
      <c r="J16" s="33">
        <f>I16*0.1</f>
        <v>0</v>
      </c>
      <c r="K16" s="34">
        <f>SUM(I16:J16)</f>
        <v>0</v>
      </c>
      <c r="L16" s="35" t="s">
        <v>71</v>
      </c>
    </row>
    <row r="17" spans="1:12" ht="17.45" customHeight="1">
      <c r="A17" s="47" t="s">
        <v>233</v>
      </c>
      <c r="B17" s="99">
        <v>12799.2</v>
      </c>
      <c r="C17" s="89">
        <f>C16</f>
        <v>1</v>
      </c>
      <c r="D17" s="90">
        <v>14000</v>
      </c>
      <c r="E17" s="30">
        <f>IF($B$9&gt;=5500,1,0)</f>
        <v>0</v>
      </c>
      <c r="F17" s="109">
        <f>F16</f>
        <v>0</v>
      </c>
      <c r="G17" s="104">
        <f>G16</f>
        <v>0</v>
      </c>
      <c r="H17" s="33">
        <f>F17*G17</f>
        <v>0</v>
      </c>
      <c r="I17" s="33">
        <f>D17*E17</f>
        <v>0</v>
      </c>
      <c r="J17" s="33">
        <f>I17*0.1</f>
        <v>0</v>
      </c>
      <c r="K17" s="34">
        <f>SUM(I17:J17)</f>
        <v>0</v>
      </c>
      <c r="L17" s="35" t="s">
        <v>71</v>
      </c>
    </row>
    <row r="18" spans="1:12" ht="17.45" customHeight="1">
      <c r="A18" s="47" t="s">
        <v>234</v>
      </c>
      <c r="B18" s="99">
        <v>1119.2</v>
      </c>
      <c r="C18" s="89">
        <f>C17</f>
        <v>1</v>
      </c>
      <c r="D18" s="90">
        <v>1600</v>
      </c>
      <c r="E18" s="30">
        <f>IF($B$9&gt;=3000,1,0)</f>
        <v>0</v>
      </c>
      <c r="F18" s="109">
        <f>F17</f>
        <v>0</v>
      </c>
      <c r="G18" s="104">
        <f>G17</f>
        <v>0</v>
      </c>
      <c r="H18" s="33">
        <f>F18*G18</f>
        <v>0</v>
      </c>
      <c r="I18" s="33">
        <f>D18*E18</f>
        <v>0</v>
      </c>
      <c r="J18" s="33">
        <f>I18*0.1</f>
        <v>0</v>
      </c>
      <c r="K18" s="34">
        <f>SUM(I18:J18)</f>
        <v>0</v>
      </c>
      <c r="L18" s="35" t="s">
        <v>71</v>
      </c>
    </row>
    <row r="19" spans="1:12" ht="17.45" customHeight="1">
      <c r="A19" s="47" t="s">
        <v>235</v>
      </c>
      <c r="B19" s="99">
        <v>3759.2</v>
      </c>
      <c r="C19" s="89">
        <f>C18</f>
        <v>1</v>
      </c>
      <c r="D19" s="90">
        <f>B19*C19</f>
        <v>3759.2</v>
      </c>
      <c r="E19" s="30">
        <v>1</v>
      </c>
      <c r="F19" s="109">
        <f>F18</f>
        <v>0</v>
      </c>
      <c r="G19" s="104">
        <f>G18</f>
        <v>0</v>
      </c>
      <c r="H19" s="33">
        <f>F19*G19</f>
        <v>0</v>
      </c>
      <c r="I19" s="33">
        <f>D19*E19</f>
        <v>3759.2</v>
      </c>
      <c r="J19" s="33">
        <f>I19*0.1</f>
        <v>375.92</v>
      </c>
      <c r="K19" s="34">
        <f>SUM(I19:J19)</f>
        <v>4135.12</v>
      </c>
      <c r="L19" s="35" t="s">
        <v>71</v>
      </c>
    </row>
    <row r="20" spans="1:12" ht="17.45" customHeight="1">
      <c r="A20" s="47" t="s">
        <v>236</v>
      </c>
      <c r="B20" s="99">
        <v>5919.2</v>
      </c>
      <c r="C20" s="89">
        <f>C19</f>
        <v>1</v>
      </c>
      <c r="D20" s="90">
        <f>B20*C20</f>
        <v>5919.2</v>
      </c>
      <c r="E20" s="30">
        <f>IF(E19&gt;0,0,1)</f>
        <v>0</v>
      </c>
      <c r="F20" s="109">
        <f>F19</f>
        <v>0</v>
      </c>
      <c r="G20" s="104">
        <f>G19</f>
        <v>0</v>
      </c>
      <c r="H20" s="33">
        <f>F20*G20</f>
        <v>0</v>
      </c>
      <c r="I20" s="33">
        <f>D20*E20</f>
        <v>0</v>
      </c>
      <c r="J20" s="33">
        <f>I20*0.1</f>
        <v>0</v>
      </c>
      <c r="K20" s="34">
        <f>SUM(I20:J20)</f>
        <v>0</v>
      </c>
      <c r="L20" s="35" t="s">
        <v>71</v>
      </c>
    </row>
    <row r="21" spans="1:12" ht="17.45" customHeight="1">
      <c r="A21" s="47" t="s">
        <v>237</v>
      </c>
      <c r="B21" s="99">
        <v>919.2</v>
      </c>
      <c r="C21" s="89">
        <f>C20</f>
        <v>1</v>
      </c>
      <c r="D21" s="90">
        <v>1500</v>
      </c>
      <c r="E21" s="30">
        <f>IF($B$9&gt;=3000,1,0)</f>
        <v>0</v>
      </c>
      <c r="F21" s="109">
        <f>F20</f>
        <v>0</v>
      </c>
      <c r="G21" s="104">
        <f>G20</f>
        <v>0</v>
      </c>
      <c r="H21" s="33">
        <f>F21*G21</f>
        <v>0</v>
      </c>
      <c r="I21" s="33">
        <f>D21*E21</f>
        <v>0</v>
      </c>
      <c r="J21" s="33">
        <f>I21*0.1</f>
        <v>0</v>
      </c>
      <c r="K21" s="34">
        <f>SUM(I21:J21)</f>
        <v>0</v>
      </c>
      <c r="L21" s="35" t="s">
        <v>71</v>
      </c>
    </row>
    <row r="22" spans="1:12" ht="17.45" customHeight="1">
      <c r="A22" s="47" t="s">
        <v>238</v>
      </c>
      <c r="B22" s="99">
        <v>2399.1999999999998</v>
      </c>
      <c r="C22" s="89">
        <f>C21</f>
        <v>1</v>
      </c>
      <c r="D22" s="90">
        <f>B22*C22</f>
        <v>2399.1999999999998</v>
      </c>
      <c r="E22" s="30">
        <v>1</v>
      </c>
      <c r="F22" s="109">
        <f>F21</f>
        <v>0</v>
      </c>
      <c r="G22" s="104">
        <f>G21</f>
        <v>0</v>
      </c>
      <c r="H22" s="33">
        <f>F22*G22</f>
        <v>0</v>
      </c>
      <c r="I22" s="33">
        <f>D22*E22</f>
        <v>2399.1999999999998</v>
      </c>
      <c r="J22" s="33">
        <f>I22*0.1</f>
        <v>239.92</v>
      </c>
      <c r="K22" s="34">
        <f>SUM(I22:J22)</f>
        <v>2639.12</v>
      </c>
      <c r="L22" s="35" t="s">
        <v>71</v>
      </c>
    </row>
    <row r="23" spans="1:12" ht="17.45" customHeight="1">
      <c r="A23" s="47" t="s">
        <v>239</v>
      </c>
      <c r="B23" s="99">
        <v>1919.2</v>
      </c>
      <c r="C23" s="89">
        <f>C22</f>
        <v>1</v>
      </c>
      <c r="D23" s="90">
        <f>B23*C23</f>
        <v>1919.2</v>
      </c>
      <c r="E23" s="30">
        <f>IF(E22&gt;0,0,1)</f>
        <v>0</v>
      </c>
      <c r="F23" s="109">
        <f>F22</f>
        <v>0</v>
      </c>
      <c r="G23" s="104">
        <f>G22</f>
        <v>0</v>
      </c>
      <c r="H23" s="33">
        <f>F23*G23</f>
        <v>0</v>
      </c>
      <c r="I23" s="33">
        <f>D23*E23</f>
        <v>0</v>
      </c>
      <c r="J23" s="33">
        <f>I23*0.1</f>
        <v>0</v>
      </c>
      <c r="K23" s="34">
        <f>SUM(I23:J23)</f>
        <v>0</v>
      </c>
      <c r="L23" s="35" t="s">
        <v>71</v>
      </c>
    </row>
    <row r="24" spans="1:12" ht="17.45" customHeight="1">
      <c r="A24" s="47" t="s">
        <v>240</v>
      </c>
      <c r="B24" s="99">
        <v>3199.2</v>
      </c>
      <c r="C24" s="89">
        <f>C23</f>
        <v>1</v>
      </c>
      <c r="D24" s="90">
        <f>B24*C24</f>
        <v>3199.2</v>
      </c>
      <c r="E24" s="30">
        <f>IF(E22&gt;0,0,1)</f>
        <v>0</v>
      </c>
      <c r="F24" s="109">
        <f>F23</f>
        <v>0</v>
      </c>
      <c r="G24" s="104">
        <f>G23</f>
        <v>0</v>
      </c>
      <c r="H24" s="33">
        <f>F24*G24</f>
        <v>0</v>
      </c>
      <c r="I24" s="33">
        <f>D24*E24</f>
        <v>0</v>
      </c>
      <c r="J24" s="33">
        <f>I24*0.1</f>
        <v>0</v>
      </c>
      <c r="K24" s="34">
        <f>SUM(I24:J24)</f>
        <v>0</v>
      </c>
      <c r="L24" s="35" t="s">
        <v>71</v>
      </c>
    </row>
    <row r="25" spans="1:12" ht="17.45" customHeight="1">
      <c r="A25" s="47" t="s">
        <v>241</v>
      </c>
      <c r="B25" s="99">
        <v>6799.2</v>
      </c>
      <c r="C25" s="89">
        <f>C24</f>
        <v>1</v>
      </c>
      <c r="D25" s="90">
        <f>B25*C25</f>
        <v>6799.2</v>
      </c>
      <c r="E25" s="30">
        <v>1</v>
      </c>
      <c r="F25" s="109">
        <f>F24</f>
        <v>0</v>
      </c>
      <c r="G25" s="104">
        <f>G24</f>
        <v>0</v>
      </c>
      <c r="H25" s="33">
        <f>F25*G25</f>
        <v>0</v>
      </c>
      <c r="I25" s="33">
        <f>D25*E25</f>
        <v>6799.2</v>
      </c>
      <c r="J25" s="33">
        <f>I25*0.1</f>
        <v>679.92000000000007</v>
      </c>
      <c r="K25" s="34">
        <f>SUM(I25:J25)</f>
        <v>7479.12</v>
      </c>
      <c r="L25" s="35" t="s">
        <v>71</v>
      </c>
    </row>
    <row r="26" spans="1:12" ht="17.45" customHeight="1">
      <c r="A26" s="47" t="s">
        <v>242</v>
      </c>
      <c r="B26" s="99">
        <v>6799.2</v>
      </c>
      <c r="C26" s="89">
        <f>C25</f>
        <v>1</v>
      </c>
      <c r="D26" s="90">
        <f>B26*C26</f>
        <v>6799.2</v>
      </c>
      <c r="E26" s="30">
        <v>1</v>
      </c>
      <c r="F26" s="109">
        <f>F25</f>
        <v>0</v>
      </c>
      <c r="G26" s="104">
        <f>G25</f>
        <v>0</v>
      </c>
      <c r="H26" s="33">
        <f>F26*G26</f>
        <v>0</v>
      </c>
      <c r="I26" s="33">
        <f>D26*E26</f>
        <v>6799.2</v>
      </c>
      <c r="J26" s="33">
        <f>I26*0.1</f>
        <v>679.92000000000007</v>
      </c>
      <c r="K26" s="34">
        <f>SUM(I26:J26)</f>
        <v>7479.12</v>
      </c>
      <c r="L26" s="35" t="s">
        <v>71</v>
      </c>
    </row>
    <row r="27" spans="1:12" ht="17.45" customHeight="1">
      <c r="A27" s="47" t="s">
        <v>243</v>
      </c>
      <c r="B27" s="99">
        <v>12799.2</v>
      </c>
      <c r="C27" s="89">
        <f>C26</f>
        <v>1</v>
      </c>
      <c r="D27" s="90">
        <f>B27*C27</f>
        <v>12799.2</v>
      </c>
      <c r="E27" s="30">
        <f>IF(E26=1,0,1)</f>
        <v>0</v>
      </c>
      <c r="F27" s="109">
        <f>F26</f>
        <v>0</v>
      </c>
      <c r="G27" s="104">
        <f>G26</f>
        <v>0</v>
      </c>
      <c r="H27" s="33">
        <f>F27*G27</f>
        <v>0</v>
      </c>
      <c r="I27" s="33">
        <f>D27*E27</f>
        <v>0</v>
      </c>
      <c r="J27" s="33">
        <f>I27*0.1</f>
        <v>0</v>
      </c>
      <c r="K27" s="34">
        <f>SUM(I27:J27)</f>
        <v>0</v>
      </c>
      <c r="L27" s="35" t="s">
        <v>71</v>
      </c>
    </row>
    <row r="28" spans="1:12" ht="17.45" customHeight="1">
      <c r="A28" s="47" t="s">
        <v>244</v>
      </c>
      <c r="B28" s="99">
        <v>1039.2</v>
      </c>
      <c r="C28" s="89">
        <f>C27</f>
        <v>1</v>
      </c>
      <c r="D28" s="90">
        <f>B28*C28</f>
        <v>1039.2</v>
      </c>
      <c r="E28" s="30">
        <f>MIN(2,IF(B8&gt;=2500,1,0))</f>
        <v>1</v>
      </c>
      <c r="F28" s="109">
        <f>F27</f>
        <v>0</v>
      </c>
      <c r="G28" s="104">
        <f>G27</f>
        <v>0</v>
      </c>
      <c r="H28" s="33">
        <f>F28*G28</f>
        <v>0</v>
      </c>
      <c r="I28" s="33">
        <f>D28*E28</f>
        <v>1039.2</v>
      </c>
      <c r="J28" s="33">
        <f>I28*0.1</f>
        <v>103.92000000000002</v>
      </c>
      <c r="K28" s="34">
        <f>SUM(I28:J28)</f>
        <v>1143.1200000000001</v>
      </c>
      <c r="L28" s="35" t="s">
        <v>71</v>
      </c>
    </row>
    <row r="29" spans="1:12" ht="17.45" customHeight="1">
      <c r="A29" s="47" t="s">
        <v>245</v>
      </c>
      <c r="B29" s="99">
        <v>1439.2</v>
      </c>
      <c r="C29" s="89">
        <f>C28</f>
        <v>1</v>
      </c>
      <c r="D29" s="90">
        <v>1800</v>
      </c>
      <c r="E29" s="30">
        <f>IF($B$9&gt;=4500,1,0)</f>
        <v>0</v>
      </c>
      <c r="F29" s="109">
        <f>F28</f>
        <v>0</v>
      </c>
      <c r="G29" s="104">
        <f>G28</f>
        <v>0</v>
      </c>
      <c r="H29" s="33">
        <f>F29*G29</f>
        <v>0</v>
      </c>
      <c r="I29" s="33">
        <f>D29*E29</f>
        <v>0</v>
      </c>
      <c r="J29" s="33">
        <f>I29*0.1</f>
        <v>0</v>
      </c>
      <c r="K29" s="34">
        <f>SUM(I29:J29)</f>
        <v>0</v>
      </c>
      <c r="L29" s="35" t="s">
        <v>71</v>
      </c>
    </row>
    <row r="30" spans="1:12" ht="17.45" customHeight="1">
      <c r="A30" s="47" t="s">
        <v>246</v>
      </c>
      <c r="B30" s="99">
        <f>SUM(K14:K29,K36:K85,K90:K119)*0.0075</f>
        <v>4907.8433249999989</v>
      </c>
      <c r="C30" s="89">
        <f>C29</f>
        <v>1</v>
      </c>
      <c r="D30" s="90">
        <f>B30*C30</f>
        <v>4907.8433249999989</v>
      </c>
      <c r="E30" s="30">
        <v>1</v>
      </c>
      <c r="F30" s="109">
        <f>F29</f>
        <v>0</v>
      </c>
      <c r="G30" s="104">
        <f>G29</f>
        <v>0</v>
      </c>
      <c r="H30" s="33">
        <f>F30*G30</f>
        <v>0</v>
      </c>
      <c r="I30" s="33">
        <f>D30*E30</f>
        <v>4907.8433249999989</v>
      </c>
      <c r="J30" s="33">
        <f>I30*0.1</f>
        <v>490.78433249999989</v>
      </c>
      <c r="K30" s="34">
        <f>SUM(I30:J30)</f>
        <v>5398.6276574999993</v>
      </c>
      <c r="L30" s="35" t="s">
        <v>48</v>
      </c>
    </row>
    <row r="31" spans="1:12" ht="17.45" customHeight="1">
      <c r="A31" s="47" t="s">
        <v>247</v>
      </c>
      <c r="B31" s="99">
        <v>250</v>
      </c>
      <c r="C31" s="89">
        <f>C30</f>
        <v>1</v>
      </c>
      <c r="D31" s="90">
        <f>B31*C31</f>
        <v>250</v>
      </c>
      <c r="E31" s="30">
        <v>1</v>
      </c>
      <c r="F31" s="109">
        <f>F30</f>
        <v>0</v>
      </c>
      <c r="G31" s="104">
        <f>G30</f>
        <v>0</v>
      </c>
      <c r="H31" s="33">
        <f>F31*G31</f>
        <v>0</v>
      </c>
      <c r="I31" s="33">
        <f>D31*E31</f>
        <v>250</v>
      </c>
      <c r="J31" s="33">
        <f>I31*0.1</f>
        <v>25</v>
      </c>
      <c r="K31" s="34">
        <f>SUM(I31:J31)</f>
        <v>275</v>
      </c>
      <c r="L31" s="35" t="s">
        <v>34</v>
      </c>
    </row>
    <row r="32" spans="1:12" ht="17.45" customHeight="1">
      <c r="A32" s="47" t="s">
        <v>248</v>
      </c>
      <c r="B32" s="99">
        <f>B30</f>
        <v>4907.8433249999989</v>
      </c>
      <c r="C32" s="89">
        <f>C31</f>
        <v>1</v>
      </c>
      <c r="D32" s="90">
        <f>B32*C32</f>
        <v>4907.8433249999989</v>
      </c>
      <c r="E32" s="30">
        <v>1</v>
      </c>
      <c r="F32" s="109">
        <f>F31</f>
        <v>0</v>
      </c>
      <c r="G32" s="104">
        <f>G31</f>
        <v>0</v>
      </c>
      <c r="H32" s="33">
        <f>F32*G32</f>
        <v>0</v>
      </c>
      <c r="I32" s="33">
        <f>D32*E32</f>
        <v>4907.8433249999989</v>
      </c>
      <c r="J32" s="33">
        <f>I32*0.1</f>
        <v>490.78433249999989</v>
      </c>
      <c r="K32" s="34">
        <f>SUM(I32:J32)</f>
        <v>5398.6276574999993</v>
      </c>
      <c r="L32" s="35" t="s">
        <v>50</v>
      </c>
    </row>
    <row r="33" spans="1:12" ht="17.45" customHeight="1">
      <c r="A33" s="47" t="s">
        <v>249</v>
      </c>
      <c r="B33" s="99">
        <f>B32</f>
        <v>4907.8433249999989</v>
      </c>
      <c r="C33" s="89">
        <f>C32</f>
        <v>1</v>
      </c>
      <c r="D33" s="90">
        <f>B33*C33</f>
        <v>4907.8433249999989</v>
      </c>
      <c r="E33" s="30">
        <v>1</v>
      </c>
      <c r="F33" s="109">
        <f>F32</f>
        <v>0</v>
      </c>
      <c r="G33" s="104">
        <f>G32</f>
        <v>0</v>
      </c>
      <c r="H33" s="33">
        <f>F33*G33</f>
        <v>0</v>
      </c>
      <c r="I33" s="33">
        <f>D33*E33</f>
        <v>4907.8433249999989</v>
      </c>
      <c r="J33" s="33">
        <f>I33*0.1</f>
        <v>490.78433249999989</v>
      </c>
      <c r="K33" s="34">
        <f>SUM(I33:J33)</f>
        <v>5398.6276574999993</v>
      </c>
      <c r="L33" s="35" t="s">
        <v>44</v>
      </c>
    </row>
    <row r="34" spans="1:12" ht="17.45" customHeight="1">
      <c r="A34" s="47" t="s">
        <v>250</v>
      </c>
      <c r="B34" s="99">
        <f>B32</f>
        <v>4907.8433249999989</v>
      </c>
      <c r="C34" s="89">
        <f>C32</f>
        <v>1</v>
      </c>
      <c r="D34" s="90">
        <f>B34*C34</f>
        <v>4907.8433249999989</v>
      </c>
      <c r="E34" s="30">
        <v>1</v>
      </c>
      <c r="F34" s="109">
        <f>F32</f>
        <v>0</v>
      </c>
      <c r="G34" s="104">
        <f>G32</f>
        <v>0</v>
      </c>
      <c r="H34" s="33">
        <f>F34*G34</f>
        <v>0</v>
      </c>
      <c r="I34" s="33">
        <f>D34*E34</f>
        <v>4907.8433249999989</v>
      </c>
      <c r="J34" s="33">
        <f>I34*0.1</f>
        <v>490.78433249999989</v>
      </c>
      <c r="K34" s="34">
        <f>SUM(I34:J34)</f>
        <v>5398.6276574999993</v>
      </c>
      <c r="L34" s="35" t="s">
        <v>46</v>
      </c>
    </row>
    <row r="35" spans="1:12" ht="17.45" customHeight="1">
      <c r="A35" s="47" t="s">
        <v>251</v>
      </c>
      <c r="B35" s="99">
        <f>B34</f>
        <v>4907.8433249999989</v>
      </c>
      <c r="C35" s="89">
        <f>C34</f>
        <v>1</v>
      </c>
      <c r="D35" s="90">
        <f>B35*C35</f>
        <v>4907.8433249999989</v>
      </c>
      <c r="E35" s="30">
        <v>1</v>
      </c>
      <c r="F35" s="109">
        <f>F34</f>
        <v>0</v>
      </c>
      <c r="G35" s="104">
        <f>G34</f>
        <v>0</v>
      </c>
      <c r="H35" s="33">
        <f>F35*G35</f>
        <v>0</v>
      </c>
      <c r="I35" s="33">
        <f>D35*E35</f>
        <v>4907.8433249999989</v>
      </c>
      <c r="J35" s="33">
        <f>I35*0.1</f>
        <v>490.78433249999989</v>
      </c>
      <c r="K35" s="34">
        <f>SUM(I35:J35)</f>
        <v>5398.6276574999993</v>
      </c>
      <c r="L35" s="35" t="s">
        <v>44</v>
      </c>
    </row>
    <row r="36" spans="1:12" ht="17.45" customHeight="1">
      <c r="A36" s="47" t="s">
        <v>252</v>
      </c>
      <c r="B36" s="99">
        <v>1200</v>
      </c>
      <c r="C36" s="89">
        <f>C35</f>
        <v>1</v>
      </c>
      <c r="D36" s="90">
        <f>B36*C36</f>
        <v>1200</v>
      </c>
      <c r="E36" s="30">
        <f>IF(B8&gt;=2500,B8*0.0125,0)</f>
        <v>50</v>
      </c>
      <c r="F36" s="109">
        <f>F35</f>
        <v>0</v>
      </c>
      <c r="G36" s="104">
        <f>G35</f>
        <v>0</v>
      </c>
      <c r="H36" s="33">
        <f>F36*G36</f>
        <v>0</v>
      </c>
      <c r="I36" s="33">
        <f>D36*E36</f>
        <v>60000</v>
      </c>
      <c r="J36" s="33">
        <f>I36*0.1</f>
        <v>6000</v>
      </c>
      <c r="K36" s="34">
        <f>SUM(I36:J36)</f>
        <v>66000</v>
      </c>
      <c r="L36" s="35" t="s">
        <v>75</v>
      </c>
    </row>
    <row r="37" spans="1:12" ht="17.45" customHeight="1">
      <c r="A37" s="47" t="s">
        <v>253</v>
      </c>
      <c r="B37" s="99">
        <v>45</v>
      </c>
      <c r="C37" s="89">
        <f>C36</f>
        <v>1</v>
      </c>
      <c r="D37" s="90">
        <f>B37*C37</f>
        <v>45</v>
      </c>
      <c r="E37" s="32">
        <f>E36*2.25</f>
        <v>112.5</v>
      </c>
      <c r="F37" s="109">
        <f>F36</f>
        <v>0</v>
      </c>
      <c r="G37" s="104">
        <f>G36</f>
        <v>0</v>
      </c>
      <c r="H37" s="33">
        <f>H36</f>
        <v>0</v>
      </c>
      <c r="I37" s="33">
        <f t="shared" ref="I37:I38" si="0">D37*E37</f>
        <v>5062.5</v>
      </c>
      <c r="J37" s="33">
        <f t="shared" ref="J37:J38" si="1">I37*0.1</f>
        <v>506.25</v>
      </c>
      <c r="K37" s="34">
        <f t="shared" ref="K37:K38" si="2">SUM(I37:J37)</f>
        <v>5568.75</v>
      </c>
      <c r="L37" s="35" t="s">
        <v>77</v>
      </c>
    </row>
    <row r="38" spans="1:12" ht="17.45" customHeight="1">
      <c r="A38" s="47" t="s">
        <v>254</v>
      </c>
      <c r="B38" s="99">
        <v>35</v>
      </c>
      <c r="C38" s="89">
        <f>C37</f>
        <v>1</v>
      </c>
      <c r="D38" s="90">
        <f>B38*C38</f>
        <v>35</v>
      </c>
      <c r="E38" s="32">
        <f>ROUNDUP(B6*2.5,0)</f>
        <v>0</v>
      </c>
      <c r="F38" s="109">
        <f>F37</f>
        <v>0</v>
      </c>
      <c r="G38" s="104">
        <f>G37</f>
        <v>0</v>
      </c>
      <c r="H38" s="33">
        <f>H37</f>
        <v>0</v>
      </c>
      <c r="I38" s="33">
        <f t="shared" si="0"/>
        <v>0</v>
      </c>
      <c r="J38" s="33">
        <f t="shared" si="1"/>
        <v>0</v>
      </c>
      <c r="K38" s="34">
        <f t="shared" si="2"/>
        <v>0</v>
      </c>
      <c r="L38" s="35" t="s">
        <v>77</v>
      </c>
    </row>
    <row r="39" spans="1:12" ht="17.45" customHeight="1">
      <c r="A39" s="47" t="s">
        <v>255</v>
      </c>
      <c r="B39" s="99">
        <v>17.5</v>
      </c>
      <c r="C39" s="89">
        <f>C36</f>
        <v>1</v>
      </c>
      <c r="D39" s="90">
        <f>B39*C39</f>
        <v>17.5</v>
      </c>
      <c r="E39" s="32">
        <f>ROUNDUP(B8/10,0)</f>
        <v>400</v>
      </c>
      <c r="F39" s="109">
        <f>F36</f>
        <v>0</v>
      </c>
      <c r="G39" s="104">
        <f>G36</f>
        <v>0</v>
      </c>
      <c r="H39" s="33">
        <f>F39*G39</f>
        <v>0</v>
      </c>
      <c r="I39" s="33">
        <f>D39*E39</f>
        <v>7000</v>
      </c>
      <c r="J39" s="33">
        <f>I39*0.1</f>
        <v>700</v>
      </c>
      <c r="K39" s="34">
        <f>SUM(I39:J39)</f>
        <v>7700</v>
      </c>
      <c r="L39" s="35" t="s">
        <v>118</v>
      </c>
    </row>
    <row r="40" spans="1:12" ht="17.45" customHeight="1">
      <c r="A40" s="47" t="s">
        <v>256</v>
      </c>
      <c r="B40" s="99">
        <v>6</v>
      </c>
      <c r="C40" s="89">
        <f>C39</f>
        <v>1</v>
      </c>
      <c r="D40" s="90">
        <f>B40*C40</f>
        <v>6</v>
      </c>
      <c r="E40" s="32">
        <f>ROUNDUP(B8*2.5,0)</f>
        <v>10000</v>
      </c>
      <c r="F40" s="109">
        <f>F39</f>
        <v>0</v>
      </c>
      <c r="G40" s="104">
        <f>G39</f>
        <v>0</v>
      </c>
      <c r="H40" s="33">
        <f>F40*G40</f>
        <v>0</v>
      </c>
      <c r="I40" s="33">
        <f>D40*E40</f>
        <v>60000</v>
      </c>
      <c r="J40" s="33">
        <f>I40*0.1</f>
        <v>6000</v>
      </c>
      <c r="K40" s="34">
        <f>SUM(I40:J40)</f>
        <v>66000</v>
      </c>
      <c r="L40" s="35" t="s">
        <v>128</v>
      </c>
    </row>
    <row r="41" spans="1:12" ht="17.45" customHeight="1">
      <c r="A41" s="47" t="s">
        <v>257</v>
      </c>
      <c r="B41" s="99">
        <v>7</v>
      </c>
      <c r="C41" s="89">
        <f>C40</f>
        <v>1</v>
      </c>
      <c r="D41" s="90">
        <f>D40</f>
        <v>6</v>
      </c>
      <c r="E41" s="32">
        <f>B8</f>
        <v>4000</v>
      </c>
      <c r="F41" s="109">
        <f>F40</f>
        <v>0</v>
      </c>
      <c r="G41" s="104">
        <f>G40</f>
        <v>0</v>
      </c>
      <c r="H41" s="33">
        <f>H40</f>
        <v>0</v>
      </c>
      <c r="I41" s="33">
        <f>D41*E41</f>
        <v>24000</v>
      </c>
      <c r="J41" s="33">
        <f>I41*0.1</f>
        <v>2400</v>
      </c>
      <c r="K41" s="34">
        <f>SUM(I41:J41)</f>
        <v>26400</v>
      </c>
      <c r="L41" s="35" t="s">
        <v>98</v>
      </c>
    </row>
    <row r="42" spans="1:12" ht="17.45" customHeight="1">
      <c r="A42" s="47" t="s">
        <v>258</v>
      </c>
      <c r="B42" s="99">
        <v>25</v>
      </c>
      <c r="C42" s="89">
        <f>C40</f>
        <v>1</v>
      </c>
      <c r="D42" s="90">
        <f>B42*C42</f>
        <v>25</v>
      </c>
      <c r="E42" s="32">
        <f>MIN(2,IF(B8&gt;=3500,1,0))</f>
        <v>1</v>
      </c>
      <c r="F42" s="109">
        <f>F40</f>
        <v>0</v>
      </c>
      <c r="G42" s="104">
        <f>G40</f>
        <v>0</v>
      </c>
      <c r="H42" s="33">
        <f>F42*G42</f>
        <v>0</v>
      </c>
      <c r="I42" s="33">
        <f>D42*E42</f>
        <v>25</v>
      </c>
      <c r="J42" s="33">
        <f>I42*0.1</f>
        <v>2.5</v>
      </c>
      <c r="K42" s="34">
        <f>SUM(I42:J42)</f>
        <v>27.5</v>
      </c>
      <c r="L42" s="35" t="s">
        <v>138</v>
      </c>
    </row>
    <row r="43" spans="1:12" ht="17.45" customHeight="1">
      <c r="A43" s="47" t="s">
        <v>259</v>
      </c>
      <c r="B43" s="99">
        <v>18</v>
      </c>
      <c r="C43" s="89">
        <f>C42</f>
        <v>1</v>
      </c>
      <c r="D43" s="90">
        <f>B43*C43</f>
        <v>18</v>
      </c>
      <c r="E43" s="32">
        <f>IF(E42&gt;0,0,1)</f>
        <v>0</v>
      </c>
      <c r="F43" s="109">
        <f>F42</f>
        <v>0</v>
      </c>
      <c r="G43" s="104">
        <f>G42</f>
        <v>0</v>
      </c>
      <c r="H43" s="33">
        <f>F43*G43</f>
        <v>0</v>
      </c>
      <c r="I43" s="33">
        <f>D43*E43</f>
        <v>0</v>
      </c>
      <c r="J43" s="33">
        <f>I43*0.1</f>
        <v>0</v>
      </c>
      <c r="K43" s="34">
        <f>SUM(I43:J43)</f>
        <v>0</v>
      </c>
      <c r="L43" s="35" t="s">
        <v>138</v>
      </c>
    </row>
    <row r="44" spans="1:12" ht="17.45" customHeight="1">
      <c r="A44" s="47" t="s">
        <v>260</v>
      </c>
      <c r="B44" s="99">
        <v>6</v>
      </c>
      <c r="C44" s="89">
        <f>C43</f>
        <v>1</v>
      </c>
      <c r="D44" s="90">
        <f>B44*C44</f>
        <v>6</v>
      </c>
      <c r="E44" s="32">
        <f>IF(B2&lt;4000,600,0)</f>
        <v>600</v>
      </c>
      <c r="F44" s="109">
        <f>F43</f>
        <v>0</v>
      </c>
      <c r="G44" s="104">
        <f>G43</f>
        <v>0</v>
      </c>
      <c r="H44" s="33">
        <f>F44*G44</f>
        <v>0</v>
      </c>
      <c r="I44" s="33">
        <f>D44*E44</f>
        <v>3600</v>
      </c>
      <c r="J44" s="33">
        <f>I44*0.1</f>
        <v>360</v>
      </c>
      <c r="K44" s="34">
        <f>SUM(I44:J44)</f>
        <v>3960</v>
      </c>
      <c r="L44" s="35" t="s">
        <v>174</v>
      </c>
    </row>
    <row r="45" spans="1:12" ht="17.45" customHeight="1">
      <c r="A45" s="47" t="s">
        <v>261</v>
      </c>
      <c r="B45" s="99">
        <v>3</v>
      </c>
      <c r="C45" s="89">
        <f>C44</f>
        <v>1</v>
      </c>
      <c r="D45" s="90">
        <f>B45*C45</f>
        <v>3</v>
      </c>
      <c r="E45" s="32">
        <f>IF(AND(B2&gt;=4000,B2&lt;=7500),B2*0.85,0)</f>
        <v>0</v>
      </c>
      <c r="F45" s="109">
        <f>F44</f>
        <v>0</v>
      </c>
      <c r="G45" s="104">
        <f>G44</f>
        <v>0</v>
      </c>
      <c r="H45" s="33">
        <f>F45*G45</f>
        <v>0</v>
      </c>
      <c r="I45" s="33">
        <f>D45*E45</f>
        <v>0</v>
      </c>
      <c r="J45" s="33">
        <f>I45*0.1</f>
        <v>0</v>
      </c>
      <c r="K45" s="34">
        <f>SUM(I45:J45)</f>
        <v>0</v>
      </c>
      <c r="L45" s="35" t="s">
        <v>174</v>
      </c>
    </row>
    <row r="46" spans="1:12" ht="17.45" customHeight="1">
      <c r="A46" s="47" t="s">
        <v>262</v>
      </c>
      <c r="B46" s="99">
        <v>12</v>
      </c>
      <c r="C46" s="89">
        <f>C45</f>
        <v>1</v>
      </c>
      <c r="D46" s="90">
        <v>22</v>
      </c>
      <c r="E46" s="32">
        <f>ROUNDUP($B$8/150, 0)</f>
        <v>27</v>
      </c>
      <c r="F46" s="109">
        <f>F45</f>
        <v>0</v>
      </c>
      <c r="G46" s="104">
        <f>G45</f>
        <v>0</v>
      </c>
      <c r="H46" s="33">
        <f>F46*G46</f>
        <v>0</v>
      </c>
      <c r="I46" s="33">
        <f>D46*E46</f>
        <v>594</v>
      </c>
      <c r="J46" s="33">
        <f>I46*0.1</f>
        <v>59.400000000000006</v>
      </c>
      <c r="K46" s="34">
        <f>SUM(I46:J46)</f>
        <v>653.4</v>
      </c>
      <c r="L46" s="35" t="s">
        <v>174</v>
      </c>
    </row>
    <row r="47" spans="1:12" ht="17.45" customHeight="1">
      <c r="A47" s="47" t="s">
        <v>263</v>
      </c>
      <c r="B47" s="99">
        <v>400</v>
      </c>
      <c r="C47" s="89">
        <f>C46</f>
        <v>1</v>
      </c>
      <c r="D47" s="90">
        <f>B47*C47</f>
        <v>400</v>
      </c>
      <c r="E47" s="30">
        <f>1</f>
        <v>1</v>
      </c>
      <c r="F47" s="109">
        <f>F46</f>
        <v>0</v>
      </c>
      <c r="G47" s="104">
        <f>G46</f>
        <v>0</v>
      </c>
      <c r="H47" s="33">
        <f>F47*G47</f>
        <v>0</v>
      </c>
      <c r="I47" s="33">
        <f>D47*E47</f>
        <v>400</v>
      </c>
      <c r="J47" s="33">
        <f>I47*0.1</f>
        <v>40</v>
      </c>
      <c r="K47" s="34">
        <f>SUM(I47:J47)</f>
        <v>440</v>
      </c>
      <c r="L47" s="35" t="s">
        <v>128</v>
      </c>
    </row>
    <row r="48" spans="1:12" ht="17.45" customHeight="1">
      <c r="A48" s="47" t="s">
        <v>264</v>
      </c>
      <c r="B48" s="99">
        <v>5000</v>
      </c>
      <c r="C48" s="89">
        <f>C47</f>
        <v>1</v>
      </c>
      <c r="D48" s="90">
        <f>B48*C48</f>
        <v>5000</v>
      </c>
      <c r="E48" s="30">
        <v>1</v>
      </c>
      <c r="F48" s="109">
        <f>F47</f>
        <v>0</v>
      </c>
      <c r="G48" s="104">
        <f>G47</f>
        <v>0</v>
      </c>
      <c r="H48" s="33">
        <f>F48*G48</f>
        <v>0</v>
      </c>
      <c r="I48" s="33">
        <f>D48*E48</f>
        <v>5000</v>
      </c>
      <c r="J48" s="33">
        <f>I48*0.1</f>
        <v>500</v>
      </c>
      <c r="K48" s="34">
        <f>SUM(I48:J48)</f>
        <v>5500</v>
      </c>
      <c r="L48" s="35" t="s">
        <v>160</v>
      </c>
    </row>
    <row r="49" spans="1:12" ht="17.45" customHeight="1">
      <c r="A49" s="47" t="s">
        <v>265</v>
      </c>
      <c r="B49" s="99">
        <v>4</v>
      </c>
      <c r="C49" s="89">
        <f>C48</f>
        <v>1</v>
      </c>
      <c r="D49" s="90">
        <f>B49*C49</f>
        <v>4</v>
      </c>
      <c r="E49" s="32">
        <f>IF(B2&gt;7500,MIN(B2*0.25,B2*0.85),0)</f>
        <v>0</v>
      </c>
      <c r="F49" s="109">
        <f>F48</f>
        <v>0</v>
      </c>
      <c r="G49" s="104">
        <f>G48</f>
        <v>0</v>
      </c>
      <c r="H49" s="33">
        <f>F49*G49</f>
        <v>0</v>
      </c>
      <c r="I49" s="33">
        <f>D49*E49</f>
        <v>0</v>
      </c>
      <c r="J49" s="33">
        <f>I49*0.1</f>
        <v>0</v>
      </c>
      <c r="K49" s="34">
        <f>SUM(I49:J49)</f>
        <v>0</v>
      </c>
      <c r="L49" s="35" t="s">
        <v>170</v>
      </c>
    </row>
    <row r="50" spans="1:12" ht="17.45" customHeight="1">
      <c r="A50" s="47" t="s">
        <v>266</v>
      </c>
      <c r="B50" s="99">
        <v>8</v>
      </c>
      <c r="C50" s="89">
        <f>C49</f>
        <v>1</v>
      </c>
      <c r="D50" s="90">
        <v>9.5</v>
      </c>
      <c r="E50" s="32">
        <f>ROUNDUP($B$9*1.05, 0)</f>
        <v>3</v>
      </c>
      <c r="F50" s="109">
        <f>F49</f>
        <v>0</v>
      </c>
      <c r="G50" s="104">
        <f>G49</f>
        <v>0</v>
      </c>
      <c r="H50" s="33">
        <f>F50*G50</f>
        <v>0</v>
      </c>
      <c r="I50" s="33">
        <f>D50*E50</f>
        <v>28.5</v>
      </c>
      <c r="J50" s="33">
        <f>I50*0.1</f>
        <v>2.85</v>
      </c>
      <c r="K50" s="34">
        <f>SUM(I50:J50)</f>
        <v>31.35</v>
      </c>
      <c r="L50" s="35" t="s">
        <v>79</v>
      </c>
    </row>
    <row r="51" spans="1:12" ht="17.45" customHeight="1">
      <c r="A51" s="47" t="s">
        <v>267</v>
      </c>
      <c r="B51" s="99">
        <v>6</v>
      </c>
      <c r="C51" s="89">
        <f>C50</f>
        <v>1</v>
      </c>
      <c r="D51" s="90">
        <f>B51*C51</f>
        <v>6</v>
      </c>
      <c r="E51" s="32">
        <v>0</v>
      </c>
      <c r="F51" s="109">
        <f>F50</f>
        <v>0</v>
      </c>
      <c r="G51" s="104">
        <f>G50</f>
        <v>0</v>
      </c>
      <c r="H51" s="33">
        <f>F51*G51</f>
        <v>0</v>
      </c>
      <c r="I51" s="33">
        <f>D51*E51</f>
        <v>0</v>
      </c>
      <c r="J51" s="33">
        <f>I51*0.1</f>
        <v>0</v>
      </c>
      <c r="K51" s="34">
        <f>SUM(I51:J51)</f>
        <v>0</v>
      </c>
      <c r="L51" s="35" t="s">
        <v>170</v>
      </c>
    </row>
    <row r="52" spans="1:12" ht="17.45" customHeight="1">
      <c r="A52" s="47" t="s">
        <v>268</v>
      </c>
      <c r="B52" s="99">
        <v>1</v>
      </c>
      <c r="C52" s="89">
        <f>C51</f>
        <v>1</v>
      </c>
      <c r="D52" s="90">
        <f>B52*C52</f>
        <v>1</v>
      </c>
      <c r="E52" s="32">
        <f>E50</f>
        <v>3</v>
      </c>
      <c r="F52" s="109">
        <f>F51</f>
        <v>0</v>
      </c>
      <c r="G52" s="104">
        <f>G51</f>
        <v>0</v>
      </c>
      <c r="H52" s="33">
        <f>F52*G52</f>
        <v>0</v>
      </c>
      <c r="I52" s="33">
        <f>D52*E52</f>
        <v>3</v>
      </c>
      <c r="J52" s="33">
        <f>I52*0.1</f>
        <v>0.30000000000000004</v>
      </c>
      <c r="K52" s="34">
        <f>SUM(I52:J52)</f>
        <v>3.3</v>
      </c>
      <c r="L52" s="35" t="s">
        <v>166</v>
      </c>
    </row>
    <row r="53" spans="1:12" ht="17.45" customHeight="1">
      <c r="A53" s="47" t="s">
        <v>269</v>
      </c>
      <c r="B53" s="99">
        <f>B52</f>
        <v>1</v>
      </c>
      <c r="C53" s="89">
        <f>C52</f>
        <v>1</v>
      </c>
      <c r="D53" s="90">
        <f>B53*C53</f>
        <v>1</v>
      </c>
      <c r="E53" s="32">
        <f>E52</f>
        <v>3</v>
      </c>
      <c r="F53" s="109">
        <f>F52</f>
        <v>0</v>
      </c>
      <c r="G53" s="104">
        <f>G52</f>
        <v>0</v>
      </c>
      <c r="H53" s="33">
        <f>F53*G53</f>
        <v>0</v>
      </c>
      <c r="I53" s="33">
        <f>D53*E53</f>
        <v>3</v>
      </c>
      <c r="J53" s="33">
        <f>I53*0.1</f>
        <v>0.30000000000000004</v>
      </c>
      <c r="K53" s="34">
        <f>SUM(I53:J53)</f>
        <v>3.3</v>
      </c>
      <c r="L53" s="35" t="s">
        <v>168</v>
      </c>
    </row>
    <row r="54" spans="1:12" ht="17.45" customHeight="1">
      <c r="A54" s="47" t="s">
        <v>270</v>
      </c>
      <c r="B54" s="99">
        <v>15</v>
      </c>
      <c r="C54" s="89">
        <f>C53</f>
        <v>1</v>
      </c>
      <c r="D54" s="90">
        <f>B54*C54</f>
        <v>15</v>
      </c>
      <c r="E54" s="32">
        <v>0</v>
      </c>
      <c r="F54" s="109">
        <f>F53</f>
        <v>0</v>
      </c>
      <c r="G54" s="104">
        <f>G53</f>
        <v>0</v>
      </c>
      <c r="H54" s="33">
        <f>F54*G54</f>
        <v>0</v>
      </c>
      <c r="I54" s="33">
        <f>D54*E54</f>
        <v>0</v>
      </c>
      <c r="J54" s="33">
        <f>I54*0.1</f>
        <v>0</v>
      </c>
      <c r="K54" s="34">
        <f>SUM(I54:J54)</f>
        <v>0</v>
      </c>
      <c r="L54" s="35" t="s">
        <v>79</v>
      </c>
    </row>
    <row r="55" spans="1:12" ht="17.45" customHeight="1">
      <c r="A55" s="47" t="s">
        <v>271</v>
      </c>
      <c r="B55" s="99">
        <v>3</v>
      </c>
      <c r="C55" s="89">
        <f>C54</f>
        <v>1</v>
      </c>
      <c r="D55" s="90">
        <v>4.25</v>
      </c>
      <c r="E55" s="32">
        <f>IF($B$9&lt;2500,ROUNDUP($B$9*1.05, 0), 0)</f>
        <v>3</v>
      </c>
      <c r="F55" s="109">
        <f>F54</f>
        <v>0</v>
      </c>
      <c r="G55" s="104">
        <f>G54</f>
        <v>0</v>
      </c>
      <c r="H55" s="33">
        <f>F55*G55</f>
        <v>0</v>
      </c>
      <c r="I55" s="33">
        <f>D55*E55</f>
        <v>12.75</v>
      </c>
      <c r="J55" s="33">
        <f>I55*0.1</f>
        <v>1.2750000000000001</v>
      </c>
      <c r="K55" s="34">
        <f>SUM(I55:J55)</f>
        <v>14.025</v>
      </c>
      <c r="L55" s="35" t="s">
        <v>170</v>
      </c>
    </row>
    <row r="56" spans="1:12" ht="17.45" customHeight="1">
      <c r="A56" s="47" t="s">
        <v>272</v>
      </c>
      <c r="B56" s="99">
        <v>12</v>
      </c>
      <c r="C56" s="89">
        <f>C55</f>
        <v>1</v>
      </c>
      <c r="D56" s="90">
        <f>B56*C56</f>
        <v>12</v>
      </c>
      <c r="E56" s="30">
        <f>ROUNDUP(B8*0.75,0)</f>
        <v>3000</v>
      </c>
      <c r="F56" s="109">
        <f>F55</f>
        <v>0</v>
      </c>
      <c r="G56" s="104">
        <f>G55</f>
        <v>0</v>
      </c>
      <c r="H56" s="33">
        <f>F56*G56</f>
        <v>0</v>
      </c>
      <c r="I56" s="33">
        <f>D56*E56</f>
        <v>36000</v>
      </c>
      <c r="J56" s="33">
        <f>I56*0.1</f>
        <v>3600</v>
      </c>
      <c r="K56" s="34">
        <f>SUM(I56:J56)</f>
        <v>39600</v>
      </c>
      <c r="L56" s="35" t="s">
        <v>100</v>
      </c>
    </row>
    <row r="57" spans="1:12" ht="17.45" customHeight="1">
      <c r="A57" s="47" t="s">
        <v>273</v>
      </c>
      <c r="B57" s="99">
        <v>15</v>
      </c>
      <c r="C57" s="89">
        <f>C56</f>
        <v>1</v>
      </c>
      <c r="D57" s="90">
        <f>B57*C57</f>
        <v>15</v>
      </c>
      <c r="E57" s="30">
        <f>B11</f>
        <v>600</v>
      </c>
      <c r="F57" s="109">
        <f>F56</f>
        <v>0</v>
      </c>
      <c r="G57" s="104">
        <f>G56</f>
        <v>0</v>
      </c>
      <c r="H57" s="33">
        <f>F57*G57</f>
        <v>0</v>
      </c>
      <c r="I57" s="33">
        <f>D57*E57</f>
        <v>9000</v>
      </c>
      <c r="J57" s="33">
        <f>I57*0.1</f>
        <v>900</v>
      </c>
      <c r="K57" s="34">
        <f>SUM(I57:J57)</f>
        <v>9900</v>
      </c>
      <c r="L57" s="35" t="s">
        <v>100</v>
      </c>
    </row>
    <row r="58" spans="1:12" ht="17.45" customHeight="1">
      <c r="A58" s="47" t="s">
        <v>274</v>
      </c>
      <c r="B58" s="99">
        <v>6</v>
      </c>
      <c r="C58" s="89">
        <f>C57</f>
        <v>1</v>
      </c>
      <c r="D58" s="90">
        <f>B58*C58</f>
        <v>6</v>
      </c>
      <c r="E58" s="30">
        <f>E62*0.15</f>
        <v>6</v>
      </c>
      <c r="F58" s="109">
        <f>F57</f>
        <v>0</v>
      </c>
      <c r="G58" s="104">
        <f>G57</f>
        <v>0</v>
      </c>
      <c r="H58" s="33">
        <f>F58*G58</f>
        <v>0</v>
      </c>
      <c r="I58" s="33">
        <f>D58*E58</f>
        <v>36</v>
      </c>
      <c r="J58" s="33">
        <f>I58*0.1</f>
        <v>3.6</v>
      </c>
      <c r="K58" s="34">
        <f>SUM(I58:J58)</f>
        <v>39.6</v>
      </c>
      <c r="L58" s="35" t="s">
        <v>83</v>
      </c>
    </row>
    <row r="59" spans="1:12" ht="17.45" customHeight="1">
      <c r="A59" s="47" t="s">
        <v>275</v>
      </c>
      <c r="B59" s="99">
        <v>20</v>
      </c>
      <c r="C59" s="89">
        <f>C58</f>
        <v>1</v>
      </c>
      <c r="D59" s="90">
        <f>B59*C59</f>
        <v>20</v>
      </c>
      <c r="E59" s="30">
        <f>E60</f>
        <v>20</v>
      </c>
      <c r="F59" s="109">
        <f>F58</f>
        <v>0</v>
      </c>
      <c r="G59" s="104">
        <f>G58</f>
        <v>0</v>
      </c>
      <c r="H59" s="33">
        <f>F59*G59</f>
        <v>0</v>
      </c>
      <c r="I59" s="33">
        <f>D59*E59</f>
        <v>400</v>
      </c>
      <c r="J59" s="33">
        <f>I59*0.1</f>
        <v>40</v>
      </c>
      <c r="K59" s="34">
        <f>SUM(I59:J59)</f>
        <v>440</v>
      </c>
      <c r="L59" s="35" t="s">
        <v>83</v>
      </c>
    </row>
    <row r="60" spans="1:12" ht="17.45" customHeight="1">
      <c r="A60" s="47" t="s">
        <v>276</v>
      </c>
      <c r="B60" s="99">
        <v>150</v>
      </c>
      <c r="C60" s="89">
        <f>C59</f>
        <v>1</v>
      </c>
      <c r="D60" s="90">
        <f>B60*C60</f>
        <v>150</v>
      </c>
      <c r="E60" s="30">
        <f>ROUNDUP(B8/200,0)</f>
        <v>20</v>
      </c>
      <c r="F60" s="109">
        <f>F59</f>
        <v>0</v>
      </c>
      <c r="G60" s="104">
        <f>G59</f>
        <v>0</v>
      </c>
      <c r="H60" s="33">
        <f>F60*G60</f>
        <v>0</v>
      </c>
      <c r="I60" s="33">
        <f>D60*E60</f>
        <v>3000</v>
      </c>
      <c r="J60" s="33">
        <f>I60*0.1</f>
        <v>300</v>
      </c>
      <c r="K60" s="34">
        <f>SUM(I60:J60)</f>
        <v>3300</v>
      </c>
      <c r="L60" s="35" t="s">
        <v>73</v>
      </c>
    </row>
    <row r="61" spans="1:12" ht="17.45" customHeight="1">
      <c r="A61" s="47" t="s">
        <v>277</v>
      </c>
      <c r="B61" s="99">
        <v>8</v>
      </c>
      <c r="C61" s="89">
        <f>C60</f>
        <v>1</v>
      </c>
      <c r="D61" s="90">
        <f>B61*C61</f>
        <v>8</v>
      </c>
      <c r="E61" s="30">
        <f>E62*0.35</f>
        <v>14</v>
      </c>
      <c r="F61" s="109">
        <f>F60</f>
        <v>0</v>
      </c>
      <c r="G61" s="104">
        <f>G60</f>
        <v>0</v>
      </c>
      <c r="H61" s="33">
        <f>F61*G61</f>
        <v>0</v>
      </c>
      <c r="I61" s="33">
        <f>D61*E61</f>
        <v>112</v>
      </c>
      <c r="J61" s="33">
        <f>I61*0.1</f>
        <v>11.200000000000001</v>
      </c>
      <c r="K61" s="34">
        <f>SUM(I61:J61)</f>
        <v>123.2</v>
      </c>
      <c r="L61" s="35" t="s">
        <v>83</v>
      </c>
    </row>
    <row r="62" spans="1:12" ht="17.45" customHeight="1">
      <c r="A62" s="47" t="s">
        <v>278</v>
      </c>
      <c r="B62" s="99">
        <v>600</v>
      </c>
      <c r="C62" s="89">
        <f>C61</f>
        <v>1</v>
      </c>
      <c r="D62" s="90">
        <f>B62*C62</f>
        <v>600</v>
      </c>
      <c r="E62" s="30">
        <f>B8*0.01</f>
        <v>40</v>
      </c>
      <c r="F62" s="109">
        <f>F61</f>
        <v>0</v>
      </c>
      <c r="G62" s="104">
        <f>G61</f>
        <v>0</v>
      </c>
      <c r="H62" s="33">
        <f>F62*G62</f>
        <v>0</v>
      </c>
      <c r="I62" s="33">
        <f>D62*E62</f>
        <v>24000</v>
      </c>
      <c r="J62" s="33">
        <f>I62*0.1</f>
        <v>2400</v>
      </c>
      <c r="K62" s="34">
        <f>SUM(I62:J62)</f>
        <v>26400</v>
      </c>
      <c r="L62" s="35" t="s">
        <v>73</v>
      </c>
    </row>
    <row r="63" spans="1:12" ht="17.45" customHeight="1">
      <c r="A63" s="47" t="s">
        <v>279</v>
      </c>
      <c r="B63" s="99">
        <v>6</v>
      </c>
      <c r="C63" s="89">
        <f>C62</f>
        <v>1</v>
      </c>
      <c r="D63" s="90">
        <f>B63*C63</f>
        <v>6</v>
      </c>
      <c r="E63" s="30">
        <f>E62</f>
        <v>40</v>
      </c>
      <c r="F63" s="109">
        <f>F62</f>
        <v>0</v>
      </c>
      <c r="G63" s="104">
        <f>G62</f>
        <v>0</v>
      </c>
      <c r="H63" s="33">
        <f>F63*G63</f>
        <v>0</v>
      </c>
      <c r="I63" s="33">
        <f>D63*E63</f>
        <v>240</v>
      </c>
      <c r="J63" s="33">
        <f>I63*0.1</f>
        <v>24</v>
      </c>
      <c r="K63" s="34">
        <f>SUM(I63:J63)</f>
        <v>264</v>
      </c>
      <c r="L63" s="35" t="s">
        <v>85</v>
      </c>
    </row>
    <row r="64" spans="1:12" ht="17.45" customHeight="1">
      <c r="A64" s="47" t="s">
        <v>280</v>
      </c>
      <c r="B64" s="99">
        <v>12</v>
      </c>
      <c r="C64" s="89">
        <f>C63</f>
        <v>1</v>
      </c>
      <c r="D64" s="90">
        <f>B64*C64</f>
        <v>12</v>
      </c>
      <c r="E64" s="30">
        <f>E63</f>
        <v>40</v>
      </c>
      <c r="F64" s="109">
        <f>F63</f>
        <v>0</v>
      </c>
      <c r="G64" s="104">
        <f>G63</f>
        <v>0</v>
      </c>
      <c r="H64" s="33">
        <f>F64*G64</f>
        <v>0</v>
      </c>
      <c r="I64" s="33">
        <f>D64*E64</f>
        <v>480</v>
      </c>
      <c r="J64" s="33">
        <f>I64*0.1</f>
        <v>48</v>
      </c>
      <c r="K64" s="34">
        <f>SUM(I64:J64)</f>
        <v>528</v>
      </c>
      <c r="L64" s="35" t="s">
        <v>85</v>
      </c>
    </row>
    <row r="65" spans="1:12" ht="17.45" customHeight="1">
      <c r="A65" s="47" t="s">
        <v>281</v>
      </c>
      <c r="B65" s="99">
        <v>8</v>
      </c>
      <c r="C65" s="89">
        <f>C64</f>
        <v>1</v>
      </c>
      <c r="D65" s="90">
        <f>B65*C65</f>
        <v>8</v>
      </c>
      <c r="E65" s="30">
        <f>E64</f>
        <v>40</v>
      </c>
      <c r="F65" s="109">
        <f>F64</f>
        <v>0</v>
      </c>
      <c r="G65" s="104">
        <f>G64</f>
        <v>0</v>
      </c>
      <c r="H65" s="33">
        <f>F65*G65</f>
        <v>0</v>
      </c>
      <c r="I65" s="33">
        <f>D65*E65</f>
        <v>320</v>
      </c>
      <c r="J65" s="33">
        <f>I65*0.1</f>
        <v>32</v>
      </c>
      <c r="K65" s="34">
        <f>SUM(I65:J65)</f>
        <v>352</v>
      </c>
      <c r="L65" s="35" t="s">
        <v>85</v>
      </c>
    </row>
    <row r="66" spans="1:12" ht="17.45" customHeight="1">
      <c r="A66" s="47" t="s">
        <v>282</v>
      </c>
      <c r="B66" s="99">
        <v>15</v>
      </c>
      <c r="C66" s="89">
        <f>C65</f>
        <v>1</v>
      </c>
      <c r="D66" s="90">
        <f>B66*C66</f>
        <v>15</v>
      </c>
      <c r="E66" s="32">
        <f>ROUNDUP(B8*0.25,0)</f>
        <v>1000</v>
      </c>
      <c r="F66" s="109">
        <f>F65</f>
        <v>0</v>
      </c>
      <c r="G66" s="104">
        <f>G65</f>
        <v>0</v>
      </c>
      <c r="H66" s="33">
        <f>F66*G66</f>
        <v>0</v>
      </c>
      <c r="I66" s="33">
        <f>D66*E66</f>
        <v>15000</v>
      </c>
      <c r="J66" s="33">
        <f>I66*0.1</f>
        <v>1500</v>
      </c>
      <c r="K66" s="34">
        <f>SUM(I66:J66)</f>
        <v>16500</v>
      </c>
      <c r="L66" s="35" t="s">
        <v>85</v>
      </c>
    </row>
    <row r="67" spans="1:12" ht="17.45" customHeight="1">
      <c r="A67" s="47" t="s">
        <v>283</v>
      </c>
      <c r="B67" s="99">
        <v>2.5</v>
      </c>
      <c r="C67" s="89">
        <f>C66</f>
        <v>1</v>
      </c>
      <c r="D67" s="90">
        <f>B67*C67</f>
        <v>2.5</v>
      </c>
      <c r="E67" s="32">
        <f>ROUNDUP(B8*1.25,0)</f>
        <v>5000</v>
      </c>
      <c r="F67" s="109">
        <f>F66</f>
        <v>0</v>
      </c>
      <c r="G67" s="104">
        <f>G66</f>
        <v>0</v>
      </c>
      <c r="H67" s="33">
        <f>F67*G67</f>
        <v>0</v>
      </c>
      <c r="I67" s="33">
        <f>D67*E67</f>
        <v>12500</v>
      </c>
      <c r="J67" s="33">
        <f>I67*0.1</f>
        <v>1250</v>
      </c>
      <c r="K67" s="34">
        <f>SUM(I67:J67)</f>
        <v>13750</v>
      </c>
      <c r="L67" s="35" t="s">
        <v>134</v>
      </c>
    </row>
    <row r="68" spans="1:12" ht="17.45" customHeight="1">
      <c r="A68" s="47" t="s">
        <v>284</v>
      </c>
      <c r="B68" s="99">
        <v>1.5</v>
      </c>
      <c r="C68" s="89">
        <f>C67</f>
        <v>1</v>
      </c>
      <c r="D68" s="90">
        <f>B68*C68</f>
        <v>1.5</v>
      </c>
      <c r="E68" s="32">
        <f>IF(E67&gt;0,0,1)</f>
        <v>0</v>
      </c>
      <c r="F68" s="109">
        <f>F67</f>
        <v>0</v>
      </c>
      <c r="G68" s="104">
        <f>G67</f>
        <v>0</v>
      </c>
      <c r="H68" s="33">
        <f>F68*G68</f>
        <v>0</v>
      </c>
      <c r="I68" s="33">
        <f>D68*E68</f>
        <v>0</v>
      </c>
      <c r="J68" s="33">
        <f>I68*0.1</f>
        <v>0</v>
      </c>
      <c r="K68" s="34">
        <f>SUM(I68:J68)</f>
        <v>0</v>
      </c>
      <c r="L68" s="35" t="s">
        <v>134</v>
      </c>
    </row>
    <row r="69" spans="1:12" ht="17.45" customHeight="1">
      <c r="A69" s="47" t="s">
        <v>285</v>
      </c>
      <c r="B69" s="99">
        <v>0.5</v>
      </c>
      <c r="C69" s="89">
        <f>C68</f>
        <v>1</v>
      </c>
      <c r="D69" s="90">
        <f>B69*C69</f>
        <v>0.5</v>
      </c>
      <c r="E69" s="30">
        <f>B7</f>
        <v>43560</v>
      </c>
      <c r="F69" s="109">
        <f>F68</f>
        <v>0</v>
      </c>
      <c r="G69" s="104">
        <f>G68</f>
        <v>0</v>
      </c>
      <c r="H69" s="33">
        <f>F69*G69</f>
        <v>0</v>
      </c>
      <c r="I69" s="33">
        <f>D69*E69</f>
        <v>21780</v>
      </c>
      <c r="J69" s="33">
        <f>I69*0.1</f>
        <v>2178</v>
      </c>
      <c r="K69" s="34">
        <f>SUM(I69:J69)</f>
        <v>23958</v>
      </c>
      <c r="L69" s="35" t="s">
        <v>90</v>
      </c>
    </row>
    <row r="70" spans="1:12" ht="17.45" customHeight="1">
      <c r="A70" s="47" t="s">
        <v>286</v>
      </c>
      <c r="B70" s="99">
        <v>0.01</v>
      </c>
      <c r="C70" s="89">
        <f>C69</f>
        <v>1</v>
      </c>
      <c r="D70" s="90">
        <f>B70*C70</f>
        <v>0.01</v>
      </c>
      <c r="E70" s="30">
        <f>E69</f>
        <v>43560</v>
      </c>
      <c r="F70" s="109">
        <f>F69</f>
        <v>0</v>
      </c>
      <c r="G70" s="104">
        <f>G69</f>
        <v>0</v>
      </c>
      <c r="H70" s="33">
        <f>F70*G70</f>
        <v>0</v>
      </c>
      <c r="I70" s="33">
        <f>D70*E70</f>
        <v>435.6</v>
      </c>
      <c r="J70" s="33">
        <f>I70*0.1</f>
        <v>43.56</v>
      </c>
      <c r="K70" s="34">
        <f>SUM(I70:J70)</f>
        <v>479.16</v>
      </c>
      <c r="L70" s="35" t="s">
        <v>172</v>
      </c>
    </row>
    <row r="71" spans="1:12" ht="17.45" customHeight="1">
      <c r="A71" s="47" t="s">
        <v>287</v>
      </c>
      <c r="B71" s="99">
        <v>0.35</v>
      </c>
      <c r="C71" s="89">
        <f>C70</f>
        <v>1</v>
      </c>
      <c r="D71" s="90">
        <v>1.75</v>
      </c>
      <c r="E71" s="32">
        <f>ROUNDUP($B$8/50, 0)</f>
        <v>80</v>
      </c>
      <c r="F71" s="109">
        <f>F70</f>
        <v>0</v>
      </c>
      <c r="G71" s="104">
        <f>G70</f>
        <v>0</v>
      </c>
      <c r="H71" s="33">
        <f>F71*G71</f>
        <v>0</v>
      </c>
      <c r="I71" s="33">
        <f>D71*E71</f>
        <v>140</v>
      </c>
      <c r="J71" s="33">
        <f>I71*0.1</f>
        <v>14</v>
      </c>
      <c r="K71" s="34">
        <f>SUM(I71:J71)</f>
        <v>154</v>
      </c>
      <c r="L71" s="35" t="s">
        <v>172</v>
      </c>
    </row>
    <row r="72" spans="1:12" ht="17.45" customHeight="1">
      <c r="A72" s="47" t="s">
        <v>288</v>
      </c>
      <c r="B72" s="99">
        <v>250</v>
      </c>
      <c r="C72" s="89">
        <f>C71</f>
        <v>1</v>
      </c>
      <c r="D72" s="90">
        <f>B72*C72</f>
        <v>250</v>
      </c>
      <c r="E72" s="30">
        <v>1</v>
      </c>
      <c r="F72" s="109">
        <f>F71</f>
        <v>0</v>
      </c>
      <c r="G72" s="104">
        <f>G71</f>
        <v>0</v>
      </c>
      <c r="H72" s="33">
        <f>F72*G72</f>
        <v>0</v>
      </c>
      <c r="I72" s="33">
        <f>D72*E72</f>
        <v>250</v>
      </c>
      <c r="J72" s="33">
        <f>I72*0.1</f>
        <v>25</v>
      </c>
      <c r="K72" s="34">
        <f>SUM(I72:J72)</f>
        <v>275</v>
      </c>
      <c r="L72" s="35" t="s">
        <v>172</v>
      </c>
    </row>
    <row r="73" spans="1:12" ht="17.45" customHeight="1">
      <c r="A73" s="47" t="s">
        <v>289</v>
      </c>
      <c r="B73" s="99">
        <v>1</v>
      </c>
      <c r="C73" s="89">
        <f>C72</f>
        <v>1</v>
      </c>
      <c r="D73" s="90">
        <f>B73*C73</f>
        <v>1</v>
      </c>
      <c r="E73" s="30">
        <v>0</v>
      </c>
      <c r="F73" s="109">
        <f>F72</f>
        <v>0</v>
      </c>
      <c r="G73" s="104">
        <f>G72</f>
        <v>0</v>
      </c>
      <c r="H73" s="33">
        <f>F73*G73</f>
        <v>0</v>
      </c>
      <c r="I73" s="33">
        <f>D73*E73</f>
        <v>0</v>
      </c>
      <c r="J73" s="33">
        <f>I73*0.1</f>
        <v>0</v>
      </c>
      <c r="K73" s="34">
        <f>SUM(I73:J73)</f>
        <v>0</v>
      </c>
      <c r="L73" s="35" t="s">
        <v>172</v>
      </c>
    </row>
    <row r="74" spans="1:12" ht="17.45" customHeight="1">
      <c r="A74" s="47" t="s">
        <v>290</v>
      </c>
      <c r="B74" s="99">
        <v>1000</v>
      </c>
      <c r="C74" s="89">
        <f>C73</f>
        <v>1</v>
      </c>
      <c r="D74" s="90">
        <f>B74*C74</f>
        <v>1000</v>
      </c>
      <c r="E74" s="30">
        <f>B7*0.00175</f>
        <v>76.23</v>
      </c>
      <c r="F74" s="109">
        <f>F73</f>
        <v>0</v>
      </c>
      <c r="G74" s="104">
        <f>G73</f>
        <v>0</v>
      </c>
      <c r="H74" s="33">
        <f>F74*G74</f>
        <v>0</v>
      </c>
      <c r="I74" s="33">
        <f>D74*E74</f>
        <v>76230</v>
      </c>
      <c r="J74" s="33">
        <f>I74*0.1</f>
        <v>7623</v>
      </c>
      <c r="K74" s="34">
        <f>SUM(I74:J74)</f>
        <v>83853</v>
      </c>
      <c r="L74" s="35" t="s">
        <v>172</v>
      </c>
    </row>
    <row r="75" spans="1:12" ht="17.45" customHeight="1">
      <c r="A75" s="47" t="s">
        <v>291</v>
      </c>
      <c r="B75" s="99">
        <v>50</v>
      </c>
      <c r="C75" s="89">
        <f>C74</f>
        <v>1</v>
      </c>
      <c r="D75" s="90">
        <f>B75*C75</f>
        <v>50</v>
      </c>
      <c r="E75" s="30">
        <f>E74*0.75</f>
        <v>57.172499999999999</v>
      </c>
      <c r="F75" s="109">
        <f>F74</f>
        <v>0</v>
      </c>
      <c r="G75" s="104">
        <f>G74</f>
        <v>0</v>
      </c>
      <c r="H75" s="33">
        <f>F75*G75</f>
        <v>0</v>
      </c>
      <c r="I75" s="33">
        <f>D75*E75</f>
        <v>2858.625</v>
      </c>
      <c r="J75" s="33">
        <f>I75*0.1</f>
        <v>285.86250000000001</v>
      </c>
      <c r="K75" s="34">
        <f>SUM(I75:J75)</f>
        <v>3144.4875000000002</v>
      </c>
      <c r="L75" s="35" t="s">
        <v>172</v>
      </c>
    </row>
    <row r="76" spans="1:12" ht="17.45" customHeight="1">
      <c r="A76" s="47" t="s">
        <v>292</v>
      </c>
      <c r="B76" s="99">
        <v>30</v>
      </c>
      <c r="C76" s="89">
        <f>C75</f>
        <v>1</v>
      </c>
      <c r="D76" s="90">
        <f>B76*C76</f>
        <v>30</v>
      </c>
      <c r="E76" s="30">
        <f>ROUNDUP(B8/75,0)</f>
        <v>54</v>
      </c>
      <c r="F76" s="109">
        <f>F75</f>
        <v>0</v>
      </c>
      <c r="G76" s="104">
        <f>G75</f>
        <v>0</v>
      </c>
      <c r="H76" s="33">
        <f>F76*G76</f>
        <v>0</v>
      </c>
      <c r="I76" s="33">
        <f>D76*E76</f>
        <v>1620</v>
      </c>
      <c r="J76" s="33">
        <f>I76*0.1</f>
        <v>162</v>
      </c>
      <c r="K76" s="34">
        <f>SUM(I76:J76)</f>
        <v>1782</v>
      </c>
      <c r="L76" s="35" t="s">
        <v>83</v>
      </c>
    </row>
    <row r="77" spans="1:12" ht="17.45" customHeight="1">
      <c r="A77" s="47" t="s">
        <v>293</v>
      </c>
      <c r="B77" s="99">
        <v>150</v>
      </c>
      <c r="C77" s="89">
        <f>C76</f>
        <v>1</v>
      </c>
      <c r="D77" s="90">
        <f>B77*C77</f>
        <v>150</v>
      </c>
      <c r="E77" s="30">
        <f>ROUNDUP(B8/250,0)</f>
        <v>16</v>
      </c>
      <c r="F77" s="109">
        <f>F76</f>
        <v>0</v>
      </c>
      <c r="G77" s="104">
        <f>G76</f>
        <v>0</v>
      </c>
      <c r="H77" s="33">
        <f>F77*G77</f>
        <v>0</v>
      </c>
      <c r="I77" s="33">
        <f>D77*E77</f>
        <v>2400</v>
      </c>
      <c r="J77" s="33">
        <f>I77*0.1</f>
        <v>240</v>
      </c>
      <c r="K77" s="34">
        <f>SUM(I77:J77)</f>
        <v>2640</v>
      </c>
      <c r="L77" s="35" t="s">
        <v>83</v>
      </c>
    </row>
    <row r="78" spans="1:12" ht="17.45" customHeight="1">
      <c r="A78" s="47" t="s">
        <v>294</v>
      </c>
      <c r="B78" s="99">
        <v>750</v>
      </c>
      <c r="C78" s="89">
        <f>C77</f>
        <v>1</v>
      </c>
      <c r="D78" s="90">
        <f>B78*C78</f>
        <v>750</v>
      </c>
      <c r="E78" s="30">
        <f>ROUNDUP(B8/2500,0)</f>
        <v>2</v>
      </c>
      <c r="F78" s="109">
        <f>F77</f>
        <v>0</v>
      </c>
      <c r="G78" s="104">
        <f>G77</f>
        <v>0</v>
      </c>
      <c r="H78" s="33">
        <f>H77</f>
        <v>0</v>
      </c>
      <c r="I78" s="33">
        <f>D78*E78</f>
        <v>1500</v>
      </c>
      <c r="J78" s="33">
        <f>I78*0.1</f>
        <v>150</v>
      </c>
      <c r="K78" s="34">
        <f>SUM(I78:J78)</f>
        <v>1650</v>
      </c>
      <c r="L78" s="35" t="s">
        <v>90</v>
      </c>
    </row>
    <row r="79" spans="1:12" ht="17.45" customHeight="1">
      <c r="A79" s="47" t="s">
        <v>295</v>
      </c>
      <c r="B79" s="99">
        <v>0</v>
      </c>
      <c r="C79" s="89">
        <f>C77</f>
        <v>1</v>
      </c>
      <c r="D79" s="90">
        <f>B79*C79</f>
        <v>0</v>
      </c>
      <c r="E79" s="30">
        <v>1</v>
      </c>
      <c r="F79" s="109">
        <f>F77</f>
        <v>0</v>
      </c>
      <c r="G79" s="104">
        <f>G77</f>
        <v>0</v>
      </c>
      <c r="H79" s="33">
        <f>F79*G79</f>
        <v>0</v>
      </c>
      <c r="I79" s="33">
        <f>D79*E79</f>
        <v>0</v>
      </c>
      <c r="J79" s="33">
        <f>I79*0.1</f>
        <v>0</v>
      </c>
      <c r="K79" s="34">
        <f>SUM(I79:J79)</f>
        <v>0</v>
      </c>
      <c r="L79" s="35" t="s">
        <v>102</v>
      </c>
    </row>
    <row r="80" spans="1:12" ht="17.45" customHeight="1">
      <c r="A80" s="47" t="s">
        <v>296</v>
      </c>
      <c r="B80" s="99">
        <v>1.5</v>
      </c>
      <c r="C80" s="89">
        <f>C79</f>
        <v>1</v>
      </c>
      <c r="D80" s="90">
        <f>B80*C80</f>
        <v>1.5</v>
      </c>
      <c r="E80" s="32">
        <f>ROUNDUP(B8*1.25,0)</f>
        <v>5000</v>
      </c>
      <c r="F80" s="109">
        <f>F79</f>
        <v>0</v>
      </c>
      <c r="G80" s="104">
        <f>G79</f>
        <v>0</v>
      </c>
      <c r="H80" s="33">
        <f>F80*G80</f>
        <v>0</v>
      </c>
      <c r="I80" s="33">
        <f>D80*E80</f>
        <v>7500</v>
      </c>
      <c r="J80" s="33">
        <f>I80*0.1</f>
        <v>750</v>
      </c>
      <c r="K80" s="34">
        <f>SUM(I80:J80)</f>
        <v>8250</v>
      </c>
      <c r="L80" s="35" t="s">
        <v>164</v>
      </c>
    </row>
    <row r="81" spans="1:12" ht="17.45" customHeight="1">
      <c r="A81" s="47" t="s">
        <v>297</v>
      </c>
      <c r="B81" s="99">
        <v>1.25</v>
      </c>
      <c r="C81" s="89">
        <f>C80</f>
        <v>1</v>
      </c>
      <c r="D81" s="90">
        <f>B81*C81</f>
        <v>1.25</v>
      </c>
      <c r="E81" s="32">
        <f>ROUNDUP(B8*1.25,0)</f>
        <v>5000</v>
      </c>
      <c r="F81" s="109">
        <f>F80</f>
        <v>0</v>
      </c>
      <c r="G81" s="104">
        <f>G80</f>
        <v>0</v>
      </c>
      <c r="H81" s="33">
        <f>F81*G81</f>
        <v>0</v>
      </c>
      <c r="I81" s="33">
        <f>D81*E81</f>
        <v>6250</v>
      </c>
      <c r="J81" s="33">
        <f>I81*0.1</f>
        <v>625</v>
      </c>
      <c r="K81" s="34">
        <f>SUM(I81:J81)</f>
        <v>6875</v>
      </c>
      <c r="L81" s="35" t="s">
        <v>144</v>
      </c>
    </row>
    <row r="82" spans="1:12" ht="17.45" customHeight="1">
      <c r="A82" s="47" t="s">
        <v>298</v>
      </c>
      <c r="B82" s="99">
        <v>30</v>
      </c>
      <c r="C82" s="89">
        <f>C81</f>
        <v>1</v>
      </c>
      <c r="D82" s="90">
        <f>B82*C82</f>
        <v>30</v>
      </c>
      <c r="E82" s="30">
        <f>ROUNDUP(B7*0.01,0)</f>
        <v>436</v>
      </c>
      <c r="F82" s="109">
        <f>F81</f>
        <v>0</v>
      </c>
      <c r="G82" s="104">
        <f>G81</f>
        <v>0</v>
      </c>
      <c r="H82" s="33">
        <f>F82*G82</f>
        <v>0</v>
      </c>
      <c r="I82" s="33">
        <f>D82*E82</f>
        <v>13080</v>
      </c>
      <c r="J82" s="33">
        <f>I82*0.1</f>
        <v>1308</v>
      </c>
      <c r="K82" s="34">
        <f>SUM(I82:J82)</f>
        <v>14388</v>
      </c>
      <c r="L82" s="35" t="s">
        <v>79</v>
      </c>
    </row>
    <row r="83" spans="1:12" ht="17.45" customHeight="1">
      <c r="A83" s="47" t="s">
        <v>299</v>
      </c>
      <c r="B83" s="99">
        <v>18</v>
      </c>
      <c r="C83" s="89">
        <f>C82</f>
        <v>1</v>
      </c>
      <c r="D83" s="90">
        <f>B83*C83</f>
        <v>18</v>
      </c>
      <c r="E83" s="30">
        <f>IF(E82=1,0,0)</f>
        <v>0</v>
      </c>
      <c r="F83" s="109">
        <f>F82</f>
        <v>0</v>
      </c>
      <c r="G83" s="104">
        <f>G82</f>
        <v>0</v>
      </c>
      <c r="H83" s="33">
        <f>F83*G83</f>
        <v>0</v>
      </c>
      <c r="I83" s="33">
        <f>D83*E83</f>
        <v>0</v>
      </c>
      <c r="J83" s="33">
        <f>I83*0.1</f>
        <v>0</v>
      </c>
      <c r="K83" s="34">
        <f>SUM(I83:J83)</f>
        <v>0</v>
      </c>
      <c r="L83" s="35" t="s">
        <v>79</v>
      </c>
    </row>
    <row r="84" spans="1:12" ht="17.45" customHeight="1">
      <c r="A84" s="47" t="s">
        <v>300</v>
      </c>
      <c r="B84" s="99">
        <v>22</v>
      </c>
      <c r="C84" s="89">
        <f>C83</f>
        <v>1</v>
      </c>
      <c r="D84" s="90">
        <f>B84*C84</f>
        <v>22</v>
      </c>
      <c r="E84" s="30">
        <f>IF(E83=1,0,0)</f>
        <v>0</v>
      </c>
      <c r="F84" s="109">
        <f>F83</f>
        <v>0</v>
      </c>
      <c r="G84" s="104">
        <f>G83</f>
        <v>0</v>
      </c>
      <c r="H84" s="33">
        <f>F84*G84</f>
        <v>0</v>
      </c>
      <c r="I84" s="33">
        <f>D84*E84</f>
        <v>0</v>
      </c>
      <c r="J84" s="33">
        <f>I84*0.1</f>
        <v>0</v>
      </c>
      <c r="K84" s="34">
        <f>SUM(I84:J84)</f>
        <v>0</v>
      </c>
      <c r="L84" s="35" t="s">
        <v>79</v>
      </c>
    </row>
    <row r="85" spans="1:12" ht="17.45" customHeight="1">
      <c r="A85" s="47" t="s">
        <v>301</v>
      </c>
      <c r="B85" s="99">
        <v>1.8</v>
      </c>
      <c r="C85" s="89">
        <f>C84</f>
        <v>1</v>
      </c>
      <c r="D85" s="90">
        <f>B85*C85</f>
        <v>1.8</v>
      </c>
      <c r="E85" s="30">
        <f>ROUNDUP(B10*1.1,0)</f>
        <v>3740</v>
      </c>
      <c r="F85" s="109">
        <f>F84</f>
        <v>0</v>
      </c>
      <c r="G85" s="104">
        <f>G84</f>
        <v>0</v>
      </c>
      <c r="H85" s="33">
        <f>F85*G85</f>
        <v>0</v>
      </c>
      <c r="I85" s="33">
        <f>D85*E85</f>
        <v>6732</v>
      </c>
      <c r="J85" s="33">
        <f>I85*0.1</f>
        <v>673.2</v>
      </c>
      <c r="K85" s="34">
        <f>SUM(I85:J85)</f>
        <v>7405.2</v>
      </c>
      <c r="L85" s="35" t="s">
        <v>114</v>
      </c>
    </row>
    <row r="86" spans="1:12" ht="17.45" customHeight="1">
      <c r="A86" s="47" t="s">
        <v>302</v>
      </c>
      <c r="B86" s="99">
        <v>0</v>
      </c>
      <c r="C86" s="89">
        <v>0</v>
      </c>
      <c r="D86" s="90">
        <f>B86*C86</f>
        <v>0</v>
      </c>
      <c r="E86" s="30">
        <v>1</v>
      </c>
      <c r="F86" s="109">
        <f>F85</f>
        <v>0</v>
      </c>
      <c r="G86" s="104">
        <f>G85</f>
        <v>0</v>
      </c>
      <c r="H86" s="33">
        <f>F86*G86</f>
        <v>0</v>
      </c>
      <c r="I86" s="33">
        <f>D86*E86</f>
        <v>0</v>
      </c>
      <c r="J86" s="33">
        <f>I86*0.1</f>
        <v>0</v>
      </c>
      <c r="K86" s="34">
        <f>SUM(I86:J86)</f>
        <v>0</v>
      </c>
      <c r="L86" s="35" t="s">
        <v>67</v>
      </c>
    </row>
    <row r="87" spans="1:12" ht="17.45" customHeight="1">
      <c r="A87" s="47" t="s">
        <v>303</v>
      </c>
      <c r="B87" s="99">
        <f>B86</f>
        <v>0</v>
      </c>
      <c r="C87" s="89">
        <f>C86</f>
        <v>0</v>
      </c>
      <c r="D87" s="90">
        <f>B87*C87</f>
        <v>0</v>
      </c>
      <c r="E87" s="30">
        <f>E86</f>
        <v>1</v>
      </c>
      <c r="F87" s="109">
        <f>F86</f>
        <v>0</v>
      </c>
      <c r="G87" s="104">
        <f>G86</f>
        <v>0</v>
      </c>
      <c r="H87" s="33">
        <f>F87*G87</f>
        <v>0</v>
      </c>
      <c r="I87" s="33">
        <f>D87*E87</f>
        <v>0</v>
      </c>
      <c r="J87" s="33">
        <f>I87*0.1</f>
        <v>0</v>
      </c>
      <c r="K87" s="34">
        <f>SUM(I87:J87)</f>
        <v>0</v>
      </c>
      <c r="L87" s="35" t="s">
        <v>67</v>
      </c>
    </row>
    <row r="88" spans="1:12" ht="17.45" customHeight="1">
      <c r="A88" s="47" t="s">
        <v>304</v>
      </c>
      <c r="B88" s="99">
        <f>SUM(K14,K36:K85)+SUM(K90:K92)+SUM(K95:K119)</f>
        <v>631503.51</v>
      </c>
      <c r="C88" s="89">
        <v>0.15</v>
      </c>
      <c r="D88" s="90">
        <f>B88*C88</f>
        <v>94725.526499999993</v>
      </c>
      <c r="E88" s="30">
        <f>E87</f>
        <v>1</v>
      </c>
      <c r="F88" s="109">
        <f>F87</f>
        <v>0</v>
      </c>
      <c r="G88" s="104">
        <f>G87</f>
        <v>0</v>
      </c>
      <c r="H88" s="33">
        <f>F88*G88</f>
        <v>0</v>
      </c>
      <c r="I88" s="33">
        <f>D88*E88</f>
        <v>94725.526499999993</v>
      </c>
      <c r="J88" s="33">
        <f>I88*0.1</f>
        <v>9472.5526499999996</v>
      </c>
      <c r="K88" s="34">
        <f>SUM(I88:J88)</f>
        <v>104198.07914999999</v>
      </c>
      <c r="L88" s="35" t="s">
        <v>67</v>
      </c>
    </row>
    <row r="89" spans="1:12" ht="17.45" customHeight="1">
      <c r="A89" s="47" t="s">
        <v>305</v>
      </c>
      <c r="B89" s="99">
        <f>B88</f>
        <v>631503.51</v>
      </c>
      <c r="C89" s="89">
        <v>0.05</v>
      </c>
      <c r="D89" s="90">
        <f>B89*C89</f>
        <v>31575.175500000001</v>
      </c>
      <c r="E89" s="30">
        <f>E88</f>
        <v>1</v>
      </c>
      <c r="F89" s="109">
        <f>F88</f>
        <v>0</v>
      </c>
      <c r="G89" s="104">
        <f>G88</f>
        <v>0</v>
      </c>
      <c r="H89" s="33">
        <f>F89*G89</f>
        <v>0</v>
      </c>
      <c r="I89" s="33">
        <f>D89*E89</f>
        <v>31575.175500000001</v>
      </c>
      <c r="J89" s="33">
        <f>I89*0.1</f>
        <v>3157.5175500000005</v>
      </c>
      <c r="K89" s="34">
        <f>SUM(I89:J89)</f>
        <v>34732.693050000002</v>
      </c>
      <c r="L89" s="35" t="s">
        <v>195</v>
      </c>
    </row>
    <row r="90" spans="1:12" ht="17.45" customHeight="1">
      <c r="A90" s="47" t="s">
        <v>306</v>
      </c>
      <c r="B90" s="99">
        <v>1.5</v>
      </c>
      <c r="C90" s="89">
        <v>1</v>
      </c>
      <c r="D90" s="90">
        <f>B90*C90</f>
        <v>1.5</v>
      </c>
      <c r="E90" s="30">
        <f>B8</f>
        <v>4000</v>
      </c>
      <c r="F90" s="109">
        <f>F89</f>
        <v>0</v>
      </c>
      <c r="G90" s="104">
        <f>G89</f>
        <v>0</v>
      </c>
      <c r="H90" s="33">
        <f>F90*G90</f>
        <v>0</v>
      </c>
      <c r="I90" s="33">
        <f>D90*E90</f>
        <v>6000</v>
      </c>
      <c r="J90" s="33">
        <f>I90*0.1</f>
        <v>600</v>
      </c>
      <c r="K90" s="34">
        <f>SUM(I90:J90)</f>
        <v>6600</v>
      </c>
      <c r="L90" s="35" t="s">
        <v>126</v>
      </c>
    </row>
    <row r="91" spans="1:12" ht="17.45" customHeight="1">
      <c r="A91" s="47" t="s">
        <v>307</v>
      </c>
      <c r="B91" s="99">
        <v>90</v>
      </c>
      <c r="C91" s="89">
        <f>C90</f>
        <v>1</v>
      </c>
      <c r="D91" s="90">
        <f>B91*C91</f>
        <v>90</v>
      </c>
      <c r="E91" s="30">
        <f>B8*0.1</f>
        <v>400</v>
      </c>
      <c r="F91" s="109">
        <f>F90</f>
        <v>0</v>
      </c>
      <c r="G91" s="104">
        <f>G90</f>
        <v>0</v>
      </c>
      <c r="H91" s="33">
        <f>F91*G91</f>
        <v>0</v>
      </c>
      <c r="I91" s="33">
        <f>D91*E91</f>
        <v>36000</v>
      </c>
      <c r="J91" s="33">
        <f>I91*0.1</f>
        <v>3600</v>
      </c>
      <c r="K91" s="34">
        <f>SUM(I91:J91)</f>
        <v>39600</v>
      </c>
      <c r="L91" s="35" t="s">
        <v>160</v>
      </c>
    </row>
    <row r="92" spans="1:12" ht="17.45" customHeight="1">
      <c r="A92" s="47" t="s">
        <v>308</v>
      </c>
      <c r="B92" s="99">
        <v>0.75</v>
      </c>
      <c r="C92" s="89">
        <f>C91</f>
        <v>1</v>
      </c>
      <c r="D92" s="90">
        <f>B92*C92</f>
        <v>0.75</v>
      </c>
      <c r="E92" s="30">
        <f>ROUNDUP(B8/4,0)</f>
        <v>1000</v>
      </c>
      <c r="F92" s="109">
        <f>F91</f>
        <v>0</v>
      </c>
      <c r="G92" s="104">
        <f>G91</f>
        <v>0</v>
      </c>
      <c r="H92" s="33">
        <f>F92*G92</f>
        <v>0</v>
      </c>
      <c r="I92" s="33">
        <f>D92*E92</f>
        <v>750</v>
      </c>
      <c r="J92" s="33">
        <f>I92*0.1</f>
        <v>75</v>
      </c>
      <c r="K92" s="34">
        <f>SUM(I92:J92)</f>
        <v>825</v>
      </c>
      <c r="L92" s="35" t="s">
        <v>134</v>
      </c>
    </row>
    <row r="93" spans="1:12" ht="17.45" customHeight="1">
      <c r="A93" s="47" t="s">
        <v>309</v>
      </c>
      <c r="B93" s="99">
        <v>0</v>
      </c>
      <c r="C93" s="89">
        <f>C92</f>
        <v>1</v>
      </c>
      <c r="D93" s="90">
        <f>B93*C93</f>
        <v>0</v>
      </c>
      <c r="E93" s="30">
        <v>1</v>
      </c>
      <c r="F93" s="109">
        <f>F92</f>
        <v>0</v>
      </c>
      <c r="G93" s="104">
        <f>G92</f>
        <v>0</v>
      </c>
      <c r="H93" s="33">
        <f>F93*G93</f>
        <v>0</v>
      </c>
      <c r="I93" s="33">
        <f>D93*E93</f>
        <v>0</v>
      </c>
      <c r="J93" s="33">
        <f>I93*0.1</f>
        <v>0</v>
      </c>
      <c r="K93" s="34">
        <f>SUM(I93:J93)</f>
        <v>0</v>
      </c>
      <c r="L93" s="35" t="s">
        <v>15</v>
      </c>
    </row>
    <row r="94" spans="1:12" ht="17.45" customHeight="1">
      <c r="A94" s="47" t="s">
        <v>310</v>
      </c>
      <c r="B94" s="99">
        <v>0</v>
      </c>
      <c r="C94" s="89">
        <f>C93</f>
        <v>1</v>
      </c>
      <c r="D94" s="90">
        <f>B94*C94</f>
        <v>0</v>
      </c>
      <c r="E94" s="30">
        <v>1</v>
      </c>
      <c r="F94" s="109">
        <f>F93</f>
        <v>0</v>
      </c>
      <c r="G94" s="104">
        <f>G93</f>
        <v>0</v>
      </c>
      <c r="H94" s="33">
        <f>F94*G94</f>
        <v>0</v>
      </c>
      <c r="I94" s="33">
        <f>D94*E94</f>
        <v>0</v>
      </c>
      <c r="J94" s="33">
        <f>I94*0.1</f>
        <v>0</v>
      </c>
      <c r="K94" s="34">
        <f>SUM(I94:J94)</f>
        <v>0</v>
      </c>
      <c r="L94" s="35" t="s">
        <v>178</v>
      </c>
    </row>
    <row r="95" spans="1:12" ht="17.45" customHeight="1">
      <c r="A95" s="47" t="s">
        <v>311</v>
      </c>
      <c r="B95" s="99">
        <v>1.25</v>
      </c>
      <c r="C95" s="89">
        <f>C94</f>
        <v>1</v>
      </c>
      <c r="D95" s="90">
        <f>B95*C95</f>
        <v>1.25</v>
      </c>
      <c r="E95" s="32">
        <f>ROUNDUP(B8*1.1,0)</f>
        <v>4400</v>
      </c>
      <c r="F95" s="109">
        <f>F94</f>
        <v>0</v>
      </c>
      <c r="G95" s="104">
        <f>G94</f>
        <v>0</v>
      </c>
      <c r="H95" s="33">
        <f>F95*G95</f>
        <v>0</v>
      </c>
      <c r="I95" s="33">
        <f>D95*E95</f>
        <v>5500</v>
      </c>
      <c r="J95" s="33">
        <f>I95*0.1</f>
        <v>550</v>
      </c>
      <c r="K95" s="34">
        <f>SUM(I95:J95)</f>
        <v>6050</v>
      </c>
      <c r="L95" s="35" t="s">
        <v>140</v>
      </c>
    </row>
    <row r="96" spans="1:12" ht="17.45" customHeight="1">
      <c r="A96" s="47" t="s">
        <v>312</v>
      </c>
      <c r="B96" s="99">
        <v>10</v>
      </c>
      <c r="C96" s="89">
        <f>C95</f>
        <v>1</v>
      </c>
      <c r="D96" s="90">
        <f>B96*C96</f>
        <v>10</v>
      </c>
      <c r="E96" s="32">
        <f>ROUNDUP(B8*0.25,0)</f>
        <v>1000</v>
      </c>
      <c r="F96" s="109">
        <f>F95</f>
        <v>0</v>
      </c>
      <c r="G96" s="104">
        <f>G95</f>
        <v>0</v>
      </c>
      <c r="H96" s="33">
        <f>F96*G96</f>
        <v>0</v>
      </c>
      <c r="I96" s="33">
        <f>D96*E96</f>
        <v>10000</v>
      </c>
      <c r="J96" s="33">
        <f>I96*0.1</f>
        <v>1000</v>
      </c>
      <c r="K96" s="34">
        <f>SUM(I96:J96)</f>
        <v>11000</v>
      </c>
      <c r="L96" s="35" t="s">
        <v>152</v>
      </c>
    </row>
    <row r="97" spans="1:12" ht="17.45" customHeight="1">
      <c r="A97" s="47" t="s">
        <v>313</v>
      </c>
      <c r="B97" s="99">
        <v>4</v>
      </c>
      <c r="C97" s="89">
        <f>C96</f>
        <v>1</v>
      </c>
      <c r="D97" s="90">
        <f>B97*C97</f>
        <v>4</v>
      </c>
      <c r="E97" s="30">
        <f>ROUNDUP(B8*3.2,0)</f>
        <v>12800</v>
      </c>
      <c r="F97" s="109">
        <f>F96</f>
        <v>0</v>
      </c>
      <c r="G97" s="104">
        <f>G96</f>
        <v>0</v>
      </c>
      <c r="H97" s="33">
        <f>F97*G97</f>
        <v>0</v>
      </c>
      <c r="I97" s="33">
        <f>D97*E97</f>
        <v>51200</v>
      </c>
      <c r="J97" s="33">
        <f>I97*0.1</f>
        <v>5120</v>
      </c>
      <c r="K97" s="34">
        <f>SUM(I97:J97)</f>
        <v>56320</v>
      </c>
      <c r="L97" s="35" t="s">
        <v>118</v>
      </c>
    </row>
    <row r="98" spans="1:12" ht="17.45" customHeight="1">
      <c r="A98" s="47" t="s">
        <v>314</v>
      </c>
      <c r="B98" s="99">
        <v>10</v>
      </c>
      <c r="C98" s="89">
        <f>C97</f>
        <v>1</v>
      </c>
      <c r="D98" s="90">
        <f>B98*C98</f>
        <v>10</v>
      </c>
      <c r="E98" s="30">
        <f>IF(E97&gt;0,0,1)</f>
        <v>0</v>
      </c>
      <c r="F98" s="109">
        <f>F97</f>
        <v>0</v>
      </c>
      <c r="G98" s="104">
        <f>G97</f>
        <v>0</v>
      </c>
      <c r="H98" s="33">
        <f>F98*G98</f>
        <v>0</v>
      </c>
      <c r="I98" s="33">
        <f>D98*E98</f>
        <v>0</v>
      </c>
      <c r="J98" s="33">
        <f>I98*0.1</f>
        <v>0</v>
      </c>
      <c r="K98" s="34">
        <f>SUM(I98:J98)</f>
        <v>0</v>
      </c>
      <c r="L98" s="35" t="s">
        <v>118</v>
      </c>
    </row>
    <row r="99" spans="1:12" ht="17.45" customHeight="1">
      <c r="A99" s="47" t="s">
        <v>315</v>
      </c>
      <c r="B99" s="99">
        <v>20</v>
      </c>
      <c r="C99" s="89">
        <f>C98</f>
        <v>1</v>
      </c>
      <c r="D99" s="90">
        <f>B99*C99</f>
        <v>20</v>
      </c>
      <c r="E99" s="30">
        <f>IF(E97&gt;0,0,1)</f>
        <v>0</v>
      </c>
      <c r="F99" s="109">
        <f>F98</f>
        <v>0</v>
      </c>
      <c r="G99" s="104">
        <f>G98</f>
        <v>0</v>
      </c>
      <c r="H99" s="33">
        <f>F99*G99</f>
        <v>0</v>
      </c>
      <c r="I99" s="33">
        <f>D99*E99</f>
        <v>0</v>
      </c>
      <c r="J99" s="33">
        <f>I99*0.1</f>
        <v>0</v>
      </c>
      <c r="K99" s="34">
        <f>SUM(I99:J99)</f>
        <v>0</v>
      </c>
      <c r="L99" s="35" t="s">
        <v>118</v>
      </c>
    </row>
    <row r="100" spans="1:12" ht="17.45" customHeight="1">
      <c r="A100" s="47" t="s">
        <v>316</v>
      </c>
      <c r="B100" s="99">
        <v>12</v>
      </c>
      <c r="C100" s="89">
        <f>C99</f>
        <v>1</v>
      </c>
      <c r="D100" s="90">
        <f>B100*C100</f>
        <v>12</v>
      </c>
      <c r="E100" s="30">
        <f>IF(E98&gt;0,0,1)</f>
        <v>1</v>
      </c>
      <c r="F100" s="109">
        <f>F99</f>
        <v>0</v>
      </c>
      <c r="G100" s="104">
        <f>G99</f>
        <v>0</v>
      </c>
      <c r="H100" s="33">
        <f>F100*G100</f>
        <v>0</v>
      </c>
      <c r="I100" s="33">
        <f>D100*E100</f>
        <v>12</v>
      </c>
      <c r="J100" s="33">
        <f>I100*0.1</f>
        <v>1.2000000000000002</v>
      </c>
      <c r="K100" s="34">
        <f>SUM(I100:J100)</f>
        <v>13.2</v>
      </c>
      <c r="L100" s="35" t="s">
        <v>118</v>
      </c>
    </row>
    <row r="101" spans="1:12" ht="17.45" customHeight="1">
      <c r="A101" s="47" t="s">
        <v>317</v>
      </c>
      <c r="B101" s="99">
        <v>15</v>
      </c>
      <c r="C101" s="89">
        <f>C100</f>
        <v>1</v>
      </c>
      <c r="D101" s="90">
        <f>B101*C101</f>
        <v>15</v>
      </c>
      <c r="E101" s="32">
        <f>IF(E83&gt;0,0,1)</f>
        <v>1</v>
      </c>
      <c r="F101" s="109">
        <f>F100</f>
        <v>0</v>
      </c>
      <c r="G101" s="104">
        <f>G100</f>
        <v>0</v>
      </c>
      <c r="H101" s="33">
        <f>F101*G101</f>
        <v>0</v>
      </c>
      <c r="I101" s="33">
        <f>D101*E101</f>
        <v>15</v>
      </c>
      <c r="J101" s="33">
        <f>I101*0.1</f>
        <v>1.5</v>
      </c>
      <c r="K101" s="34">
        <f>SUM(I101:J101)</f>
        <v>16.5</v>
      </c>
      <c r="L101" s="35" t="s">
        <v>73</v>
      </c>
    </row>
    <row r="102" spans="1:12" ht="17.45" customHeight="1">
      <c r="A102" s="47" t="s">
        <v>318</v>
      </c>
      <c r="B102" s="99">
        <v>9</v>
      </c>
      <c r="C102" s="89">
        <f>C101</f>
        <v>1</v>
      </c>
      <c r="D102" s="90">
        <f>B102*C102</f>
        <v>9</v>
      </c>
      <c r="E102" s="32">
        <f>IF(E101&gt;0,0,1)</f>
        <v>0</v>
      </c>
      <c r="F102" s="109">
        <f>F101</f>
        <v>0</v>
      </c>
      <c r="G102" s="104">
        <f>G101</f>
        <v>0</v>
      </c>
      <c r="H102" s="33">
        <f>F102*G102</f>
        <v>0</v>
      </c>
      <c r="I102" s="33">
        <f>D102*E102</f>
        <v>0</v>
      </c>
      <c r="J102" s="33">
        <f>I102*0.1</f>
        <v>0</v>
      </c>
      <c r="K102" s="34">
        <f>SUM(I102:J102)</f>
        <v>0</v>
      </c>
      <c r="L102" s="35" t="s">
        <v>73</v>
      </c>
    </row>
    <row r="103" spans="1:12" ht="17.45" customHeight="1">
      <c r="A103" s="47" t="s">
        <v>319</v>
      </c>
      <c r="B103" s="99">
        <v>2.5</v>
      </c>
      <c r="C103" s="89">
        <f>C102</f>
        <v>1</v>
      </c>
      <c r="D103" s="90">
        <f>B103*C103</f>
        <v>2.5</v>
      </c>
      <c r="E103" s="32">
        <f>IF(E101&gt;0,0,1)</f>
        <v>0</v>
      </c>
      <c r="F103" s="109">
        <f>F102</f>
        <v>0</v>
      </c>
      <c r="G103" s="104">
        <f>G102</f>
        <v>0</v>
      </c>
      <c r="H103" s="33">
        <f>F103*G103</f>
        <v>0</v>
      </c>
      <c r="I103" s="33">
        <f>D103*E103</f>
        <v>0</v>
      </c>
      <c r="J103" s="33">
        <f>I103*0.1</f>
        <v>0</v>
      </c>
      <c r="K103" s="34">
        <f>SUM(I103:J103)</f>
        <v>0</v>
      </c>
      <c r="L103" s="35" t="s">
        <v>73</v>
      </c>
    </row>
    <row r="104" spans="1:12" ht="17.45" customHeight="1">
      <c r="A104" s="47" t="s">
        <v>320</v>
      </c>
      <c r="B104" s="99">
        <v>20</v>
      </c>
      <c r="C104" s="89">
        <f>C103</f>
        <v>1</v>
      </c>
      <c r="D104" s="90">
        <f>B104*C104</f>
        <v>20</v>
      </c>
      <c r="E104" s="32">
        <f>ROUNDUP(B8/250,0)</f>
        <v>16</v>
      </c>
      <c r="F104" s="109">
        <f>F103</f>
        <v>0</v>
      </c>
      <c r="G104" s="104">
        <f>G103</f>
        <v>0</v>
      </c>
      <c r="H104" s="33">
        <f>F104*G104</f>
        <v>0</v>
      </c>
      <c r="I104" s="33">
        <f>D104*E104</f>
        <v>320</v>
      </c>
      <c r="J104" s="33">
        <f>I104*0.1</f>
        <v>32</v>
      </c>
      <c r="K104" s="34">
        <f>SUM(I104:J104)</f>
        <v>352</v>
      </c>
      <c r="L104" s="35" t="s">
        <v>73</v>
      </c>
    </row>
    <row r="105" spans="1:12" ht="17.45" customHeight="1">
      <c r="A105" s="47" t="s">
        <v>321</v>
      </c>
      <c r="B105" s="99">
        <v>10</v>
      </c>
      <c r="C105" s="89">
        <f>C104</f>
        <v>1</v>
      </c>
      <c r="D105" s="90">
        <f>B105*C105</f>
        <v>10</v>
      </c>
      <c r="E105" s="32">
        <f>IF(E101&gt;0,0,1)</f>
        <v>0</v>
      </c>
      <c r="F105" s="109">
        <f>F104</f>
        <v>0</v>
      </c>
      <c r="G105" s="104">
        <f>G104</f>
        <v>0</v>
      </c>
      <c r="H105" s="33">
        <f>F105*G105</f>
        <v>0</v>
      </c>
      <c r="I105" s="33">
        <f>D105*E105</f>
        <v>0</v>
      </c>
      <c r="J105" s="33">
        <f>I105*0.1</f>
        <v>0</v>
      </c>
      <c r="K105" s="34">
        <f>SUM(I105:J105)</f>
        <v>0</v>
      </c>
      <c r="L105" s="35" t="s">
        <v>73</v>
      </c>
    </row>
    <row r="106" spans="1:12" ht="17.45" customHeight="1">
      <c r="A106" s="47" t="s">
        <v>322</v>
      </c>
      <c r="B106" s="99">
        <v>400</v>
      </c>
      <c r="C106" s="89">
        <f>C105</f>
        <v>1</v>
      </c>
      <c r="D106" s="90">
        <v>1200</v>
      </c>
      <c r="E106" s="30">
        <f>ROUNDUP(B9/500,0)</f>
        <v>1</v>
      </c>
      <c r="F106" s="109">
        <f>F105</f>
        <v>0</v>
      </c>
      <c r="G106" s="104">
        <f>G105</f>
        <v>0</v>
      </c>
      <c r="H106" s="33">
        <f>F106*G106</f>
        <v>0</v>
      </c>
      <c r="I106" s="33">
        <f>D106*E106</f>
        <v>1200</v>
      </c>
      <c r="J106" s="33">
        <f>I106*0.1</f>
        <v>120</v>
      </c>
      <c r="K106" s="34">
        <f>SUM(I106:J106)</f>
        <v>1320</v>
      </c>
      <c r="L106" s="35" t="s">
        <v>104</v>
      </c>
    </row>
    <row r="107" spans="1:12" ht="17.45" customHeight="1">
      <c r="A107" s="47" t="s">
        <v>323</v>
      </c>
      <c r="B107" s="99">
        <v>10</v>
      </c>
      <c r="C107" s="89">
        <f>C106</f>
        <v>1</v>
      </c>
      <c r="D107" s="90">
        <f>B107*C107</f>
        <v>10</v>
      </c>
      <c r="E107" s="30">
        <f>IF(E100&gt;0,0,1)</f>
        <v>0</v>
      </c>
      <c r="F107" s="109">
        <f>F106</f>
        <v>0</v>
      </c>
      <c r="G107" s="104">
        <f>G106</f>
        <v>0</v>
      </c>
      <c r="H107" s="33">
        <f>F107*G107</f>
        <v>0</v>
      </c>
      <c r="I107" s="33">
        <f>D107*E107</f>
        <v>0</v>
      </c>
      <c r="J107" s="33">
        <f>I107*0.1</f>
        <v>0</v>
      </c>
      <c r="K107" s="34">
        <f>SUM(I107:J107)</f>
        <v>0</v>
      </c>
      <c r="L107" s="35" t="s">
        <v>104</v>
      </c>
    </row>
    <row r="108" spans="1:12" ht="17.45" customHeight="1">
      <c r="A108" s="47" t="s">
        <v>324</v>
      </c>
      <c r="B108" s="99">
        <v>3</v>
      </c>
      <c r="C108" s="89">
        <f>C107</f>
        <v>1</v>
      </c>
      <c r="D108" s="90">
        <f>B108*C108</f>
        <v>3</v>
      </c>
      <c r="E108" s="32">
        <f>ROUNDUP(B8/1.5,0)</f>
        <v>2667</v>
      </c>
      <c r="F108" s="109">
        <f>F107</f>
        <v>0</v>
      </c>
      <c r="G108" s="104">
        <f>G107</f>
        <v>0</v>
      </c>
      <c r="H108" s="33">
        <f>F108*G108</f>
        <v>0</v>
      </c>
      <c r="I108" s="33">
        <f>D108*E108</f>
        <v>8001</v>
      </c>
      <c r="J108" s="33">
        <f>I108*0.1</f>
        <v>800.1</v>
      </c>
      <c r="K108" s="34">
        <f>SUM(I108:J108)</f>
        <v>8801.1</v>
      </c>
      <c r="L108" s="35" t="s">
        <v>146</v>
      </c>
    </row>
    <row r="109" spans="1:12" ht="17.45" customHeight="1">
      <c r="A109" s="47" t="s">
        <v>325</v>
      </c>
      <c r="B109" s="99">
        <v>4</v>
      </c>
      <c r="C109" s="89">
        <f>C108</f>
        <v>1</v>
      </c>
      <c r="D109" s="90">
        <f>B109*C109</f>
        <v>4</v>
      </c>
      <c r="E109" s="32">
        <f>E108</f>
        <v>2667</v>
      </c>
      <c r="F109" s="109">
        <f>F108</f>
        <v>0</v>
      </c>
      <c r="G109" s="104">
        <f>G108</f>
        <v>0</v>
      </c>
      <c r="H109" s="33">
        <f>F109*G109</f>
        <v>0</v>
      </c>
      <c r="I109" s="33">
        <f>D109*E109</f>
        <v>10668</v>
      </c>
      <c r="J109" s="33">
        <f>I109*0.1</f>
        <v>1066.8</v>
      </c>
      <c r="K109" s="34">
        <f>SUM(I109:J109)</f>
        <v>11734.8</v>
      </c>
      <c r="L109" s="35" t="s">
        <v>146</v>
      </c>
    </row>
    <row r="110" spans="1:12" ht="17.45" customHeight="1">
      <c r="A110" s="47" t="s">
        <v>326</v>
      </c>
      <c r="B110" s="99">
        <v>5</v>
      </c>
      <c r="C110" s="89">
        <f>C109</f>
        <v>1</v>
      </c>
      <c r="D110" s="90">
        <f>B110*C110</f>
        <v>5</v>
      </c>
      <c r="E110" s="32">
        <f>E109</f>
        <v>2667</v>
      </c>
      <c r="F110" s="109">
        <f>F109</f>
        <v>0</v>
      </c>
      <c r="G110" s="104">
        <f>G109</f>
        <v>0</v>
      </c>
      <c r="H110" s="33">
        <f>F110*G110</f>
        <v>0</v>
      </c>
      <c r="I110" s="33">
        <f>D110*E110</f>
        <v>13335</v>
      </c>
      <c r="J110" s="33">
        <f>I110*0.1</f>
        <v>1333.5</v>
      </c>
      <c r="K110" s="34">
        <f>SUM(I110:J110)</f>
        <v>14668.5</v>
      </c>
      <c r="L110" s="35" t="s">
        <v>116</v>
      </c>
    </row>
    <row r="111" spans="1:12" ht="17.45" customHeight="1">
      <c r="A111" s="47" t="s">
        <v>327</v>
      </c>
      <c r="B111" s="99">
        <v>2.5</v>
      </c>
      <c r="C111" s="89">
        <f>C110</f>
        <v>1</v>
      </c>
      <c r="D111" s="90">
        <f>B111*C111</f>
        <v>2.5</v>
      </c>
      <c r="E111" s="32">
        <f>E110*0.15</f>
        <v>400.05</v>
      </c>
      <c r="F111" s="109">
        <f>F110</f>
        <v>0</v>
      </c>
      <c r="G111" s="104">
        <f>G110</f>
        <v>0</v>
      </c>
      <c r="H111" s="33">
        <f>F111*G111</f>
        <v>0</v>
      </c>
      <c r="I111" s="33">
        <f>D111*E111</f>
        <v>1000.125</v>
      </c>
      <c r="J111" s="33">
        <f>I111*0.1</f>
        <v>100.0125</v>
      </c>
      <c r="K111" s="34">
        <f>SUM(I111:J111)</f>
        <v>1100.1375</v>
      </c>
      <c r="L111" s="35" t="s">
        <v>140</v>
      </c>
    </row>
    <row r="112" spans="1:12" ht="17.45" customHeight="1">
      <c r="A112" s="47" t="s">
        <v>328</v>
      </c>
      <c r="B112" s="99">
        <v>500</v>
      </c>
      <c r="C112" s="89">
        <f>C111</f>
        <v>1</v>
      </c>
      <c r="D112" s="90">
        <f>B112*C112</f>
        <v>500</v>
      </c>
      <c r="E112" s="32">
        <f>B8*0.0005</f>
        <v>2</v>
      </c>
      <c r="F112" s="109">
        <f>F111</f>
        <v>0</v>
      </c>
      <c r="G112" s="104">
        <f>G111</f>
        <v>0</v>
      </c>
      <c r="H112" s="33">
        <f>F112*G112</f>
        <v>0</v>
      </c>
      <c r="I112" s="33">
        <f>D112*E112</f>
        <v>1000</v>
      </c>
      <c r="J112" s="33">
        <f>I112*0.1</f>
        <v>100</v>
      </c>
      <c r="K112" s="34">
        <f>SUM(I112:J112)</f>
        <v>1100</v>
      </c>
      <c r="L112" s="35" t="s">
        <v>96</v>
      </c>
    </row>
    <row r="113" spans="1:12" ht="17.45" customHeight="1">
      <c r="A113" s="47" t="s">
        <v>329</v>
      </c>
      <c r="B113" s="99">
        <v>1.25</v>
      </c>
      <c r="C113" s="89">
        <f>C112</f>
        <v>1</v>
      </c>
      <c r="D113" s="90">
        <f>B113*C113</f>
        <v>1.25</v>
      </c>
      <c r="E113" s="30">
        <f>SUM(B8/2)*4</f>
        <v>8000</v>
      </c>
      <c r="F113" s="109">
        <f>F112</f>
        <v>0</v>
      </c>
      <c r="G113" s="104">
        <f>G112</f>
        <v>0</v>
      </c>
      <c r="H113" s="33">
        <f>F113*G113</f>
        <v>0</v>
      </c>
      <c r="I113" s="33">
        <f>D113*E113</f>
        <v>10000</v>
      </c>
      <c r="J113" s="33">
        <f>I113*0.1</f>
        <v>1000</v>
      </c>
      <c r="K113" s="34">
        <f>SUM(I113:J113)</f>
        <v>11000</v>
      </c>
      <c r="L113" s="35" t="s">
        <v>73</v>
      </c>
    </row>
    <row r="114" spans="1:12" ht="17.45" customHeight="1">
      <c r="A114" s="47" t="s">
        <v>330</v>
      </c>
      <c r="B114" s="99">
        <v>1200</v>
      </c>
      <c r="C114" s="89">
        <f>C113</f>
        <v>1</v>
      </c>
      <c r="D114" s="90">
        <f>B114*C114</f>
        <v>1200</v>
      </c>
      <c r="E114" s="30">
        <f>ROUNDUP((ROUNDUP(B8/1500,0))/3,0)</f>
        <v>1</v>
      </c>
      <c r="F114" s="109">
        <f>F113</f>
        <v>0</v>
      </c>
      <c r="G114" s="104">
        <f>G113</f>
        <v>0</v>
      </c>
      <c r="H114" s="33">
        <f>F114*G114</f>
        <v>0</v>
      </c>
      <c r="I114" s="33">
        <f>D114*E114</f>
        <v>1200</v>
      </c>
      <c r="J114" s="33">
        <f>I114*0.1</f>
        <v>120</v>
      </c>
      <c r="K114" s="34">
        <f>SUM(I114:J114)</f>
        <v>1320</v>
      </c>
      <c r="L114" s="35" t="s">
        <v>81</v>
      </c>
    </row>
    <row r="115" spans="1:12" ht="17.45" customHeight="1">
      <c r="A115" s="47" t="s">
        <v>331</v>
      </c>
      <c r="B115" s="99">
        <v>1500</v>
      </c>
      <c r="C115" s="89">
        <f>C114</f>
        <v>1</v>
      </c>
      <c r="D115" s="90">
        <f>B115*C115</f>
        <v>1500</v>
      </c>
      <c r="E115" s="30">
        <f>IF(E114&gt;0,1,ROUNDUP(B8/500,0))</f>
        <v>1</v>
      </c>
      <c r="F115" s="109">
        <f>F114</f>
        <v>0</v>
      </c>
      <c r="G115" s="104">
        <f>G114</f>
        <v>0</v>
      </c>
      <c r="H115" s="33">
        <f>F115*G115</f>
        <v>0</v>
      </c>
      <c r="I115" s="33">
        <f>D115*E115</f>
        <v>1500</v>
      </c>
      <c r="J115" s="33">
        <f>I115*0.1</f>
        <v>150</v>
      </c>
      <c r="K115" s="34">
        <f>SUM(I115:J115)</f>
        <v>1650</v>
      </c>
      <c r="L115" s="35" t="s">
        <v>81</v>
      </c>
    </row>
    <row r="116" spans="1:12" ht="17.45" customHeight="1">
      <c r="A116" s="47" t="s">
        <v>332</v>
      </c>
      <c r="B116" s="99">
        <v>600</v>
      </c>
      <c r="C116" s="89">
        <f>C115</f>
        <v>1</v>
      </c>
      <c r="D116" s="90">
        <f>B116*C116</f>
        <v>600</v>
      </c>
      <c r="E116" s="30">
        <f>ROUNDUP(B8/8000,0)</f>
        <v>1</v>
      </c>
      <c r="F116" s="109">
        <f>F115</f>
        <v>0</v>
      </c>
      <c r="G116" s="104">
        <f>G115</f>
        <v>0</v>
      </c>
      <c r="H116" s="33">
        <f>F116*G116</f>
        <v>0</v>
      </c>
      <c r="I116" s="33">
        <f>D116*E116</f>
        <v>600</v>
      </c>
      <c r="J116" s="33">
        <f>I116*0.1</f>
        <v>60</v>
      </c>
      <c r="K116" s="34">
        <f>SUM(I116:J116)</f>
        <v>660</v>
      </c>
      <c r="L116" s="35" t="s">
        <v>81</v>
      </c>
    </row>
    <row r="117" spans="1:12" ht="17.45" customHeight="1">
      <c r="A117" s="47" t="s">
        <v>333</v>
      </c>
      <c r="B117" s="99">
        <v>1800</v>
      </c>
      <c r="C117" s="89">
        <f>C116</f>
        <v>1</v>
      </c>
      <c r="D117" s="90">
        <f>B117*C117</f>
        <v>1800</v>
      </c>
      <c r="E117" s="30">
        <f>ROUNDUP(B8/5000,0)</f>
        <v>1</v>
      </c>
      <c r="F117" s="109">
        <f>F116</f>
        <v>0</v>
      </c>
      <c r="G117" s="104">
        <f>G116</f>
        <v>0</v>
      </c>
      <c r="H117" s="33">
        <f>F117*G117</f>
        <v>0</v>
      </c>
      <c r="I117" s="33">
        <f>D117*E117</f>
        <v>1800</v>
      </c>
      <c r="J117" s="33">
        <f>I117*0.1</f>
        <v>180</v>
      </c>
      <c r="K117" s="34">
        <f>SUM(I117:J117)</f>
        <v>1980</v>
      </c>
      <c r="L117" s="35" t="s">
        <v>81</v>
      </c>
    </row>
    <row r="118" spans="1:12" ht="17.45" customHeight="1">
      <c r="A118" s="47" t="s">
        <v>334</v>
      </c>
      <c r="B118" s="99">
        <v>5000</v>
      </c>
      <c r="C118" s="89">
        <f>C117</f>
        <v>1</v>
      </c>
      <c r="D118" s="90">
        <f>B118*C118</f>
        <v>5000</v>
      </c>
      <c r="E118" s="30">
        <f>IF(E114&gt;0,0,1)</f>
        <v>0</v>
      </c>
      <c r="F118" s="109">
        <f>F117</f>
        <v>0</v>
      </c>
      <c r="G118" s="104">
        <f>G117</f>
        <v>0</v>
      </c>
      <c r="H118" s="33">
        <f>F118*G118</f>
        <v>0</v>
      </c>
      <c r="I118" s="33">
        <f>D118*E118</f>
        <v>0</v>
      </c>
      <c r="J118" s="33">
        <f>I118*0.1</f>
        <v>0</v>
      </c>
      <c r="K118" s="34">
        <f>SUM(I118:J118)</f>
        <v>0</v>
      </c>
      <c r="L118" s="35" t="s">
        <v>81</v>
      </c>
    </row>
    <row r="119" spans="1:12" ht="17.45" customHeight="1">
      <c r="A119" s="48" t="s">
        <v>335</v>
      </c>
      <c r="B119" s="100">
        <v>800</v>
      </c>
      <c r="C119" s="105">
        <f>C118</f>
        <v>1</v>
      </c>
      <c r="D119" s="91">
        <f>B119*C119</f>
        <v>800</v>
      </c>
      <c r="E119" s="36">
        <f>ROUNDUP(B10/1500,0)</f>
        <v>3</v>
      </c>
      <c r="F119" s="110">
        <f>F118</f>
        <v>0</v>
      </c>
      <c r="G119" s="111">
        <f>G118</f>
        <v>0</v>
      </c>
      <c r="H119" s="106">
        <f>F119*G119</f>
        <v>0</v>
      </c>
      <c r="I119" s="106">
        <f>D119*E119</f>
        <v>2400</v>
      </c>
      <c r="J119" s="106">
        <f>I119*0.1</f>
        <v>240</v>
      </c>
      <c r="K119" s="107">
        <f>SUM(I119:J119)</f>
        <v>2640</v>
      </c>
      <c r="L119" s="88" t="s">
        <v>81</v>
      </c>
    </row>
    <row r="120" spans="1:12" ht="15.75" customHeight="1">
      <c r="K120" s="150">
        <f>SUM(K14:K119)</f>
        <v>820578.02048749989</v>
      </c>
      <c r="L120" s="151"/>
    </row>
    <row r="122" spans="1:12" ht="30.75">
      <c r="A122" s="148" t="s">
        <v>336</v>
      </c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41"/>
    </row>
    <row r="123" spans="1:12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41"/>
    </row>
    <row r="124" spans="1:12" ht="15.75" customHeight="1">
      <c r="A124" s="16" t="s">
        <v>199</v>
      </c>
      <c r="B124" s="17">
        <f ca="1">TODAY()</f>
        <v>45739</v>
      </c>
      <c r="C124" s="17"/>
      <c r="D124" s="17"/>
      <c r="E124" s="17"/>
      <c r="F124" s="39" t="s">
        <v>200</v>
      </c>
      <c r="G124" s="15"/>
      <c r="H124" s="20">
        <f>SUM(G134:G224)</f>
        <v>1192.1440249999998</v>
      </c>
      <c r="I124" s="20"/>
      <c r="J124" s="20"/>
      <c r="K124" s="15"/>
      <c r="L124" s="41"/>
    </row>
    <row r="125" spans="1:12" ht="15.75" customHeight="1">
      <c r="A125" s="16" t="s">
        <v>201</v>
      </c>
      <c r="B125" s="17">
        <v>45658</v>
      </c>
      <c r="C125" s="17"/>
      <c r="D125" s="17"/>
      <c r="E125" s="17"/>
      <c r="F125" s="39" t="s">
        <v>202</v>
      </c>
      <c r="G125" s="15"/>
      <c r="H125" s="18">
        <f>Data!F207</f>
        <v>0</v>
      </c>
      <c r="I125" s="18"/>
      <c r="J125" s="15"/>
      <c r="K125" s="15"/>
      <c r="L125" s="41"/>
    </row>
    <row r="126" spans="1:12" ht="15.75" customHeight="1">
      <c r="A126" s="18"/>
      <c r="B126" s="19"/>
      <c r="C126" s="19"/>
      <c r="D126" s="19"/>
      <c r="E126" s="19"/>
      <c r="F126" s="15"/>
      <c r="G126" s="15"/>
      <c r="H126" s="40"/>
      <c r="I126" s="40"/>
      <c r="J126" s="15"/>
      <c r="K126" s="15"/>
      <c r="L126" s="41"/>
    </row>
    <row r="127" spans="1:12" ht="15.75" customHeight="1">
      <c r="A127" s="16" t="s">
        <v>203</v>
      </c>
      <c r="B127" s="20">
        <v>43560</v>
      </c>
      <c r="C127" s="20"/>
      <c r="D127" s="20"/>
      <c r="E127" s="21"/>
      <c r="F127" s="39" t="s">
        <v>225</v>
      </c>
      <c r="G127" s="15"/>
      <c r="H127" s="42">
        <f>K238-SUM(H128:H129)</f>
        <v>168063.22637499997</v>
      </c>
      <c r="I127" s="42"/>
      <c r="J127" s="15"/>
      <c r="K127" s="52" t="s">
        <v>337</v>
      </c>
      <c r="L127" s="42">
        <f>F230</f>
        <v>250</v>
      </c>
    </row>
    <row r="128" spans="1:12" ht="15.75" customHeight="1">
      <c r="A128" s="16" t="s">
        <v>206</v>
      </c>
      <c r="B128" s="20">
        <v>4000</v>
      </c>
      <c r="C128" s="20"/>
      <c r="D128" s="20"/>
      <c r="E128" s="21"/>
      <c r="F128" s="39" t="s">
        <v>338</v>
      </c>
      <c r="G128" s="124">
        <v>250</v>
      </c>
      <c r="H128" s="42">
        <f>SUM(K230:K237)-K233</f>
        <v>42583.199999999997</v>
      </c>
      <c r="I128" s="42"/>
      <c r="J128" s="15"/>
      <c r="K128" s="46" t="s">
        <v>339</v>
      </c>
      <c r="L128" s="42">
        <f>F232</f>
        <v>150</v>
      </c>
    </row>
    <row r="129" spans="1:12" ht="15.75" customHeight="1">
      <c r="A129" s="16" t="s">
        <v>209</v>
      </c>
      <c r="B129" s="20">
        <v>2</v>
      </c>
      <c r="C129" s="20"/>
      <c r="D129" s="20"/>
      <c r="E129" s="21"/>
      <c r="F129" s="39" t="s">
        <v>340</v>
      </c>
      <c r="G129" s="124">
        <v>100</v>
      </c>
      <c r="H129" s="42">
        <f>K233</f>
        <v>5500</v>
      </c>
      <c r="I129" s="42"/>
      <c r="J129" s="15"/>
      <c r="K129" s="46" t="s">
        <v>341</v>
      </c>
      <c r="L129" s="42">
        <f>F232</f>
        <v>150</v>
      </c>
    </row>
    <row r="130" spans="1:12" ht="15.75" customHeight="1">
      <c r="A130" s="16" t="s">
        <v>212</v>
      </c>
      <c r="B130" s="20">
        <f>B128*0.85</f>
        <v>3400</v>
      </c>
      <c r="C130" s="20"/>
      <c r="D130" s="20"/>
      <c r="E130" s="21"/>
      <c r="F130" s="39" t="s">
        <v>342</v>
      </c>
      <c r="G130" s="15"/>
      <c r="H130" s="42">
        <f>K238</f>
        <v>216146.42637499998</v>
      </c>
      <c r="I130" s="42"/>
      <c r="J130" s="15"/>
      <c r="K130" s="46" t="s">
        <v>343</v>
      </c>
      <c r="L130" s="42">
        <v>100</v>
      </c>
    </row>
    <row r="131" spans="1:12" ht="15.75" customHeight="1">
      <c r="A131" s="16" t="s">
        <v>215</v>
      </c>
      <c r="B131" s="20">
        <f>SUM(B128-B130)</f>
        <v>600</v>
      </c>
      <c r="C131" s="20"/>
      <c r="D131" s="20"/>
      <c r="E131" s="21"/>
      <c r="F131" s="39" t="s">
        <v>216</v>
      </c>
      <c r="G131" s="15"/>
      <c r="H131" s="53">
        <f>H130/B128</f>
        <v>54.036606593749994</v>
      </c>
      <c r="I131" s="42"/>
      <c r="J131" s="15"/>
      <c r="K131" s="39" t="s">
        <v>344</v>
      </c>
      <c r="L131" s="53">
        <f>H130/H124</f>
        <v>181.30898770809173</v>
      </c>
    </row>
    <row r="132" spans="1:1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41"/>
    </row>
    <row r="133" spans="1:12" ht="15.75" customHeight="1">
      <c r="A133" s="126" t="s">
        <v>218</v>
      </c>
      <c r="B133" s="102" t="s">
        <v>219</v>
      </c>
      <c r="C133" s="102" t="s">
        <v>220</v>
      </c>
      <c r="D133" s="102" t="s">
        <v>221</v>
      </c>
      <c r="E133" s="49" t="s">
        <v>222</v>
      </c>
      <c r="F133" s="49" t="s">
        <v>223</v>
      </c>
      <c r="G133" s="49" t="s">
        <v>224</v>
      </c>
      <c r="H133" s="49" t="s">
        <v>225</v>
      </c>
      <c r="I133" s="102" t="s">
        <v>226</v>
      </c>
      <c r="J133" s="49" t="s">
        <v>227</v>
      </c>
      <c r="K133" s="49" t="s">
        <v>228</v>
      </c>
      <c r="L133" s="50" t="s">
        <v>229</v>
      </c>
    </row>
    <row r="134" spans="1:12" ht="15.75" customHeight="1">
      <c r="A134" s="136" t="s">
        <v>345</v>
      </c>
      <c r="B134" s="112">
        <v>0</v>
      </c>
      <c r="C134" s="113">
        <v>0</v>
      </c>
      <c r="D134" s="114">
        <f>B134*C134</f>
        <v>0</v>
      </c>
      <c r="E134" s="95">
        <f>ROUNDUP(B128/10,0)</f>
        <v>400</v>
      </c>
      <c r="F134" s="96">
        <v>85</v>
      </c>
      <c r="G134" s="95">
        <f>IF(E134&lt;&gt;"",E134/100,"")</f>
        <v>4</v>
      </c>
      <c r="H134" s="97">
        <f>F134*G134</f>
        <v>340</v>
      </c>
      <c r="I134" s="121">
        <f>D134*E134</f>
        <v>0</v>
      </c>
      <c r="J134" s="97">
        <f>H134*0.1</f>
        <v>34</v>
      </c>
      <c r="K134" s="101">
        <f>SUM(G134:H134)</f>
        <v>344</v>
      </c>
      <c r="L134" s="98" t="s">
        <v>118</v>
      </c>
    </row>
    <row r="135" spans="1:12" ht="15.75" customHeight="1">
      <c r="A135" s="137" t="s">
        <v>346</v>
      </c>
      <c r="B135" s="115">
        <f>B134</f>
        <v>0</v>
      </c>
      <c r="C135" s="116">
        <f>C134</f>
        <v>0</v>
      </c>
      <c r="D135" s="117">
        <f>B135*C135</f>
        <v>0</v>
      </c>
      <c r="E135" s="30">
        <f>1</f>
        <v>1</v>
      </c>
      <c r="F135" s="31">
        <v>100</v>
      </c>
      <c r="G135" s="32">
        <f>IF(E135=1,2,0)</f>
        <v>2</v>
      </c>
      <c r="H135" s="33">
        <f>F135*G135</f>
        <v>200</v>
      </c>
      <c r="I135" s="122">
        <f>D135*E135</f>
        <v>0</v>
      </c>
      <c r="J135" s="33">
        <f>H135*0.1</f>
        <v>20</v>
      </c>
      <c r="K135" s="34">
        <f>H135+J135</f>
        <v>220</v>
      </c>
      <c r="L135" s="35" t="s">
        <v>154</v>
      </c>
    </row>
    <row r="136" spans="1:12" ht="15.75" customHeight="1">
      <c r="A136" s="137" t="s">
        <v>347</v>
      </c>
      <c r="B136" s="115">
        <f>B135</f>
        <v>0</v>
      </c>
      <c r="C136" s="116">
        <f>C135</f>
        <v>0</v>
      </c>
      <c r="D136" s="117">
        <f>B136*C136</f>
        <v>0</v>
      </c>
      <c r="E136" s="30">
        <f>IF(E135=1,0,1)</f>
        <v>0</v>
      </c>
      <c r="F136" s="31">
        <v>100</v>
      </c>
      <c r="G136" s="32">
        <f>IF(E136=1,2,0)</f>
        <v>0</v>
      </c>
      <c r="H136" s="33">
        <f>F136*G136</f>
        <v>0</v>
      </c>
      <c r="I136" s="122">
        <f>D136*E136</f>
        <v>0</v>
      </c>
      <c r="J136" s="33">
        <f>H136*0.1</f>
        <v>0</v>
      </c>
      <c r="K136" s="34">
        <f>H136+J136</f>
        <v>0</v>
      </c>
      <c r="L136" s="35" t="s">
        <v>154</v>
      </c>
    </row>
    <row r="137" spans="1:12" ht="15.75" customHeight="1">
      <c r="A137" s="137" t="s">
        <v>348</v>
      </c>
      <c r="B137" s="115">
        <f>B136</f>
        <v>0</v>
      </c>
      <c r="C137" s="116">
        <f>C136</f>
        <v>0</v>
      </c>
      <c r="D137" s="117">
        <f>B137*C137</f>
        <v>0</v>
      </c>
      <c r="E137" s="30">
        <f>IF(E135=1,0,1)+IF(E136=1,0,0)</f>
        <v>0</v>
      </c>
      <c r="F137" s="31">
        <v>100</v>
      </c>
      <c r="G137" s="32">
        <f>IF(E137=1,2,0)</f>
        <v>0</v>
      </c>
      <c r="H137" s="33">
        <f>F137*G137</f>
        <v>0</v>
      </c>
      <c r="I137" s="122">
        <f>D137*E137</f>
        <v>0</v>
      </c>
      <c r="J137" s="33">
        <f>H137*0.1</f>
        <v>0</v>
      </c>
      <c r="K137" s="34">
        <f>H137+J137</f>
        <v>0</v>
      </c>
      <c r="L137" s="35" t="s">
        <v>154</v>
      </c>
    </row>
    <row r="138" spans="1:12" ht="15.75" customHeight="1">
      <c r="A138" s="137" t="s">
        <v>349</v>
      </c>
      <c r="B138" s="115">
        <f>B137</f>
        <v>0</v>
      </c>
      <c r="C138" s="116">
        <f>C137</f>
        <v>0</v>
      </c>
      <c r="D138" s="117">
        <f>B138*C138</f>
        <v>0</v>
      </c>
      <c r="E138" s="30">
        <v>1</v>
      </c>
      <c r="F138" s="31">
        <v>100</v>
      </c>
      <c r="G138" s="32">
        <f>IF(E138=1,2,0)</f>
        <v>2</v>
      </c>
      <c r="H138" s="33">
        <f>F138*G138</f>
        <v>200</v>
      </c>
      <c r="I138" s="122">
        <f>D138*E138</f>
        <v>0</v>
      </c>
      <c r="J138" s="33">
        <f>H138*0.1</f>
        <v>20</v>
      </c>
      <c r="K138" s="34">
        <f>H138+J138</f>
        <v>220</v>
      </c>
      <c r="L138" s="35" t="s">
        <v>154</v>
      </c>
    </row>
    <row r="139" spans="1:12" ht="15.75" customHeight="1">
      <c r="A139" s="137" t="s">
        <v>350</v>
      </c>
      <c r="B139" s="115">
        <f>B138</f>
        <v>0</v>
      </c>
      <c r="C139" s="116">
        <f>C138</f>
        <v>0</v>
      </c>
      <c r="D139" s="117">
        <f>B139*C139</f>
        <v>0</v>
      </c>
      <c r="E139" s="30">
        <v>1</v>
      </c>
      <c r="F139" s="31">
        <v>100</v>
      </c>
      <c r="G139" s="32">
        <f>IF(E139=1,2,0)</f>
        <v>2</v>
      </c>
      <c r="H139" s="33">
        <f>F139*G139</f>
        <v>200</v>
      </c>
      <c r="I139" s="122">
        <f>D139*E139</f>
        <v>0</v>
      </c>
      <c r="J139" s="33">
        <f>H139*0.1</f>
        <v>20</v>
      </c>
      <c r="K139" s="34">
        <f>H139+J139</f>
        <v>220</v>
      </c>
      <c r="L139" s="35" t="s">
        <v>154</v>
      </c>
    </row>
    <row r="140" spans="1:12" ht="15.75" customHeight="1">
      <c r="A140" s="137" t="s">
        <v>351</v>
      </c>
      <c r="B140" s="115">
        <f>B139</f>
        <v>0</v>
      </c>
      <c r="C140" s="116">
        <f>C139</f>
        <v>0</v>
      </c>
      <c r="D140" s="117">
        <f>B140*C140</f>
        <v>0</v>
      </c>
      <c r="E140" s="30">
        <f>IF(E139&gt;0,0,1)</f>
        <v>0</v>
      </c>
      <c r="F140" s="31">
        <v>100</v>
      </c>
      <c r="G140" s="32">
        <f>IF(E140=1,2,0)</f>
        <v>0</v>
      </c>
      <c r="H140" s="33">
        <f>F140*G140</f>
        <v>0</v>
      </c>
      <c r="I140" s="122">
        <f>D140*E140</f>
        <v>0</v>
      </c>
      <c r="J140" s="33">
        <f>H140*0.1</f>
        <v>0</v>
      </c>
      <c r="K140" s="34">
        <f>H140+J140</f>
        <v>0</v>
      </c>
      <c r="L140" s="35" t="s">
        <v>154</v>
      </c>
    </row>
    <row r="141" spans="1:12" ht="15.75" customHeight="1">
      <c r="A141" s="137" t="s">
        <v>352</v>
      </c>
      <c r="B141" s="115">
        <f>B140</f>
        <v>0</v>
      </c>
      <c r="C141" s="116">
        <f>C140</f>
        <v>0</v>
      </c>
      <c r="D141" s="117">
        <f>B141*C141</f>
        <v>0</v>
      </c>
      <c r="E141" s="30">
        <v>1</v>
      </c>
      <c r="F141" s="31">
        <v>100</v>
      </c>
      <c r="G141" s="32">
        <f>IF(E141=1,2,0)</f>
        <v>2</v>
      </c>
      <c r="H141" s="33">
        <f>F141*G141</f>
        <v>200</v>
      </c>
      <c r="I141" s="122">
        <f>D141*E141</f>
        <v>0</v>
      </c>
      <c r="J141" s="33">
        <f>H141*0.1</f>
        <v>20</v>
      </c>
      <c r="K141" s="34">
        <f>H141+J141</f>
        <v>220</v>
      </c>
      <c r="L141" s="35" t="s">
        <v>154</v>
      </c>
    </row>
    <row r="142" spans="1:12" ht="15.75" customHeight="1">
      <c r="A142" s="137" t="s">
        <v>353</v>
      </c>
      <c r="B142" s="115">
        <f>B141</f>
        <v>0</v>
      </c>
      <c r="C142" s="116">
        <f>C141</f>
        <v>0</v>
      </c>
      <c r="D142" s="117">
        <f>B142*C142</f>
        <v>0</v>
      </c>
      <c r="E142" s="30">
        <v>1</v>
      </c>
      <c r="F142" s="31">
        <v>100</v>
      </c>
      <c r="G142" s="32">
        <f>IF(E142=1,2,0)</f>
        <v>2</v>
      </c>
      <c r="H142" s="33">
        <f>F142*G142</f>
        <v>200</v>
      </c>
      <c r="I142" s="122">
        <f>D142*E142</f>
        <v>0</v>
      </c>
      <c r="J142" s="33">
        <f>H142*0.1</f>
        <v>20</v>
      </c>
      <c r="K142" s="34">
        <f>H142+J142</f>
        <v>220</v>
      </c>
      <c r="L142" s="35" t="s">
        <v>154</v>
      </c>
    </row>
    <row r="143" spans="1:12" ht="15.75" customHeight="1">
      <c r="A143" s="137" t="s">
        <v>354</v>
      </c>
      <c r="B143" s="115">
        <f>B142</f>
        <v>0</v>
      </c>
      <c r="C143" s="116">
        <f>C142</f>
        <v>0</v>
      </c>
      <c r="D143" s="117">
        <f>B143*C143</f>
        <v>0</v>
      </c>
      <c r="E143" s="30">
        <f>IF(E142&gt;0,0,1)</f>
        <v>0</v>
      </c>
      <c r="F143" s="31">
        <v>100</v>
      </c>
      <c r="G143" s="32">
        <f>IF(E143=1,2,0)</f>
        <v>0</v>
      </c>
      <c r="H143" s="33">
        <f>F143*G143</f>
        <v>0</v>
      </c>
      <c r="I143" s="122">
        <f>D143*E143</f>
        <v>0</v>
      </c>
      <c r="J143" s="33">
        <f>H143*0.1</f>
        <v>0</v>
      </c>
      <c r="K143" s="34">
        <f>H143+J143</f>
        <v>0</v>
      </c>
      <c r="L143" s="35" t="s">
        <v>154</v>
      </c>
    </row>
    <row r="144" spans="1:12" ht="15.75" customHeight="1">
      <c r="A144" s="137" t="s">
        <v>355</v>
      </c>
      <c r="B144" s="115">
        <f>B143</f>
        <v>0</v>
      </c>
      <c r="C144" s="116">
        <f>C143</f>
        <v>0</v>
      </c>
      <c r="D144" s="117">
        <f>B144*C144</f>
        <v>0</v>
      </c>
      <c r="E144" s="30">
        <f>IF(E142&gt;0,0,1)</f>
        <v>0</v>
      </c>
      <c r="F144" s="31">
        <v>100</v>
      </c>
      <c r="G144" s="32">
        <f>IF(E144=1,2,0)</f>
        <v>0</v>
      </c>
      <c r="H144" s="33">
        <f>F144*G144</f>
        <v>0</v>
      </c>
      <c r="I144" s="122">
        <f>D144*E144</f>
        <v>0</v>
      </c>
      <c r="J144" s="33">
        <f>H144*0.1</f>
        <v>0</v>
      </c>
      <c r="K144" s="34">
        <f>H144+J144</f>
        <v>0</v>
      </c>
      <c r="L144" s="35" t="s">
        <v>154</v>
      </c>
    </row>
    <row r="145" spans="1:12" ht="15.75" customHeight="1">
      <c r="A145" s="137" t="s">
        <v>356</v>
      </c>
      <c r="B145" s="115">
        <f>B144</f>
        <v>0</v>
      </c>
      <c r="C145" s="116">
        <f>C144</f>
        <v>0</v>
      </c>
      <c r="D145" s="117">
        <f>B145*C145</f>
        <v>0</v>
      </c>
      <c r="E145" s="30">
        <v>1</v>
      </c>
      <c r="F145" s="31">
        <v>100</v>
      </c>
      <c r="G145" s="32">
        <f>IF(E145=1,2,0)</f>
        <v>2</v>
      </c>
      <c r="H145" s="33">
        <f>F145*G145</f>
        <v>200</v>
      </c>
      <c r="I145" s="122">
        <f>D145*E145</f>
        <v>0</v>
      </c>
      <c r="J145" s="33">
        <f>H145*0.1</f>
        <v>20</v>
      </c>
      <c r="K145" s="34">
        <f>H145+J145</f>
        <v>220</v>
      </c>
      <c r="L145" s="35" t="s">
        <v>154</v>
      </c>
    </row>
    <row r="146" spans="1:12" ht="15.75" customHeight="1">
      <c r="A146" s="137" t="s">
        <v>357</v>
      </c>
      <c r="B146" s="115">
        <f>B145</f>
        <v>0</v>
      </c>
      <c r="C146" s="116">
        <f>C145</f>
        <v>0</v>
      </c>
      <c r="D146" s="117">
        <f>B146*C146</f>
        <v>0</v>
      </c>
      <c r="E146" s="30">
        <v>1</v>
      </c>
      <c r="F146" s="31">
        <v>100</v>
      </c>
      <c r="G146" s="32">
        <f>IF(E146=1,2,0)</f>
        <v>2</v>
      </c>
      <c r="H146" s="33">
        <f>F146*G146</f>
        <v>200</v>
      </c>
      <c r="I146" s="122">
        <f>D146*E146</f>
        <v>0</v>
      </c>
      <c r="J146" s="33">
        <f>H146*0.1</f>
        <v>20</v>
      </c>
      <c r="K146" s="34">
        <f>H146+J146</f>
        <v>220</v>
      </c>
      <c r="L146" s="35" t="s">
        <v>154</v>
      </c>
    </row>
    <row r="147" spans="1:12" ht="15.75" customHeight="1">
      <c r="A147" s="137" t="s">
        <v>358</v>
      </c>
      <c r="B147" s="115">
        <f>B146</f>
        <v>0</v>
      </c>
      <c r="C147" s="116">
        <f>C146</f>
        <v>0</v>
      </c>
      <c r="D147" s="117">
        <f>B147*C147</f>
        <v>0</v>
      </c>
      <c r="E147" s="30">
        <f>IF(E146=1,0,1)</f>
        <v>0</v>
      </c>
      <c r="F147" s="31">
        <v>100</v>
      </c>
      <c r="G147" s="32">
        <f>IF(E147=1,2,0)</f>
        <v>0</v>
      </c>
      <c r="H147" s="33">
        <f>F147*G147</f>
        <v>0</v>
      </c>
      <c r="I147" s="122">
        <f>D147*E147</f>
        <v>0</v>
      </c>
      <c r="J147" s="33">
        <f>H147*0.1</f>
        <v>0</v>
      </c>
      <c r="K147" s="34">
        <f>H147+J147</f>
        <v>0</v>
      </c>
      <c r="L147" s="35" t="s">
        <v>154</v>
      </c>
    </row>
    <row r="148" spans="1:12" ht="15.75" customHeight="1">
      <c r="A148" s="137" t="s">
        <v>359</v>
      </c>
      <c r="B148" s="115">
        <f>B147</f>
        <v>0</v>
      </c>
      <c r="C148" s="116">
        <f>C147</f>
        <v>0</v>
      </c>
      <c r="D148" s="117">
        <f>B148*C148</f>
        <v>0</v>
      </c>
      <c r="E148" s="30">
        <f>MIN(2,IF(B128&gt;=2500,1,0))</f>
        <v>1</v>
      </c>
      <c r="F148" s="31">
        <v>100</v>
      </c>
      <c r="G148" s="32">
        <f>IF(E148=1,2,0)</f>
        <v>2</v>
      </c>
      <c r="H148" s="33">
        <f>F148*G148</f>
        <v>200</v>
      </c>
      <c r="I148" s="122">
        <f>D148*E148</f>
        <v>0</v>
      </c>
      <c r="J148" s="33">
        <f>H148*0.1</f>
        <v>20</v>
      </c>
      <c r="K148" s="34">
        <f>H148+J148</f>
        <v>220</v>
      </c>
      <c r="L148" s="35" t="s">
        <v>154</v>
      </c>
    </row>
    <row r="149" spans="1:12" ht="15.75" customHeight="1">
      <c r="A149" s="137" t="s">
        <v>360</v>
      </c>
      <c r="B149" s="115">
        <f>B148</f>
        <v>0</v>
      </c>
      <c r="C149" s="116">
        <f>C148</f>
        <v>0</v>
      </c>
      <c r="D149" s="117">
        <f>B149*C149</f>
        <v>0</v>
      </c>
      <c r="E149" s="30">
        <f>B122*0.0125</f>
        <v>0</v>
      </c>
      <c r="F149" s="31">
        <v>100</v>
      </c>
      <c r="G149" s="32">
        <f>IF(E149=1,2,0)</f>
        <v>0</v>
      </c>
      <c r="H149" s="33">
        <f>F149*G149</f>
        <v>0</v>
      </c>
      <c r="I149" s="122">
        <f>D149*E149</f>
        <v>0</v>
      </c>
      <c r="J149" s="33">
        <f>H149*0.1</f>
        <v>0</v>
      </c>
      <c r="K149" s="34">
        <f>H149+J149</f>
        <v>0</v>
      </c>
      <c r="L149" s="35" t="s">
        <v>154</v>
      </c>
    </row>
    <row r="150" spans="1:12" ht="15.75" customHeight="1">
      <c r="A150" s="137" t="s">
        <v>361</v>
      </c>
      <c r="B150" s="115">
        <f>B149</f>
        <v>0</v>
      </c>
      <c r="C150" s="116">
        <f>C149</f>
        <v>0</v>
      </c>
      <c r="D150" s="117">
        <f>B150*C150</f>
        <v>0</v>
      </c>
      <c r="E150" s="32">
        <f>(30)</f>
        <v>30</v>
      </c>
      <c r="F150" s="31">
        <v>100</v>
      </c>
      <c r="G150" s="32">
        <f>ROUNDUP(E150/5,0)</f>
        <v>6</v>
      </c>
      <c r="H150" s="33">
        <f>F150*G150</f>
        <v>600</v>
      </c>
      <c r="I150" s="122">
        <f>D150*E150</f>
        <v>0</v>
      </c>
      <c r="J150" s="33">
        <f>H150*0.1</f>
        <v>60</v>
      </c>
      <c r="K150" s="34">
        <f>H150+J150</f>
        <v>660</v>
      </c>
      <c r="L150" s="35" t="s">
        <v>154</v>
      </c>
    </row>
    <row r="151" spans="1:12" ht="15.75" customHeight="1">
      <c r="A151" s="137" t="s">
        <v>362</v>
      </c>
      <c r="B151" s="115">
        <f>B150</f>
        <v>0</v>
      </c>
      <c r="C151" s="116">
        <f>C150</f>
        <v>0</v>
      </c>
      <c r="D151" s="117">
        <f>B151*C151</f>
        <v>0</v>
      </c>
      <c r="E151" s="32">
        <f>ROUNDUP(B128/10,0)</f>
        <v>400</v>
      </c>
      <c r="F151" s="31">
        <v>87.5</v>
      </c>
      <c r="G151" s="32">
        <f>ROUNDUP(E151/20,0)</f>
        <v>20</v>
      </c>
      <c r="H151" s="33">
        <f>F151*G151</f>
        <v>1750</v>
      </c>
      <c r="I151" s="122">
        <f>D151*E151</f>
        <v>0</v>
      </c>
      <c r="J151" s="33">
        <f>H151*0.1</f>
        <v>175</v>
      </c>
      <c r="K151" s="34">
        <f>H151+J151</f>
        <v>1925</v>
      </c>
      <c r="L151" s="35" t="s">
        <v>118</v>
      </c>
    </row>
    <row r="152" spans="1:12" ht="15.75" customHeight="1">
      <c r="A152" s="137" t="s">
        <v>363</v>
      </c>
      <c r="B152" s="115">
        <f>B151</f>
        <v>0</v>
      </c>
      <c r="C152" s="116">
        <f>C151</f>
        <v>0</v>
      </c>
      <c r="D152" s="117">
        <f>B152*C152</f>
        <v>0</v>
      </c>
      <c r="E152" s="32">
        <f>ROUNDUP(B128*2.5,0)</f>
        <v>10000</v>
      </c>
      <c r="F152" s="31">
        <v>90</v>
      </c>
      <c r="G152" s="32">
        <f>ROUNDUP(E152/100,0)</f>
        <v>100</v>
      </c>
      <c r="H152" s="33">
        <f>F152*G152</f>
        <v>9000</v>
      </c>
      <c r="I152" s="122">
        <f>D152*E152</f>
        <v>0</v>
      </c>
      <c r="J152" s="33">
        <f>H152*0.1</f>
        <v>900</v>
      </c>
      <c r="K152" s="34">
        <f>H152+J152</f>
        <v>9900</v>
      </c>
      <c r="L152" s="35" t="s">
        <v>128</v>
      </c>
    </row>
    <row r="153" spans="1:12" ht="15.75" customHeight="1">
      <c r="A153" s="137" t="s">
        <v>364</v>
      </c>
      <c r="B153" s="115">
        <f>B152</f>
        <v>0</v>
      </c>
      <c r="C153" s="116">
        <f>C152</f>
        <v>0</v>
      </c>
      <c r="D153" s="117">
        <f>B153*C153</f>
        <v>0</v>
      </c>
      <c r="E153" s="32">
        <f>ROUNDUP(B129*2.5,0)</f>
        <v>5</v>
      </c>
      <c r="F153" s="31">
        <v>90</v>
      </c>
      <c r="G153" s="32">
        <f>G151*0.5</f>
        <v>10</v>
      </c>
      <c r="H153" s="33">
        <f>F153*G153</f>
        <v>900</v>
      </c>
      <c r="I153" s="122">
        <f>D153*E153</f>
        <v>0</v>
      </c>
      <c r="J153" s="33">
        <f>H153*0.1</f>
        <v>90</v>
      </c>
      <c r="K153" s="34">
        <f>H153+J153</f>
        <v>990</v>
      </c>
      <c r="L153" s="35" t="s">
        <v>150</v>
      </c>
    </row>
    <row r="154" spans="1:12" ht="15.75" customHeight="1">
      <c r="A154" s="137" t="s">
        <v>365</v>
      </c>
      <c r="B154" s="115">
        <f>B152</f>
        <v>0</v>
      </c>
      <c r="C154" s="116">
        <f>C152</f>
        <v>0</v>
      </c>
      <c r="D154" s="117">
        <f>B154*C154</f>
        <v>0</v>
      </c>
      <c r="E154" s="32">
        <f>MIN(2,IF(B128&gt;=3500,1,0))</f>
        <v>1</v>
      </c>
      <c r="F154" s="31">
        <v>80</v>
      </c>
      <c r="G154" s="32">
        <f>ROUNDUP(E154/50,0)</f>
        <v>1</v>
      </c>
      <c r="H154" s="33">
        <f>F154*G154</f>
        <v>80</v>
      </c>
      <c r="I154" s="122">
        <f>D154*E154</f>
        <v>0</v>
      </c>
      <c r="J154" s="33">
        <f>H154*0.1</f>
        <v>8</v>
      </c>
      <c r="K154" s="34">
        <f>H154+J154</f>
        <v>88</v>
      </c>
      <c r="L154" s="35" t="s">
        <v>138</v>
      </c>
    </row>
    <row r="155" spans="1:12" ht="15.75" customHeight="1">
      <c r="A155" s="137" t="s">
        <v>366</v>
      </c>
      <c r="B155" s="115">
        <f>B154</f>
        <v>0</v>
      </c>
      <c r="C155" s="116">
        <f>C154</f>
        <v>0</v>
      </c>
      <c r="D155" s="117">
        <f>B155*C155</f>
        <v>0</v>
      </c>
      <c r="E155" s="32">
        <f>IF(E154&gt;0,0,1)</f>
        <v>0</v>
      </c>
      <c r="F155" s="31">
        <v>65</v>
      </c>
      <c r="G155" s="32">
        <f>ROUNDUP(E155/50,0)</f>
        <v>0</v>
      </c>
      <c r="H155" s="33">
        <f>F155*G155</f>
        <v>0</v>
      </c>
      <c r="I155" s="122">
        <f>D155*E155</f>
        <v>0</v>
      </c>
      <c r="J155" s="33">
        <f>H155*0.1</f>
        <v>0</v>
      </c>
      <c r="K155" s="34">
        <f>H155+J155</f>
        <v>0</v>
      </c>
      <c r="L155" s="35" t="s">
        <v>138</v>
      </c>
    </row>
    <row r="156" spans="1:12" ht="15.75" customHeight="1">
      <c r="A156" s="137" t="s">
        <v>367</v>
      </c>
      <c r="B156" s="115">
        <f>B155</f>
        <v>0</v>
      </c>
      <c r="C156" s="116">
        <f>C155</f>
        <v>0</v>
      </c>
      <c r="D156" s="117">
        <f>B156*C156</f>
        <v>0</v>
      </c>
      <c r="E156" s="32">
        <f>IF(B122&lt;4000,600,0)</f>
        <v>600</v>
      </c>
      <c r="F156" s="31">
        <v>60</v>
      </c>
      <c r="G156" s="32">
        <f>ROUNDUP(E156/100,0)</f>
        <v>6</v>
      </c>
      <c r="H156" s="33">
        <f>F156*G156</f>
        <v>360</v>
      </c>
      <c r="I156" s="122">
        <f>D156*E156</f>
        <v>0</v>
      </c>
      <c r="J156" s="33">
        <f>H156*0.1</f>
        <v>36</v>
      </c>
      <c r="K156" s="34">
        <f>H156+J156</f>
        <v>396</v>
      </c>
      <c r="L156" s="35" t="s">
        <v>174</v>
      </c>
    </row>
    <row r="157" spans="1:12" ht="15.75" customHeight="1">
      <c r="A157" s="137" t="s">
        <v>368</v>
      </c>
      <c r="B157" s="115">
        <f>B156</f>
        <v>0</v>
      </c>
      <c r="C157" s="116">
        <f>C156</f>
        <v>0</v>
      </c>
      <c r="D157" s="117">
        <f>B157*C157</f>
        <v>0</v>
      </c>
      <c r="E157" s="32">
        <f>IF(AND(B122&gt;=4000,B122&lt;=7500),B122*0.85,0)</f>
        <v>0</v>
      </c>
      <c r="F157" s="31">
        <v>45</v>
      </c>
      <c r="G157" s="32">
        <f>ROUNDUP(E157/100,0)</f>
        <v>0</v>
      </c>
      <c r="H157" s="33">
        <f>F157*G157</f>
        <v>0</v>
      </c>
      <c r="I157" s="122">
        <f>D157*E157</f>
        <v>0</v>
      </c>
      <c r="J157" s="33">
        <f>H157*0.1</f>
        <v>0</v>
      </c>
      <c r="K157" s="34">
        <f>H157+J157</f>
        <v>0</v>
      </c>
      <c r="L157" s="35" t="s">
        <v>174</v>
      </c>
    </row>
    <row r="158" spans="1:12" ht="15.75" customHeight="1">
      <c r="A158" s="137" t="s">
        <v>369</v>
      </c>
      <c r="B158" s="115">
        <f>B157</f>
        <v>0</v>
      </c>
      <c r="C158" s="116">
        <f>C157</f>
        <v>0</v>
      </c>
      <c r="D158" s="117">
        <f>B158*C158</f>
        <v>0</v>
      </c>
      <c r="E158" s="32">
        <f>IF(E157&gt;0,0,0)</f>
        <v>0</v>
      </c>
      <c r="F158" s="31">
        <v>75</v>
      </c>
      <c r="G158" s="32">
        <f>ROUNDUP(E158/100,0)</f>
        <v>0</v>
      </c>
      <c r="H158" s="33">
        <f>F158*G158</f>
        <v>0</v>
      </c>
      <c r="I158" s="122">
        <f>D158*E158</f>
        <v>0</v>
      </c>
      <c r="J158" s="33">
        <f>H158*0.1</f>
        <v>0</v>
      </c>
      <c r="K158" s="34">
        <f>H158+J158</f>
        <v>0</v>
      </c>
      <c r="L158" s="35" t="s">
        <v>174</v>
      </c>
    </row>
    <row r="159" spans="1:12" ht="15.75" customHeight="1">
      <c r="A159" s="137" t="s">
        <v>370</v>
      </c>
      <c r="B159" s="115">
        <f>B158</f>
        <v>0</v>
      </c>
      <c r="C159" s="116">
        <f>C158</f>
        <v>0</v>
      </c>
      <c r="D159" s="117">
        <f>B159*C159</f>
        <v>0</v>
      </c>
      <c r="E159" s="30">
        <f>1</f>
        <v>1</v>
      </c>
      <c r="F159" s="31">
        <v>90</v>
      </c>
      <c r="G159" s="32">
        <f>IF(E159&lt;&gt;"",E159/100,"")</f>
        <v>0.01</v>
      </c>
      <c r="H159" s="33">
        <f>F159*G159</f>
        <v>0.9</v>
      </c>
      <c r="I159" s="122">
        <f>D159*E159</f>
        <v>0</v>
      </c>
      <c r="J159" s="33">
        <f>H159*0.1</f>
        <v>9.0000000000000011E-2</v>
      </c>
      <c r="K159" s="34">
        <f>H159+J159</f>
        <v>0.99</v>
      </c>
      <c r="L159" s="35" t="s">
        <v>128</v>
      </c>
    </row>
    <row r="160" spans="1:12" ht="15.75" customHeight="1">
      <c r="A160" s="137" t="s">
        <v>371</v>
      </c>
      <c r="B160" s="115">
        <f>B159</f>
        <v>0</v>
      </c>
      <c r="C160" s="116">
        <f>C159</f>
        <v>0</v>
      </c>
      <c r="D160" s="117">
        <f>B160*C160</f>
        <v>0</v>
      </c>
      <c r="E160" s="30">
        <v>1</v>
      </c>
      <c r="F160" s="31">
        <v>100</v>
      </c>
      <c r="G160" s="32">
        <f>IF(E160&lt;&gt;"",E160/100,"")</f>
        <v>0.01</v>
      </c>
      <c r="H160" s="33">
        <f>F160*G160</f>
        <v>1</v>
      </c>
      <c r="I160" s="122">
        <f>D160*E160</f>
        <v>0</v>
      </c>
      <c r="J160" s="33">
        <f>H160*0.1</f>
        <v>0.1</v>
      </c>
      <c r="K160" s="34">
        <f>H160+J160</f>
        <v>1.1000000000000001</v>
      </c>
      <c r="L160" s="35" t="s">
        <v>160</v>
      </c>
    </row>
    <row r="161" spans="1:12" ht="15.75" customHeight="1">
      <c r="A161" s="137" t="s">
        <v>372</v>
      </c>
      <c r="B161" s="115">
        <f>B160</f>
        <v>0</v>
      </c>
      <c r="C161" s="116">
        <f>C160</f>
        <v>0</v>
      </c>
      <c r="D161" s="117">
        <f>B161*C161</f>
        <v>0</v>
      </c>
      <c r="E161" s="32">
        <f>IF(B122&gt;7500,MIN(B122*0.25,B122*0.85),0)</f>
        <v>0</v>
      </c>
      <c r="F161" s="31">
        <v>55</v>
      </c>
      <c r="G161" s="32">
        <f>ROUNDUP(E161/50,0)</f>
        <v>0</v>
      </c>
      <c r="H161" s="33">
        <f>F161*G161</f>
        <v>0</v>
      </c>
      <c r="I161" s="122">
        <f>D161*E161</f>
        <v>0</v>
      </c>
      <c r="J161" s="33">
        <f>H161*0.1</f>
        <v>0</v>
      </c>
      <c r="K161" s="34">
        <f>H161+J161</f>
        <v>0</v>
      </c>
      <c r="L161" s="35" t="s">
        <v>170</v>
      </c>
    </row>
    <row r="162" spans="1:12" ht="15.75" customHeight="1">
      <c r="A162" s="137" t="s">
        <v>373</v>
      </c>
      <c r="B162" s="115">
        <f>B161</f>
        <v>0</v>
      </c>
      <c r="C162" s="116">
        <f>C161</f>
        <v>0</v>
      </c>
      <c r="D162" s="117">
        <f>B162*C162</f>
        <v>0</v>
      </c>
      <c r="E162" s="32">
        <f>B130</f>
        <v>3400</v>
      </c>
      <c r="F162" s="31">
        <v>65</v>
      </c>
      <c r="G162" s="32">
        <f>ROUNDUP(E162/50,0)</f>
        <v>68</v>
      </c>
      <c r="H162" s="33">
        <f>F162*G162</f>
        <v>4420</v>
      </c>
      <c r="I162" s="122">
        <f>D162*E162</f>
        <v>0</v>
      </c>
      <c r="J162" s="33">
        <f>H162*0.1</f>
        <v>442</v>
      </c>
      <c r="K162" s="34">
        <f>H162+J162</f>
        <v>4862</v>
      </c>
      <c r="L162" s="35" t="s">
        <v>170</v>
      </c>
    </row>
    <row r="163" spans="1:12" ht="15.75" customHeight="1">
      <c r="A163" s="137" t="s">
        <v>374</v>
      </c>
      <c r="B163" s="115">
        <f>B162</f>
        <v>0</v>
      </c>
      <c r="C163" s="116">
        <f>C162</f>
        <v>0</v>
      </c>
      <c r="D163" s="117">
        <f>B163*C163</f>
        <v>0</v>
      </c>
      <c r="E163" s="32">
        <v>0</v>
      </c>
      <c r="F163" s="31">
        <v>50</v>
      </c>
      <c r="G163" s="32">
        <f>ROUNDUP(E163/50,0)</f>
        <v>0</v>
      </c>
      <c r="H163" s="33">
        <f>F163*G163</f>
        <v>0</v>
      </c>
      <c r="I163" s="122">
        <f>D163*E163</f>
        <v>0</v>
      </c>
      <c r="J163" s="33">
        <f>H163*0.1</f>
        <v>0</v>
      </c>
      <c r="K163" s="34">
        <f>H163+J163</f>
        <v>0</v>
      </c>
      <c r="L163" s="35" t="s">
        <v>142</v>
      </c>
    </row>
    <row r="164" spans="1:12" ht="15.75" customHeight="1">
      <c r="A164" s="137" t="s">
        <v>375</v>
      </c>
      <c r="B164" s="115">
        <f>B163</f>
        <v>0</v>
      </c>
      <c r="C164" s="116">
        <f>C163</f>
        <v>0</v>
      </c>
      <c r="D164" s="117">
        <f>B164*C164</f>
        <v>0</v>
      </c>
      <c r="E164" s="32">
        <f>E162</f>
        <v>3400</v>
      </c>
      <c r="F164" s="31">
        <v>65</v>
      </c>
      <c r="G164" s="32">
        <f>ROUNDUP(E164/250,0)</f>
        <v>14</v>
      </c>
      <c r="H164" s="33">
        <f>F164*G164</f>
        <v>910</v>
      </c>
      <c r="I164" s="122">
        <f>D164*E164</f>
        <v>0</v>
      </c>
      <c r="J164" s="33">
        <f>H164*0.1</f>
        <v>91</v>
      </c>
      <c r="K164" s="34">
        <f>H164+J164</f>
        <v>1001</v>
      </c>
      <c r="L164" s="35" t="s">
        <v>166</v>
      </c>
    </row>
    <row r="165" spans="1:12" ht="15.75" customHeight="1">
      <c r="A165" s="137" t="s">
        <v>376</v>
      </c>
      <c r="B165" s="115">
        <f>B164</f>
        <v>0</v>
      </c>
      <c r="C165" s="116">
        <f>C164</f>
        <v>0</v>
      </c>
      <c r="D165" s="117">
        <f>B165*C165</f>
        <v>0</v>
      </c>
      <c r="E165" s="32">
        <f>E164</f>
        <v>3400</v>
      </c>
      <c r="F165" s="31">
        <v>65</v>
      </c>
      <c r="G165" s="32">
        <f>G164</f>
        <v>14</v>
      </c>
      <c r="H165" s="33">
        <f>F165*G165</f>
        <v>910</v>
      </c>
      <c r="I165" s="122">
        <f>D165*E165</f>
        <v>0</v>
      </c>
      <c r="J165" s="33">
        <f>H165*0.1</f>
        <v>91</v>
      </c>
      <c r="K165" s="34">
        <f>H165+J165</f>
        <v>1001</v>
      </c>
      <c r="L165" s="35" t="s">
        <v>168</v>
      </c>
    </row>
    <row r="166" spans="1:12" ht="15.75" customHeight="1">
      <c r="A166" s="137" t="s">
        <v>377</v>
      </c>
      <c r="B166" s="115">
        <f>B165</f>
        <v>0</v>
      </c>
      <c r="C166" s="116">
        <f>C165</f>
        <v>0</v>
      </c>
      <c r="D166" s="117">
        <f>B166*C166</f>
        <v>0</v>
      </c>
      <c r="E166" s="32">
        <v>0</v>
      </c>
      <c r="F166" s="31">
        <v>75</v>
      </c>
      <c r="G166" s="32">
        <f>ROUNDUP(E166/50,0)</f>
        <v>0</v>
      </c>
      <c r="H166" s="33">
        <f>F166*G166</f>
        <v>0</v>
      </c>
      <c r="I166" s="122">
        <f>D166*E166</f>
        <v>0</v>
      </c>
      <c r="J166" s="33">
        <f>H166*0.1</f>
        <v>0</v>
      </c>
      <c r="K166" s="34">
        <f>H166+J166</f>
        <v>0</v>
      </c>
      <c r="L166" s="35" t="s">
        <v>142</v>
      </c>
    </row>
    <row r="167" spans="1:12" ht="15.75" customHeight="1">
      <c r="A167" s="137" t="s">
        <v>378</v>
      </c>
      <c r="B167" s="115">
        <f>B166</f>
        <v>0</v>
      </c>
      <c r="C167" s="116">
        <f>C166</f>
        <v>0</v>
      </c>
      <c r="D167" s="117">
        <f>B167*C167</f>
        <v>0</v>
      </c>
      <c r="E167" s="32">
        <f>IF(E161&gt;0,0,1)</f>
        <v>1</v>
      </c>
      <c r="F167" s="31">
        <v>45</v>
      </c>
      <c r="G167" s="32">
        <f>ROUNDUP(E167/50,0)</f>
        <v>1</v>
      </c>
      <c r="H167" s="33">
        <f>F167*G167</f>
        <v>45</v>
      </c>
      <c r="I167" s="122">
        <f>D167*E167</f>
        <v>0</v>
      </c>
      <c r="J167" s="33">
        <f>H167*0.1</f>
        <v>4.5</v>
      </c>
      <c r="K167" s="34">
        <f>H167+J167</f>
        <v>49.5</v>
      </c>
      <c r="L167" s="35" t="s">
        <v>170</v>
      </c>
    </row>
    <row r="168" spans="1:12" ht="15.75" customHeight="1">
      <c r="A168" s="137" t="s">
        <v>379</v>
      </c>
      <c r="B168" s="115">
        <f>B167</f>
        <v>0</v>
      </c>
      <c r="C168" s="116">
        <f>C167</f>
        <v>0</v>
      </c>
      <c r="D168" s="117">
        <f>B168*C168</f>
        <v>0</v>
      </c>
      <c r="E168" s="30">
        <f>ROUNDUP(B128*0.75,0)</f>
        <v>3000</v>
      </c>
      <c r="F168" s="31">
        <v>70</v>
      </c>
      <c r="G168" s="32">
        <f>IF(E168&lt;&gt;"",E168/100,"")</f>
        <v>30</v>
      </c>
      <c r="H168" s="33">
        <f>F168*G168</f>
        <v>2100</v>
      </c>
      <c r="I168" s="122">
        <f>D168*E168</f>
        <v>0</v>
      </c>
      <c r="J168" s="33">
        <f>H168*0.1</f>
        <v>210</v>
      </c>
      <c r="K168" s="34">
        <f>H168+J168</f>
        <v>2310</v>
      </c>
      <c r="L168" s="35" t="s">
        <v>104</v>
      </c>
    </row>
    <row r="169" spans="1:12" ht="15.75" customHeight="1">
      <c r="A169" s="137" t="s">
        <v>380</v>
      </c>
      <c r="B169" s="115">
        <f>B168</f>
        <v>0</v>
      </c>
      <c r="C169" s="116">
        <f>C168</f>
        <v>0</v>
      </c>
      <c r="D169" s="117">
        <f>B169*C169</f>
        <v>0</v>
      </c>
      <c r="E169" s="30">
        <f>B131</f>
        <v>600</v>
      </c>
      <c r="F169" s="31">
        <v>75</v>
      </c>
      <c r="G169" s="32">
        <f>IF(E169&lt;&gt;"",E169/100,"")</f>
        <v>6</v>
      </c>
      <c r="H169" s="33">
        <f>F169*G169</f>
        <v>450</v>
      </c>
      <c r="I169" s="122">
        <f>D169*E169</f>
        <v>0</v>
      </c>
      <c r="J169" s="33">
        <f>H169*0.1</f>
        <v>45</v>
      </c>
      <c r="K169" s="34">
        <f>H169+J169</f>
        <v>495</v>
      </c>
      <c r="L169" s="35" t="s">
        <v>104</v>
      </c>
    </row>
    <row r="170" spans="1:12" ht="15.75" customHeight="1">
      <c r="A170" s="137" t="s">
        <v>381</v>
      </c>
      <c r="B170" s="115">
        <f>B169</f>
        <v>0</v>
      </c>
      <c r="C170" s="116">
        <f>C169</f>
        <v>0</v>
      </c>
      <c r="D170" s="117">
        <f>B170*C170</f>
        <v>0</v>
      </c>
      <c r="E170" s="30">
        <f>E174*0.15</f>
        <v>6</v>
      </c>
      <c r="F170" s="31">
        <v>40</v>
      </c>
      <c r="G170" s="32">
        <f>IF(E170&lt;&gt;"",E170/100,"")</f>
        <v>0.06</v>
      </c>
      <c r="H170" s="33">
        <f>F170*G170</f>
        <v>2.4</v>
      </c>
      <c r="I170" s="122">
        <f>D170*E170</f>
        <v>0</v>
      </c>
      <c r="J170" s="33">
        <f>H170*0.1</f>
        <v>0.24</v>
      </c>
      <c r="K170" s="34">
        <f>H170+J170</f>
        <v>2.6399999999999997</v>
      </c>
      <c r="L170" s="35" t="s">
        <v>156</v>
      </c>
    </row>
    <row r="171" spans="1:12" ht="15.75" customHeight="1">
      <c r="A171" s="137" t="s">
        <v>382</v>
      </c>
      <c r="B171" s="115">
        <f>B170</f>
        <v>0</v>
      </c>
      <c r="C171" s="116">
        <f>C170</f>
        <v>0</v>
      </c>
      <c r="D171" s="117">
        <f>B171*C171</f>
        <v>0</v>
      </c>
      <c r="E171" s="30">
        <f>E172</f>
        <v>20</v>
      </c>
      <c r="F171" s="31">
        <v>50</v>
      </c>
      <c r="G171" s="32">
        <f>IF(E171&lt;&gt;"",E171/100,"")</f>
        <v>0.2</v>
      </c>
      <c r="H171" s="33">
        <f>F171*G171</f>
        <v>10</v>
      </c>
      <c r="I171" s="122">
        <f>D171*E171</f>
        <v>0</v>
      </c>
      <c r="J171" s="33">
        <f>H171*0.1</f>
        <v>1</v>
      </c>
      <c r="K171" s="34">
        <f>H171+J171</f>
        <v>11</v>
      </c>
      <c r="L171" s="35" t="s">
        <v>156</v>
      </c>
    </row>
    <row r="172" spans="1:12" ht="15.75" customHeight="1">
      <c r="A172" s="137" t="s">
        <v>383</v>
      </c>
      <c r="B172" s="115">
        <f>B171</f>
        <v>0</v>
      </c>
      <c r="C172" s="116">
        <f>C171</f>
        <v>0</v>
      </c>
      <c r="D172" s="117">
        <f>B172*C172</f>
        <v>0</v>
      </c>
      <c r="E172" s="30">
        <f>ROUNDUP(B128/200,0)</f>
        <v>20</v>
      </c>
      <c r="F172" s="31">
        <v>65</v>
      </c>
      <c r="G172" s="32">
        <f>ROUNDUP(E172/5,0)</f>
        <v>4</v>
      </c>
      <c r="H172" s="33">
        <f>F172*G172</f>
        <v>260</v>
      </c>
      <c r="I172" s="122">
        <f>D172*E172</f>
        <v>0</v>
      </c>
      <c r="J172" s="33">
        <f>H172*0.1</f>
        <v>26</v>
      </c>
      <c r="K172" s="34">
        <f>H172+J172</f>
        <v>286</v>
      </c>
      <c r="L172" s="35" t="s">
        <v>156</v>
      </c>
    </row>
    <row r="173" spans="1:12" ht="15.75" customHeight="1">
      <c r="A173" s="137" t="s">
        <v>384</v>
      </c>
      <c r="B173" s="115">
        <f>B172</f>
        <v>0</v>
      </c>
      <c r="C173" s="116">
        <f>C172</f>
        <v>0</v>
      </c>
      <c r="D173" s="117">
        <f>B173*C173</f>
        <v>0</v>
      </c>
      <c r="E173" s="30">
        <f>E174*0.35</f>
        <v>14</v>
      </c>
      <c r="F173" s="31">
        <v>40</v>
      </c>
      <c r="G173" s="32">
        <f>ROUNDUP(E173/5,0)</f>
        <v>3</v>
      </c>
      <c r="H173" s="33">
        <f>F173*G173</f>
        <v>120</v>
      </c>
      <c r="I173" s="122">
        <f>D173*E173</f>
        <v>0</v>
      </c>
      <c r="J173" s="33">
        <f>H173*0.1</f>
        <v>12</v>
      </c>
      <c r="K173" s="34">
        <f>H173+J173</f>
        <v>132</v>
      </c>
      <c r="L173" s="35" t="s">
        <v>156</v>
      </c>
    </row>
    <row r="174" spans="1:12" ht="15.75" customHeight="1">
      <c r="A174" s="137" t="s">
        <v>385</v>
      </c>
      <c r="B174" s="115">
        <f>B173</f>
        <v>0</v>
      </c>
      <c r="C174" s="116">
        <f>C173</f>
        <v>0</v>
      </c>
      <c r="D174" s="117">
        <f>B174*C174</f>
        <v>0</v>
      </c>
      <c r="E174" s="30">
        <f>B128*0.01</f>
        <v>40</v>
      </c>
      <c r="F174" s="31">
        <v>60</v>
      </c>
      <c r="G174" s="32">
        <f>ROUNDUP(E174/3,0)</f>
        <v>14</v>
      </c>
      <c r="H174" s="33">
        <f>F174*G174</f>
        <v>840</v>
      </c>
      <c r="I174" s="122">
        <f>D174*E174</f>
        <v>0</v>
      </c>
      <c r="J174" s="33">
        <f>H174*0.1</f>
        <v>84</v>
      </c>
      <c r="K174" s="34">
        <f>H174+J174</f>
        <v>924</v>
      </c>
      <c r="L174" s="35" t="s">
        <v>120</v>
      </c>
    </row>
    <row r="175" spans="1:12" ht="15.75" customHeight="1">
      <c r="A175" s="137" t="s">
        <v>386</v>
      </c>
      <c r="B175" s="115">
        <f>B174</f>
        <v>0</v>
      </c>
      <c r="C175" s="116">
        <f>C174</f>
        <v>0</v>
      </c>
      <c r="D175" s="117">
        <f>B175*C175</f>
        <v>0</v>
      </c>
      <c r="E175" s="30">
        <f>E174</f>
        <v>40</v>
      </c>
      <c r="F175" s="31">
        <v>75</v>
      </c>
      <c r="G175" s="32">
        <f>IF(E175&lt;&gt;"",E175/100,"")</f>
        <v>0.4</v>
      </c>
      <c r="H175" s="33">
        <f>F175*G175</f>
        <v>30</v>
      </c>
      <c r="I175" s="122">
        <f>D175*E175</f>
        <v>0</v>
      </c>
      <c r="J175" s="33">
        <f>H175*0.1</f>
        <v>3</v>
      </c>
      <c r="K175" s="34">
        <f>H175+J175</f>
        <v>33</v>
      </c>
      <c r="L175" s="35" t="s">
        <v>162</v>
      </c>
    </row>
    <row r="176" spans="1:12" ht="15.75" customHeight="1">
      <c r="A176" s="137" t="s">
        <v>387</v>
      </c>
      <c r="B176" s="115">
        <f>B175</f>
        <v>0</v>
      </c>
      <c r="C176" s="116">
        <f>C175</f>
        <v>0</v>
      </c>
      <c r="D176" s="117">
        <f>B176*C176</f>
        <v>0</v>
      </c>
      <c r="E176" s="30">
        <f>E175</f>
        <v>40</v>
      </c>
      <c r="F176" s="31">
        <v>80</v>
      </c>
      <c r="G176" s="32">
        <f>IF(E176&lt;&gt;"",E176/100,"")</f>
        <v>0.4</v>
      </c>
      <c r="H176" s="33">
        <f>F176*G176</f>
        <v>32</v>
      </c>
      <c r="I176" s="122">
        <f>D176*E176</f>
        <v>0</v>
      </c>
      <c r="J176" s="33">
        <f>H176*0.1</f>
        <v>3.2</v>
      </c>
      <c r="K176" s="34">
        <f>H176+J176</f>
        <v>35.200000000000003</v>
      </c>
      <c r="L176" s="35" t="s">
        <v>162</v>
      </c>
    </row>
    <row r="177" spans="1:12" ht="15.75" customHeight="1">
      <c r="A177" s="137" t="s">
        <v>388</v>
      </c>
      <c r="B177" s="115">
        <f>B176</f>
        <v>0</v>
      </c>
      <c r="C177" s="116">
        <f>C176</f>
        <v>0</v>
      </c>
      <c r="D177" s="117">
        <f>B177*C177</f>
        <v>0</v>
      </c>
      <c r="E177" s="30">
        <f>E176</f>
        <v>40</v>
      </c>
      <c r="F177" s="31">
        <v>70</v>
      </c>
      <c r="G177" s="32">
        <f>IF(E177&lt;&gt;"",E177/100,"")</f>
        <v>0.4</v>
      </c>
      <c r="H177" s="33">
        <f>F177*G177</f>
        <v>28</v>
      </c>
      <c r="I177" s="122">
        <f>D177*E177</f>
        <v>0</v>
      </c>
      <c r="J177" s="33">
        <f>H177*0.1</f>
        <v>2.8000000000000003</v>
      </c>
      <c r="K177" s="34">
        <f>H177+J177</f>
        <v>30.8</v>
      </c>
      <c r="L177" s="35" t="s">
        <v>162</v>
      </c>
    </row>
    <row r="178" spans="1:12" ht="15.75" customHeight="1">
      <c r="A178" s="137" t="s">
        <v>389</v>
      </c>
      <c r="B178" s="115">
        <f>B177</f>
        <v>0</v>
      </c>
      <c r="C178" s="116">
        <f>C177</f>
        <v>0</v>
      </c>
      <c r="D178" s="117">
        <f>B178*C178</f>
        <v>0</v>
      </c>
      <c r="E178" s="32">
        <f>ROUNDUP(B128*0.25,0)</f>
        <v>1000</v>
      </c>
      <c r="F178" s="31">
        <v>40</v>
      </c>
      <c r="G178" s="32">
        <f>IF(E178&lt;&gt;"",E178/100,"")</f>
        <v>10</v>
      </c>
      <c r="H178" s="33">
        <f>F178*G178</f>
        <v>400</v>
      </c>
      <c r="I178" s="122">
        <f>D178*E178</f>
        <v>0</v>
      </c>
      <c r="J178" s="33">
        <f>H178*0.1</f>
        <v>40</v>
      </c>
      <c r="K178" s="34">
        <f>H178+J178</f>
        <v>440</v>
      </c>
      <c r="L178" s="35" t="s">
        <v>132</v>
      </c>
    </row>
    <row r="179" spans="1:12" ht="15.75" customHeight="1">
      <c r="A179" s="137" t="s">
        <v>390</v>
      </c>
      <c r="B179" s="115">
        <f>B178</f>
        <v>0</v>
      </c>
      <c r="C179" s="116">
        <f>C178</f>
        <v>0</v>
      </c>
      <c r="D179" s="117">
        <f>B179*C179</f>
        <v>0</v>
      </c>
      <c r="E179" s="32">
        <f>ROUNDUP(B128*1.25,0)</f>
        <v>5000</v>
      </c>
      <c r="F179" s="31">
        <v>60</v>
      </c>
      <c r="G179" s="32">
        <f>ROUNDUP(E179/100,0)</f>
        <v>50</v>
      </c>
      <c r="H179" s="33">
        <f>F179*G179</f>
        <v>3000</v>
      </c>
      <c r="I179" s="122">
        <f>D179*E179</f>
        <v>0</v>
      </c>
      <c r="J179" s="33">
        <f>H179*0.1</f>
        <v>300</v>
      </c>
      <c r="K179" s="34">
        <f>H179+J179</f>
        <v>3300</v>
      </c>
      <c r="L179" s="35" t="s">
        <v>134</v>
      </c>
    </row>
    <row r="180" spans="1:12" ht="15.75" customHeight="1">
      <c r="A180" s="137" t="s">
        <v>391</v>
      </c>
      <c r="B180" s="115">
        <f>B179</f>
        <v>0</v>
      </c>
      <c r="C180" s="116">
        <f>C179</f>
        <v>0</v>
      </c>
      <c r="D180" s="117">
        <f>B180*C180</f>
        <v>0</v>
      </c>
      <c r="E180" s="32">
        <f>IF(E179&gt;0,0,1)</f>
        <v>0</v>
      </c>
      <c r="F180" s="31">
        <v>40</v>
      </c>
      <c r="G180" s="32">
        <f>ROUNDUP(E180/100,0)</f>
        <v>0</v>
      </c>
      <c r="H180" s="33">
        <f>F180*G180</f>
        <v>0</v>
      </c>
      <c r="I180" s="122">
        <f>D180*E180</f>
        <v>0</v>
      </c>
      <c r="J180" s="33">
        <f>H180*0.1</f>
        <v>0</v>
      </c>
      <c r="K180" s="34">
        <f>H180+J180</f>
        <v>0</v>
      </c>
      <c r="L180" s="35" t="s">
        <v>134</v>
      </c>
    </row>
    <row r="181" spans="1:12" ht="15.75" customHeight="1">
      <c r="A181" s="137" t="s">
        <v>392</v>
      </c>
      <c r="B181" s="115">
        <f>B180</f>
        <v>0</v>
      </c>
      <c r="C181" s="116">
        <f>C180</f>
        <v>0</v>
      </c>
      <c r="D181" s="117">
        <f>B181*C181</f>
        <v>0</v>
      </c>
      <c r="E181" s="30">
        <f>B127</f>
        <v>43560</v>
      </c>
      <c r="F181" s="31">
        <v>50</v>
      </c>
      <c r="G181" s="32">
        <f>IF(E181&lt;&gt;"",E181/500,"")</f>
        <v>87.12</v>
      </c>
      <c r="H181" s="33">
        <f>F181*G181</f>
        <v>4356</v>
      </c>
      <c r="I181" s="122">
        <f>D181*E181</f>
        <v>0</v>
      </c>
      <c r="J181" s="33">
        <f>H181*0.1</f>
        <v>435.6</v>
      </c>
      <c r="K181" s="34">
        <f>H181+J181</f>
        <v>4791.6000000000004</v>
      </c>
      <c r="L181" s="35" t="s">
        <v>176</v>
      </c>
    </row>
    <row r="182" spans="1:12" ht="15.75" customHeight="1">
      <c r="A182" s="137" t="s">
        <v>393</v>
      </c>
      <c r="B182" s="115">
        <f>B181</f>
        <v>0</v>
      </c>
      <c r="C182" s="116">
        <f>C181</f>
        <v>0</v>
      </c>
      <c r="D182" s="117">
        <f>B182*C182</f>
        <v>0</v>
      </c>
      <c r="E182" s="30">
        <f>E181</f>
        <v>43560</v>
      </c>
      <c r="F182" s="31">
        <v>50</v>
      </c>
      <c r="G182" s="32">
        <f>IF(E182&lt;&gt;"",E182/500,"")</f>
        <v>87.12</v>
      </c>
      <c r="H182" s="33">
        <f>F182*G182</f>
        <v>4356</v>
      </c>
      <c r="I182" s="122">
        <f>D182*E182</f>
        <v>0</v>
      </c>
      <c r="J182" s="33">
        <f>H182*0.1</f>
        <v>435.6</v>
      </c>
      <c r="K182" s="34">
        <f>H182+J182</f>
        <v>4791.6000000000004</v>
      </c>
      <c r="L182" s="35" t="s">
        <v>176</v>
      </c>
    </row>
    <row r="183" spans="1:12" ht="15.75" customHeight="1">
      <c r="A183" s="137" t="s">
        <v>394</v>
      </c>
      <c r="B183" s="115">
        <f>B182</f>
        <v>0</v>
      </c>
      <c r="C183" s="116">
        <f>C182</f>
        <v>0</v>
      </c>
      <c r="D183" s="117">
        <f>B183*C183</f>
        <v>0</v>
      </c>
      <c r="E183" s="32">
        <f>IF(E182&gt;0,0,1)</f>
        <v>0</v>
      </c>
      <c r="F183" s="31">
        <v>50</v>
      </c>
      <c r="G183" s="32">
        <f>IF(E183&lt;&gt;"",E183/500,"")</f>
        <v>0</v>
      </c>
      <c r="H183" s="33">
        <f>F183*G183</f>
        <v>0</v>
      </c>
      <c r="I183" s="122">
        <f>D183*E183</f>
        <v>0</v>
      </c>
      <c r="J183" s="33">
        <f>H183*0.1</f>
        <v>0</v>
      </c>
      <c r="K183" s="34">
        <f>H183+J183</f>
        <v>0</v>
      </c>
      <c r="L183" s="35" t="s">
        <v>176</v>
      </c>
    </row>
    <row r="184" spans="1:12" ht="15.75" customHeight="1">
      <c r="A184" s="137" t="s">
        <v>395</v>
      </c>
      <c r="B184" s="115">
        <f>B183</f>
        <v>0</v>
      </c>
      <c r="C184" s="116">
        <f>C183</f>
        <v>0</v>
      </c>
      <c r="D184" s="117">
        <f>B184*C184</f>
        <v>0</v>
      </c>
      <c r="E184" s="30">
        <v>1</v>
      </c>
      <c r="F184" s="31">
        <v>50</v>
      </c>
      <c r="G184" s="32">
        <v>1</v>
      </c>
      <c r="H184" s="33">
        <f>F184*G184</f>
        <v>50</v>
      </c>
      <c r="I184" s="122">
        <f>D184*E184</f>
        <v>0</v>
      </c>
      <c r="J184" s="33">
        <f>H184*0.1</f>
        <v>5</v>
      </c>
      <c r="K184" s="34">
        <f>H184+J184</f>
        <v>55</v>
      </c>
      <c r="L184" s="35" t="s">
        <v>176</v>
      </c>
    </row>
    <row r="185" spans="1:12" ht="15.75" customHeight="1">
      <c r="A185" s="137" t="s">
        <v>396</v>
      </c>
      <c r="B185" s="115">
        <f>B184</f>
        <v>0</v>
      </c>
      <c r="C185" s="116">
        <f>C184</f>
        <v>0</v>
      </c>
      <c r="D185" s="117">
        <f>B185*C185</f>
        <v>0</v>
      </c>
      <c r="E185" s="30">
        <v>0</v>
      </c>
      <c r="F185" s="31">
        <v>50</v>
      </c>
      <c r="G185" s="32">
        <f>IF(E185&lt;&gt;"",E185/100,"")</f>
        <v>0</v>
      </c>
      <c r="H185" s="33">
        <f>F185*G185</f>
        <v>0</v>
      </c>
      <c r="I185" s="122">
        <f>D185*E185</f>
        <v>0</v>
      </c>
      <c r="J185" s="33">
        <f>H185*0.1</f>
        <v>0</v>
      </c>
      <c r="K185" s="34">
        <f>H185+J185</f>
        <v>0</v>
      </c>
      <c r="L185" s="35" t="s">
        <v>176</v>
      </c>
    </row>
    <row r="186" spans="1:12" ht="15.75" customHeight="1">
      <c r="A186" s="137" t="s">
        <v>397</v>
      </c>
      <c r="B186" s="115">
        <f>B185</f>
        <v>0</v>
      </c>
      <c r="C186" s="116">
        <f>C185</f>
        <v>0</v>
      </c>
      <c r="D186" s="117">
        <f>B186*C186</f>
        <v>0</v>
      </c>
      <c r="E186" s="30">
        <f>B127*0.00175</f>
        <v>76.23</v>
      </c>
      <c r="F186" s="31">
        <v>50</v>
      </c>
      <c r="G186" s="32">
        <f>IF(E186&lt;&gt;"",E186/100,"")</f>
        <v>0.76230000000000009</v>
      </c>
      <c r="H186" s="33">
        <f>F186*G186</f>
        <v>38.115000000000002</v>
      </c>
      <c r="I186" s="122">
        <f>D186*E186</f>
        <v>0</v>
      </c>
      <c r="J186" s="33">
        <f>H186*0.1</f>
        <v>3.8115000000000006</v>
      </c>
      <c r="K186" s="34">
        <f>H186+J186</f>
        <v>41.926500000000004</v>
      </c>
      <c r="L186" s="35" t="s">
        <v>176</v>
      </c>
    </row>
    <row r="187" spans="1:12" ht="15.75" customHeight="1">
      <c r="A187" s="137" t="s">
        <v>398</v>
      </c>
      <c r="B187" s="115">
        <f>B186</f>
        <v>0</v>
      </c>
      <c r="C187" s="116">
        <f>C186</f>
        <v>0</v>
      </c>
      <c r="D187" s="117">
        <f>B187*C187</f>
        <v>0</v>
      </c>
      <c r="E187" s="30">
        <f>E186*0.75</f>
        <v>57.172499999999999</v>
      </c>
      <c r="F187" s="31">
        <v>50</v>
      </c>
      <c r="G187" s="32">
        <f>IF(E187&lt;&gt;"",E187/100,"")</f>
        <v>0.57172500000000004</v>
      </c>
      <c r="H187" s="33">
        <f>F187*G187</f>
        <v>28.586250000000003</v>
      </c>
      <c r="I187" s="122">
        <f>D187*E187</f>
        <v>0</v>
      </c>
      <c r="J187" s="33">
        <f>H187*0.1</f>
        <v>2.8586250000000004</v>
      </c>
      <c r="K187" s="34">
        <f>H187+J187</f>
        <v>31.444875000000003</v>
      </c>
      <c r="L187" s="35" t="s">
        <v>176</v>
      </c>
    </row>
    <row r="188" spans="1:12" ht="15.75" customHeight="1">
      <c r="A188" s="137" t="s">
        <v>399</v>
      </c>
      <c r="B188" s="115">
        <f>B187</f>
        <v>0</v>
      </c>
      <c r="C188" s="116">
        <f>C187</f>
        <v>0</v>
      </c>
      <c r="D188" s="117">
        <f>B188*C188</f>
        <v>0</v>
      </c>
      <c r="E188" s="30">
        <f>ROUNDUP(B128/75,0)</f>
        <v>54</v>
      </c>
      <c r="F188" s="31">
        <v>50</v>
      </c>
      <c r="G188" s="32">
        <f>ROUNDUP(E188/20,0)</f>
        <v>3</v>
      </c>
      <c r="H188" s="33">
        <f>F188*G188</f>
        <v>150</v>
      </c>
      <c r="I188" s="122">
        <f>D188*E188</f>
        <v>0</v>
      </c>
      <c r="J188" s="33">
        <f>H188*0.1</f>
        <v>15</v>
      </c>
      <c r="K188" s="34">
        <f>H188+J188</f>
        <v>165</v>
      </c>
      <c r="L188" s="35" t="s">
        <v>160</v>
      </c>
    </row>
    <row r="189" spans="1:12" ht="15.75" customHeight="1">
      <c r="A189" s="137" t="s">
        <v>400</v>
      </c>
      <c r="B189" s="115">
        <f>B188</f>
        <v>0</v>
      </c>
      <c r="C189" s="116">
        <f>C188</f>
        <v>0</v>
      </c>
      <c r="D189" s="117">
        <f>B189*C189</f>
        <v>0</v>
      </c>
      <c r="E189" s="30">
        <f>ROUNDUP(B128/250,0)</f>
        <v>16</v>
      </c>
      <c r="F189" s="31">
        <v>70</v>
      </c>
      <c r="G189" s="32">
        <f>ROUNDUP(E189/10,0)</f>
        <v>2</v>
      </c>
      <c r="H189" s="33">
        <f>F189*G189</f>
        <v>140</v>
      </c>
      <c r="I189" s="122">
        <f>D189*E189</f>
        <v>0</v>
      </c>
      <c r="J189" s="33">
        <f>H189*0.1</f>
        <v>14</v>
      </c>
      <c r="K189" s="34">
        <f>H189+J189</f>
        <v>154</v>
      </c>
      <c r="L189" s="35" t="s">
        <v>160</v>
      </c>
    </row>
    <row r="190" spans="1:12" ht="15.75" customHeight="1">
      <c r="A190" s="137" t="s">
        <v>401</v>
      </c>
      <c r="B190" s="115">
        <f>B189</f>
        <v>0</v>
      </c>
      <c r="C190" s="116">
        <f>C189</f>
        <v>0</v>
      </c>
      <c r="D190" s="117">
        <f>B190*C190</f>
        <v>0</v>
      </c>
      <c r="E190" s="30">
        <f>ROUNDUP(B129/250,0)</f>
        <v>1</v>
      </c>
      <c r="F190" s="31">
        <v>70</v>
      </c>
      <c r="G190" s="32">
        <f>ROUNDUP(E190/10,0)</f>
        <v>1</v>
      </c>
      <c r="H190" s="33">
        <f>F190*G190</f>
        <v>70</v>
      </c>
      <c r="I190" s="122">
        <f>D190*E190</f>
        <v>0</v>
      </c>
      <c r="J190" s="33">
        <f>H190*0.1</f>
        <v>7</v>
      </c>
      <c r="K190" s="34">
        <f>H190+J190</f>
        <v>77</v>
      </c>
      <c r="L190" s="35" t="s">
        <v>160</v>
      </c>
    </row>
    <row r="191" spans="1:12" ht="15.75" customHeight="1">
      <c r="A191" s="137" t="s">
        <v>402</v>
      </c>
      <c r="B191" s="115">
        <f>B189</f>
        <v>0</v>
      </c>
      <c r="C191" s="116">
        <f>C189</f>
        <v>0</v>
      </c>
      <c r="D191" s="117">
        <f>B191*C191</f>
        <v>0</v>
      </c>
      <c r="E191" s="32">
        <f>ROUNDUP(B128*1.25,0)</f>
        <v>5000</v>
      </c>
      <c r="F191" s="31">
        <v>45</v>
      </c>
      <c r="G191" s="32">
        <f>ROUNDUP(E191/100,0)</f>
        <v>50</v>
      </c>
      <c r="H191" s="33">
        <f>F191*G191</f>
        <v>2250</v>
      </c>
      <c r="I191" s="122">
        <f>D191*E191</f>
        <v>0</v>
      </c>
      <c r="J191" s="33">
        <f>H191*0.1</f>
        <v>225</v>
      </c>
      <c r="K191" s="34">
        <f>H191+J191</f>
        <v>2475</v>
      </c>
      <c r="L191" s="35" t="s">
        <v>164</v>
      </c>
    </row>
    <row r="192" spans="1:12" ht="15.75" customHeight="1">
      <c r="A192" s="137" t="s">
        <v>403</v>
      </c>
      <c r="B192" s="115">
        <f>B191</f>
        <v>0</v>
      </c>
      <c r="C192" s="116">
        <f>C191</f>
        <v>0</v>
      </c>
      <c r="D192" s="117">
        <f>B192*C192</f>
        <v>0</v>
      </c>
      <c r="E192" s="32">
        <f>ROUNDUP(B128*1.25,0)</f>
        <v>5000</v>
      </c>
      <c r="F192" s="31">
        <v>45</v>
      </c>
      <c r="G192" s="32">
        <f>ROUNDUP(E192/100,0)</f>
        <v>50</v>
      </c>
      <c r="H192" s="33">
        <f>F192*G192</f>
        <v>2250</v>
      </c>
      <c r="I192" s="122">
        <f>D192*E192</f>
        <v>0</v>
      </c>
      <c r="J192" s="33">
        <f>H192*0.1</f>
        <v>225</v>
      </c>
      <c r="K192" s="34">
        <f>H192+J192</f>
        <v>2475</v>
      </c>
      <c r="L192" s="35" t="s">
        <v>144</v>
      </c>
    </row>
    <row r="193" spans="1:12" ht="15.75" customHeight="1">
      <c r="A193" s="137" t="s">
        <v>404</v>
      </c>
      <c r="B193" s="115">
        <f>B192</f>
        <v>0</v>
      </c>
      <c r="C193" s="116">
        <f>C192</f>
        <v>0</v>
      </c>
      <c r="D193" s="117">
        <f>B193*C193</f>
        <v>0</v>
      </c>
      <c r="E193" s="30">
        <f>ROUNDUP(B127*0.01,0)</f>
        <v>436</v>
      </c>
      <c r="F193" s="31">
        <v>75</v>
      </c>
      <c r="G193" s="32">
        <f>IF(E193&lt;&gt;"",E193/100,"")</f>
        <v>4.3600000000000003</v>
      </c>
      <c r="H193" s="33">
        <f>F193*G193</f>
        <v>327</v>
      </c>
      <c r="I193" s="122">
        <f>D193*E193</f>
        <v>0</v>
      </c>
      <c r="J193" s="33">
        <f>H193*0.1</f>
        <v>32.700000000000003</v>
      </c>
      <c r="K193" s="34">
        <f>H193+J193</f>
        <v>359.7</v>
      </c>
      <c r="L193" s="35" t="s">
        <v>176</v>
      </c>
    </row>
    <row r="194" spans="1:12" ht="15.75" customHeight="1">
      <c r="A194" s="137" t="s">
        <v>405</v>
      </c>
      <c r="B194" s="115">
        <f>B193</f>
        <v>0</v>
      </c>
      <c r="C194" s="116">
        <f>C193</f>
        <v>0</v>
      </c>
      <c r="D194" s="117">
        <f>B194*C194</f>
        <v>0</v>
      </c>
      <c r="E194" s="30">
        <f>IF(E193=1,0,0)</f>
        <v>0</v>
      </c>
      <c r="F194" s="31">
        <v>50</v>
      </c>
      <c r="G194" s="32">
        <f>IF(E194&lt;&gt;"",E194/100,"")</f>
        <v>0</v>
      </c>
      <c r="H194" s="33">
        <f>F194*G194</f>
        <v>0</v>
      </c>
      <c r="I194" s="122">
        <f>D194*E194</f>
        <v>0</v>
      </c>
      <c r="J194" s="33">
        <f>H194*0.1</f>
        <v>0</v>
      </c>
      <c r="K194" s="34">
        <f>H194+J194</f>
        <v>0</v>
      </c>
      <c r="L194" s="35" t="s">
        <v>176</v>
      </c>
    </row>
    <row r="195" spans="1:12" ht="15.75" customHeight="1">
      <c r="A195" s="137" t="s">
        <v>406</v>
      </c>
      <c r="B195" s="115">
        <f>B194</f>
        <v>0</v>
      </c>
      <c r="C195" s="116">
        <f>C194</f>
        <v>0</v>
      </c>
      <c r="D195" s="117">
        <f>B195*C195</f>
        <v>0</v>
      </c>
      <c r="E195" s="30">
        <f>IF(E194=1,0,0)</f>
        <v>0</v>
      </c>
      <c r="F195" s="31">
        <v>60</v>
      </c>
      <c r="G195" s="32">
        <f>IF(E195&lt;&gt;"",E195/100,"")</f>
        <v>0</v>
      </c>
      <c r="H195" s="33">
        <f>F195*G195</f>
        <v>0</v>
      </c>
      <c r="I195" s="122">
        <f>D195*E195</f>
        <v>0</v>
      </c>
      <c r="J195" s="33">
        <f>H195*0.1</f>
        <v>0</v>
      </c>
      <c r="K195" s="34">
        <f>H195+J195</f>
        <v>0</v>
      </c>
      <c r="L195" s="35" t="s">
        <v>176</v>
      </c>
    </row>
    <row r="196" spans="1:12" ht="15.75" customHeight="1">
      <c r="A196" s="137" t="s">
        <v>407</v>
      </c>
      <c r="B196" s="115">
        <f>B195</f>
        <v>0</v>
      </c>
      <c r="C196" s="116">
        <f>C195</f>
        <v>0</v>
      </c>
      <c r="D196" s="117">
        <f>B196*C196</f>
        <v>0</v>
      </c>
      <c r="E196" s="30">
        <f>ROUNDUP(B130*1.1,0)</f>
        <v>3740</v>
      </c>
      <c r="F196" s="31">
        <v>50</v>
      </c>
      <c r="G196" s="32">
        <f>IF(E196&lt;&gt;"",E196/100,"")</f>
        <v>37.4</v>
      </c>
      <c r="H196" s="33">
        <f>F196*G196</f>
        <v>1870</v>
      </c>
      <c r="I196" s="122">
        <f>D196*E196</f>
        <v>0</v>
      </c>
      <c r="J196" s="33">
        <f>H196*0.1</f>
        <v>187</v>
      </c>
      <c r="K196" s="34">
        <f>H196+J196</f>
        <v>2057</v>
      </c>
      <c r="L196" s="35" t="s">
        <v>114</v>
      </c>
    </row>
    <row r="197" spans="1:12" ht="15.75" customHeight="1">
      <c r="A197" s="137" t="s">
        <v>408</v>
      </c>
      <c r="B197" s="115">
        <f>B196</f>
        <v>0</v>
      </c>
      <c r="C197" s="116">
        <f>C196</f>
        <v>0</v>
      </c>
      <c r="D197" s="117">
        <f>B197*C197</f>
        <v>0</v>
      </c>
      <c r="E197" s="30">
        <f>B128</f>
        <v>4000</v>
      </c>
      <c r="F197" s="31">
        <v>45</v>
      </c>
      <c r="G197" s="32">
        <f>IF(E197&lt;&gt;"",E197/100,"")</f>
        <v>40</v>
      </c>
      <c r="H197" s="33">
        <f>F197*G197</f>
        <v>1800</v>
      </c>
      <c r="I197" s="122">
        <f>D197*E197</f>
        <v>0</v>
      </c>
      <c r="J197" s="33">
        <f>H197*0.1</f>
        <v>180</v>
      </c>
      <c r="K197" s="34">
        <f>H197+J197</f>
        <v>1980</v>
      </c>
      <c r="L197" s="35" t="s">
        <v>126</v>
      </c>
    </row>
    <row r="198" spans="1:12" ht="15.75" customHeight="1">
      <c r="A198" s="137" t="s">
        <v>409</v>
      </c>
      <c r="B198" s="115">
        <f>B197</f>
        <v>0</v>
      </c>
      <c r="C198" s="116">
        <f>C197</f>
        <v>0</v>
      </c>
      <c r="D198" s="117">
        <f>B198*C198</f>
        <v>0</v>
      </c>
      <c r="E198" s="30">
        <f>B128*0.1</f>
        <v>400</v>
      </c>
      <c r="F198" s="31">
        <v>75</v>
      </c>
      <c r="G198" s="32">
        <f>IF(E198&lt;&gt;"",E198/100,"")</f>
        <v>4</v>
      </c>
      <c r="H198" s="33">
        <f>F198*G198</f>
        <v>300</v>
      </c>
      <c r="I198" s="122">
        <f>D198*E198</f>
        <v>0</v>
      </c>
      <c r="J198" s="33">
        <f>H198*0.1</f>
        <v>30</v>
      </c>
      <c r="K198" s="34">
        <f>H198+J198</f>
        <v>330</v>
      </c>
      <c r="L198" s="35" t="s">
        <v>160</v>
      </c>
    </row>
    <row r="199" spans="1:12" ht="15.75" customHeight="1">
      <c r="A199" s="137" t="s">
        <v>410</v>
      </c>
      <c r="B199" s="115">
        <f>B198</f>
        <v>0</v>
      </c>
      <c r="C199" s="116">
        <f>C198</f>
        <v>0</v>
      </c>
      <c r="D199" s="117">
        <f>B199*C199</f>
        <v>0</v>
      </c>
      <c r="E199" s="30">
        <f>ROUNDUP(B128/4,0)</f>
        <v>1000</v>
      </c>
      <c r="F199" s="31">
        <v>40</v>
      </c>
      <c r="G199" s="32">
        <f>ROUNDUP(E199/250,0)</f>
        <v>4</v>
      </c>
      <c r="H199" s="33">
        <f>F199*G199</f>
        <v>160</v>
      </c>
      <c r="I199" s="122">
        <f>D199*E199</f>
        <v>0</v>
      </c>
      <c r="J199" s="33">
        <f>H199*0.1</f>
        <v>16</v>
      </c>
      <c r="K199" s="34">
        <f>H199+J199</f>
        <v>176</v>
      </c>
      <c r="L199" s="35" t="s">
        <v>134</v>
      </c>
    </row>
    <row r="200" spans="1:12" ht="15.75" customHeight="1">
      <c r="A200" s="137" t="s">
        <v>411</v>
      </c>
      <c r="B200" s="115">
        <f>B199</f>
        <v>0</v>
      </c>
      <c r="C200" s="116">
        <f>C199</f>
        <v>0</v>
      </c>
      <c r="D200" s="117">
        <f>B200*C200</f>
        <v>0</v>
      </c>
      <c r="E200" s="32">
        <f>ROUNDUP(B128*1.1,0)</f>
        <v>4400</v>
      </c>
      <c r="F200" s="31">
        <v>55</v>
      </c>
      <c r="G200" s="32">
        <f>ROUNDUP(E200/100,0)</f>
        <v>44</v>
      </c>
      <c r="H200" s="33">
        <f>F200*G200</f>
        <v>2420</v>
      </c>
      <c r="I200" s="122">
        <f>D200*E200</f>
        <v>0</v>
      </c>
      <c r="J200" s="33">
        <f>H200*0.1</f>
        <v>242</v>
      </c>
      <c r="K200" s="34">
        <f>H200+J200</f>
        <v>2662</v>
      </c>
      <c r="L200" s="35" t="s">
        <v>140</v>
      </c>
    </row>
    <row r="201" spans="1:12" ht="15.75" customHeight="1">
      <c r="A201" s="137" t="s">
        <v>412</v>
      </c>
      <c r="B201" s="115">
        <f>B200</f>
        <v>0</v>
      </c>
      <c r="C201" s="116">
        <f>C200</f>
        <v>0</v>
      </c>
      <c r="D201" s="117">
        <f>B201*C201</f>
        <v>0</v>
      </c>
      <c r="E201" s="32">
        <f>ROUNDUP(B128*0.25,0)</f>
        <v>1000</v>
      </c>
      <c r="F201" s="31">
        <v>50</v>
      </c>
      <c r="G201" s="32">
        <f>IF(E201&lt;&gt;"",E201/100,"")</f>
        <v>10</v>
      </c>
      <c r="H201" s="33">
        <f>F201*G201</f>
        <v>500</v>
      </c>
      <c r="I201" s="122">
        <f>D201*E201</f>
        <v>0</v>
      </c>
      <c r="J201" s="33">
        <f>H201*0.1</f>
        <v>50</v>
      </c>
      <c r="K201" s="34">
        <f>H201+J201</f>
        <v>550</v>
      </c>
      <c r="L201" s="35" t="s">
        <v>152</v>
      </c>
    </row>
    <row r="202" spans="1:12" ht="15.75" customHeight="1">
      <c r="A202" s="137" t="s">
        <v>413</v>
      </c>
      <c r="B202" s="115">
        <f>B201</f>
        <v>0</v>
      </c>
      <c r="C202" s="116">
        <f>C201</f>
        <v>0</v>
      </c>
      <c r="D202" s="117">
        <f>B202*C202</f>
        <v>0</v>
      </c>
      <c r="E202" s="30">
        <f>ROUNDUP(B128*3.2,0)</f>
        <v>12800</v>
      </c>
      <c r="F202" s="31">
        <v>50</v>
      </c>
      <c r="G202" s="32">
        <f>IF(E202&lt;&gt;"",E202/100,"")</f>
        <v>128</v>
      </c>
      <c r="H202" s="33">
        <f>F202*G202</f>
        <v>6400</v>
      </c>
      <c r="I202" s="122">
        <f>D202*E202</f>
        <v>0</v>
      </c>
      <c r="J202" s="33">
        <f>H202*0.1</f>
        <v>640</v>
      </c>
      <c r="K202" s="34">
        <f>H202+J202</f>
        <v>7040</v>
      </c>
      <c r="L202" s="35" t="s">
        <v>124</v>
      </c>
    </row>
    <row r="203" spans="1:12" ht="15.75" customHeight="1">
      <c r="A203" s="137" t="s">
        <v>414</v>
      </c>
      <c r="B203" s="115">
        <f>B202</f>
        <v>0</v>
      </c>
      <c r="C203" s="116">
        <f>C202</f>
        <v>0</v>
      </c>
      <c r="D203" s="117">
        <f>B203*C203</f>
        <v>0</v>
      </c>
      <c r="E203" s="30">
        <f>IF(E202&gt;0,0,1)</f>
        <v>0</v>
      </c>
      <c r="F203" s="31">
        <v>75</v>
      </c>
      <c r="G203" s="32">
        <f>IF(E203&lt;&gt;"",E203/100,"")</f>
        <v>0</v>
      </c>
      <c r="H203" s="33">
        <f>F203*G203</f>
        <v>0</v>
      </c>
      <c r="I203" s="122">
        <f>D203*E203</f>
        <v>0</v>
      </c>
      <c r="J203" s="33">
        <f>H203*0.1</f>
        <v>0</v>
      </c>
      <c r="K203" s="34">
        <f>H203+J203</f>
        <v>0</v>
      </c>
      <c r="L203" s="35" t="s">
        <v>124</v>
      </c>
    </row>
    <row r="204" spans="1:12" ht="15.75" customHeight="1">
      <c r="A204" s="137" t="s">
        <v>415</v>
      </c>
      <c r="B204" s="115">
        <f>B203</f>
        <v>0</v>
      </c>
      <c r="C204" s="116">
        <f>C203</f>
        <v>0</v>
      </c>
      <c r="D204" s="117">
        <f>B204*C204</f>
        <v>0</v>
      </c>
      <c r="E204" s="30">
        <f>IF(E202&gt;0,0,1)</f>
        <v>0</v>
      </c>
      <c r="F204" s="31">
        <v>90</v>
      </c>
      <c r="G204" s="32">
        <f>IF(E204&lt;&gt;"",E204/100,"")</f>
        <v>0</v>
      </c>
      <c r="H204" s="33">
        <f>F204*G204</f>
        <v>0</v>
      </c>
      <c r="I204" s="122">
        <f>D204*E204</f>
        <v>0</v>
      </c>
      <c r="J204" s="33">
        <f>H204*0.1</f>
        <v>0</v>
      </c>
      <c r="K204" s="34">
        <f>H204+J204</f>
        <v>0</v>
      </c>
      <c r="L204" s="35" t="s">
        <v>124</v>
      </c>
    </row>
    <row r="205" spans="1:12" ht="15.75" customHeight="1">
      <c r="A205" s="137" t="s">
        <v>416</v>
      </c>
      <c r="B205" s="115">
        <f>B204</f>
        <v>0</v>
      </c>
      <c r="C205" s="116">
        <f>C204</f>
        <v>0</v>
      </c>
      <c r="D205" s="117">
        <f>B205*C205</f>
        <v>0</v>
      </c>
      <c r="E205" s="30">
        <f>IF(E202&gt;0,0,1)</f>
        <v>0</v>
      </c>
      <c r="F205" s="31">
        <v>70</v>
      </c>
      <c r="G205" s="32">
        <f>IF(E205&lt;&gt;"",E205/100,"")</f>
        <v>0</v>
      </c>
      <c r="H205" s="33">
        <f>F205*G205</f>
        <v>0</v>
      </c>
      <c r="I205" s="122">
        <f>D205*E205</f>
        <v>0</v>
      </c>
      <c r="J205" s="33">
        <f>H205*0.1</f>
        <v>0</v>
      </c>
      <c r="K205" s="34">
        <f>H205+J205</f>
        <v>0</v>
      </c>
      <c r="L205" s="35" t="s">
        <v>124</v>
      </c>
    </row>
    <row r="206" spans="1:12" ht="15.75" customHeight="1">
      <c r="A206" s="137" t="s">
        <v>417</v>
      </c>
      <c r="B206" s="115">
        <f>B205</f>
        <v>0</v>
      </c>
      <c r="C206" s="116">
        <f>C205</f>
        <v>0</v>
      </c>
      <c r="D206" s="117">
        <f>B206*C206</f>
        <v>0</v>
      </c>
      <c r="E206" s="32">
        <f>IF(E194&gt;0,0,1)</f>
        <v>1</v>
      </c>
      <c r="F206" s="31">
        <v>75</v>
      </c>
      <c r="G206" s="32">
        <f>ROUNDUP(E206/25,0)</f>
        <v>1</v>
      </c>
      <c r="H206" s="33">
        <f>F206*G206</f>
        <v>75</v>
      </c>
      <c r="I206" s="122">
        <f>D206*E206</f>
        <v>0</v>
      </c>
      <c r="J206" s="33">
        <f>H206*0.1</f>
        <v>7.5</v>
      </c>
      <c r="K206" s="34">
        <f>H206+J206</f>
        <v>82.5</v>
      </c>
      <c r="L206" s="35" t="s">
        <v>134</v>
      </c>
    </row>
    <row r="207" spans="1:12" ht="15.75" customHeight="1">
      <c r="A207" s="137" t="s">
        <v>418</v>
      </c>
      <c r="B207" s="115">
        <f>B206</f>
        <v>0</v>
      </c>
      <c r="C207" s="116">
        <f>C206</f>
        <v>0</v>
      </c>
      <c r="D207" s="117">
        <f>B207*C207</f>
        <v>0</v>
      </c>
      <c r="E207" s="32">
        <f>IF(E206&gt;0,0,1)</f>
        <v>0</v>
      </c>
      <c r="F207" s="31">
        <v>60</v>
      </c>
      <c r="G207" s="32">
        <f>ROUNDUP(E207/25,0)</f>
        <v>0</v>
      </c>
      <c r="H207" s="33">
        <f>F207*G207</f>
        <v>0</v>
      </c>
      <c r="I207" s="122">
        <f>D207*E207</f>
        <v>0</v>
      </c>
      <c r="J207" s="33">
        <f>H207*0.1</f>
        <v>0</v>
      </c>
      <c r="K207" s="34">
        <f>H207+J207</f>
        <v>0</v>
      </c>
      <c r="L207" s="35" t="s">
        <v>134</v>
      </c>
    </row>
    <row r="208" spans="1:12" ht="15.75" customHeight="1">
      <c r="A208" s="137" t="s">
        <v>419</v>
      </c>
      <c r="B208" s="115">
        <f>B207</f>
        <v>0</v>
      </c>
      <c r="C208" s="116">
        <f>C207</f>
        <v>0</v>
      </c>
      <c r="D208" s="117">
        <f>B208*C208</f>
        <v>0</v>
      </c>
      <c r="E208" s="32">
        <f>IF(E206&gt;0,0,1)</f>
        <v>0</v>
      </c>
      <c r="F208" s="31">
        <v>50</v>
      </c>
      <c r="G208" s="32">
        <f>ROUNDUP(E208/25,0)</f>
        <v>0</v>
      </c>
      <c r="H208" s="33">
        <f>F208*G208</f>
        <v>0</v>
      </c>
      <c r="I208" s="122">
        <f>D208*E208</f>
        <v>0</v>
      </c>
      <c r="J208" s="33">
        <f>H208*0.1</f>
        <v>0</v>
      </c>
      <c r="K208" s="34">
        <f>H208+J208</f>
        <v>0</v>
      </c>
      <c r="L208" s="35" t="s">
        <v>134</v>
      </c>
    </row>
    <row r="209" spans="1:12" ht="15.75" customHeight="1">
      <c r="A209" s="137" t="s">
        <v>420</v>
      </c>
      <c r="B209" s="115">
        <f>B208</f>
        <v>0</v>
      </c>
      <c r="C209" s="116">
        <f>C208</f>
        <v>0</v>
      </c>
      <c r="D209" s="117">
        <f>B209*C209</f>
        <v>0</v>
      </c>
      <c r="E209" s="32">
        <f>ROUNDUP(B128/250,0)</f>
        <v>16</v>
      </c>
      <c r="F209" s="31">
        <v>85</v>
      </c>
      <c r="G209" s="32">
        <f>ROUNDUP(E209/25,0)</f>
        <v>1</v>
      </c>
      <c r="H209" s="33">
        <f>F209*G209</f>
        <v>85</v>
      </c>
      <c r="I209" s="122">
        <f>D209*E209</f>
        <v>0</v>
      </c>
      <c r="J209" s="33">
        <f>H209*0.1</f>
        <v>8.5</v>
      </c>
      <c r="K209" s="34">
        <f>H209+J209</f>
        <v>93.5</v>
      </c>
      <c r="L209" s="35" t="s">
        <v>134</v>
      </c>
    </row>
    <row r="210" spans="1:12" ht="15.75" customHeight="1">
      <c r="A210" s="137" t="s">
        <v>421</v>
      </c>
      <c r="B210" s="115">
        <f>B209</f>
        <v>0</v>
      </c>
      <c r="C210" s="116">
        <f>C209</f>
        <v>0</v>
      </c>
      <c r="D210" s="117">
        <f>B210*C210</f>
        <v>0</v>
      </c>
      <c r="E210" s="32">
        <f>IF(E206&gt;0,0,1)</f>
        <v>0</v>
      </c>
      <c r="F210" s="31">
        <v>65</v>
      </c>
      <c r="G210" s="32">
        <f>ROUNDUP(E210/25,0)</f>
        <v>0</v>
      </c>
      <c r="H210" s="33">
        <f>F210*G210</f>
        <v>0</v>
      </c>
      <c r="I210" s="122">
        <f>D210*E210</f>
        <v>0</v>
      </c>
      <c r="J210" s="33">
        <f>H210*0.1</f>
        <v>0</v>
      </c>
      <c r="K210" s="34">
        <f>H210+J210</f>
        <v>0</v>
      </c>
      <c r="L210" s="35" t="s">
        <v>134</v>
      </c>
    </row>
    <row r="211" spans="1:12" ht="15.75" customHeight="1">
      <c r="A211" s="137" t="s">
        <v>422</v>
      </c>
      <c r="B211" s="115">
        <f>B210</f>
        <v>0</v>
      </c>
      <c r="C211" s="116">
        <f>C210</f>
        <v>0</v>
      </c>
      <c r="D211" s="117">
        <f>B211*C211</f>
        <v>0</v>
      </c>
      <c r="E211" s="30">
        <f>E106</f>
        <v>1</v>
      </c>
      <c r="F211" s="31">
        <v>2500</v>
      </c>
      <c r="G211" s="32">
        <f>E211*2.25</f>
        <v>2.25</v>
      </c>
      <c r="H211" s="33">
        <f>F211*G211</f>
        <v>5625</v>
      </c>
      <c r="I211" s="122">
        <f>D211*E211</f>
        <v>0</v>
      </c>
      <c r="J211" s="33">
        <f>H211*0.1</f>
        <v>562.5</v>
      </c>
      <c r="K211" s="34">
        <f>H211+J211</f>
        <v>6187.5</v>
      </c>
      <c r="L211" s="35" t="s">
        <v>104</v>
      </c>
    </row>
    <row r="212" spans="1:12" ht="15.75" customHeight="1">
      <c r="A212" s="137" t="s">
        <v>423</v>
      </c>
      <c r="B212" s="115">
        <f>B211</f>
        <v>0</v>
      </c>
      <c r="C212" s="116">
        <f>C211</f>
        <v>0</v>
      </c>
      <c r="D212" s="117">
        <f>B212*C212</f>
        <v>0</v>
      </c>
      <c r="E212" s="30">
        <f>IF(E205&gt;0,0,1)</f>
        <v>1</v>
      </c>
      <c r="F212" s="31">
        <v>70</v>
      </c>
      <c r="G212" s="32">
        <f>IF(E212&lt;&gt;"",E212/100,"")</f>
        <v>0.01</v>
      </c>
      <c r="H212" s="33">
        <f>F212*G212</f>
        <v>0.70000000000000007</v>
      </c>
      <c r="I212" s="122">
        <f>D212*E212</f>
        <v>0</v>
      </c>
      <c r="J212" s="33">
        <f>H212*0.1</f>
        <v>7.0000000000000007E-2</v>
      </c>
      <c r="K212" s="34">
        <f>H212+J212</f>
        <v>0.77</v>
      </c>
      <c r="L212" s="35" t="s">
        <v>104</v>
      </c>
    </row>
    <row r="213" spans="1:12" ht="15.75" customHeight="1">
      <c r="A213" s="137" t="s">
        <v>424</v>
      </c>
      <c r="B213" s="115">
        <f>B212</f>
        <v>0</v>
      </c>
      <c r="C213" s="116">
        <f>C212</f>
        <v>0</v>
      </c>
      <c r="D213" s="117">
        <f>B213*C213</f>
        <v>0</v>
      </c>
      <c r="E213" s="32">
        <f>ROUNDUP(B128/1.5,0)</f>
        <v>2667</v>
      </c>
      <c r="F213" s="31">
        <v>60</v>
      </c>
      <c r="G213" s="32">
        <f>ROUNDUP(E213/50,0)</f>
        <v>54</v>
      </c>
      <c r="H213" s="33">
        <f>F213*G213</f>
        <v>3240</v>
      </c>
      <c r="I213" s="122">
        <f>D213*E213</f>
        <v>0</v>
      </c>
      <c r="J213" s="33">
        <f>H213*0.1</f>
        <v>324</v>
      </c>
      <c r="K213" s="34">
        <f>H213+J213</f>
        <v>3564</v>
      </c>
      <c r="L213" s="35" t="s">
        <v>146</v>
      </c>
    </row>
    <row r="214" spans="1:12" ht="15.75" customHeight="1">
      <c r="A214" s="137" t="s">
        <v>425</v>
      </c>
      <c r="B214" s="115">
        <f>B213</f>
        <v>0</v>
      </c>
      <c r="C214" s="116">
        <f>C213</f>
        <v>0</v>
      </c>
      <c r="D214" s="117">
        <f>B214*C214</f>
        <v>0</v>
      </c>
      <c r="E214" s="32">
        <f>E213</f>
        <v>2667</v>
      </c>
      <c r="F214" s="31">
        <v>70</v>
      </c>
      <c r="G214" s="32">
        <f>ROUNDUP(E214/50,0)</f>
        <v>54</v>
      </c>
      <c r="H214" s="33">
        <f>F214*G214</f>
        <v>3780</v>
      </c>
      <c r="I214" s="122">
        <f>D214*E214</f>
        <v>0</v>
      </c>
      <c r="J214" s="33">
        <f>H214*0.1</f>
        <v>378</v>
      </c>
      <c r="K214" s="34">
        <f>H214+J214</f>
        <v>4158</v>
      </c>
      <c r="L214" s="35" t="s">
        <v>146</v>
      </c>
    </row>
    <row r="215" spans="1:12" ht="15.75" customHeight="1">
      <c r="A215" s="137" t="s">
        <v>426</v>
      </c>
      <c r="B215" s="115">
        <f>B214</f>
        <v>0</v>
      </c>
      <c r="C215" s="116">
        <f>C214</f>
        <v>0</v>
      </c>
      <c r="D215" s="117">
        <f>B215*C215</f>
        <v>0</v>
      </c>
      <c r="E215" s="32">
        <f>E214</f>
        <v>2667</v>
      </c>
      <c r="F215" s="31">
        <v>75</v>
      </c>
      <c r="G215" s="32">
        <f>ROUNDUP(E215/50,0)</f>
        <v>54</v>
      </c>
      <c r="H215" s="33">
        <f>F215*G215</f>
        <v>4050</v>
      </c>
      <c r="I215" s="122">
        <f>D215*E215</f>
        <v>0</v>
      </c>
      <c r="J215" s="33">
        <f>H215*0.1</f>
        <v>405</v>
      </c>
      <c r="K215" s="34">
        <f>H215+J215</f>
        <v>4455</v>
      </c>
      <c r="L215" s="35" t="s">
        <v>116</v>
      </c>
    </row>
    <row r="216" spans="1:12" ht="15.75" customHeight="1">
      <c r="A216" s="137" t="s">
        <v>427</v>
      </c>
      <c r="B216" s="115">
        <f>B215</f>
        <v>0</v>
      </c>
      <c r="C216" s="116">
        <f>C215</f>
        <v>0</v>
      </c>
      <c r="D216" s="117">
        <f>B216*C216</f>
        <v>0</v>
      </c>
      <c r="E216" s="32">
        <f>E215*0.15</f>
        <v>400.05</v>
      </c>
      <c r="F216" s="31">
        <v>60</v>
      </c>
      <c r="G216" s="32">
        <f>ROUNDUP(E216/50,0)</f>
        <v>9</v>
      </c>
      <c r="H216" s="33">
        <f>F216*G216</f>
        <v>540</v>
      </c>
      <c r="I216" s="122">
        <f>D216*E216</f>
        <v>0</v>
      </c>
      <c r="J216" s="33">
        <f>H216*0.1</f>
        <v>54</v>
      </c>
      <c r="K216" s="34">
        <f>H216+J216</f>
        <v>594</v>
      </c>
      <c r="L216" s="35" t="s">
        <v>140</v>
      </c>
    </row>
    <row r="217" spans="1:12" ht="15.75" customHeight="1">
      <c r="A217" s="137" t="s">
        <v>428</v>
      </c>
      <c r="B217" s="115">
        <f>B216</f>
        <v>0</v>
      </c>
      <c r="C217" s="116">
        <f>C216</f>
        <v>0</v>
      </c>
      <c r="D217" s="117">
        <f>B217*C217</f>
        <v>0</v>
      </c>
      <c r="E217" s="32">
        <f>B128*0.0005</f>
        <v>2</v>
      </c>
      <c r="F217" s="31">
        <v>40</v>
      </c>
      <c r="G217" s="32">
        <f>E217*2</f>
        <v>4</v>
      </c>
      <c r="H217" s="33">
        <f>F217*G217</f>
        <v>160</v>
      </c>
      <c r="I217" s="122">
        <f>D217*E217</f>
        <v>0</v>
      </c>
      <c r="J217" s="33">
        <f>H217*0.1</f>
        <v>16</v>
      </c>
      <c r="K217" s="34">
        <f>H217+J217</f>
        <v>176</v>
      </c>
      <c r="L217" s="35" t="s">
        <v>96</v>
      </c>
    </row>
    <row r="218" spans="1:12" ht="15.75" customHeight="1">
      <c r="A218" s="137" t="s">
        <v>429</v>
      </c>
      <c r="B218" s="115">
        <f>B217</f>
        <v>0</v>
      </c>
      <c r="C218" s="116">
        <f>C217</f>
        <v>0</v>
      </c>
      <c r="D218" s="117">
        <f>B218*C218</f>
        <v>0</v>
      </c>
      <c r="E218" s="30">
        <f>SUM(B128/2)*4</f>
        <v>8000</v>
      </c>
      <c r="F218" s="31">
        <v>45</v>
      </c>
      <c r="G218" s="32">
        <f>IF(E218&lt;&gt;"",E218/100,"")</f>
        <v>80</v>
      </c>
      <c r="H218" s="33">
        <f>F218*G218</f>
        <v>3600</v>
      </c>
      <c r="I218" s="122">
        <f>D218*E218</f>
        <v>0</v>
      </c>
      <c r="J218" s="33">
        <f>H218*0.1</f>
        <v>360</v>
      </c>
      <c r="K218" s="34">
        <f>H218+J218</f>
        <v>3960</v>
      </c>
      <c r="L218" s="35" t="s">
        <v>106</v>
      </c>
    </row>
    <row r="219" spans="1:12" ht="15.75" customHeight="1">
      <c r="A219" s="137" t="s">
        <v>430</v>
      </c>
      <c r="B219" s="115">
        <f>B218</f>
        <v>0</v>
      </c>
      <c r="C219" s="116">
        <f>C218</f>
        <v>0</v>
      </c>
      <c r="D219" s="117">
        <f>B219*C219</f>
        <v>0</v>
      </c>
      <c r="E219" s="30">
        <f>ROUNDUP((ROUNDUP(B128/1500,0))/3,0)</f>
        <v>1</v>
      </c>
      <c r="F219" s="31">
        <v>60</v>
      </c>
      <c r="G219" s="32">
        <f>IF(E219&lt;&gt;"",E219/100,"")</f>
        <v>0.01</v>
      </c>
      <c r="H219" s="33">
        <f>F219*G219</f>
        <v>0.6</v>
      </c>
      <c r="I219" s="122">
        <f>D219*E219</f>
        <v>0</v>
      </c>
      <c r="J219" s="33">
        <f>H219*0.1</f>
        <v>0.06</v>
      </c>
      <c r="K219" s="34">
        <f>H219+J219</f>
        <v>0.65999999999999992</v>
      </c>
      <c r="L219" s="35" t="s">
        <v>158</v>
      </c>
    </row>
    <row r="220" spans="1:12" ht="15.75" customHeight="1">
      <c r="A220" s="137" t="s">
        <v>431</v>
      </c>
      <c r="B220" s="115">
        <f>B219</f>
        <v>0</v>
      </c>
      <c r="C220" s="116">
        <f>C219</f>
        <v>0</v>
      </c>
      <c r="D220" s="117">
        <f>B220*C220</f>
        <v>0</v>
      </c>
      <c r="E220" s="30">
        <f>IF(E219&gt;0,1,ROUNDUP(B128/500,0))</f>
        <v>1</v>
      </c>
      <c r="F220" s="31">
        <v>70</v>
      </c>
      <c r="G220" s="32">
        <f>IF(E220&lt;&gt;"",E220/100,"")</f>
        <v>0.01</v>
      </c>
      <c r="H220" s="33">
        <f>F220*G220</f>
        <v>0.70000000000000007</v>
      </c>
      <c r="I220" s="122">
        <f>D220*E220</f>
        <v>0</v>
      </c>
      <c r="J220" s="33">
        <f>H220*0.1</f>
        <v>7.0000000000000007E-2</v>
      </c>
      <c r="K220" s="34">
        <f>H220+J220</f>
        <v>0.77</v>
      </c>
      <c r="L220" s="35" t="s">
        <v>158</v>
      </c>
    </row>
    <row r="221" spans="1:12" ht="15.75" customHeight="1">
      <c r="A221" s="137" t="s">
        <v>432</v>
      </c>
      <c r="B221" s="115">
        <f>B220</f>
        <v>0</v>
      </c>
      <c r="C221" s="116">
        <f>C220</f>
        <v>0</v>
      </c>
      <c r="D221" s="117">
        <f>B221*C221</f>
        <v>0</v>
      </c>
      <c r="E221" s="30">
        <f>ROUNDUP(B128/8000,0)</f>
        <v>1</v>
      </c>
      <c r="F221" s="31">
        <v>60</v>
      </c>
      <c r="G221" s="32">
        <f>IF(E221&lt;&gt;"",E221/100,"")</f>
        <v>0.01</v>
      </c>
      <c r="H221" s="33">
        <f>F221*G221</f>
        <v>0.6</v>
      </c>
      <c r="I221" s="122">
        <f>D221*E221</f>
        <v>0</v>
      </c>
      <c r="J221" s="33">
        <f>H221*0.1</f>
        <v>0.06</v>
      </c>
      <c r="K221" s="34">
        <f>H221+J221</f>
        <v>0.65999999999999992</v>
      </c>
      <c r="L221" s="35" t="s">
        <v>158</v>
      </c>
    </row>
    <row r="222" spans="1:12" ht="15.75" customHeight="1">
      <c r="A222" s="137" t="s">
        <v>433</v>
      </c>
      <c r="B222" s="115">
        <f>B221</f>
        <v>0</v>
      </c>
      <c r="C222" s="116">
        <f>C221</f>
        <v>0</v>
      </c>
      <c r="D222" s="117">
        <f>B222*C222</f>
        <v>0</v>
      </c>
      <c r="E222" s="30">
        <f>ROUNDUP(B128/5000,0)</f>
        <v>1</v>
      </c>
      <c r="F222" s="31">
        <v>65</v>
      </c>
      <c r="G222" s="32">
        <f>IF(E222&lt;&gt;"",E222/100,"")</f>
        <v>0.01</v>
      </c>
      <c r="H222" s="33">
        <f>F222*G222</f>
        <v>0.65</v>
      </c>
      <c r="I222" s="122">
        <f>D222*E222</f>
        <v>0</v>
      </c>
      <c r="J222" s="33">
        <f>H222*0.1</f>
        <v>6.5000000000000002E-2</v>
      </c>
      <c r="K222" s="34">
        <f>H222+J222</f>
        <v>0.71500000000000008</v>
      </c>
      <c r="L222" s="35" t="s">
        <v>158</v>
      </c>
    </row>
    <row r="223" spans="1:12" ht="15.75" customHeight="1">
      <c r="A223" s="137" t="s">
        <v>434</v>
      </c>
      <c r="B223" s="115">
        <f>B222</f>
        <v>0</v>
      </c>
      <c r="C223" s="116">
        <f>C222</f>
        <v>0</v>
      </c>
      <c r="D223" s="117">
        <f>B223*C223</f>
        <v>0</v>
      </c>
      <c r="E223" s="30">
        <f>IF(E219&gt;0,0,1)</f>
        <v>0</v>
      </c>
      <c r="F223" s="31">
        <v>60</v>
      </c>
      <c r="G223" s="32">
        <f>IF(E223&lt;&gt;"",E223/100,"")</f>
        <v>0</v>
      </c>
      <c r="H223" s="33">
        <f>F223*G223</f>
        <v>0</v>
      </c>
      <c r="I223" s="122">
        <f>D223*E223</f>
        <v>0</v>
      </c>
      <c r="J223" s="33">
        <f>H223*0.1</f>
        <v>0</v>
      </c>
      <c r="K223" s="34">
        <f>H223+J223</f>
        <v>0</v>
      </c>
      <c r="L223" s="35" t="s">
        <v>158</v>
      </c>
    </row>
    <row r="224" spans="1:12" ht="15.75" customHeight="1">
      <c r="A224" s="137" t="s">
        <v>435</v>
      </c>
      <c r="B224" s="115">
        <f>B223</f>
        <v>0</v>
      </c>
      <c r="C224" s="116">
        <f>C223</f>
        <v>0</v>
      </c>
      <c r="D224" s="117">
        <f>B224*C224</f>
        <v>0</v>
      </c>
      <c r="E224" s="30">
        <f>ROUNDUP(B130/1500,0)</f>
        <v>3</v>
      </c>
      <c r="F224" s="31">
        <v>50</v>
      </c>
      <c r="G224" s="32">
        <f>IF(E224&lt;&gt;"",E224/100,"")</f>
        <v>0.03</v>
      </c>
      <c r="H224" s="33">
        <f>F224*G224</f>
        <v>1.5</v>
      </c>
      <c r="I224" s="122">
        <f>D224*E224</f>
        <v>0</v>
      </c>
      <c r="J224" s="33">
        <f>H224*0.1</f>
        <v>0.15000000000000002</v>
      </c>
      <c r="K224" s="34">
        <f>H224+J224</f>
        <v>1.65</v>
      </c>
      <c r="L224" s="35" t="s">
        <v>158</v>
      </c>
    </row>
    <row r="225" spans="1:12" ht="15.75" customHeight="1">
      <c r="A225" s="137" t="s">
        <v>436</v>
      </c>
      <c r="B225" s="115">
        <f>B223</f>
        <v>0</v>
      </c>
      <c r="C225" s="116">
        <v>0</v>
      </c>
      <c r="D225" s="117">
        <f>B225*C225</f>
        <v>0</v>
      </c>
      <c r="E225" s="30">
        <v>1</v>
      </c>
      <c r="F225" s="31">
        <v>150</v>
      </c>
      <c r="G225" s="32">
        <v>1</v>
      </c>
      <c r="H225" s="33">
        <f>F225*G225</f>
        <v>150</v>
      </c>
      <c r="I225" s="122">
        <f>D225*E225</f>
        <v>0</v>
      </c>
      <c r="J225" s="33">
        <f>H225*0.1</f>
        <v>15</v>
      </c>
      <c r="K225" s="34">
        <f>H225+J225</f>
        <v>165</v>
      </c>
      <c r="L225" s="35" t="s">
        <v>69</v>
      </c>
    </row>
    <row r="226" spans="1:12" ht="15.75" customHeight="1">
      <c r="A226" s="137" t="s">
        <v>437</v>
      </c>
      <c r="B226" s="115">
        <f t="shared" ref="B226:B229" si="3">B224</f>
        <v>0</v>
      </c>
      <c r="C226" s="116">
        <v>0</v>
      </c>
      <c r="D226" s="117">
        <f t="shared" ref="D226:D228" si="4">B226*C226</f>
        <v>0</v>
      </c>
      <c r="E226" s="30">
        <f>B127*0.25</f>
        <v>10890</v>
      </c>
      <c r="F226" s="31">
        <v>35</v>
      </c>
      <c r="G226" s="32">
        <f>8*8*7</f>
        <v>448</v>
      </c>
      <c r="H226" s="33">
        <f t="shared" ref="H226:H228" si="5">F226*G226</f>
        <v>15680</v>
      </c>
      <c r="I226" s="122">
        <f t="shared" ref="I226:I228" si="6">D226*E226</f>
        <v>0</v>
      </c>
      <c r="J226" s="33">
        <f t="shared" ref="J226:J228" si="7">H226*0.1</f>
        <v>1568</v>
      </c>
      <c r="K226" s="34">
        <f t="shared" ref="K226:K228" si="8">H226+J226</f>
        <v>17248</v>
      </c>
      <c r="L226" s="35" t="s">
        <v>92</v>
      </c>
    </row>
    <row r="227" spans="1:12" ht="15.75" customHeight="1">
      <c r="A227" s="137" t="s">
        <v>438</v>
      </c>
      <c r="B227" s="115">
        <f t="shared" si="3"/>
        <v>0</v>
      </c>
      <c r="C227" s="116">
        <v>0</v>
      </c>
      <c r="D227" s="117">
        <f t="shared" si="4"/>
        <v>0</v>
      </c>
      <c r="E227" s="30">
        <f>B128*0.2</f>
        <v>800</v>
      </c>
      <c r="F227" s="31">
        <v>45</v>
      </c>
      <c r="G227" s="32">
        <f>8*8*7</f>
        <v>448</v>
      </c>
      <c r="H227" s="33">
        <f t="shared" si="5"/>
        <v>20160</v>
      </c>
      <c r="I227" s="122">
        <f t="shared" si="6"/>
        <v>0</v>
      </c>
      <c r="J227" s="33">
        <f t="shared" si="7"/>
        <v>2016</v>
      </c>
      <c r="K227" s="34">
        <f t="shared" si="8"/>
        <v>22176</v>
      </c>
      <c r="L227" s="35" t="s">
        <v>90</v>
      </c>
    </row>
    <row r="228" spans="1:12" ht="15.75" customHeight="1">
      <c r="A228" s="137" t="s">
        <v>439</v>
      </c>
      <c r="B228" s="115">
        <f t="shared" si="3"/>
        <v>0</v>
      </c>
      <c r="C228" s="116">
        <v>0</v>
      </c>
      <c r="D228" s="117">
        <f t="shared" si="4"/>
        <v>0</v>
      </c>
      <c r="E228" s="30">
        <f>B128*0.25</f>
        <v>1000</v>
      </c>
      <c r="F228" s="31">
        <v>40</v>
      </c>
      <c r="G228" s="32">
        <f>8*8*7</f>
        <v>448</v>
      </c>
      <c r="H228" s="33">
        <f t="shared" si="5"/>
        <v>17920</v>
      </c>
      <c r="I228" s="122">
        <f t="shared" si="6"/>
        <v>0</v>
      </c>
      <c r="J228" s="33">
        <f t="shared" si="7"/>
        <v>1792</v>
      </c>
      <c r="K228" s="34">
        <f t="shared" si="8"/>
        <v>19712</v>
      </c>
      <c r="L228" s="35" t="s">
        <v>94</v>
      </c>
    </row>
    <row r="229" spans="1:12" ht="15.75" customHeight="1">
      <c r="A229" s="137" t="s">
        <v>440</v>
      </c>
      <c r="B229" s="115">
        <f t="shared" si="3"/>
        <v>0</v>
      </c>
      <c r="C229" s="116">
        <v>0</v>
      </c>
      <c r="D229" s="117">
        <f t="shared" ref="D229" si="9">B229*C229</f>
        <v>0</v>
      </c>
      <c r="E229" s="30">
        <f>E228</f>
        <v>1000</v>
      </c>
      <c r="F229" s="31">
        <v>50</v>
      </c>
      <c r="G229" s="32">
        <f>8*8*7</f>
        <v>448</v>
      </c>
      <c r="H229" s="33">
        <f t="shared" ref="H229" si="10">F229*G229</f>
        <v>22400</v>
      </c>
      <c r="I229" s="122">
        <f t="shared" ref="I229" si="11">D229*E229</f>
        <v>0</v>
      </c>
      <c r="J229" s="33">
        <f t="shared" ref="J229" si="12">H229*0.1</f>
        <v>2240</v>
      </c>
      <c r="K229" s="34">
        <f t="shared" ref="K229" si="13">H229+J229</f>
        <v>24640</v>
      </c>
      <c r="L229" s="35" t="s">
        <v>104</v>
      </c>
    </row>
    <row r="230" spans="1:12" ht="15.75" customHeight="1">
      <c r="A230" s="137" t="s">
        <v>441</v>
      </c>
      <c r="B230" s="115">
        <f>B224</f>
        <v>0</v>
      </c>
      <c r="C230" s="116">
        <v>0</v>
      </c>
      <c r="D230" s="117">
        <f>B230*C230</f>
        <v>0</v>
      </c>
      <c r="E230" s="30">
        <v>1</v>
      </c>
      <c r="F230" s="31">
        <v>250</v>
      </c>
      <c r="G230" s="32">
        <f>$B$128*0.015</f>
        <v>60</v>
      </c>
      <c r="H230" s="33">
        <f>F230*G230</f>
        <v>15000</v>
      </c>
      <c r="I230" s="122">
        <f>D230*E230</f>
        <v>0</v>
      </c>
      <c r="J230" s="33">
        <f>H230*0.1</f>
        <v>1500</v>
      </c>
      <c r="K230" s="34">
        <f>H230+J230</f>
        <v>16500</v>
      </c>
      <c r="L230" s="35" t="s">
        <v>32</v>
      </c>
    </row>
    <row r="231" spans="1:12" ht="15.75" customHeight="1">
      <c r="A231" s="137" t="s">
        <v>442</v>
      </c>
      <c r="B231" s="115">
        <f>B230</f>
        <v>0</v>
      </c>
      <c r="C231" s="116">
        <f>C230</f>
        <v>0</v>
      </c>
      <c r="D231" s="117">
        <f>B231*C231</f>
        <v>0</v>
      </c>
      <c r="E231" s="30">
        <f>E230</f>
        <v>1</v>
      </c>
      <c r="F231" s="31">
        <v>100</v>
      </c>
      <c r="G231" s="32">
        <f>$B$128*0.025</f>
        <v>100</v>
      </c>
      <c r="H231" s="33">
        <f>F231*G231</f>
        <v>10000</v>
      </c>
      <c r="I231" s="122">
        <f>D231*E231</f>
        <v>0</v>
      </c>
      <c r="J231" s="33">
        <f>H231*0.1</f>
        <v>1000</v>
      </c>
      <c r="K231" s="34">
        <f>H231+J231</f>
        <v>11000</v>
      </c>
      <c r="L231" s="35" t="s">
        <v>195</v>
      </c>
    </row>
    <row r="232" spans="1:12" ht="15.75" customHeight="1">
      <c r="A232" s="137" t="s">
        <v>443</v>
      </c>
      <c r="B232" s="115">
        <f>B231</f>
        <v>0</v>
      </c>
      <c r="C232" s="116">
        <f>C231</f>
        <v>0</v>
      </c>
      <c r="D232" s="117">
        <f>B232*C232</f>
        <v>0</v>
      </c>
      <c r="E232" s="30">
        <v>0</v>
      </c>
      <c r="F232" s="31">
        <v>150</v>
      </c>
      <c r="G232" s="32">
        <f>$B$128*0.005</f>
        <v>20</v>
      </c>
      <c r="H232" s="33">
        <f>F232*G232</f>
        <v>3000</v>
      </c>
      <c r="I232" s="122">
        <f>D232*E232</f>
        <v>0</v>
      </c>
      <c r="J232" s="33">
        <f>H232*0.1</f>
        <v>300</v>
      </c>
      <c r="K232" s="34">
        <f>H232+J232</f>
        <v>3300</v>
      </c>
      <c r="L232" s="35" t="s">
        <v>195</v>
      </c>
    </row>
    <row r="233" spans="1:12" ht="15.75" customHeight="1">
      <c r="A233" s="137" t="s">
        <v>444</v>
      </c>
      <c r="B233" s="115">
        <f>B232</f>
        <v>0</v>
      </c>
      <c r="C233" s="116">
        <f>C232</f>
        <v>0</v>
      </c>
      <c r="D233" s="117">
        <f>B233*C233</f>
        <v>0</v>
      </c>
      <c r="E233" s="30">
        <f>E232</f>
        <v>0</v>
      </c>
      <c r="F233" s="31">
        <v>100</v>
      </c>
      <c r="G233" s="32">
        <f>$B$128*0.0125</f>
        <v>50</v>
      </c>
      <c r="H233" s="33">
        <f>F233*G233</f>
        <v>5000</v>
      </c>
      <c r="I233" s="122">
        <f>D233*E233</f>
        <v>0</v>
      </c>
      <c r="J233" s="33">
        <f>H233*0.1</f>
        <v>500</v>
      </c>
      <c r="K233" s="34">
        <f>H233+J233</f>
        <v>5500</v>
      </c>
      <c r="L233" s="35" t="s">
        <v>11</v>
      </c>
    </row>
    <row r="234" spans="1:12" ht="15.75" customHeight="1">
      <c r="A234" s="137" t="s">
        <v>445</v>
      </c>
      <c r="B234" s="115">
        <f>B233</f>
        <v>0</v>
      </c>
      <c r="C234" s="116">
        <f>C233</f>
        <v>0</v>
      </c>
      <c r="D234" s="117">
        <f>B234*C234</f>
        <v>0</v>
      </c>
      <c r="E234" s="30">
        <v>1</v>
      </c>
      <c r="F234" s="31">
        <v>250</v>
      </c>
      <c r="G234" s="32">
        <v>4</v>
      </c>
      <c r="H234" s="33">
        <f>F234*G234</f>
        <v>1000</v>
      </c>
      <c r="I234" s="122">
        <f>D234*E234</f>
        <v>0</v>
      </c>
      <c r="J234" s="33">
        <f>H234*0.1</f>
        <v>100</v>
      </c>
      <c r="K234" s="34">
        <f>H234+J234</f>
        <v>1100</v>
      </c>
      <c r="L234" s="35" t="s">
        <v>15</v>
      </c>
    </row>
    <row r="235" spans="1:12" ht="15.75" customHeight="1">
      <c r="A235" s="137" t="s">
        <v>446</v>
      </c>
      <c r="B235" s="115">
        <f>B233</f>
        <v>0</v>
      </c>
      <c r="C235" s="116">
        <f>C233</f>
        <v>0</v>
      </c>
      <c r="D235" s="117">
        <f>B235*C235</f>
        <v>0</v>
      </c>
      <c r="E235" s="30">
        <v>1</v>
      </c>
      <c r="F235" s="31">
        <v>250</v>
      </c>
      <c r="G235" s="32">
        <v>4</v>
      </c>
      <c r="H235" s="33">
        <f>F235*G235</f>
        <v>1000</v>
      </c>
      <c r="I235" s="122">
        <f>D235*E235</f>
        <v>0</v>
      </c>
      <c r="J235" s="33">
        <f>H235*0.1</f>
        <v>100</v>
      </c>
      <c r="K235" s="34">
        <f>H235+J235</f>
        <v>1100</v>
      </c>
      <c r="L235" s="35" t="s">
        <v>178</v>
      </c>
    </row>
    <row r="236" spans="1:12" ht="15.75" customHeight="1">
      <c r="A236" s="137" t="s">
        <v>447</v>
      </c>
      <c r="B236" s="115">
        <f>B233</f>
        <v>0</v>
      </c>
      <c r="C236" s="116">
        <f>C233</f>
        <v>0</v>
      </c>
      <c r="D236" s="117">
        <f>B236*C236</f>
        <v>0</v>
      </c>
      <c r="E236" s="30">
        <v>1</v>
      </c>
      <c r="F236" s="31">
        <v>400</v>
      </c>
      <c r="G236" s="32">
        <f>B127*0.00035</f>
        <v>15.246</v>
      </c>
      <c r="H236" s="33">
        <f>F236*G236</f>
        <v>6098.4000000000005</v>
      </c>
      <c r="I236" s="122">
        <f>D236*E236</f>
        <v>0</v>
      </c>
      <c r="J236" s="33">
        <f>H236*0.1</f>
        <v>609.84</v>
      </c>
      <c r="K236" s="34">
        <f>H236+J236</f>
        <v>6708.2400000000007</v>
      </c>
      <c r="L236" s="35" t="s">
        <v>87</v>
      </c>
    </row>
    <row r="237" spans="1:12" ht="15.75" customHeight="1">
      <c r="A237" s="138" t="s">
        <v>448</v>
      </c>
      <c r="B237" s="118">
        <f>B234</f>
        <v>0</v>
      </c>
      <c r="C237" s="119">
        <f>C234</f>
        <v>0</v>
      </c>
      <c r="D237" s="120">
        <f>B237*C237</f>
        <v>0</v>
      </c>
      <c r="E237" s="36">
        <v>1</v>
      </c>
      <c r="F237" s="37">
        <v>400</v>
      </c>
      <c r="G237" s="38">
        <f>B127*0.00015</f>
        <v>6.5339999999999998</v>
      </c>
      <c r="H237" s="106">
        <f>F237*G237</f>
        <v>2613.6</v>
      </c>
      <c r="I237" s="123">
        <f>D237*E237</f>
        <v>0</v>
      </c>
      <c r="J237" s="106">
        <f>H237*0.1</f>
        <v>261.36</v>
      </c>
      <c r="K237" s="107">
        <f>H237+J237</f>
        <v>2874.96</v>
      </c>
      <c r="L237" s="88" t="s">
        <v>108</v>
      </c>
    </row>
    <row r="238" spans="1:12" ht="15.75" customHeight="1">
      <c r="I238" s="125"/>
      <c r="K238" s="152">
        <f>SUM(K135:K237)</f>
        <v>216146.42637499998</v>
      </c>
      <c r="L238" s="153"/>
    </row>
    <row r="240" spans="1:12" ht="30.75">
      <c r="A240" s="146" t="s">
        <v>449</v>
      </c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</row>
    <row r="241" spans="1:12" ht="15.75" customHeight="1">
      <c r="A241" s="127"/>
      <c r="B241" s="127"/>
      <c r="C241" s="127"/>
      <c r="D241" s="128"/>
      <c r="E241" s="127"/>
      <c r="F241" s="127"/>
      <c r="G241" s="127"/>
      <c r="H241" s="127"/>
      <c r="I241" s="127"/>
      <c r="J241" s="127"/>
      <c r="K241" s="127"/>
    </row>
    <row r="242" spans="1:12" ht="15.75" customHeight="1">
      <c r="A242" s="129" t="s">
        <v>213</v>
      </c>
      <c r="B242" s="128">
        <f>K120</f>
        <v>820578.02048749989</v>
      </c>
      <c r="C242" s="127"/>
      <c r="D242" s="128"/>
      <c r="E242" s="129"/>
      <c r="F242" s="129" t="s">
        <v>450</v>
      </c>
      <c r="G242" s="133">
        <f>H242/B244</f>
        <v>0.14158176706859069</v>
      </c>
      <c r="H242" s="128">
        <f>SUM(H128+H8)</f>
        <v>146781.27914999999</v>
      </c>
      <c r="I242" s="127"/>
      <c r="J242" s="131"/>
      <c r="K242" s="131" t="s">
        <v>4</v>
      </c>
      <c r="L242" s="134">
        <f>B5</f>
        <v>45658</v>
      </c>
    </row>
    <row r="243" spans="1:12" ht="15.75" customHeight="1">
      <c r="A243" s="129" t="s">
        <v>342</v>
      </c>
      <c r="B243" s="128">
        <f>K238</f>
        <v>216146.42637499998</v>
      </c>
      <c r="C243" s="127"/>
      <c r="D243" s="128"/>
      <c r="E243" s="129"/>
      <c r="F243" s="129" t="s">
        <v>451</v>
      </c>
      <c r="G243" s="133">
        <f>H243/B244</f>
        <v>3.8807508756795082E-2</v>
      </c>
      <c r="H243" s="128">
        <f>SUM(H129+H9)</f>
        <v>40232.693050000002</v>
      </c>
      <c r="I243" s="127"/>
      <c r="J243" s="131"/>
      <c r="K243" s="131" t="s">
        <v>5</v>
      </c>
      <c r="L243" s="134">
        <f>H5</f>
        <v>45980</v>
      </c>
    </row>
    <row r="244" spans="1:12" ht="15.75" customHeight="1">
      <c r="A244" s="131" t="s">
        <v>213</v>
      </c>
      <c r="B244" s="130">
        <f>SUM(B242:B243)</f>
        <v>1036724.4468624999</v>
      </c>
      <c r="C244" s="127"/>
      <c r="D244" s="128"/>
      <c r="E244" s="131"/>
      <c r="F244" s="131" t="s">
        <v>452</v>
      </c>
      <c r="G244" s="128"/>
      <c r="H244" s="132">
        <f>H242+H243</f>
        <v>187013.97219999999</v>
      </c>
      <c r="I244" s="127"/>
      <c r="J244" s="131"/>
      <c r="K244" s="131" t="s">
        <v>453</v>
      </c>
      <c r="L244" s="135">
        <f>H124</f>
        <v>1192.1440249999998</v>
      </c>
    </row>
  </sheetData>
  <mergeCells count="5">
    <mergeCell ref="A240:K240"/>
    <mergeCell ref="A2:K2"/>
    <mergeCell ref="K120:L120"/>
    <mergeCell ref="A122:K122"/>
    <mergeCell ref="K238:L238"/>
  </mergeCells>
  <conditionalFormatting sqref="K9:L9">
    <cfRule type="cellIs" dxfId="8" priority="14" operator="equal">
      <formula>1</formula>
    </cfRule>
  </conditionalFormatting>
  <conditionalFormatting sqref="K129">
    <cfRule type="cellIs" dxfId="7" priority="12" operator="equal">
      <formula>1</formula>
    </cfRule>
  </conditionalFormatting>
  <conditionalFormatting sqref="I237:I238 J237:K237 G237:H237 E230:E237 G230:K236">
    <cfRule type="cellIs" dxfId="6" priority="11" stopIfTrue="1" operator="equal">
      <formula>0</formula>
    </cfRule>
  </conditionalFormatting>
  <conditionalFormatting sqref="E212:E224 J134:K224 G134:H224 E134:E210">
    <cfRule type="cellIs" dxfId="5" priority="7" stopIfTrue="1" operator="equal">
      <formula>0</formula>
    </cfRule>
  </conditionalFormatting>
  <conditionalFormatting sqref="I134:I224">
    <cfRule type="cellIs" dxfId="4" priority="6" stopIfTrue="1" operator="equal">
      <formula>0</formula>
    </cfRule>
  </conditionalFormatting>
  <conditionalFormatting sqref="E225:E229 J225:K229 G225:H229">
    <cfRule type="cellIs" dxfId="3" priority="5" stopIfTrue="1" operator="equal">
      <formula>0</formula>
    </cfRule>
  </conditionalFormatting>
  <conditionalFormatting sqref="I225:I229">
    <cfRule type="cellIs" dxfId="2" priority="4" stopIfTrue="1" operator="equal">
      <formula>0</formula>
    </cfRule>
  </conditionalFormatting>
  <conditionalFormatting sqref="E211">
    <cfRule type="cellIs" dxfId="1" priority="3" stopIfTrue="1" operator="equal">
      <formula>0</formula>
    </cfRule>
  </conditionalFormatting>
  <conditionalFormatting sqref="E14:E119 G14:K119">
    <cfRule type="cellIs" dxfId="0" priority="1" stopIfTrue="1" operator="equal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0932-1FBD-F84B-80D0-6007521E7235}">
  <dimension ref="A1:B7"/>
  <sheetViews>
    <sheetView workbookViewId="0">
      <selection activeCell="B13" sqref="B13"/>
    </sheetView>
  </sheetViews>
  <sheetFormatPr defaultColWidth="11.42578125" defaultRowHeight="15"/>
  <cols>
    <col min="1" max="2" width="20.7109375" customWidth="1"/>
  </cols>
  <sheetData>
    <row r="1" spans="1:2" ht="15.75">
      <c r="A1" s="29" t="s">
        <v>10</v>
      </c>
      <c r="B1" s="29" t="s">
        <v>454</v>
      </c>
    </row>
    <row r="2" spans="1:2" ht="15.75">
      <c r="A2" s="22">
        <v>0</v>
      </c>
      <c r="B2" s="23" t="s">
        <v>14</v>
      </c>
    </row>
    <row r="3" spans="1:2" ht="15.75">
      <c r="A3" s="22">
        <v>1</v>
      </c>
      <c r="B3" s="24" t="s">
        <v>455</v>
      </c>
    </row>
    <row r="4" spans="1:2" ht="15.75">
      <c r="A4" s="22">
        <v>2</v>
      </c>
      <c r="B4" s="25" t="s">
        <v>31</v>
      </c>
    </row>
    <row r="5" spans="1:2" ht="15.75">
      <c r="A5" s="22">
        <v>3</v>
      </c>
      <c r="B5" s="26" t="s">
        <v>182</v>
      </c>
    </row>
    <row r="6" spans="1:2" ht="15.75">
      <c r="A6" s="22">
        <v>4</v>
      </c>
      <c r="B6" s="27" t="s">
        <v>89</v>
      </c>
    </row>
    <row r="7" spans="1:2" ht="15.75">
      <c r="A7" s="22">
        <v>5</v>
      </c>
      <c r="B7" s="28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2025-03-20T01:06:03Z</dcterms:created>
  <dcterms:modified xsi:type="dcterms:W3CDTF">2025-03-23T12:58:49Z</dcterms:modified>
  <cp:category/>
  <cp:contentStatus/>
</cp:coreProperties>
</file>