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\Automatizaciones_Reportes\PDF_EXCEL_APP\"/>
    </mc:Choice>
  </mc:AlternateContent>
  <xr:revisionPtr revIDLastSave="0" documentId="13_ncr:1_{AD94E134-ABB3-42E5-A45B-C1FAF0FDF678}" xr6:coauthVersionLast="47" xr6:coauthVersionMax="47" xr10:uidLastSave="{00000000-0000-0000-0000-000000000000}"/>
  <bookViews>
    <workbookView xWindow="20370" yWindow="-120" windowWidth="24240" windowHeight="13020" tabRatio="758" activeTab="1" xr2:uid="{B000CA15-5DCE-481F-8604-331E4103ADEF}"/>
  </bookViews>
  <sheets>
    <sheet name="DATA-BRUTO" sheetId="55" r:id="rId1"/>
    <sheet name="Decisioning" sheetId="54" r:id="rId2"/>
    <sheet name="CREDITO" sheetId="58" r:id="rId3"/>
  </sheets>
  <definedNames>
    <definedName name="_xlnm._FilterDatabase" localSheetId="0" hidden="1">'DATA-BRUTO'!$A$1:$C$300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5" l="1"/>
  <c r="D18" i="54" l="1"/>
  <c r="D21" i="54" s="1"/>
  <c r="E10" i="54"/>
  <c r="E9" i="54"/>
  <c r="E8" i="54"/>
  <c r="E7" i="54"/>
  <c r="E6" i="54"/>
  <c r="E4" i="54"/>
  <c r="D28" i="54" l="1"/>
  <c r="D20" i="54"/>
  <c r="F13" i="54"/>
  <c r="F25" i="54" l="1"/>
  <c r="F24" i="54"/>
  <c r="F23" i="54"/>
  <c r="G34" i="54"/>
  <c r="G32" i="54"/>
  <c r="G33" i="54"/>
  <c r="F11" i="54"/>
  <c r="F7" i="54" l="1"/>
  <c r="F4" i="54" l="1"/>
  <c r="F10" i="54"/>
  <c r="F9" i="54"/>
  <c r="F8" i="54"/>
  <c r="F6" i="54"/>
  <c r="G20" i="54" a="1"/>
  <c r="G20" i="54" s="1"/>
  <c r="E20" i="54" l="1"/>
  <c r="G23" i="54" l="1"/>
  <c r="G25" i="54"/>
  <c r="G24" i="54"/>
  <c r="E18" i="54"/>
  <c r="F18" i="54" s="1"/>
  <c r="D37" i="54"/>
  <c r="G43" i="54" l="1"/>
  <c r="G42" i="54"/>
  <c r="G39" i="54"/>
  <c r="G40" i="54"/>
  <c r="G26" i="54"/>
  <c r="G30" i="54" s="1"/>
  <c r="G31" i="54" l="1"/>
  <c r="G35" i="54" l="1"/>
  <c r="G41" i="54" s="1"/>
  <c r="G44" i="54" l="1"/>
  <c r="G46" i="5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<sst xmlns="http://schemas.openxmlformats.org/spreadsheetml/2006/main" count="153" uniqueCount="124">
  <si>
    <t>Gross Margin</t>
  </si>
  <si>
    <t>Knockout Rules</t>
  </si>
  <si>
    <t>Sr No</t>
  </si>
  <si>
    <t>Parameters</t>
  </si>
  <si>
    <t>Criteria</t>
  </si>
  <si>
    <t>Actual Values</t>
  </si>
  <si>
    <t>Pass/Fail</t>
  </si>
  <si>
    <t>Minimum Annual revenue $5,000,000</t>
  </si>
  <si>
    <t>Negative bank balance days in the last 6 months</t>
  </si>
  <si>
    <t>&lt;=5</t>
  </si>
  <si>
    <t>Liquidity Runway</t>
  </si>
  <si>
    <t>If Tangible Net Worth is negative, business must be profitable</t>
  </si>
  <si>
    <t>N/A</t>
  </si>
  <si>
    <t>Net Income Margin</t>
  </si>
  <si>
    <t>&lt;-5%</t>
  </si>
  <si>
    <t>Current liabilities must not exceed 60% of annual revenue</t>
  </si>
  <si>
    <t>&lt;=60%</t>
  </si>
  <si>
    <t>&gt;10%</t>
  </si>
  <si>
    <t>Minimum time in Business (In Years)</t>
  </si>
  <si>
    <t>Minimum Experian Intelliscore</t>
  </si>
  <si>
    <t>Not delinquent on any Slope obligations or gone more than 15 days delinquent on any prior Slope obligations</t>
  </si>
  <si>
    <t>Line Calculation</t>
  </si>
  <si>
    <t>A</t>
  </si>
  <si>
    <t>Annual Revenue</t>
  </si>
  <si>
    <t>B</t>
  </si>
  <si>
    <t>BASE LIMIT WITH NET MARGIN</t>
  </si>
  <si>
    <t>LL</t>
  </si>
  <si>
    <t>UL</t>
  </si>
  <si>
    <t>% of AR</t>
  </si>
  <si>
    <t>Calculation</t>
  </si>
  <si>
    <t>Net profit margin -5% - 0%</t>
  </si>
  <si>
    <t>Net profit margin 0.01% - 2.5%</t>
  </si>
  <si>
    <t>Net profit margin 2.51%+</t>
  </si>
  <si>
    <t>Base Limit with Net Margin</t>
  </si>
  <si>
    <t>C</t>
  </si>
  <si>
    <t>GROSS MARGIN ADJUSTMENT</t>
  </si>
  <si>
    <t>Gross Margin Range</t>
  </si>
  <si>
    <t>Multiplier</t>
  </si>
  <si>
    <t>&lt;10%</t>
  </si>
  <si>
    <t>11-30%</t>
  </si>
  <si>
    <t>31-50%</t>
  </si>
  <si>
    <t>51%-60%</t>
  </si>
  <si>
    <t>61%-100%</t>
  </si>
  <si>
    <t>Adj Limit after Gross Margin</t>
  </si>
  <si>
    <t>D</t>
  </si>
  <si>
    <t>CURRENT LIABILITIES ADJUSTMENT</t>
  </si>
  <si>
    <t>Liabilities %</t>
  </si>
  <si>
    <t>11-25%</t>
  </si>
  <si>
    <t>26-45%</t>
  </si>
  <si>
    <t>46%-59%</t>
  </si>
  <si>
    <t>60%+</t>
  </si>
  <si>
    <t xml:space="preserve">Adj Limit after Current Liabities </t>
  </si>
  <si>
    <t>Line Recommendation</t>
  </si>
  <si>
    <t>CUENTAS POR COBRAR</t>
  </si>
  <si>
    <t>Utilidad Neta=Ingresos−Costo de Ventas−Gastos Operativos−Impuestos−Otros Gastos</t>
  </si>
  <si>
    <t>189m</t>
  </si>
  <si>
    <t>=1-('DATA-BRUTO'!C432/Decisioning!D18)</t>
  </si>
  <si>
    <t>PASIVOS</t>
  </si>
  <si>
    <t>margen bruto</t>
  </si>
  <si>
    <t>Ingreso anual mínimo: $5,000,000</t>
  </si>
  <si>
    <t>Días con saldo bancario negativo en los últimos 6 meses</t>
  </si>
  <si>
    <t>Ruta de liquidez</t>
  </si>
  <si>
    <t>Si el valor neto tangible es negativo, el negocio debe ser rentable</t>
  </si>
  <si>
    <t>Margen de ingreso neto</t>
  </si>
  <si>
    <t>Las pasivos corrientes no deben exceder el 60% de los ingresos anuales</t>
  </si>
  <si>
    <t>Margen bruto</t>
  </si>
  <si>
    <t>Tiempo mínimo en el negocio (en años)</t>
  </si>
  <si>
    <t>Puntaje mínimo de Experian Intelliscore</t>
  </si>
  <si>
    <t>No tener pagos atrasados en ninguna obligación de Slope ni haber estado más de 15 días en mora en obligaciones anteriores con Slope</t>
  </si>
  <si>
    <t>101/201 ACTIVO CORRIENTE / PASIVO</t>
  </si>
  <si>
    <t>3/10204 PATRIMONIO NETO / ACTIVO INTANGIBLE</t>
  </si>
  <si>
    <t>30701/401 GANANCIA NETA DEL PERIODO /  INGRESOS DE ACTIVIDADES ORDINARIAS</t>
  </si>
  <si>
    <t>2 PASIVO / VENTA DE BIENES</t>
  </si>
  <si>
    <t>402/401 GANANCIA BRUTA /  INGRESOS DE ACTIVIDADES ORDINARIAS</t>
  </si>
  <si>
    <t xml:space="preserve">401VENTA DE BIENES </t>
  </si>
  <si>
    <t xml:space="preserve">501 GANANCIA NETA DEL PERIODO /  VENTA DE BIENES </t>
  </si>
  <si>
    <t>B2</t>
  </si>
  <si>
    <t>Cuentas por Cobrar AR %</t>
  </si>
  <si>
    <t>COD_CUENTA_CLIENTE</t>
  </si>
  <si>
    <t>NOMBRE_CLIENTE</t>
  </si>
  <si>
    <t>CUPO_ACTUAL_CREDITO</t>
  </si>
  <si>
    <t>CUPO_DISPONIBLE</t>
  </si>
  <si>
    <t>ANIOS_ACT_ECONOMICA</t>
  </si>
  <si>
    <t>LETRA_EQUIFAX</t>
  </si>
  <si>
    <t>SCOREBURO_EQUIFAX</t>
  </si>
  <si>
    <t>SCORE_CREDITO</t>
  </si>
  <si>
    <t>DEUDA_TOTAL</t>
  </si>
  <si>
    <t>LETRA_FM</t>
  </si>
  <si>
    <t>ESTADO_CREDITO</t>
  </si>
  <si>
    <t>IDENTIFICACION</t>
  </si>
  <si>
    <t>BURO_EQUIFAX</t>
  </si>
  <si>
    <t>INDEX_PYMES_EQUIFAX</t>
  </si>
  <si>
    <t>&gt;=$200,000</t>
  </si>
  <si>
    <t>&gt;=6 Months</t>
  </si>
  <si>
    <t>&gt;=3 Years</t>
  </si>
  <si>
    <t>No se cuenta con la información</t>
  </si>
  <si>
    <t>UTILIDAD DEL EJERCICIO</t>
  </si>
  <si>
    <t>GANANCIA BRUTA</t>
  </si>
  <si>
    <t>TOTAL ACTIVOS CORRIENTES</t>
  </si>
  <si>
    <t>TOTAL ACTIVOS INTANGIBLES</t>
  </si>
  <si>
    <t>TOTAL DEL PASIVO</t>
  </si>
  <si>
    <t>TOTAL PATRIMONIO NETO</t>
  </si>
  <si>
    <t>TOTAL INGRESOS</t>
  </si>
  <si>
    <t>Aprobado Crédito</t>
  </si>
  <si>
    <t>Descripción</t>
  </si>
  <si>
    <t>Código</t>
  </si>
  <si>
    <t>Valor</t>
  </si>
  <si>
    <t>314</t>
  </si>
  <si>
    <t>349</t>
  </si>
  <si>
    <t>389</t>
  </si>
  <si>
    <t>599</t>
  </si>
  <si>
    <t>698</t>
  </si>
  <si>
    <t>701</t>
  </si>
  <si>
    <t>TOTAL COSTOS</t>
  </si>
  <si>
    <t>6999</t>
  </si>
  <si>
    <t>7991</t>
  </si>
  <si>
    <t>. Locales</t>
  </si>
  <si>
    <t>ACTIVA</t>
  </si>
  <si>
    <t>134811</t>
  </si>
  <si>
    <t>MACONSMIL CIA. LTDA.</t>
  </si>
  <si>
    <t>1792333938001</t>
  </si>
  <si>
    <t>SIN INDEX PYMES</t>
  </si>
  <si>
    <t>GB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</si>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</sst>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5" formatCode="_ * #,##0_ ;_ * \-#,##0_ ;_ * &quot;-&quot;??_ ;_ @_ "/>
    <numFmt numFmtId="169" formatCode="_ &quot;$&quot;* #,##0_ ;_ &quot;$&quot;* \-#,##0_ ;_ &quot;$&quot;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0" fillId="0" borderId="0" xfId="0" quotePrefix="1"/>
    <xf numFmtId="43" fontId="0" fillId="0" borderId="1" xfId="1" applyFont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/>
    <xf numFmtId="9" fontId="0" fillId="0" borderId="1" xfId="3" applyFont="1" applyBorder="1"/>
    <xf numFmtId="10" fontId="0" fillId="0" borderId="1" xfId="3" applyNumberFormat="1" applyFont="1" applyBorder="1"/>
    <xf numFmtId="10" fontId="0" fillId="0" borderId="0" xfId="0" applyNumberFormat="1"/>
    <xf numFmtId="0" fontId="6" fillId="0" borderId="1" xfId="0" applyFont="1" applyBorder="1" applyAlignment="1">
      <alignment horizontal="center" vertical="center"/>
    </xf>
    <xf numFmtId="10" fontId="3" fillId="3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/>
    <xf numFmtId="165" fontId="6" fillId="2" borderId="1" xfId="1" applyNumberFormat="1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43" fontId="1" fillId="2" borderId="1" xfId="1" applyFont="1" applyFill="1" applyBorder="1"/>
    <xf numFmtId="0" fontId="6" fillId="0" borderId="1" xfId="0" applyFont="1" applyBorder="1" applyAlignment="1">
      <alignment horizontal="left" vertical="center"/>
    </xf>
    <xf numFmtId="0" fontId="0" fillId="5" borderId="0" xfId="0" applyFill="1"/>
    <xf numFmtId="0" fontId="7" fillId="0" borderId="0" xfId="0" applyFont="1"/>
    <xf numFmtId="10" fontId="3" fillId="3" borderId="4" xfId="3" applyNumberFormat="1" applyFont="1" applyFill="1" applyBorder="1" applyAlignment="1">
      <alignment horizontal="center" vertical="center"/>
    </xf>
    <xf numFmtId="43" fontId="7" fillId="0" borderId="0" xfId="0" applyNumberFormat="1" applyFont="1"/>
    <xf numFmtId="0" fontId="7" fillId="0" borderId="0" xfId="0" quotePrefix="1" applyFont="1"/>
    <xf numFmtId="165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3" fontId="0" fillId="0" borderId="1" xfId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1" xfId="3" applyNumberFormat="1" applyFont="1" applyBorder="1" applyAlignment="1">
      <alignment vertical="center"/>
    </xf>
    <xf numFmtId="49" fontId="0" fillId="0" borderId="0" xfId="0" applyNumberFormat="1"/>
    <xf numFmtId="49" fontId="0" fillId="5" borderId="0" xfId="0" applyNumberForma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0" fontId="7" fillId="0" borderId="0" xfId="0" applyNumberFormat="1" applyFont="1"/>
    <xf numFmtId="169" fontId="0" fillId="0" borderId="1" xfId="5" applyNumberFormat="1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165" fontId="3" fillId="3" borderId="1" xfId="1" quotePrefix="1" applyNumberFormat="1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43" fontId="0" fillId="0" borderId="0" xfId="1" applyFont="1" applyFill="1"/>
    <xf numFmtId="0" fontId="0" fillId="0" borderId="0" xfId="0" applyFont="1"/>
    <xf numFmtId="0" fontId="0" fillId="0" borderId="0" xfId="0" quotePrefix="1" applyFont="1"/>
    <xf numFmtId="0" fontId="7" fillId="0" borderId="0" xfId="0" applyFont="1" applyFill="1"/>
    <xf numFmtId="0" fontId="11" fillId="0" borderId="0" xfId="0" quotePrefix="1" applyFont="1" applyFill="1"/>
    <xf numFmtId="0" fontId="7" fillId="0" borderId="0" xfId="0" quotePrefix="1" applyFont="1" applyFill="1"/>
    <xf numFmtId="43" fontId="7" fillId="0" borderId="0" xfId="0" applyNumberFormat="1" applyFont="1" applyFill="1"/>
    <xf numFmtId="0" fontId="10" fillId="0" borderId="1" xfId="0" applyFont="1" applyFill="1" applyBorder="1" applyAlignment="1">
      <alignment horizontal="center" vertical="top"/>
    </xf>
    <xf numFmtId="43" fontId="10" fillId="0" borderId="1" xfId="1" applyFont="1" applyFill="1" applyBorder="1" applyAlignment="1">
      <alignment horizontal="center" vertical="top"/>
    </xf>
    <xf numFmtId="0" fontId="0" fillId="0" borderId="1" xfId="0" applyFont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3" fontId="0" fillId="0" borderId="0" xfId="6" applyFont="1" applyFill="1"/>
  </cellXfs>
  <cellStyles count="9">
    <cellStyle name="Comma 2" xfId="2" xr:uid="{E2F26028-7787-45EF-96A0-C9F7F2B9D394}"/>
    <cellStyle name="Comma 2 2" xfId="7" xr:uid="{5D9D2AAA-4F5E-4087-90B5-58DC2248CE54}"/>
    <cellStyle name="Millares" xfId="1" builtinId="3"/>
    <cellStyle name="Millares 2" xfId="6" xr:uid="{D8EE3DB0-87D7-4356-A40C-ACDEF1B1599A}"/>
    <cellStyle name="Moneda" xfId="5" builtinId="4"/>
    <cellStyle name="Moneda 2" xfId="8" xr:uid="{B635A0B9-9245-4991-9818-3D4B089809EC}"/>
    <cellStyle name="Normal" xfId="0" builtinId="0"/>
    <cellStyle name="Normal 2" xfId="4" xr:uid="{6FB310DF-93FE-405B-9E9F-871AC87CD1A6}"/>
    <cellStyle name="Porcentaje" xfId="3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numFmt numFmtId="30" formatCode="@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30" formatCode="@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FF00"/>
      <color rgb="FFFF5050"/>
      <color rgb="FFFF3300"/>
      <color rgb="FFCC0066"/>
      <color rgb="FFFF33CC"/>
      <color rgb="FFFF0066"/>
      <color rgb="FFC76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2A4EB-3A9F-4A76-AF1E-58E611280EE9}" name="Tabla2" displayName="Tabla2" ref="A1:N2" totalsRowShown="0">
  <autoFilter ref="A1:N2" xr:uid="{DA92A4EB-3A9F-4A76-AF1E-58E611280EE9}"/>
  <tableColumns count="14">
    <tableColumn id="1" xr3:uid="{B4EE9B8B-30FE-4638-9C22-3B9E2ABEE82C}" name="COD_CUENTA_CLIENTE" dataDxfId="9"/>
    <tableColumn id="2" xr3:uid="{19C753AA-D1DE-4523-A89D-5EA36993C142}" name="NOMBRE_CLIENTE"/>
    <tableColumn id="3" xr3:uid="{F3C3C9A9-B6A0-4CF6-AE7D-79FF06B04E44}" name="CUPO_ACTUAL_CREDITO" dataDxfId="8" dataCellStyle="Millares"/>
    <tableColumn id="4" xr3:uid="{F6C6BBC8-7046-4554-BEDB-A06E4B2D30FC}" name="CUPO_DISPONIBLE" dataDxfId="7" dataCellStyle="Millares"/>
    <tableColumn id="5" xr3:uid="{1890737B-B520-44BB-B50F-C3255B7AE1AA}" name="ANIOS_ACT_ECONOMICA"/>
    <tableColumn id="6" xr3:uid="{C97402BD-60D9-4EA9-AE3D-33BCC62F3228}" name="LETRA_EQUIFAX"/>
    <tableColumn id="7" xr3:uid="{19C079F0-A44C-450B-B442-894FBD4BE5B2}" name="SCOREBURO_EQUIFAX"/>
    <tableColumn id="8" xr3:uid="{AD544D34-4F8F-4BE1-A1CE-58C82D4D4455}" name="SCORE_CREDITO"/>
    <tableColumn id="9" xr3:uid="{9A00D4B8-60BD-4F9A-AB0C-EE40CED4B681}" name="DEUDA_TOTAL"/>
    <tableColumn id="10" xr3:uid="{B93396D9-8285-4871-9D45-2755EC3DE3C4}" name="LETRA_FM"/>
    <tableColumn id="11" xr3:uid="{12D58808-4DCA-4518-A3FE-B65BAB616C3F}" name="ESTADO_CREDITO"/>
    <tableColumn id="12" xr3:uid="{A0E1C214-932D-43AE-AEEB-447F2B97BB8D}" name="IDENTIFICACION" dataDxfId="6"/>
    <tableColumn id="13" xr3:uid="{17438614-6D2C-4153-B3B1-5E38E388F119}" name="BURO_EQUIFAX"/>
    <tableColumn id="14" xr3:uid="{E575721F-7CDD-467F-B452-61F00262F84E}" name="INDEX_PYMES_EQUI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E024-1F9B-4B27-A51F-BE3126207AC1}">
  <sheetPr>
    <tabColor theme="8" tint="0.39997558519241921"/>
  </sheetPr>
  <dimension ref="A1:D215"/>
  <sheetViews>
    <sheetView workbookViewId="0">
      <selection activeCell="C8" sqref="C8"/>
    </sheetView>
  </sheetViews>
  <sheetFormatPr baseColWidth="10" defaultRowHeight="15" x14ac:dyDescent="0.25"/>
  <cols>
    <col min="1" max="1" width="39.140625" style="50" customWidth="1"/>
    <col min="2" max="2" width="15" style="51" customWidth="1"/>
    <col min="3" max="3" width="12.5703125" style="51" bestFit="1" customWidth="1"/>
    <col min="4" max="4" width="12" style="50" bestFit="1" customWidth="1"/>
  </cols>
  <sheetData>
    <row r="1" spans="1:4" s="1" customFormat="1" x14ac:dyDescent="0.25">
      <c r="A1" s="58" t="s">
        <v>104</v>
      </c>
      <c r="B1" s="58" t="s">
        <v>105</v>
      </c>
      <c r="C1" s="59" t="s">
        <v>106</v>
      </c>
      <c r="D1" s="49"/>
    </row>
    <row r="2" spans="1:4" x14ac:dyDescent="0.25">
      <c r="A2" s="50" t="s">
        <v>116</v>
      </c>
      <c r="B2" s="50" t="s">
        <v>107</v>
      </c>
      <c r="C2" s="51">
        <v>38663.22</v>
      </c>
    </row>
    <row r="3" spans="1:4" x14ac:dyDescent="0.25">
      <c r="A3" s="50" t="s">
        <v>98</v>
      </c>
      <c r="B3" s="50" t="s">
        <v>108</v>
      </c>
      <c r="C3" s="51">
        <v>1167050</v>
      </c>
    </row>
    <row r="4" spans="1:4" x14ac:dyDescent="0.25">
      <c r="A4" s="50" t="s">
        <v>99</v>
      </c>
      <c r="B4" s="50" t="s">
        <v>109</v>
      </c>
      <c r="C4" s="51">
        <v>0</v>
      </c>
    </row>
    <row r="5" spans="1:4" x14ac:dyDescent="0.25">
      <c r="A5" s="50" t="s">
        <v>100</v>
      </c>
      <c r="B5" s="50" t="s">
        <v>110</v>
      </c>
      <c r="C5" s="51">
        <v>247673.61</v>
      </c>
    </row>
    <row r="6" spans="1:4" x14ac:dyDescent="0.25">
      <c r="A6" s="50" t="s">
        <v>101</v>
      </c>
      <c r="B6" s="50" t="s">
        <v>111</v>
      </c>
      <c r="C6" s="51">
        <v>922209.73</v>
      </c>
    </row>
    <row r="7" spans="1:4" x14ac:dyDescent="0.25">
      <c r="A7" s="50" t="s">
        <v>96</v>
      </c>
      <c r="B7" s="50" t="s">
        <v>112</v>
      </c>
      <c r="C7" s="51">
        <v>31945.94</v>
      </c>
    </row>
    <row r="8" spans="1:4" x14ac:dyDescent="0.25">
      <c r="A8" s="50" t="s">
        <v>102</v>
      </c>
      <c r="B8" s="50" t="s">
        <v>114</v>
      </c>
      <c r="C8" s="51">
        <v>959646.58</v>
      </c>
    </row>
    <row r="9" spans="1:4" x14ac:dyDescent="0.25">
      <c r="A9" s="50" t="s">
        <v>113</v>
      </c>
      <c r="B9" s="50" t="s">
        <v>115</v>
      </c>
      <c r="C9" s="51">
        <v>873720.07</v>
      </c>
    </row>
    <row r="10" spans="1:4" x14ac:dyDescent="0.25">
      <c r="A10" s="50" t="s">
        <v>97</v>
      </c>
      <c r="B10" s="50" t="s">
        <v>122</v>
      </c>
      <c r="C10" s="63">
        <f>C8-C9</f>
        <v>85926.510000000009</v>
      </c>
    </row>
    <row r="11" spans="1:4" x14ac:dyDescent="0.25">
      <c r="A11" s="50" t="s">
        <v>53</v>
      </c>
      <c r="B11" s="50" t="s">
        <v>123</v>
      </c>
      <c r="C11" s="50">
        <v>111970.27</v>
      </c>
    </row>
    <row r="12" spans="1:4" x14ac:dyDescent="0.25">
      <c r="B12" s="50"/>
    </row>
    <row r="13" spans="1:4" x14ac:dyDescent="0.25">
      <c r="B13" s="50"/>
    </row>
    <row r="14" spans="1:4" x14ac:dyDescent="0.25">
      <c r="B14" s="50"/>
    </row>
    <row r="15" spans="1:4" x14ac:dyDescent="0.25">
      <c r="B15" s="50"/>
    </row>
    <row r="16" spans="1:4" x14ac:dyDescent="0.25">
      <c r="B16" s="50"/>
    </row>
    <row r="17" spans="2:2" x14ac:dyDescent="0.25">
      <c r="B17" s="50"/>
    </row>
    <row r="18" spans="2:2" x14ac:dyDescent="0.25">
      <c r="B18" s="50"/>
    </row>
    <row r="19" spans="2:2" x14ac:dyDescent="0.25">
      <c r="B19" s="50"/>
    </row>
    <row r="20" spans="2:2" x14ac:dyDescent="0.25">
      <c r="B20" s="50"/>
    </row>
    <row r="21" spans="2:2" x14ac:dyDescent="0.25">
      <c r="B21" s="50"/>
    </row>
    <row r="22" spans="2:2" x14ac:dyDescent="0.25">
      <c r="B22" s="50"/>
    </row>
    <row r="23" spans="2:2" x14ac:dyDescent="0.25">
      <c r="B23" s="50"/>
    </row>
    <row r="24" spans="2:2" x14ac:dyDescent="0.25">
      <c r="B24" s="50"/>
    </row>
    <row r="25" spans="2:2" x14ac:dyDescent="0.25">
      <c r="B25" s="50"/>
    </row>
    <row r="26" spans="2:2" x14ac:dyDescent="0.25">
      <c r="B26" s="50"/>
    </row>
    <row r="27" spans="2:2" x14ac:dyDescent="0.25">
      <c r="B27" s="50"/>
    </row>
    <row r="28" spans="2:2" x14ac:dyDescent="0.25">
      <c r="B28" s="50"/>
    </row>
    <row r="29" spans="2:2" x14ac:dyDescent="0.25">
      <c r="B29" s="50"/>
    </row>
    <row r="30" spans="2:2" x14ac:dyDescent="0.25">
      <c r="B30" s="50"/>
    </row>
    <row r="31" spans="2:2" x14ac:dyDescent="0.25">
      <c r="B31" s="50"/>
    </row>
    <row r="32" spans="2:2" x14ac:dyDescent="0.25">
      <c r="B32" s="50"/>
    </row>
    <row r="33" spans="2:2" x14ac:dyDescent="0.25">
      <c r="B33" s="50"/>
    </row>
    <row r="34" spans="2:2" x14ac:dyDescent="0.25">
      <c r="B34" s="50"/>
    </row>
    <row r="35" spans="2:2" x14ac:dyDescent="0.25">
      <c r="B35" s="50"/>
    </row>
    <row r="36" spans="2:2" x14ac:dyDescent="0.25">
      <c r="B36" s="50"/>
    </row>
    <row r="37" spans="2:2" x14ac:dyDescent="0.25">
      <c r="B37" s="50"/>
    </row>
    <row r="38" spans="2:2" x14ac:dyDescent="0.25">
      <c r="B38" s="50"/>
    </row>
    <row r="39" spans="2:2" x14ac:dyDescent="0.25">
      <c r="B39" s="50"/>
    </row>
    <row r="40" spans="2:2" x14ac:dyDescent="0.25">
      <c r="B40" s="50"/>
    </row>
    <row r="41" spans="2:2" x14ac:dyDescent="0.25">
      <c r="B41" s="50"/>
    </row>
    <row r="42" spans="2:2" x14ac:dyDescent="0.25">
      <c r="B42" s="50"/>
    </row>
    <row r="43" spans="2:2" x14ac:dyDescent="0.25">
      <c r="B43" s="50"/>
    </row>
    <row r="44" spans="2:2" x14ac:dyDescent="0.25">
      <c r="B44" s="50"/>
    </row>
    <row r="45" spans="2:2" x14ac:dyDescent="0.25">
      <c r="B45" s="50"/>
    </row>
    <row r="46" spans="2:2" x14ac:dyDescent="0.25">
      <c r="B46" s="50"/>
    </row>
    <row r="47" spans="2:2" x14ac:dyDescent="0.25">
      <c r="B47" s="50"/>
    </row>
    <row r="48" spans="2:2" x14ac:dyDescent="0.25">
      <c r="B48" s="50"/>
    </row>
    <row r="49" spans="2:2" x14ac:dyDescent="0.25">
      <c r="B49" s="50"/>
    </row>
    <row r="50" spans="2:2" x14ac:dyDescent="0.25">
      <c r="B50" s="50"/>
    </row>
    <row r="51" spans="2:2" x14ac:dyDescent="0.25">
      <c r="B51" s="50"/>
    </row>
    <row r="52" spans="2:2" x14ac:dyDescent="0.25">
      <c r="B52" s="50"/>
    </row>
    <row r="53" spans="2:2" x14ac:dyDescent="0.25">
      <c r="B53" s="50"/>
    </row>
    <row r="54" spans="2:2" x14ac:dyDescent="0.25">
      <c r="B54" s="50"/>
    </row>
    <row r="55" spans="2:2" x14ac:dyDescent="0.25">
      <c r="B55" s="50"/>
    </row>
    <row r="56" spans="2:2" x14ac:dyDescent="0.25">
      <c r="B56" s="50"/>
    </row>
    <row r="57" spans="2:2" x14ac:dyDescent="0.25">
      <c r="B57" s="50"/>
    </row>
    <row r="58" spans="2:2" x14ac:dyDescent="0.25">
      <c r="B58" s="50"/>
    </row>
    <row r="59" spans="2:2" x14ac:dyDescent="0.25">
      <c r="B59" s="50"/>
    </row>
    <row r="60" spans="2:2" x14ac:dyDescent="0.25">
      <c r="B60" s="50"/>
    </row>
    <row r="61" spans="2:2" x14ac:dyDescent="0.25">
      <c r="B61" s="50"/>
    </row>
    <row r="62" spans="2:2" x14ac:dyDescent="0.25">
      <c r="B62" s="50"/>
    </row>
    <row r="63" spans="2:2" x14ac:dyDescent="0.25">
      <c r="B63" s="50"/>
    </row>
    <row r="64" spans="2:2" x14ac:dyDescent="0.25">
      <c r="B64" s="50"/>
    </row>
    <row r="65" spans="2:2" x14ac:dyDescent="0.25">
      <c r="B65" s="50"/>
    </row>
    <row r="66" spans="2:2" x14ac:dyDescent="0.25">
      <c r="B66" s="50"/>
    </row>
    <row r="67" spans="2:2" x14ac:dyDescent="0.25">
      <c r="B67" s="50"/>
    </row>
    <row r="68" spans="2:2" x14ac:dyDescent="0.25">
      <c r="B68" s="50"/>
    </row>
    <row r="69" spans="2:2" x14ac:dyDescent="0.25">
      <c r="B69" s="50"/>
    </row>
    <row r="70" spans="2:2" x14ac:dyDescent="0.25">
      <c r="B70" s="50"/>
    </row>
    <row r="71" spans="2:2" x14ac:dyDescent="0.25">
      <c r="B71" s="50"/>
    </row>
    <row r="72" spans="2:2" x14ac:dyDescent="0.25">
      <c r="B72" s="50"/>
    </row>
    <row r="73" spans="2:2" x14ac:dyDescent="0.25">
      <c r="B73" s="50"/>
    </row>
    <row r="74" spans="2:2" x14ac:dyDescent="0.25">
      <c r="B74" s="50"/>
    </row>
    <row r="75" spans="2:2" x14ac:dyDescent="0.25">
      <c r="B75" s="50"/>
    </row>
    <row r="76" spans="2:2" x14ac:dyDescent="0.25">
      <c r="B76" s="50"/>
    </row>
    <row r="77" spans="2:2" x14ac:dyDescent="0.25">
      <c r="B77" s="50"/>
    </row>
    <row r="78" spans="2:2" x14ac:dyDescent="0.25">
      <c r="B78" s="50"/>
    </row>
    <row r="79" spans="2:2" x14ac:dyDescent="0.25">
      <c r="B79" s="50"/>
    </row>
    <row r="80" spans="2:2" x14ac:dyDescent="0.25">
      <c r="B80" s="50"/>
    </row>
    <row r="81" spans="2:2" x14ac:dyDescent="0.25">
      <c r="B81" s="50"/>
    </row>
    <row r="82" spans="2:2" x14ac:dyDescent="0.25">
      <c r="B82" s="50"/>
    </row>
    <row r="83" spans="2:2" x14ac:dyDescent="0.25">
      <c r="B83" s="50"/>
    </row>
    <row r="84" spans="2:2" x14ac:dyDescent="0.25">
      <c r="B84" s="50"/>
    </row>
    <row r="85" spans="2:2" x14ac:dyDescent="0.25">
      <c r="B85" s="50"/>
    </row>
    <row r="86" spans="2:2" x14ac:dyDescent="0.25">
      <c r="B86" s="50"/>
    </row>
    <row r="87" spans="2:2" x14ac:dyDescent="0.25">
      <c r="B87" s="50"/>
    </row>
    <row r="88" spans="2:2" x14ac:dyDescent="0.25">
      <c r="B88" s="50"/>
    </row>
    <row r="89" spans="2:2" x14ac:dyDescent="0.25">
      <c r="B89" s="50"/>
    </row>
    <row r="90" spans="2:2" x14ac:dyDescent="0.25">
      <c r="B90" s="50"/>
    </row>
    <row r="91" spans="2:2" x14ac:dyDescent="0.25">
      <c r="B91" s="50"/>
    </row>
    <row r="92" spans="2:2" x14ac:dyDescent="0.25">
      <c r="B92" s="50"/>
    </row>
    <row r="93" spans="2:2" x14ac:dyDescent="0.25">
      <c r="B93" s="50"/>
    </row>
    <row r="94" spans="2:2" x14ac:dyDescent="0.25">
      <c r="B94" s="50"/>
    </row>
    <row r="95" spans="2:2" x14ac:dyDescent="0.25">
      <c r="B95" s="50"/>
    </row>
    <row r="96" spans="2:2" x14ac:dyDescent="0.25">
      <c r="B96" s="50"/>
    </row>
    <row r="97" spans="1:4" x14ac:dyDescent="0.25">
      <c r="B97" s="50"/>
    </row>
    <row r="98" spans="1:4" x14ac:dyDescent="0.25">
      <c r="B98" s="50"/>
    </row>
    <row r="99" spans="1:4" x14ac:dyDescent="0.25">
      <c r="B99" s="50"/>
    </row>
    <row r="100" spans="1:4" x14ac:dyDescent="0.25">
      <c r="B100" s="50"/>
    </row>
    <row r="101" spans="1:4" x14ac:dyDescent="0.25">
      <c r="B101" s="50"/>
    </row>
    <row r="102" spans="1:4" x14ac:dyDescent="0.25">
      <c r="B102" s="50"/>
    </row>
    <row r="103" spans="1:4" x14ac:dyDescent="0.25">
      <c r="B103" s="50"/>
    </row>
    <row r="104" spans="1:4" x14ac:dyDescent="0.25">
      <c r="B104" s="50"/>
    </row>
    <row r="105" spans="1:4" x14ac:dyDescent="0.25">
      <c r="B105" s="50"/>
    </row>
    <row r="106" spans="1:4" s="1" customFormat="1" x14ac:dyDescent="0.25">
      <c r="A106" s="50"/>
      <c r="B106" s="50"/>
      <c r="C106" s="51"/>
      <c r="D106" s="49"/>
    </row>
    <row r="107" spans="1:4" x14ac:dyDescent="0.25">
      <c r="B107" s="50"/>
    </row>
    <row r="108" spans="1:4" x14ac:dyDescent="0.25">
      <c r="B108" s="50"/>
    </row>
    <row r="109" spans="1:4" x14ac:dyDescent="0.25">
      <c r="B109" s="50"/>
    </row>
    <row r="110" spans="1:4" x14ac:dyDescent="0.25">
      <c r="B110" s="50"/>
    </row>
    <row r="111" spans="1:4" x14ac:dyDescent="0.25">
      <c r="B111" s="50"/>
    </row>
    <row r="112" spans="1:4" x14ac:dyDescent="0.25">
      <c r="B112" s="50"/>
    </row>
    <row r="113" spans="2:2" x14ac:dyDescent="0.25">
      <c r="B113" s="50"/>
    </row>
    <row r="114" spans="2:2" x14ac:dyDescent="0.25">
      <c r="B114" s="50"/>
    </row>
    <row r="115" spans="2:2" x14ac:dyDescent="0.25">
      <c r="B115" s="50"/>
    </row>
    <row r="116" spans="2:2" x14ac:dyDescent="0.25">
      <c r="B116" s="50"/>
    </row>
    <row r="117" spans="2:2" x14ac:dyDescent="0.25">
      <c r="B117" s="50"/>
    </row>
    <row r="118" spans="2:2" x14ac:dyDescent="0.25">
      <c r="B118" s="50"/>
    </row>
    <row r="119" spans="2:2" x14ac:dyDescent="0.25">
      <c r="B119" s="50"/>
    </row>
    <row r="120" spans="2:2" x14ac:dyDescent="0.25">
      <c r="B120" s="50"/>
    </row>
    <row r="121" spans="2:2" x14ac:dyDescent="0.25">
      <c r="B121" s="50"/>
    </row>
    <row r="122" spans="2:2" x14ac:dyDescent="0.25">
      <c r="B122" s="50"/>
    </row>
    <row r="123" spans="2:2" x14ac:dyDescent="0.25">
      <c r="B123" s="50"/>
    </row>
    <row r="124" spans="2:2" x14ac:dyDescent="0.25">
      <c r="B124" s="50"/>
    </row>
    <row r="125" spans="2:2" x14ac:dyDescent="0.25">
      <c r="B125" s="50"/>
    </row>
    <row r="126" spans="2:2" x14ac:dyDescent="0.25">
      <c r="B126" s="50"/>
    </row>
    <row r="127" spans="2:2" x14ac:dyDescent="0.25">
      <c r="B127" s="50"/>
    </row>
    <row r="128" spans="2:2" x14ac:dyDescent="0.25">
      <c r="B128" s="50"/>
    </row>
    <row r="129" spans="2:2" x14ac:dyDescent="0.25">
      <c r="B129" s="50"/>
    </row>
    <row r="130" spans="2:2" x14ac:dyDescent="0.25">
      <c r="B130" s="50"/>
    </row>
    <row r="131" spans="2:2" x14ac:dyDescent="0.25">
      <c r="B131" s="50"/>
    </row>
    <row r="132" spans="2:2" x14ac:dyDescent="0.25">
      <c r="B132" s="50"/>
    </row>
    <row r="133" spans="2:2" x14ac:dyDescent="0.25">
      <c r="B133" s="50"/>
    </row>
    <row r="134" spans="2:2" x14ac:dyDescent="0.25">
      <c r="B134" s="50"/>
    </row>
    <row r="135" spans="2:2" x14ac:dyDescent="0.25">
      <c r="B135" s="50"/>
    </row>
    <row r="136" spans="2:2" x14ac:dyDescent="0.25">
      <c r="B136" s="50"/>
    </row>
    <row r="137" spans="2:2" x14ac:dyDescent="0.25">
      <c r="B137" s="50"/>
    </row>
    <row r="138" spans="2:2" x14ac:dyDescent="0.25">
      <c r="B138" s="50"/>
    </row>
    <row r="139" spans="2:2" x14ac:dyDescent="0.25">
      <c r="B139" s="50"/>
    </row>
    <row r="140" spans="2:2" x14ac:dyDescent="0.25">
      <c r="B140" s="50"/>
    </row>
    <row r="141" spans="2:2" x14ac:dyDescent="0.25">
      <c r="B141" s="50"/>
    </row>
    <row r="142" spans="2:2" x14ac:dyDescent="0.25">
      <c r="B142" s="50"/>
    </row>
    <row r="143" spans="2:2" x14ac:dyDescent="0.25">
      <c r="B143" s="50"/>
    </row>
    <row r="144" spans="2:2" x14ac:dyDescent="0.25">
      <c r="B144" s="50"/>
    </row>
    <row r="145" spans="2:2" x14ac:dyDescent="0.25">
      <c r="B145" s="50"/>
    </row>
    <row r="146" spans="2:2" x14ac:dyDescent="0.25">
      <c r="B146" s="50"/>
    </row>
    <row r="147" spans="2:2" x14ac:dyDescent="0.25">
      <c r="B147" s="50"/>
    </row>
    <row r="148" spans="2:2" x14ac:dyDescent="0.25">
      <c r="B148" s="50"/>
    </row>
    <row r="149" spans="2:2" x14ac:dyDescent="0.25">
      <c r="B149" s="50"/>
    </row>
    <row r="150" spans="2:2" x14ac:dyDescent="0.25">
      <c r="B150" s="50"/>
    </row>
    <row r="151" spans="2:2" x14ac:dyDescent="0.25">
      <c r="B151" s="50"/>
    </row>
    <row r="152" spans="2:2" x14ac:dyDescent="0.25">
      <c r="B152" s="50"/>
    </row>
    <row r="153" spans="2:2" x14ac:dyDescent="0.25">
      <c r="B153" s="50"/>
    </row>
    <row r="154" spans="2:2" x14ac:dyDescent="0.25">
      <c r="B154" s="50"/>
    </row>
    <row r="155" spans="2:2" x14ac:dyDescent="0.25">
      <c r="B155" s="50"/>
    </row>
    <row r="156" spans="2:2" x14ac:dyDescent="0.25">
      <c r="B156" s="50"/>
    </row>
    <row r="157" spans="2:2" x14ac:dyDescent="0.25">
      <c r="B157" s="50"/>
    </row>
    <row r="158" spans="2:2" x14ac:dyDescent="0.25">
      <c r="B158" s="50"/>
    </row>
    <row r="159" spans="2:2" x14ac:dyDescent="0.25">
      <c r="B159" s="50"/>
    </row>
    <row r="160" spans="2:2" x14ac:dyDescent="0.25">
      <c r="B160" s="50"/>
    </row>
    <row r="161" spans="2:2" x14ac:dyDescent="0.25">
      <c r="B161" s="50"/>
    </row>
    <row r="162" spans="2:2" x14ac:dyDescent="0.25">
      <c r="B162" s="50"/>
    </row>
    <row r="163" spans="2:2" x14ac:dyDescent="0.25">
      <c r="B163" s="50"/>
    </row>
    <row r="164" spans="2:2" x14ac:dyDescent="0.25">
      <c r="B164" s="50"/>
    </row>
    <row r="165" spans="2:2" x14ac:dyDescent="0.25">
      <c r="B165" s="50"/>
    </row>
    <row r="166" spans="2:2" x14ac:dyDescent="0.25">
      <c r="B166" s="50"/>
    </row>
    <row r="167" spans="2:2" x14ac:dyDescent="0.25">
      <c r="B167" s="50"/>
    </row>
    <row r="168" spans="2:2" x14ac:dyDescent="0.25">
      <c r="B168" s="50"/>
    </row>
    <row r="169" spans="2:2" x14ac:dyDescent="0.25">
      <c r="B169" s="50"/>
    </row>
    <row r="170" spans="2:2" x14ac:dyDescent="0.25">
      <c r="B170" s="50"/>
    </row>
    <row r="171" spans="2:2" x14ac:dyDescent="0.25">
      <c r="B171" s="50"/>
    </row>
    <row r="172" spans="2:2" x14ac:dyDescent="0.25">
      <c r="B172" s="50"/>
    </row>
    <row r="173" spans="2:2" x14ac:dyDescent="0.25">
      <c r="B173" s="50"/>
    </row>
    <row r="174" spans="2:2" x14ac:dyDescent="0.25">
      <c r="B174" s="50"/>
    </row>
    <row r="175" spans="2:2" x14ac:dyDescent="0.25">
      <c r="B175" s="50"/>
    </row>
    <row r="176" spans="2:2" x14ac:dyDescent="0.25">
      <c r="B176" s="50"/>
    </row>
    <row r="177" spans="2:2" x14ac:dyDescent="0.25">
      <c r="B177" s="50"/>
    </row>
    <row r="178" spans="2:2" x14ac:dyDescent="0.25">
      <c r="B178" s="50"/>
    </row>
    <row r="179" spans="2:2" x14ac:dyDescent="0.25">
      <c r="B179" s="50"/>
    </row>
    <row r="180" spans="2:2" x14ac:dyDescent="0.25">
      <c r="B180" s="50"/>
    </row>
    <row r="181" spans="2:2" x14ac:dyDescent="0.25">
      <c r="B181" s="50"/>
    </row>
    <row r="182" spans="2:2" x14ac:dyDescent="0.25">
      <c r="B182" s="50"/>
    </row>
    <row r="183" spans="2:2" x14ac:dyDescent="0.25">
      <c r="B183" s="50"/>
    </row>
    <row r="184" spans="2:2" x14ac:dyDescent="0.25">
      <c r="B184" s="50"/>
    </row>
    <row r="185" spans="2:2" x14ac:dyDescent="0.25">
      <c r="B185" s="50"/>
    </row>
    <row r="186" spans="2:2" x14ac:dyDescent="0.25">
      <c r="B186" s="50"/>
    </row>
    <row r="187" spans="2:2" x14ac:dyDescent="0.25">
      <c r="B187" s="50"/>
    </row>
    <row r="188" spans="2:2" x14ac:dyDescent="0.25">
      <c r="B188" s="50"/>
    </row>
    <row r="189" spans="2:2" x14ac:dyDescent="0.25">
      <c r="B189" s="50"/>
    </row>
    <row r="190" spans="2:2" x14ac:dyDescent="0.25">
      <c r="B190" s="50"/>
    </row>
    <row r="191" spans="2:2" x14ac:dyDescent="0.25">
      <c r="B191" s="50"/>
    </row>
    <row r="192" spans="2:2" x14ac:dyDescent="0.25">
      <c r="B192" s="50"/>
    </row>
    <row r="193" spans="2:2" x14ac:dyDescent="0.25">
      <c r="B193" s="50"/>
    </row>
    <row r="194" spans="2:2" x14ac:dyDescent="0.25">
      <c r="B194" s="50"/>
    </row>
    <row r="195" spans="2:2" x14ac:dyDescent="0.25">
      <c r="B195" s="50"/>
    </row>
    <row r="196" spans="2:2" x14ac:dyDescent="0.25">
      <c r="B196" s="50"/>
    </row>
    <row r="197" spans="2:2" x14ac:dyDescent="0.25">
      <c r="B197" s="50"/>
    </row>
    <row r="198" spans="2:2" x14ac:dyDescent="0.25">
      <c r="B198" s="50"/>
    </row>
    <row r="199" spans="2:2" x14ac:dyDescent="0.25">
      <c r="B199" s="50"/>
    </row>
    <row r="200" spans="2:2" x14ac:dyDescent="0.25">
      <c r="B200" s="50"/>
    </row>
    <row r="201" spans="2:2" x14ac:dyDescent="0.25">
      <c r="B201" s="50"/>
    </row>
    <row r="202" spans="2:2" x14ac:dyDescent="0.25">
      <c r="B202" s="50"/>
    </row>
    <row r="203" spans="2:2" x14ac:dyDescent="0.25">
      <c r="B203" s="50"/>
    </row>
    <row r="204" spans="2:2" x14ac:dyDescent="0.25">
      <c r="B204" s="50"/>
    </row>
    <row r="205" spans="2:2" x14ac:dyDescent="0.25">
      <c r="B205" s="50"/>
    </row>
    <row r="206" spans="2:2" x14ac:dyDescent="0.25">
      <c r="B206" s="50"/>
    </row>
    <row r="207" spans="2:2" x14ac:dyDescent="0.25">
      <c r="B207" s="50"/>
    </row>
    <row r="208" spans="2:2" x14ac:dyDescent="0.25">
      <c r="B208" s="50"/>
    </row>
    <row r="209" spans="2:2" x14ac:dyDescent="0.25">
      <c r="B209" s="50"/>
    </row>
    <row r="210" spans="2:2" x14ac:dyDescent="0.25">
      <c r="B210" s="50"/>
    </row>
    <row r="211" spans="2:2" x14ac:dyDescent="0.25">
      <c r="B211" s="50"/>
    </row>
    <row r="212" spans="2:2" x14ac:dyDescent="0.25">
      <c r="B212" s="50"/>
    </row>
    <row r="213" spans="2:2" x14ac:dyDescent="0.25">
      <c r="B213" s="50"/>
    </row>
    <row r="214" spans="2:2" x14ac:dyDescent="0.25">
      <c r="B214" s="50"/>
    </row>
    <row r="215" spans="2:2" x14ac:dyDescent="0.25">
      <c r="B215" s="50"/>
    </row>
  </sheetData>
  <autoFilter ref="A1:C300" xr:uid="{5C75E024-1F9B-4B27-A51F-BE3126207AC1}">
    <sortState xmlns:xlrd2="http://schemas.microsoft.com/office/spreadsheetml/2017/richdata2" ref="A2:C300">
      <sortCondition sortBy="cellColor" ref="A1:A300" dxfId="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D803-68E8-F543-8AF2-14C07222CA2F}">
  <sheetPr>
    <tabColor theme="7" tint="0.39997558519241921"/>
  </sheetPr>
  <dimension ref="A1:M46"/>
  <sheetViews>
    <sheetView showGridLines="0" tabSelected="1" topLeftCell="B1" zoomScale="80" zoomScaleNormal="80" workbookViewId="0">
      <selection activeCell="G3" sqref="G3"/>
    </sheetView>
  </sheetViews>
  <sheetFormatPr baseColWidth="10" defaultColWidth="8.85546875" defaultRowHeight="15" x14ac:dyDescent="0.25"/>
  <cols>
    <col min="1" max="1" width="61.140625" style="40" hidden="1" customWidth="1"/>
    <col min="2" max="2" width="7.85546875" customWidth="1"/>
    <col min="3" max="3" width="62" customWidth="1"/>
    <col min="4" max="4" width="16.42578125" customWidth="1"/>
    <col min="5" max="5" width="32.28515625" customWidth="1"/>
    <col min="6" max="6" width="12.42578125" customWidth="1"/>
    <col min="7" max="7" width="26.140625" customWidth="1"/>
    <col min="8" max="8" width="13.42578125" bestFit="1" customWidth="1"/>
  </cols>
  <sheetData>
    <row r="1" spans="1:13" x14ac:dyDescent="0.25">
      <c r="B1" s="10" t="s">
        <v>1</v>
      </c>
      <c r="L1" s="30"/>
    </row>
    <row r="3" spans="1:13" x14ac:dyDescent="0.25">
      <c r="B3" s="8" t="s">
        <v>2</v>
      </c>
      <c r="C3" s="8" t="s">
        <v>3</v>
      </c>
      <c r="D3" s="8" t="s">
        <v>4</v>
      </c>
      <c r="E3" s="15" t="s">
        <v>5</v>
      </c>
      <c r="F3" s="8" t="s">
        <v>6</v>
      </c>
    </row>
    <row r="4" spans="1:13" x14ac:dyDescent="0.25">
      <c r="B4" s="9">
        <v>1</v>
      </c>
      <c r="C4" s="3" t="s">
        <v>7</v>
      </c>
      <c r="D4" s="3" t="s">
        <v>92</v>
      </c>
      <c r="E4" s="35">
        <f>VLOOKUP(G4,'DATA-BRUTO'!$A:$C,3,0)</f>
        <v>959646.58</v>
      </c>
      <c r="F4" s="4" t="str">
        <f>IF(E4&gt;=200000,"Pass","Fail")</f>
        <v>Pass</v>
      </c>
      <c r="G4" s="54" t="s">
        <v>102</v>
      </c>
      <c r="H4" s="54"/>
      <c r="I4" s="54"/>
      <c r="L4" s="31">
        <v>1</v>
      </c>
      <c r="M4" s="31" t="s">
        <v>59</v>
      </c>
    </row>
    <row r="5" spans="1:13" x14ac:dyDescent="0.25">
      <c r="B5" s="9">
        <v>2</v>
      </c>
      <c r="C5" s="3" t="s">
        <v>8</v>
      </c>
      <c r="D5" s="3" t="s">
        <v>9</v>
      </c>
      <c r="E5" s="36" t="s">
        <v>95</v>
      </c>
      <c r="F5" s="4"/>
      <c r="G5" s="54"/>
      <c r="H5" s="54"/>
      <c r="I5" s="54"/>
      <c r="L5" s="31">
        <v>2</v>
      </c>
      <c r="M5" s="31" t="s">
        <v>60</v>
      </c>
    </row>
    <row r="6" spans="1:13" x14ac:dyDescent="0.25">
      <c r="A6" s="40" t="s">
        <v>69</v>
      </c>
      <c r="B6" s="9">
        <v>3</v>
      </c>
      <c r="C6" s="3" t="s">
        <v>10</v>
      </c>
      <c r="D6" s="3" t="s">
        <v>93</v>
      </c>
      <c r="E6" s="37">
        <f>VLOOKUP(G6,'DATA-BRUTO'!$A:$C,3,0)/VLOOKUP(H6,'DATA-BRUTO'!$A:$C,3,0)</f>
        <v>4.7120482476917909</v>
      </c>
      <c r="F6" s="4" t="str">
        <f>IF(E6&gt;=6,"Pass","Fail")</f>
        <v>Fail</v>
      </c>
      <c r="G6" s="54" t="s">
        <v>98</v>
      </c>
      <c r="H6" s="55" t="s">
        <v>100</v>
      </c>
      <c r="I6" s="54"/>
      <c r="L6" s="31">
        <v>3</v>
      </c>
      <c r="M6" s="31" t="s">
        <v>61</v>
      </c>
    </row>
    <row r="7" spans="1:13" x14ac:dyDescent="0.25">
      <c r="A7" s="40" t="s">
        <v>70</v>
      </c>
      <c r="B7" s="9">
        <v>4</v>
      </c>
      <c r="C7" s="3" t="s">
        <v>11</v>
      </c>
      <c r="D7" s="3" t="s">
        <v>12</v>
      </c>
      <c r="E7" s="45">
        <f>VLOOKUP(G7,'DATA-BRUTO'!$A:$C,3,0)-VLOOKUP(H7,'DATA-BRUTO'!$A:$C,3,0)</f>
        <v>922209.73</v>
      </c>
      <c r="F7" s="4" t="str">
        <f>IF(E7&gt;=0,"Pass","Fail")</f>
        <v>Pass</v>
      </c>
      <c r="G7" s="56" t="s">
        <v>101</v>
      </c>
      <c r="H7" s="54" t="s">
        <v>99</v>
      </c>
      <c r="I7" s="54"/>
      <c r="L7" s="31">
        <v>4</v>
      </c>
      <c r="M7" s="31" t="s">
        <v>62</v>
      </c>
    </row>
    <row r="8" spans="1:13" x14ac:dyDescent="0.25">
      <c r="A8" s="40" t="s">
        <v>71</v>
      </c>
      <c r="B8" s="9">
        <v>5</v>
      </c>
      <c r="C8" s="3" t="s">
        <v>13</v>
      </c>
      <c r="D8" s="3" t="s">
        <v>14</v>
      </c>
      <c r="E8" s="39">
        <f>VLOOKUP(G8,'DATA-BRUTO'!$A:$C,3,0)/VLOOKUP(H8,'DATA-BRUTO'!$A:$C,3,0)</f>
        <v>3.3289276141639561E-2</v>
      </c>
      <c r="F8" s="4" t="str">
        <f>IF(E8&gt;=-0.05,"Pass","Fail")</f>
        <v>Pass</v>
      </c>
      <c r="G8" s="56" t="s">
        <v>96</v>
      </c>
      <c r="H8" s="54" t="s">
        <v>102</v>
      </c>
      <c r="I8" s="54"/>
      <c r="L8" s="31">
        <v>5</v>
      </c>
      <c r="M8" s="31" t="s">
        <v>63</v>
      </c>
    </row>
    <row r="9" spans="1:13" x14ac:dyDescent="0.25">
      <c r="A9" s="40" t="s">
        <v>72</v>
      </c>
      <c r="B9" s="9">
        <v>6</v>
      </c>
      <c r="C9" s="3" t="s">
        <v>15</v>
      </c>
      <c r="D9" s="3" t="s">
        <v>16</v>
      </c>
      <c r="E9" s="39">
        <f>VLOOKUP(G9,'DATA-BRUTO'!$A:$C,3,0)/VLOOKUP(H9,'DATA-BRUTO'!$A:$C,3,0)</f>
        <v>0.25808835790359402</v>
      </c>
      <c r="F9" s="4" t="str">
        <f>IF(E9&lt;=0.6,"Pass","Fail")</f>
        <v>Pass</v>
      </c>
      <c r="G9" s="54" t="s">
        <v>100</v>
      </c>
      <c r="H9" s="57" t="s">
        <v>102</v>
      </c>
      <c r="I9" s="54" t="s">
        <v>57</v>
      </c>
      <c r="L9" s="31">
        <v>6</v>
      </c>
      <c r="M9" s="31" t="s">
        <v>64</v>
      </c>
    </row>
    <row r="10" spans="1:13" x14ac:dyDescent="0.25">
      <c r="A10" s="40" t="s">
        <v>73</v>
      </c>
      <c r="B10" s="9">
        <v>7</v>
      </c>
      <c r="C10" s="3" t="s">
        <v>0</v>
      </c>
      <c r="D10" s="3" t="s">
        <v>17</v>
      </c>
      <c r="E10" s="38">
        <f>VLOOKUP(G10,'DATA-BRUTO'!$A:$C,3,0)/VLOOKUP(H10,'DATA-BRUTO'!$A:$C,3,0)</f>
        <v>8.9539744934015203E-2</v>
      </c>
      <c r="F10" s="4" t="str">
        <f>IF(E10&gt;0.1,"Pass","Fail")</f>
        <v>Fail</v>
      </c>
      <c r="G10" s="56" t="s">
        <v>97</v>
      </c>
      <c r="H10" s="54" t="s">
        <v>102</v>
      </c>
      <c r="I10" s="56"/>
      <c r="J10" s="6"/>
      <c r="L10" s="31">
        <v>7</v>
      </c>
      <c r="M10" s="31" t="s">
        <v>65</v>
      </c>
    </row>
    <row r="11" spans="1:13" x14ac:dyDescent="0.25">
      <c r="B11" s="9">
        <v>8</v>
      </c>
      <c r="C11" s="3" t="s">
        <v>18</v>
      </c>
      <c r="D11" s="3" t="s">
        <v>94</v>
      </c>
      <c r="E11" s="46">
        <v>15</v>
      </c>
      <c r="F11" s="4" t="str">
        <f>IF(E11&gt;=3,"Pass","Fail")</f>
        <v>Pass</v>
      </c>
      <c r="G11" s="54"/>
      <c r="H11" s="56"/>
      <c r="I11" s="54"/>
      <c r="L11" s="31">
        <v>8</v>
      </c>
      <c r="M11" s="31" t="s">
        <v>66</v>
      </c>
    </row>
    <row r="12" spans="1:13" x14ac:dyDescent="0.25">
      <c r="B12" s="9">
        <v>9</v>
      </c>
      <c r="C12" s="3" t="s">
        <v>19</v>
      </c>
      <c r="D12" s="3"/>
      <c r="E12" s="60" t="s">
        <v>12</v>
      </c>
      <c r="F12" s="4"/>
      <c r="G12" s="54"/>
      <c r="H12" s="56"/>
      <c r="I12" s="54"/>
      <c r="L12" s="34">
        <v>9</v>
      </c>
      <c r="M12" s="31" t="s">
        <v>67</v>
      </c>
    </row>
    <row r="13" spans="1:13" x14ac:dyDescent="0.25">
      <c r="B13" s="9">
        <v>10</v>
      </c>
      <c r="C13" s="3" t="s">
        <v>20</v>
      </c>
      <c r="D13" s="3"/>
      <c r="E13" s="47" t="s">
        <v>103</v>
      </c>
      <c r="F13" s="4" t="str">
        <f>IF(E13="Aprobado Crédito","Pass","Fail")</f>
        <v>Pass</v>
      </c>
      <c r="G13" s="52"/>
      <c r="H13" s="53"/>
      <c r="L13" s="31">
        <v>10</v>
      </c>
      <c r="M13" s="31" t="s">
        <v>68</v>
      </c>
    </row>
    <row r="16" spans="1:13" x14ac:dyDescent="0.25">
      <c r="B16" s="10" t="s">
        <v>21</v>
      </c>
    </row>
    <row r="18" spans="1:13" x14ac:dyDescent="0.25">
      <c r="A18" s="41" t="s">
        <v>74</v>
      </c>
      <c r="B18" s="12" t="s">
        <v>22</v>
      </c>
      <c r="C18" s="17" t="s">
        <v>23</v>
      </c>
      <c r="D18" s="48">
        <f>VLOOKUP(G4,'DATA-BRUTO'!$A:$C,3,0)</f>
        <v>959646.58</v>
      </c>
      <c r="E18" s="33" t="e">
        <f>D18-E20</f>
        <v>#REF!</v>
      </c>
      <c r="F18" s="31" t="e">
        <f>E18/D18</f>
        <v>#REF!</v>
      </c>
      <c r="G18" s="31"/>
      <c r="H18" s="31"/>
      <c r="I18" s="31"/>
      <c r="J18" s="31"/>
      <c r="K18" s="31"/>
      <c r="L18" s="31"/>
      <c r="M18" s="31"/>
    </row>
    <row r="19" spans="1:13" x14ac:dyDescent="0.25">
      <c r="D19" s="31" t="s">
        <v>54</v>
      </c>
      <c r="E19" s="31"/>
      <c r="F19" s="31"/>
      <c r="G19" s="31"/>
      <c r="H19" s="31"/>
      <c r="I19" s="31"/>
      <c r="J19" s="31"/>
      <c r="K19" s="31"/>
      <c r="L19" s="34" t="s">
        <v>56</v>
      </c>
      <c r="M19" s="31"/>
    </row>
    <row r="20" spans="1:13" x14ac:dyDescent="0.25">
      <c r="A20" s="41" t="s">
        <v>75</v>
      </c>
      <c r="B20" s="11" t="s">
        <v>24</v>
      </c>
      <c r="C20" s="16" t="s">
        <v>25</v>
      </c>
      <c r="D20" s="32">
        <f>E8</f>
        <v>3.3289276141639561E-2</v>
      </c>
      <c r="E20" s="33" t="e">
        <f>'DATA-BRUTO'!#REF!</f>
        <v>#REF!</v>
      </c>
      <c r="F20" s="31"/>
      <c r="G20" s="31" t="e" cm="1">
        <f t="array" ref="G20">costo + ga=ingreso - (costo+gasto)</f>
        <v>#NAME?</v>
      </c>
      <c r="H20" s="31" t="s">
        <v>55</v>
      </c>
      <c r="I20" s="44">
        <v>3.5000000000000003E-2</v>
      </c>
      <c r="J20" s="31"/>
      <c r="K20" s="31"/>
      <c r="L20" s="34" t="s">
        <v>58</v>
      </c>
      <c r="M20" s="31"/>
    </row>
    <row r="21" spans="1:13" x14ac:dyDescent="0.25">
      <c r="A21" s="41"/>
      <c r="B21" s="11" t="s">
        <v>76</v>
      </c>
      <c r="C21" s="16" t="s">
        <v>77</v>
      </c>
      <c r="D21" s="32">
        <f>VLOOKUP(E21,'DATA-BRUTO'!$A:$C,3,0)/Decisioning!D18</f>
        <v>0.11667865267648847</v>
      </c>
      <c r="E21" s="33" t="s">
        <v>53</v>
      </c>
      <c r="F21" s="31"/>
      <c r="G21" s="31"/>
      <c r="H21" s="31"/>
      <c r="I21" s="44"/>
      <c r="J21" s="31"/>
      <c r="K21" s="31"/>
      <c r="L21" s="34"/>
      <c r="M21" s="31"/>
    </row>
    <row r="22" spans="1:13" s="1" customFormat="1" x14ac:dyDescent="0.25">
      <c r="A22" s="42"/>
      <c r="B22" s="21" t="s">
        <v>2</v>
      </c>
      <c r="C22" s="29" t="s">
        <v>4</v>
      </c>
      <c r="D22" s="21" t="s">
        <v>26</v>
      </c>
      <c r="E22" s="21" t="s">
        <v>27</v>
      </c>
      <c r="F22" s="21" t="s">
        <v>28</v>
      </c>
      <c r="G22" s="21" t="s">
        <v>29</v>
      </c>
    </row>
    <row r="23" spans="1:13" x14ac:dyDescent="0.25">
      <c r="B23" s="4">
        <v>1</v>
      </c>
      <c r="C23" s="3" t="s">
        <v>30</v>
      </c>
      <c r="D23" s="19">
        <v>-0.05</v>
      </c>
      <c r="E23" s="19">
        <v>0</v>
      </c>
      <c r="F23" s="19">
        <f>IF($D$20&lt;=E23,IF($D$21&gt;=25%,10%,IF($D$21&lt;=1%,1.5%,D21)),0)</f>
        <v>0</v>
      </c>
      <c r="G23" s="5">
        <f t="shared" ref="G23:G24" si="0">$D$18*F23</f>
        <v>0</v>
      </c>
    </row>
    <row r="24" spans="1:13" x14ac:dyDescent="0.25">
      <c r="B24" s="4">
        <v>2</v>
      </c>
      <c r="C24" s="3" t="s">
        <v>31</v>
      </c>
      <c r="D24" s="19">
        <v>1E-4</v>
      </c>
      <c r="E24" s="19">
        <v>2.5000000000000001E-2</v>
      </c>
      <c r="F24" s="19">
        <f>IF($D$20&lt;=E24,IF($D$21&gt;=25%,10%,IF($D$21&lt;=1%,2.5%,D21)),0)</f>
        <v>0</v>
      </c>
      <c r="G24" s="5">
        <f t="shared" si="0"/>
        <v>0</v>
      </c>
    </row>
    <row r="25" spans="1:13" x14ac:dyDescent="0.25">
      <c r="B25" s="4">
        <v>3</v>
      </c>
      <c r="C25" s="3" t="s">
        <v>32</v>
      </c>
      <c r="D25" s="19">
        <v>2.5100000000000001E-2</v>
      </c>
      <c r="E25" s="19"/>
      <c r="F25" s="19">
        <f>IF($D$20&gt;E24,IF($D$21&gt;=25%,10%,IF($D$21&lt;=1%,3.5%,D21)),0)</f>
        <v>0.11667865267648847</v>
      </c>
      <c r="G25" s="5">
        <f>$D$18*F25</f>
        <v>111970.27</v>
      </c>
    </row>
    <row r="26" spans="1:13" x14ac:dyDescent="0.25">
      <c r="D26" s="23" t="s">
        <v>33</v>
      </c>
      <c r="E26" s="24"/>
      <c r="F26" s="24"/>
      <c r="G26" s="25">
        <f>SUM(G23:G25)</f>
        <v>111970.27</v>
      </c>
    </row>
    <row r="28" spans="1:13" x14ac:dyDescent="0.25">
      <c r="B28" s="11" t="s">
        <v>34</v>
      </c>
      <c r="C28" s="13" t="s">
        <v>35</v>
      </c>
      <c r="D28" s="22">
        <f>E10</f>
        <v>8.9539744934015203E-2</v>
      </c>
      <c r="E28" s="20"/>
    </row>
    <row r="29" spans="1:13" s="1" customFormat="1" x14ac:dyDescent="0.25">
      <c r="A29" s="42"/>
      <c r="B29" s="21" t="s">
        <v>2</v>
      </c>
      <c r="C29" s="29" t="s">
        <v>36</v>
      </c>
      <c r="D29" s="21" t="s">
        <v>26</v>
      </c>
      <c r="E29" s="21" t="s">
        <v>27</v>
      </c>
      <c r="F29" s="21" t="s">
        <v>37</v>
      </c>
      <c r="G29" s="21" t="s">
        <v>29</v>
      </c>
    </row>
    <row r="30" spans="1:13" x14ac:dyDescent="0.25">
      <c r="B30" s="4">
        <v>1</v>
      </c>
      <c r="C30" s="3" t="s">
        <v>38</v>
      </c>
      <c r="D30" s="18">
        <v>0</v>
      </c>
      <c r="E30" s="18">
        <v>0.1</v>
      </c>
      <c r="F30" s="18">
        <v>0.35</v>
      </c>
      <c r="G30" s="5">
        <f>IF(AND($D$28&gt;=D30,$D$28&lt;=D31),$G$26*F30,0)</f>
        <v>39189.594499999999</v>
      </c>
    </row>
    <row r="31" spans="1:13" x14ac:dyDescent="0.25">
      <c r="B31" s="4">
        <v>2</v>
      </c>
      <c r="C31" s="3" t="s">
        <v>39</v>
      </c>
      <c r="D31" s="18">
        <v>0.11</v>
      </c>
      <c r="E31" s="18">
        <v>0.3</v>
      </c>
      <c r="F31" s="18">
        <v>0.5</v>
      </c>
      <c r="G31" s="5">
        <f>IF(AND($D$28&gt;=D31,$D$28&lt;=D32),$G$26*F31,0)</f>
        <v>0</v>
      </c>
    </row>
    <row r="32" spans="1:13" x14ac:dyDescent="0.25">
      <c r="B32" s="4">
        <v>3</v>
      </c>
      <c r="C32" s="3" t="s">
        <v>40</v>
      </c>
      <c r="D32" s="18">
        <v>0.31</v>
      </c>
      <c r="E32" s="18">
        <v>0.5</v>
      </c>
      <c r="F32" s="18">
        <v>1</v>
      </c>
      <c r="G32" s="5">
        <f>IF(AND($D$28&gt;=D32,$D$28&lt;=D33),$G$26*F32,0)</f>
        <v>0</v>
      </c>
    </row>
    <row r="33" spans="1:7" x14ac:dyDescent="0.25">
      <c r="B33" s="4">
        <v>4</v>
      </c>
      <c r="C33" s="3" t="s">
        <v>41</v>
      </c>
      <c r="D33" s="18">
        <v>0.51</v>
      </c>
      <c r="E33" s="18">
        <v>0.6</v>
      </c>
      <c r="F33" s="18">
        <v>1.1000000000000001</v>
      </c>
      <c r="G33" s="5">
        <f>IF(AND($D$28&gt;=D33,$D$28&lt;=D34),$G$26*F33,0)</f>
        <v>0</v>
      </c>
    </row>
    <row r="34" spans="1:7" x14ac:dyDescent="0.25">
      <c r="B34" s="4">
        <v>5</v>
      </c>
      <c r="C34" s="3" t="s">
        <v>42</v>
      </c>
      <c r="D34" s="18">
        <v>0.61</v>
      </c>
      <c r="E34" s="18">
        <v>1</v>
      </c>
      <c r="F34" s="18">
        <v>1.25</v>
      </c>
      <c r="G34" s="5">
        <f>IF(AND($D$28&gt;=D34,$D$28&lt;=E34),$G$26*F34,0)</f>
        <v>0</v>
      </c>
    </row>
    <row r="35" spans="1:7" s="1" customFormat="1" x14ac:dyDescent="0.25">
      <c r="A35" s="42"/>
      <c r="D35" s="26" t="s">
        <v>43</v>
      </c>
      <c r="E35" s="27"/>
      <c r="F35" s="27"/>
      <c r="G35" s="28">
        <f>SUM(G30:G34)</f>
        <v>39189.594499999999</v>
      </c>
    </row>
    <row r="37" spans="1:7" x14ac:dyDescent="0.25">
      <c r="B37" s="11" t="s">
        <v>44</v>
      </c>
      <c r="C37" s="11" t="s">
        <v>45</v>
      </c>
      <c r="D37" s="22">
        <f>E9</f>
        <v>0.25808835790359402</v>
      </c>
    </row>
    <row r="38" spans="1:7" s="14" customFormat="1" x14ac:dyDescent="0.25">
      <c r="A38" s="43"/>
      <c r="B38" s="21" t="s">
        <v>2</v>
      </c>
      <c r="C38" s="29" t="s">
        <v>46</v>
      </c>
      <c r="D38" s="21" t="s">
        <v>26</v>
      </c>
      <c r="E38" s="21" t="s">
        <v>27</v>
      </c>
      <c r="F38" s="21" t="s">
        <v>37</v>
      </c>
      <c r="G38" s="21" t="s">
        <v>29</v>
      </c>
    </row>
    <row r="39" spans="1:7" x14ac:dyDescent="0.25">
      <c r="B39" s="4">
        <v>1</v>
      </c>
      <c r="C39" s="3" t="s">
        <v>38</v>
      </c>
      <c r="D39" s="18">
        <v>0</v>
      </c>
      <c r="E39" s="18">
        <v>0.1</v>
      </c>
      <c r="F39" s="18">
        <v>1.5</v>
      </c>
      <c r="G39" s="7">
        <f>IF(AND($D$37&gt;=D39,$D$37&lt;=E39),$G$35*F39,0)</f>
        <v>0</v>
      </c>
    </row>
    <row r="40" spans="1:7" x14ac:dyDescent="0.25">
      <c r="B40" s="4">
        <v>2</v>
      </c>
      <c r="C40" s="3" t="s">
        <v>47</v>
      </c>
      <c r="D40" s="18">
        <v>0.11</v>
      </c>
      <c r="E40" s="18">
        <v>0.25</v>
      </c>
      <c r="F40" s="18">
        <v>1.25</v>
      </c>
      <c r="G40" s="7">
        <f>IF(AND($D$37&gt;=E39,$D$37&lt;=E40),$G$35*F40,0)</f>
        <v>0</v>
      </c>
    </row>
    <row r="41" spans="1:7" x14ac:dyDescent="0.25">
      <c r="B41" s="4">
        <v>3</v>
      </c>
      <c r="C41" s="3" t="s">
        <v>48</v>
      </c>
      <c r="D41" s="18">
        <v>0.26</v>
      </c>
      <c r="E41" s="18">
        <v>0.45</v>
      </c>
      <c r="F41" s="18">
        <v>0.85</v>
      </c>
      <c r="G41" s="7">
        <f>IF(AND($D$37&gt;=E40,$D$37&lt;=E41),$G$35*F41,0)</f>
        <v>33311.155325</v>
      </c>
    </row>
    <row r="42" spans="1:7" x14ac:dyDescent="0.25">
      <c r="B42" s="4">
        <v>4</v>
      </c>
      <c r="C42" s="3" t="s">
        <v>49</v>
      </c>
      <c r="D42" s="18">
        <v>0.46</v>
      </c>
      <c r="E42" s="18">
        <v>0.59</v>
      </c>
      <c r="F42" s="18">
        <v>0.5</v>
      </c>
      <c r="G42" s="7">
        <f>IF(AND($D$37&gt;=E41,$D$37&lt;=E42),$G$35*F42,0)</f>
        <v>0</v>
      </c>
    </row>
    <row r="43" spans="1:7" x14ac:dyDescent="0.25">
      <c r="B43" s="4">
        <v>5</v>
      </c>
      <c r="C43" s="3" t="s">
        <v>50</v>
      </c>
      <c r="D43" s="18">
        <v>0.6</v>
      </c>
      <c r="E43" s="18">
        <v>1</v>
      </c>
      <c r="F43" s="18">
        <v>0</v>
      </c>
      <c r="G43" s="7">
        <f>IF(AND($D$37&gt;=E42,$D$37&lt;=E43),$G$35*F43,0)</f>
        <v>0</v>
      </c>
    </row>
    <row r="44" spans="1:7" x14ac:dyDescent="0.25">
      <c r="D44" s="26" t="s">
        <v>51</v>
      </c>
      <c r="E44" s="27"/>
      <c r="F44" s="27"/>
      <c r="G44" s="28">
        <f>SUM(G39:G43)</f>
        <v>33311.155325</v>
      </c>
    </row>
    <row r="46" spans="1:7" x14ac:dyDescent="0.25">
      <c r="E46" s="61" t="s">
        <v>52</v>
      </c>
      <c r="F46" s="62"/>
      <c r="G46" s="28">
        <f>G44</f>
        <v>33311.155325</v>
      </c>
    </row>
  </sheetData>
  <mergeCells count="1">
    <mergeCell ref="E46:F46"/>
  </mergeCells>
  <pageMargins left="0.7" right="0.7" top="0.75" bottom="0.75" header="0.3" footer="0.3"/>
  <pageSetup scale="7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813367C-3083-4545-84F2-1BE512D06510}">
            <xm:f>NOT(ISERROR(SEARCH("Pass",F4)))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" operator="containsText" id="{B680E626-BFF3-499F-8342-E92A7FB6554D}">
            <xm:f>NOT(ISERROR(SEARCH("Fail",F4)))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07853031-4BBD-4624-9C1A-E9B9C31FF76E}">
            <xm:f>NOT(ISERROR(SEARCH("pass",F4)))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F4:F12</xm:sqref>
        </x14:conditionalFormatting>
        <x14:conditionalFormatting xmlns:xm="http://schemas.microsoft.com/office/excel/2006/main">
          <x14:cfRule type="containsText" priority="1" operator="containsText" id="{3702831A-E480-485A-B850-58C8E9A954BF}">
            <xm:f>NOT(ISERROR(SEARCH("Pass",F13)))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" operator="containsText" id="{47B12F3A-7680-45AB-AD6D-BA03ECF99FB1}">
            <xm:f>NOT(ISERROR(SEARCH("Fail",F13)))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C9047744-285B-4B88-B31B-852982E87D0A}">
            <xm:f>NOT(ISERROR(SEARCH("pass",F13)))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399-17FA-4C2C-A7BE-CC7DBCBBEA56}">
  <dimension ref="A1:N2"/>
  <sheetViews>
    <sheetView zoomScale="85" zoomScaleNormal="85" workbookViewId="0">
      <selection activeCell="G2" sqref="G2"/>
    </sheetView>
  </sheetViews>
  <sheetFormatPr baseColWidth="10" defaultRowHeight="15" x14ac:dyDescent="0.25"/>
  <cols>
    <col min="1" max="1" width="23.28515625" style="40" customWidth="1"/>
    <col min="2" max="2" width="19.140625" customWidth="1"/>
    <col min="3" max="3" width="24.85546875" customWidth="1"/>
    <col min="4" max="4" width="19.7109375" customWidth="1"/>
    <col min="5" max="5" width="25.5703125" customWidth="1"/>
    <col min="6" max="6" width="17.28515625" customWidth="1"/>
    <col min="7" max="7" width="22.85546875" customWidth="1"/>
    <col min="8" max="8" width="17.42578125" customWidth="1"/>
    <col min="9" max="9" width="16" customWidth="1"/>
    <col min="10" max="10" width="12.28515625" customWidth="1"/>
    <col min="11" max="11" width="18.7109375" customWidth="1"/>
    <col min="12" max="12" width="17.5703125" style="40" customWidth="1"/>
    <col min="13" max="13" width="17.140625" customWidth="1"/>
    <col min="14" max="14" width="24.5703125" customWidth="1"/>
  </cols>
  <sheetData>
    <row r="1" spans="1:14" x14ac:dyDescent="0.25">
      <c r="A1" s="40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s="40" t="s">
        <v>89</v>
      </c>
      <c r="M1" t="s">
        <v>90</v>
      </c>
      <c r="N1" t="s">
        <v>91</v>
      </c>
    </row>
    <row r="2" spans="1:14" x14ac:dyDescent="0.25">
      <c r="A2" s="40" t="s">
        <v>118</v>
      </c>
      <c r="B2" t="s">
        <v>119</v>
      </c>
      <c r="C2" s="2">
        <v>5000</v>
      </c>
      <c r="D2" s="2">
        <v>4850.8900000000003</v>
      </c>
      <c r="E2">
        <v>15</v>
      </c>
      <c r="F2" t="s">
        <v>44</v>
      </c>
      <c r="G2" t="s">
        <v>12</v>
      </c>
      <c r="H2">
        <v>3</v>
      </c>
      <c r="I2">
        <v>149.11000000000001</v>
      </c>
      <c r="J2" t="s">
        <v>22</v>
      </c>
      <c r="K2" t="s">
        <v>117</v>
      </c>
      <c r="L2" s="40" t="s">
        <v>120</v>
      </c>
      <c r="M2" t="s">
        <v>121</v>
      </c>
      <c r="N2" t="s">
        <v>121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4BDBA7328D84782374F214761D741" ma:contentTypeVersion="10" ma:contentTypeDescription="Create a new document." ma:contentTypeScope="" ma:versionID="7cec0fbd21e714b0eba5b20f4c0ed715">
  <xsd:schema xmlns:xsd="http://www.w3.org/2001/XMLSchema" xmlns:xs="http://www.w3.org/2001/XMLSchema" xmlns:p="http://schemas.microsoft.com/office/2006/metadata/properties" xmlns:ns2="9b02237a-ffe2-45d0-92e4-d8b909629092" xmlns:ns3="e870c82b-a169-4bed-a499-e3fbddf567ab" targetNamespace="http://schemas.microsoft.com/office/2006/metadata/properties" ma:root="true" ma:fieldsID="4c3acc52329bf025f395d5e163f6d8d3" ns2:_="" ns3:_="">
    <xsd:import namespace="9b02237a-ffe2-45d0-92e4-d8b909629092"/>
    <xsd:import namespace="e870c82b-a169-4bed-a499-e3fbddf56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237a-ffe2-45d0-92e4-d8b909629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35ae38-19c9-45e0-9709-31332d70c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0c82b-a169-4bed-a499-e3fbddf567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21a2e6-e127-42f4-9528-bbcb54327db5}" ma:internalName="TaxCatchAll" ma:showField="CatchAllData" ma:web="e870c82b-a169-4bed-a499-e3fbddf567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2237a-ffe2-45d0-92e4-d8b909629092">
      <Terms xmlns="http://schemas.microsoft.com/office/infopath/2007/PartnerControls"/>
    </lcf76f155ced4ddcb4097134ff3c332f>
    <TaxCatchAll xmlns="e870c82b-a169-4bed-a499-e3fbddf567ab" xsi:nil="true"/>
  </documentManagement>
</p:properties>
</file>

<file path=customXml/itemProps1.xml><?xml version="1.0" encoding="utf-8"?>
<ds:datastoreItem xmlns:ds="http://schemas.openxmlformats.org/officeDocument/2006/customXml" ds:itemID="{F0874DC4-D84C-4445-A562-794EE151B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7C779-9241-469F-9233-572253204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237a-ffe2-45d0-92e4-d8b909629092"/>
    <ds:schemaRef ds:uri="e870c82b-a169-4bed-a499-e3fbddf5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325248-2707-444C-9011-9F95FCC3AB2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70c82b-a169-4bed-a499-e3fbddf567ab"/>
    <ds:schemaRef ds:uri="http://purl.org/dc/terms/"/>
    <ds:schemaRef ds:uri="http://schemas.openxmlformats.org/package/2006/metadata/core-properties"/>
    <ds:schemaRef ds:uri="9b02237a-ffe2-45d0-92e4-d8b9096290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DATA-BRUTO</vt:lpstr>
      <vt:lpstr>Decisioning</vt:lpstr>
      <vt:lpstr>CREDITO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 Chamedia</dc:creator>
  <cp:keywords/>
  <dc:description/>
  <cp:lastModifiedBy>Michelle Solis</cp:lastModifiedBy>
  <cp:revision/>
  <dcterms:created xsi:type="dcterms:W3CDTF">2020-08-18T13:18:10Z</dcterms:created>
  <dcterms:modified xsi:type="dcterms:W3CDTF">2025-04-22T20:02:51Z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0x010100DB74BDBA7328D84782374F214761D741</vt:lpwstr>
  </property>
  <property fmtid="{D5CDD505-2E9C-101B-9397-08002B2CF9AE}" pid="3" name="MediaServiceImageTags">
    <vt:lpwstr/>
  </property>
</Properties>
</file>