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i\Automatizaciones_Reportes\PDF_EXCEL_APP\"/>
    </mc:Choice>
  </mc:AlternateContent>
  <xr:revisionPtr revIDLastSave="0" documentId="8_{B228F3F2-BA74-4954-8BA4-5503BAC5BDFF}" xr6:coauthVersionLast="47" xr6:coauthVersionMax="47" xr10:uidLastSave="{00000000-0000-0000-0000-000000000000}"/>
  <bookViews>
    <workbookView xWindow="20370" yWindow="-120" windowWidth="24240" windowHeight="13020" tabRatio="758" firstSheet="1" activeTab="10" xr2:uid="{B000CA15-5DCE-481F-8604-331E4103ADEF}"/>
  </bookViews>
  <sheets>
    <sheet name="FS-Data" sheetId="8" state="hidden" r:id="rId1"/>
    <sheet name="DATA-BRUTO" sheetId="55" r:id="rId2"/>
    <sheet name="Hoja2" sheetId="56" state="hidden" r:id="rId3"/>
    <sheet name="Data Labels" sheetId="28" state="hidden" r:id="rId4"/>
    <sheet name="FS-IS" sheetId="2" state="hidden" r:id="rId5"/>
    <sheet name="FS-BS" sheetId="3" state="hidden" r:id="rId6"/>
    <sheet name="FS-CF" sheetId="4" state="hidden" r:id="rId7"/>
    <sheet name="FS-Control" sheetId="12" state="hidden" r:id="rId8"/>
    <sheet name="Covenants" sheetId="29" state="hidden" r:id="rId9"/>
    <sheet name="Ratios" sheetId="13" state="hidden" r:id="rId10"/>
    <sheet name="Decisioning" sheetId="54" r:id="rId11"/>
    <sheet name="qry2" sheetId="61" state="hidden" r:id="rId12"/>
    <sheet name="QRY" sheetId="60" state="hidden" r:id="rId13"/>
    <sheet name="CREDITO" sheetId="58" r:id="rId14"/>
    <sheet name="Hoja1" sheetId="57" state="hidden" r:id="rId15"/>
  </sheets>
  <definedNames>
    <definedName name="_xlnm._FilterDatabase" localSheetId="1" hidden="1">'DATA-BRUTO'!$A$1:$C$300</definedName>
    <definedName name="_xlnm._FilterDatabase" localSheetId="5" hidden="1">'FS-BS'!#REF!</definedName>
    <definedName name="_xlnm._FilterDatabase" localSheetId="6" hidden="1">'FS-CF'!$B$3:$C$37</definedName>
    <definedName name="_xlnm._FilterDatabase" localSheetId="0" hidden="1">'FS-Data'!#REF!</definedName>
    <definedName name="_xlnm.Print_Area" localSheetId="0">'FS-Data'!$A$1:$G$111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55" l="1"/>
  <c r="D18" i="54" l="1"/>
  <c r="D21" i="54" s="1"/>
  <c r="E10" i="54"/>
  <c r="E9" i="54"/>
  <c r="E8" i="54"/>
  <c r="E7" i="54"/>
  <c r="E6" i="54"/>
  <c r="E4" i="54"/>
  <c r="D28" i="54" l="1"/>
  <c r="D20" i="54"/>
  <c r="F13" i="54"/>
  <c r="F25" i="54" l="1"/>
  <c r="F24" i="54"/>
  <c r="F23" i="54"/>
  <c r="G34" i="54"/>
  <c r="G32" i="54"/>
  <c r="G33" i="54"/>
  <c r="F11" i="54"/>
  <c r="F7" i="54" l="1"/>
  <c r="F4" i="54" l="1"/>
  <c r="F10" i="54"/>
  <c r="F9" i="54"/>
  <c r="F8" i="54"/>
  <c r="F6" i="54"/>
  <c r="G20" i="54" a="1"/>
  <c r="G20" i="54" s="1"/>
  <c r="E20" i="54" l="1"/>
  <c r="B11" i="56"/>
  <c r="A11" i="56"/>
  <c r="A10" i="56"/>
  <c r="B4" i="56"/>
  <c r="A4" i="56"/>
  <c r="C6" i="12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G23" i="54" l="1"/>
  <c r="G25" i="54"/>
  <c r="G24" i="54"/>
  <c r="E18" i="54"/>
  <c r="F18" i="54" s="1"/>
  <c r="D37" i="54"/>
  <c r="D38" i="8"/>
  <c r="C3" i="3"/>
  <c r="C30" i="3" s="1"/>
  <c r="G43" i="2"/>
  <c r="F43" i="2"/>
  <c r="E43" i="2"/>
  <c r="D43" i="2"/>
  <c r="G42" i="2"/>
  <c r="F42" i="2"/>
  <c r="E42" i="2"/>
  <c r="D42" i="2"/>
  <c r="G41" i="2"/>
  <c r="F41" i="2"/>
  <c r="E41" i="2"/>
  <c r="D41" i="2"/>
  <c r="G38" i="2"/>
  <c r="F38" i="2"/>
  <c r="E38" i="2"/>
  <c r="D38" i="2"/>
  <c r="G37" i="2"/>
  <c r="F37" i="2"/>
  <c r="E37" i="2"/>
  <c r="D37" i="2"/>
  <c r="G36" i="2"/>
  <c r="F36" i="2"/>
  <c r="E36" i="2"/>
  <c r="D36" i="2"/>
  <c r="G35" i="2"/>
  <c r="F35" i="2"/>
  <c r="E35" i="2"/>
  <c r="D35" i="2"/>
  <c r="G34" i="2"/>
  <c r="F34" i="2"/>
  <c r="E34" i="2"/>
  <c r="D34" i="2"/>
  <c r="G33" i="2"/>
  <c r="F33" i="2"/>
  <c r="E33" i="2"/>
  <c r="D33" i="2"/>
  <c r="G32" i="2"/>
  <c r="F32" i="2"/>
  <c r="E32" i="2"/>
  <c r="D32" i="2"/>
  <c r="G28" i="2"/>
  <c r="F28" i="2"/>
  <c r="E28" i="2"/>
  <c r="D28" i="2"/>
  <c r="G27" i="2"/>
  <c r="F27" i="2"/>
  <c r="E27" i="2"/>
  <c r="D27" i="2"/>
  <c r="G26" i="2"/>
  <c r="F26" i="2"/>
  <c r="E26" i="2"/>
  <c r="D26" i="2"/>
  <c r="G24" i="2"/>
  <c r="F24" i="2"/>
  <c r="E24" i="2"/>
  <c r="D24" i="2"/>
  <c r="G23" i="2"/>
  <c r="F23" i="2"/>
  <c r="E23" i="2"/>
  <c r="D23" i="2"/>
  <c r="G22" i="2"/>
  <c r="F22" i="2"/>
  <c r="E22" i="2"/>
  <c r="D22" i="2"/>
  <c r="G20" i="2"/>
  <c r="F20" i="2"/>
  <c r="E20" i="2"/>
  <c r="D20" i="2"/>
  <c r="G19" i="2"/>
  <c r="F19" i="2"/>
  <c r="E19" i="2"/>
  <c r="D19" i="2"/>
  <c r="G18" i="2"/>
  <c r="F18" i="2"/>
  <c r="E18" i="2"/>
  <c r="D18" i="2"/>
  <c r="G17" i="2"/>
  <c r="F17" i="2"/>
  <c r="E17" i="2"/>
  <c r="D17" i="2"/>
  <c r="G15" i="2"/>
  <c r="F15" i="2"/>
  <c r="E15" i="2"/>
  <c r="D15" i="2"/>
  <c r="G14" i="2"/>
  <c r="F14" i="2"/>
  <c r="E14" i="2"/>
  <c r="D14" i="2"/>
  <c r="G13" i="2"/>
  <c r="F13" i="2"/>
  <c r="E13" i="2"/>
  <c r="D13" i="2"/>
  <c r="D12" i="2" s="1"/>
  <c r="G11" i="2"/>
  <c r="F11" i="2"/>
  <c r="E11" i="2"/>
  <c r="D11" i="2"/>
  <c r="G8" i="2"/>
  <c r="F8" i="2"/>
  <c r="E8" i="2"/>
  <c r="D8" i="2"/>
  <c r="G6" i="2"/>
  <c r="F6" i="2"/>
  <c r="E6" i="2"/>
  <c r="D6" i="2"/>
  <c r="G5" i="2"/>
  <c r="F5" i="2"/>
  <c r="E5" i="2"/>
  <c r="D5" i="2"/>
  <c r="G49" i="3"/>
  <c r="F49" i="3"/>
  <c r="E49" i="3"/>
  <c r="D49" i="3"/>
  <c r="G48" i="3"/>
  <c r="F48" i="3"/>
  <c r="E48" i="3"/>
  <c r="D48" i="3"/>
  <c r="G47" i="3"/>
  <c r="F47" i="3"/>
  <c r="E47" i="3"/>
  <c r="D47" i="3"/>
  <c r="G46" i="3"/>
  <c r="F46" i="3"/>
  <c r="E46" i="3"/>
  <c r="D46" i="3"/>
  <c r="G43" i="3"/>
  <c r="F43" i="3"/>
  <c r="E43" i="3"/>
  <c r="D43" i="3"/>
  <c r="G42" i="3"/>
  <c r="F42" i="3"/>
  <c r="E42" i="3"/>
  <c r="D42" i="3"/>
  <c r="G41" i="3"/>
  <c r="F41" i="3"/>
  <c r="E41" i="3"/>
  <c r="D41" i="3"/>
  <c r="G40" i="3"/>
  <c r="F40" i="3"/>
  <c r="E40" i="3"/>
  <c r="D40" i="3"/>
  <c r="G38" i="3"/>
  <c r="F38" i="3"/>
  <c r="E38" i="3"/>
  <c r="D38" i="3"/>
  <c r="G37" i="3"/>
  <c r="F37" i="3"/>
  <c r="E37" i="3"/>
  <c r="D37" i="3"/>
  <c r="G36" i="3"/>
  <c r="F36" i="3"/>
  <c r="E36" i="3"/>
  <c r="D36" i="3"/>
  <c r="G35" i="3"/>
  <c r="F35" i="3"/>
  <c r="E35" i="3"/>
  <c r="D35" i="3"/>
  <c r="G34" i="3"/>
  <c r="F34" i="3"/>
  <c r="E34" i="3"/>
  <c r="D34" i="3"/>
  <c r="G33" i="3"/>
  <c r="F33" i="3"/>
  <c r="E33" i="3"/>
  <c r="D33" i="3"/>
  <c r="G32" i="3"/>
  <c r="F32" i="3"/>
  <c r="E32" i="3"/>
  <c r="D32" i="3"/>
  <c r="G31" i="3"/>
  <c r="F31" i="3"/>
  <c r="E31" i="3"/>
  <c r="D31" i="3"/>
  <c r="G26" i="3"/>
  <c r="F26" i="3"/>
  <c r="E26" i="3"/>
  <c r="D26" i="3"/>
  <c r="G25" i="3"/>
  <c r="F25" i="3"/>
  <c r="E25" i="3"/>
  <c r="D25" i="3"/>
  <c r="G24" i="3"/>
  <c r="F24" i="3"/>
  <c r="E24" i="3"/>
  <c r="D24" i="3"/>
  <c r="G23" i="3"/>
  <c r="F23" i="3"/>
  <c r="E23" i="3"/>
  <c r="D23" i="3"/>
  <c r="G22" i="3"/>
  <c r="F22" i="3"/>
  <c r="E22" i="3"/>
  <c r="D22" i="3"/>
  <c r="G20" i="3"/>
  <c r="F20" i="3"/>
  <c r="E20" i="3"/>
  <c r="D20" i="3"/>
  <c r="G19" i="3"/>
  <c r="F19" i="3"/>
  <c r="E19" i="3"/>
  <c r="D19" i="3"/>
  <c r="G17" i="3"/>
  <c r="F17" i="3"/>
  <c r="E17" i="3"/>
  <c r="D17" i="3"/>
  <c r="G16" i="3"/>
  <c r="F16" i="3"/>
  <c r="E16" i="3"/>
  <c r="D16" i="3"/>
  <c r="G15" i="3"/>
  <c r="F15" i="3"/>
  <c r="E15" i="3"/>
  <c r="D15" i="3"/>
  <c r="G14" i="3"/>
  <c r="F14" i="3"/>
  <c r="E14" i="3"/>
  <c r="D14" i="3"/>
  <c r="G12" i="3"/>
  <c r="F12" i="3"/>
  <c r="E12" i="3"/>
  <c r="D12" i="3"/>
  <c r="G11" i="3"/>
  <c r="F11" i="3"/>
  <c r="E11" i="3"/>
  <c r="D11" i="3"/>
  <c r="G10" i="3"/>
  <c r="F10" i="3"/>
  <c r="E10" i="3"/>
  <c r="D10" i="3"/>
  <c r="G9" i="3"/>
  <c r="F9" i="3"/>
  <c r="E9" i="3"/>
  <c r="D9" i="3"/>
  <c r="G8" i="3"/>
  <c r="F8" i="3"/>
  <c r="E8" i="3"/>
  <c r="D8" i="3"/>
  <c r="G6" i="3"/>
  <c r="F6" i="3"/>
  <c r="E6" i="3"/>
  <c r="D6" i="3"/>
  <c r="G5" i="3"/>
  <c r="F5" i="3"/>
  <c r="E5" i="3"/>
  <c r="D5" i="3"/>
  <c r="G4" i="3"/>
  <c r="F4" i="3"/>
  <c r="E4" i="3"/>
  <c r="D4" i="3"/>
  <c r="G3" i="3"/>
  <c r="G30" i="3" s="1"/>
  <c r="F3" i="3"/>
  <c r="F30" i="3" s="1"/>
  <c r="E3" i="3"/>
  <c r="E30" i="3" s="1"/>
  <c r="D3" i="3"/>
  <c r="D30" i="3" s="1"/>
  <c r="C37" i="3"/>
  <c r="G43" i="54" l="1"/>
  <c r="G42" i="54"/>
  <c r="G39" i="54"/>
  <c r="G40" i="54"/>
  <c r="G26" i="54"/>
  <c r="G30" i="54" s="1"/>
  <c r="G25" i="2"/>
  <c r="E12" i="2"/>
  <c r="E39" i="3"/>
  <c r="E45" i="3" s="1"/>
  <c r="E50" i="3"/>
  <c r="E21" i="2"/>
  <c r="G12" i="2"/>
  <c r="G50" i="3"/>
  <c r="F25" i="2"/>
  <c r="F39" i="2"/>
  <c r="E44" i="3"/>
  <c r="E16" i="2"/>
  <c r="G39" i="2"/>
  <c r="D7" i="2"/>
  <c r="F12" i="2"/>
  <c r="F50" i="3"/>
  <c r="F7" i="2"/>
  <c r="F9" i="2" s="1"/>
  <c r="F21" i="2"/>
  <c r="F16" i="2"/>
  <c r="G7" i="3"/>
  <c r="G13" i="3" s="1"/>
  <c r="G18" i="3"/>
  <c r="G7" i="2"/>
  <c r="G9" i="2" s="1"/>
  <c r="E7" i="3"/>
  <c r="E13" i="3" s="1"/>
  <c r="F7" i="3"/>
  <c r="F13" i="3" s="1"/>
  <c r="D50" i="3"/>
  <c r="D21" i="2"/>
  <c r="D44" i="3"/>
  <c r="G21" i="2"/>
  <c r="G39" i="3"/>
  <c r="G44" i="3"/>
  <c r="D16" i="2"/>
  <c r="D7" i="3"/>
  <c r="D13" i="3" s="1"/>
  <c r="E39" i="2"/>
  <c r="D18" i="3"/>
  <c r="E25" i="2"/>
  <c r="G16" i="2"/>
  <c r="E7" i="2"/>
  <c r="E9" i="2" s="1"/>
  <c r="D25" i="2"/>
  <c r="F44" i="3"/>
  <c r="F18" i="3"/>
  <c r="G21" i="3"/>
  <c r="F39" i="3"/>
  <c r="E18" i="3"/>
  <c r="D39" i="2"/>
  <c r="E21" i="3"/>
  <c r="F21" i="3"/>
  <c r="D21" i="3"/>
  <c r="D39" i="3"/>
  <c r="G31" i="54" l="1"/>
  <c r="E51" i="3"/>
  <c r="D9" i="2"/>
  <c r="G29" i="2"/>
  <c r="G30" i="2" s="1"/>
  <c r="G40" i="2" s="1"/>
  <c r="G44" i="2" s="1"/>
  <c r="E29" i="2"/>
  <c r="F29" i="2"/>
  <c r="F30" i="2" s="1"/>
  <c r="F40" i="2" s="1"/>
  <c r="F44" i="2" s="1"/>
  <c r="G27" i="3"/>
  <c r="G28" i="3" s="1"/>
  <c r="D45" i="3"/>
  <c r="D51" i="3" s="1"/>
  <c r="D27" i="3"/>
  <c r="D28" i="3" s="1"/>
  <c r="G45" i="3"/>
  <c r="G51" i="3" s="1"/>
  <c r="D29" i="2"/>
  <c r="D30" i="2" s="1"/>
  <c r="D40" i="2" s="1"/>
  <c r="D44" i="2" s="1"/>
  <c r="E30" i="2"/>
  <c r="E40" i="2" s="1"/>
  <c r="E44" i="2" s="1"/>
  <c r="E27" i="3"/>
  <c r="E28" i="3" s="1"/>
  <c r="F27" i="3"/>
  <c r="F28" i="3" s="1"/>
  <c r="F45" i="3"/>
  <c r="F51" i="3" s="1"/>
  <c r="G35" i="54" l="1"/>
  <c r="G41" i="54" s="1"/>
  <c r="G16" i="12"/>
  <c r="F16" i="12"/>
  <c r="C16" i="12" l="1"/>
  <c r="G44" i="54" l="1"/>
  <c r="G46" i="54" s="1"/>
  <c r="H112" i="8"/>
  <c r="H111" i="8"/>
  <c r="H110" i="8"/>
  <c r="H109" i="8"/>
  <c r="H108" i="8"/>
  <c r="H107" i="8"/>
  <c r="H106" i="8"/>
  <c r="H105" i="8"/>
  <c r="H104" i="8"/>
  <c r="H103" i="8"/>
  <c r="H102" i="8"/>
  <c r="I101" i="8"/>
  <c r="H101" i="8"/>
  <c r="H100" i="8"/>
  <c r="H99" i="8"/>
  <c r="H98" i="8"/>
  <c r="H97" i="8"/>
  <c r="H96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E16" i="12" l="1"/>
  <c r="D16" i="12"/>
  <c r="E11" i="12"/>
  <c r="D11" i="12"/>
  <c r="E21" i="12" l="1"/>
  <c r="D21" i="12"/>
  <c r="H79" i="13" l="1"/>
  <c r="H78" i="13"/>
  <c r="B4" i="29"/>
  <c r="B5" i="29"/>
  <c r="B8" i="29"/>
  <c r="B14" i="4"/>
  <c r="B13" i="4"/>
  <c r="B12" i="4"/>
  <c r="B11" i="4"/>
  <c r="B9" i="4"/>
  <c r="B8" i="4"/>
  <c r="B7" i="4"/>
  <c r="B6" i="4"/>
  <c r="B49" i="3"/>
  <c r="B48" i="3"/>
  <c r="B47" i="3"/>
  <c r="B46" i="3"/>
  <c r="C46" i="3" s="1"/>
  <c r="B43" i="3"/>
  <c r="B42" i="3"/>
  <c r="B41" i="3"/>
  <c r="B40" i="3"/>
  <c r="B38" i="3"/>
  <c r="C38" i="3" s="1"/>
  <c r="B36" i="3"/>
  <c r="B35" i="3"/>
  <c r="B34" i="3"/>
  <c r="B33" i="3"/>
  <c r="B32" i="3"/>
  <c r="B31" i="3"/>
  <c r="B26" i="3"/>
  <c r="B25" i="3"/>
  <c r="C25" i="3" s="1"/>
  <c r="B24" i="3"/>
  <c r="C24" i="3" s="1"/>
  <c r="B23" i="3"/>
  <c r="C23" i="3" s="1"/>
  <c r="B22" i="3"/>
  <c r="B20" i="3"/>
  <c r="B19" i="3"/>
  <c r="B17" i="3"/>
  <c r="B16" i="3"/>
  <c r="B15" i="3"/>
  <c r="B14" i="3"/>
  <c r="B12" i="3"/>
  <c r="B11" i="3"/>
  <c r="B10" i="3"/>
  <c r="B9" i="3"/>
  <c r="B8" i="3"/>
  <c r="F9" i="4" l="1"/>
  <c r="E9" i="4"/>
  <c r="D9" i="4"/>
  <c r="C9" i="4"/>
  <c r="C22" i="3"/>
  <c r="C26" i="3"/>
  <c r="C36" i="3"/>
  <c r="C20" i="3" l="1"/>
  <c r="C17" i="3"/>
  <c r="C12" i="3"/>
  <c r="C11" i="3"/>
  <c r="G27" i="12"/>
  <c r="G11" i="12"/>
  <c r="G21" i="12" s="1"/>
  <c r="G3" i="12"/>
  <c r="F11" i="12"/>
  <c r="F21" i="12" s="1"/>
  <c r="F3" i="12"/>
  <c r="E3" i="12"/>
  <c r="H18" i="8"/>
  <c r="E18" i="8"/>
  <c r="F18" i="8"/>
  <c r="G18" i="8"/>
  <c r="C43" i="3"/>
  <c r="B11" i="2"/>
  <c r="H38" i="8" l="1"/>
  <c r="H65" i="8" s="1"/>
  <c r="H95" i="8" s="1"/>
  <c r="G3" i="2"/>
  <c r="D65" i="8"/>
  <c r="C3" i="2"/>
  <c r="E38" i="8"/>
  <c r="E65" i="8" s="1"/>
  <c r="E95" i="8" s="1"/>
  <c r="D3" i="2"/>
  <c r="G38" i="8"/>
  <c r="G65" i="8" s="1"/>
  <c r="G95" i="8" s="1"/>
  <c r="F3" i="2"/>
  <c r="F38" i="8"/>
  <c r="F65" i="8" s="1"/>
  <c r="F95" i="8" s="1"/>
  <c r="E3" i="2"/>
  <c r="C15" i="3"/>
  <c r="C11" i="2"/>
  <c r="C35" i="3"/>
  <c r="C34" i="3"/>
  <c r="B5" i="3"/>
  <c r="B4" i="3"/>
  <c r="C11" i="12"/>
  <c r="B43" i="2"/>
  <c r="B42" i="2"/>
  <c r="B41" i="2"/>
  <c r="B38" i="2"/>
  <c r="B37" i="2"/>
  <c r="B36" i="2"/>
  <c r="B35" i="2"/>
  <c r="B34" i="2"/>
  <c r="B33" i="2"/>
  <c r="B32" i="2"/>
  <c r="B28" i="2"/>
  <c r="B27" i="2"/>
  <c r="B26" i="2"/>
  <c r="B24" i="2"/>
  <c r="B23" i="2"/>
  <c r="B22" i="2"/>
  <c r="B20" i="2"/>
  <c r="B19" i="2"/>
  <c r="B18" i="2"/>
  <c r="B17" i="2"/>
  <c r="B15" i="2"/>
  <c r="B14" i="2"/>
  <c r="B13" i="2"/>
  <c r="B8" i="2"/>
  <c r="B6" i="2"/>
  <c r="B5" i="2"/>
  <c r="G97" i="8" l="1"/>
  <c r="F7" i="4" s="1"/>
  <c r="E97" i="8"/>
  <c r="D7" i="4" s="1"/>
  <c r="C34" i="2"/>
  <c r="C36" i="2"/>
  <c r="H61" i="13"/>
  <c r="C32" i="2"/>
  <c r="H3" i="13"/>
  <c r="H3" i="29"/>
  <c r="G3" i="29"/>
  <c r="F3" i="29"/>
  <c r="F3" i="13"/>
  <c r="E3" i="4"/>
  <c r="F3" i="4"/>
  <c r="G3" i="13"/>
  <c r="G99" i="8"/>
  <c r="F11" i="4" s="1"/>
  <c r="C8" i="2"/>
  <c r="G26" i="12"/>
  <c r="G28" i="12" s="1"/>
  <c r="C4" i="3"/>
  <c r="C5" i="3"/>
  <c r="C5" i="2"/>
  <c r="C19" i="2"/>
  <c r="C42" i="2"/>
  <c r="C20" i="2"/>
  <c r="C33" i="2"/>
  <c r="C43" i="2"/>
  <c r="C14" i="2"/>
  <c r="C24" i="2"/>
  <c r="C6" i="2"/>
  <c r="C15" i="2"/>
  <c r="C26" i="2"/>
  <c r="F97" i="8"/>
  <c r="E7" i="4" s="1"/>
  <c r="C37" i="2"/>
  <c r="D97" i="8" s="1"/>
  <c r="C7" i="4" s="1"/>
  <c r="C17" i="2"/>
  <c r="C22" i="2"/>
  <c r="C27" i="2"/>
  <c r="C38" i="2"/>
  <c r="C13" i="2"/>
  <c r="C18" i="2"/>
  <c r="C23" i="2"/>
  <c r="C28" i="2"/>
  <c r="C35" i="2"/>
  <c r="C41" i="2"/>
  <c r="C21" i="12"/>
  <c r="B33" i="4"/>
  <c r="B32" i="4"/>
  <c r="B31" i="4"/>
  <c r="B30" i="4"/>
  <c r="B29" i="4"/>
  <c r="B25" i="4"/>
  <c r="C25" i="4" s="1"/>
  <c r="B24" i="4"/>
  <c r="B23" i="4"/>
  <c r="B22" i="4"/>
  <c r="B21" i="4"/>
  <c r="B17" i="4"/>
  <c r="B16" i="4"/>
  <c r="B15" i="4"/>
  <c r="F15" i="4" s="1"/>
  <c r="B6" i="3"/>
  <c r="E37" i="4" l="1"/>
  <c r="D37" i="4"/>
  <c r="F37" i="4"/>
  <c r="C16" i="2"/>
  <c r="C21" i="2"/>
  <c r="C25" i="2"/>
  <c r="G96" i="8"/>
  <c r="F6" i="4" s="1"/>
  <c r="H60" i="13"/>
  <c r="F33" i="4"/>
  <c r="C33" i="4"/>
  <c r="E33" i="4"/>
  <c r="D33" i="4"/>
  <c r="F31" i="4"/>
  <c r="C31" i="4"/>
  <c r="E31" i="4"/>
  <c r="D31" i="4"/>
  <c r="C37" i="4"/>
  <c r="C39" i="2"/>
  <c r="E99" i="8"/>
  <c r="D11" i="4" s="1"/>
  <c r="F99" i="8"/>
  <c r="E11" i="4" s="1"/>
  <c r="D99" i="8"/>
  <c r="C11" i="4" s="1"/>
  <c r="H59" i="13"/>
  <c r="G61" i="13"/>
  <c r="G60" i="13"/>
  <c r="G73" i="13"/>
  <c r="G59" i="13"/>
  <c r="G43" i="13"/>
  <c r="G111" i="8"/>
  <c r="F30" i="4" s="1"/>
  <c r="C16" i="3"/>
  <c r="C32" i="3"/>
  <c r="F61" i="13"/>
  <c r="C10" i="3"/>
  <c r="C33" i="3"/>
  <c r="C42" i="3"/>
  <c r="C49" i="3"/>
  <c r="C6" i="3"/>
  <c r="C19" i="3"/>
  <c r="C21" i="3" s="1"/>
  <c r="C9" i="3"/>
  <c r="C41" i="3"/>
  <c r="C48" i="3"/>
  <c r="C8" i="3"/>
  <c r="C14" i="3"/>
  <c r="C31" i="3"/>
  <c r="C40" i="3"/>
  <c r="C47" i="3"/>
  <c r="F96" i="8"/>
  <c r="E6" i="4" s="1"/>
  <c r="C39" i="3" l="1"/>
  <c r="D7" i="13" s="1"/>
  <c r="E103" i="8"/>
  <c r="D15" i="4" s="1"/>
  <c r="F103" i="8"/>
  <c r="D103" i="8"/>
  <c r="C15" i="4" s="1"/>
  <c r="H41" i="13"/>
  <c r="H40" i="13"/>
  <c r="H43" i="13"/>
  <c r="H42" i="13"/>
  <c r="F100" i="8"/>
  <c r="E12" i="4" s="1"/>
  <c r="E100" i="8"/>
  <c r="D12" i="4" s="1"/>
  <c r="D100" i="8"/>
  <c r="C12" i="4" s="1"/>
  <c r="D68" i="13"/>
  <c r="D65" i="13" s="1"/>
  <c r="G100" i="8"/>
  <c r="F12" i="4" s="1"/>
  <c r="G101" i="8"/>
  <c r="F13" i="4" s="1"/>
  <c r="G103" i="8"/>
  <c r="G108" i="8"/>
  <c r="F23" i="4" s="1"/>
  <c r="G109" i="8"/>
  <c r="F24" i="4" s="1"/>
  <c r="G64" i="13"/>
  <c r="G102" i="8"/>
  <c r="F14" i="4" s="1"/>
  <c r="G51" i="13"/>
  <c r="G98" i="8"/>
  <c r="F8" i="4" s="1"/>
  <c r="G104" i="8"/>
  <c r="G110" i="8"/>
  <c r="F29" i="4" s="1"/>
  <c r="F25" i="4"/>
  <c r="G107" i="8"/>
  <c r="F22" i="4" s="1"/>
  <c r="G105" i="8"/>
  <c r="F17" i="4" s="1"/>
  <c r="E111" i="8"/>
  <c r="D30" i="4" s="1"/>
  <c r="E102" i="8"/>
  <c r="D14" i="4" s="1"/>
  <c r="D25" i="4"/>
  <c r="E25" i="4"/>
  <c r="D111" i="8"/>
  <c r="C30" i="4" s="1"/>
  <c r="F111" i="8"/>
  <c r="E30" i="4" s="1"/>
  <c r="F110" i="8"/>
  <c r="E29" i="4" s="1"/>
  <c r="E110" i="8"/>
  <c r="D29" i="4" s="1"/>
  <c r="D110" i="8"/>
  <c r="C29" i="4" s="1"/>
  <c r="F109" i="8"/>
  <c r="E24" i="4" s="1"/>
  <c r="E109" i="8"/>
  <c r="D24" i="4" s="1"/>
  <c r="D109" i="8"/>
  <c r="C24" i="4" s="1"/>
  <c r="F108" i="8"/>
  <c r="E23" i="4" s="1"/>
  <c r="F107" i="8"/>
  <c r="E22" i="4" s="1"/>
  <c r="D107" i="8"/>
  <c r="C22" i="4" s="1"/>
  <c r="D101" i="8"/>
  <c r="C13" i="4" s="1"/>
  <c r="E108" i="8"/>
  <c r="D23" i="4" s="1"/>
  <c r="D108" i="8"/>
  <c r="C23" i="4" s="1"/>
  <c r="E107" i="8"/>
  <c r="D22" i="4" s="1"/>
  <c r="F105" i="8"/>
  <c r="E17" i="4" s="1"/>
  <c r="E105" i="8"/>
  <c r="D17" i="4" s="1"/>
  <c r="D105" i="8"/>
  <c r="C17" i="4" s="1"/>
  <c r="F104" i="8"/>
  <c r="E104" i="8"/>
  <c r="D104" i="8"/>
  <c r="F101" i="8"/>
  <c r="E13" i="4" s="1"/>
  <c r="F64" i="13"/>
  <c r="F102" i="8"/>
  <c r="E14" i="4" s="1"/>
  <c r="D64" i="13"/>
  <c r="D102" i="8"/>
  <c r="C14" i="4" s="1"/>
  <c r="E101" i="8"/>
  <c r="D13" i="4" s="1"/>
  <c r="D62" i="13"/>
  <c r="F98" i="8"/>
  <c r="E8" i="4" s="1"/>
  <c r="E98" i="8"/>
  <c r="D8" i="4" s="1"/>
  <c r="C7" i="3"/>
  <c r="C13" i="3" s="1"/>
  <c r="D98" i="8"/>
  <c r="C8" i="4" s="1"/>
  <c r="F68" i="13"/>
  <c r="F65" i="13" s="1"/>
  <c r="E52" i="13"/>
  <c r="E53" i="13"/>
  <c r="C44" i="3"/>
  <c r="H52" i="13"/>
  <c r="H53" i="13"/>
  <c r="H64" i="13"/>
  <c r="H68" i="13"/>
  <c r="H65" i="13" s="1"/>
  <c r="H62" i="13"/>
  <c r="G68" i="13"/>
  <c r="G65" i="13" s="1"/>
  <c r="E62" i="13"/>
  <c r="E64" i="13"/>
  <c r="F73" i="13"/>
  <c r="F60" i="13"/>
  <c r="F52" i="13"/>
  <c r="F53" i="13"/>
  <c r="H51" i="13"/>
  <c r="H63" i="13"/>
  <c r="F59" i="13"/>
  <c r="D52" i="13"/>
  <c r="D53" i="13"/>
  <c r="G52" i="13"/>
  <c r="G53" i="13"/>
  <c r="E68" i="13"/>
  <c r="E65" i="13" s="1"/>
  <c r="G40" i="13"/>
  <c r="G41" i="13"/>
  <c r="F62" i="13"/>
  <c r="G62" i="13"/>
  <c r="C18" i="3"/>
  <c r="G42" i="13"/>
  <c r="G106" i="8"/>
  <c r="F21" i="4" s="1"/>
  <c r="H18" i="13"/>
  <c r="H7" i="13"/>
  <c r="F7" i="13"/>
  <c r="G7" i="13"/>
  <c r="F43" i="13"/>
  <c r="D3" i="29"/>
  <c r="D3" i="13"/>
  <c r="C3" i="4"/>
  <c r="D95" i="8"/>
  <c r="C45" i="3" l="1"/>
  <c r="H4" i="29"/>
  <c r="H28" i="13"/>
  <c r="H10" i="13"/>
  <c r="H49" i="13"/>
  <c r="H45" i="13"/>
  <c r="H74" i="13"/>
  <c r="H44" i="13"/>
  <c r="H31" i="13"/>
  <c r="H30" i="13" s="1"/>
  <c r="H33" i="13"/>
  <c r="H48" i="13"/>
  <c r="E16" i="4"/>
  <c r="E15" i="4"/>
  <c r="G5" i="13"/>
  <c r="C16" i="4"/>
  <c r="H58" i="13"/>
  <c r="G63" i="13"/>
  <c r="G66" i="13" s="1"/>
  <c r="F16" i="4"/>
  <c r="D16" i="4"/>
  <c r="F106" i="8"/>
  <c r="E21" i="4" s="1"/>
  <c r="E18" i="13"/>
  <c r="D18" i="13"/>
  <c r="F63" i="13"/>
  <c r="F66" i="13" s="1"/>
  <c r="F51" i="13"/>
  <c r="F55" i="13"/>
  <c r="G4" i="29"/>
  <c r="F58" i="13"/>
  <c r="H72" i="13"/>
  <c r="H55" i="13"/>
  <c r="H47" i="13"/>
  <c r="H39" i="13"/>
  <c r="F41" i="13"/>
  <c r="F40" i="13"/>
  <c r="G33" i="13"/>
  <c r="G44" i="13"/>
  <c r="G74" i="13"/>
  <c r="G49" i="13"/>
  <c r="G45" i="13"/>
  <c r="G31" i="13"/>
  <c r="G26" i="13" s="1"/>
  <c r="G48" i="13"/>
  <c r="H66" i="13"/>
  <c r="F8" i="13"/>
  <c r="F5" i="29" s="1"/>
  <c r="F5" i="13"/>
  <c r="F47" i="13"/>
  <c r="F72" i="13"/>
  <c r="C27" i="3"/>
  <c r="F18" i="13"/>
  <c r="F67" i="13"/>
  <c r="H56" i="13"/>
  <c r="H67" i="13"/>
  <c r="H57" i="13"/>
  <c r="G58" i="13"/>
  <c r="G67" i="13"/>
  <c r="G56" i="13"/>
  <c r="G72" i="13"/>
  <c r="G47" i="13"/>
  <c r="G55" i="13"/>
  <c r="F4" i="29"/>
  <c r="H5" i="13"/>
  <c r="H8" i="13"/>
  <c r="H5" i="29" s="1"/>
  <c r="E72" i="13"/>
  <c r="G18" i="13"/>
  <c r="F56" i="13"/>
  <c r="F42" i="13"/>
  <c r="G57" i="13"/>
  <c r="E3" i="29"/>
  <c r="E3" i="13"/>
  <c r="D3" i="4"/>
  <c r="H24" i="13" l="1"/>
  <c r="F24" i="13"/>
  <c r="H26" i="13"/>
  <c r="H32" i="13"/>
  <c r="H29" i="13"/>
  <c r="H34" i="13"/>
  <c r="H46" i="13"/>
  <c r="H75" i="13"/>
  <c r="H27" i="13"/>
  <c r="G7" i="12"/>
  <c r="G8" i="12" s="1"/>
  <c r="G8" i="13"/>
  <c r="G5" i="29" s="1"/>
  <c r="H21" i="13"/>
  <c r="H20" i="13"/>
  <c r="H8" i="29" s="1"/>
  <c r="H19" i="13"/>
  <c r="H7" i="29" s="1"/>
  <c r="F23" i="13"/>
  <c r="F19" i="13"/>
  <c r="F7" i="29" s="1"/>
  <c r="F21" i="13"/>
  <c r="G21" i="13"/>
  <c r="G20" i="13"/>
  <c r="G8" i="29" s="1"/>
  <c r="H23" i="13"/>
  <c r="F6" i="13"/>
  <c r="F9" i="13"/>
  <c r="F54" i="13"/>
  <c r="G32" i="13"/>
  <c r="G29" i="13"/>
  <c r="G30" i="13"/>
  <c r="G9" i="13"/>
  <c r="G6" i="13"/>
  <c r="G71" i="13"/>
  <c r="H13" i="13"/>
  <c r="H54" i="13"/>
  <c r="H38" i="13"/>
  <c r="H70" i="13"/>
  <c r="H14" i="13"/>
  <c r="H17" i="13" s="1"/>
  <c r="F71" i="13"/>
  <c r="H35" i="13"/>
  <c r="H15" i="13"/>
  <c r="H6" i="29" s="1"/>
  <c r="H71" i="13"/>
  <c r="H12" i="13"/>
  <c r="F74" i="13"/>
  <c r="F49" i="13"/>
  <c r="F45" i="13"/>
  <c r="F31" i="13"/>
  <c r="F26" i="13" s="1"/>
  <c r="F44" i="13"/>
  <c r="F33" i="13"/>
  <c r="F48" i="13"/>
  <c r="H9" i="13"/>
  <c r="H6" i="13"/>
  <c r="G35" i="13"/>
  <c r="G15" i="13"/>
  <c r="G6" i="29" s="1"/>
  <c r="G12" i="13"/>
  <c r="G22" i="13" s="1"/>
  <c r="F35" i="13"/>
  <c r="F15" i="13"/>
  <c r="F6" i="29" s="1"/>
  <c r="F14" i="13"/>
  <c r="F17" i="13" s="1"/>
  <c r="F13" i="13"/>
  <c r="F12" i="13"/>
  <c r="F22" i="13" s="1"/>
  <c r="F5" i="4"/>
  <c r="G17" i="12"/>
  <c r="G18" i="12" s="1"/>
  <c r="E17" i="12"/>
  <c r="E18" i="12" s="1"/>
  <c r="F17" i="12"/>
  <c r="F18" i="12" s="1"/>
  <c r="F57" i="13"/>
  <c r="E26" i="4"/>
  <c r="E12" i="12"/>
  <c r="E13" i="12" s="1"/>
  <c r="G12" i="12"/>
  <c r="G13" i="12" s="1"/>
  <c r="D3" i="12"/>
  <c r="C3" i="12"/>
  <c r="E22" i="12" l="1"/>
  <c r="E23" i="12" s="1"/>
  <c r="E24" i="13"/>
  <c r="G24" i="13"/>
  <c r="F22" i="12"/>
  <c r="F23" i="12" s="1"/>
  <c r="G22" i="12"/>
  <c r="G23" i="12" s="1"/>
  <c r="G54" i="13"/>
  <c r="G13" i="13"/>
  <c r="F70" i="13"/>
  <c r="G14" i="13"/>
  <c r="G17" i="13" s="1"/>
  <c r="E70" i="13"/>
  <c r="G70" i="13"/>
  <c r="G19" i="13"/>
  <c r="G7" i="29" s="1"/>
  <c r="F12" i="12"/>
  <c r="F13" i="12" s="1"/>
  <c r="G23" i="13"/>
  <c r="E23" i="13"/>
  <c r="F20" i="13"/>
  <c r="F8" i="29" s="1"/>
  <c r="F30" i="13"/>
  <c r="F29" i="13"/>
  <c r="F32" i="13"/>
  <c r="H22" i="13"/>
  <c r="H36" i="13"/>
  <c r="H16" i="13"/>
  <c r="G34" i="13"/>
  <c r="G75" i="13"/>
  <c r="G28" i="13"/>
  <c r="G46" i="13"/>
  <c r="G39" i="13"/>
  <c r="G38" i="13"/>
  <c r="G27" i="13"/>
  <c r="F36" i="13"/>
  <c r="F16" i="13"/>
  <c r="G36" i="13"/>
  <c r="F26" i="4"/>
  <c r="E5" i="4"/>
  <c r="G112" i="8"/>
  <c r="F32" i="4" s="1"/>
  <c r="F7" i="12"/>
  <c r="F8" i="12" s="1"/>
  <c r="D106" i="8"/>
  <c r="C21" i="4" s="1"/>
  <c r="C26" i="4" s="1"/>
  <c r="E7" i="13"/>
  <c r="C50" i="3"/>
  <c r="C12" i="2"/>
  <c r="D5" i="13" l="1"/>
  <c r="G16" i="13"/>
  <c r="C29" i="2"/>
  <c r="E96" i="8"/>
  <c r="D6" i="4" s="1"/>
  <c r="E106" i="8"/>
  <c r="D21" i="4" s="1"/>
  <c r="D58" i="13"/>
  <c r="D96" i="8"/>
  <c r="C6" i="4" s="1"/>
  <c r="D4" i="29"/>
  <c r="E58" i="13"/>
  <c r="D8" i="13"/>
  <c r="D5" i="29" s="1"/>
  <c r="D72" i="13"/>
  <c r="E4" i="29"/>
  <c r="E8" i="13"/>
  <c r="E5" i="29" s="1"/>
  <c r="E5" i="13"/>
  <c r="E6" i="13" s="1"/>
  <c r="E63" i="13"/>
  <c r="E66" i="13" s="1"/>
  <c r="E73" i="13"/>
  <c r="E56" i="13"/>
  <c r="E54" i="13"/>
  <c r="E60" i="13"/>
  <c r="E55" i="13"/>
  <c r="E67" i="13"/>
  <c r="E59" i="13"/>
  <c r="E61" i="13"/>
  <c r="E51" i="13"/>
  <c r="E47" i="13"/>
  <c r="F34" i="13"/>
  <c r="F75" i="13"/>
  <c r="F28" i="13"/>
  <c r="F46" i="13"/>
  <c r="F39" i="13"/>
  <c r="F38" i="13"/>
  <c r="F27" i="13"/>
  <c r="F18" i="4"/>
  <c r="F34" i="4"/>
  <c r="E7" i="12"/>
  <c r="E8" i="12" s="1"/>
  <c r="F112" i="8"/>
  <c r="E32" i="4" s="1"/>
  <c r="D6" i="13" l="1"/>
  <c r="E21" i="13"/>
  <c r="E19" i="13"/>
  <c r="D71" i="13"/>
  <c r="E71" i="13"/>
  <c r="G79" i="13"/>
  <c r="G78" i="13"/>
  <c r="E41" i="13"/>
  <c r="E40" i="13"/>
  <c r="E42" i="13"/>
  <c r="E43" i="13"/>
  <c r="E9" i="13"/>
  <c r="D21" i="13"/>
  <c r="D15" i="13"/>
  <c r="D6" i="29" s="1"/>
  <c r="D12" i="13"/>
  <c r="D22" i="13" s="1"/>
  <c r="E15" i="13"/>
  <c r="E6" i="29" s="1"/>
  <c r="E14" i="13"/>
  <c r="E17" i="13" s="1"/>
  <c r="E13" i="13"/>
  <c r="E12" i="13"/>
  <c r="E22" i="13" s="1"/>
  <c r="F36" i="4"/>
  <c r="F38" i="4" s="1"/>
  <c r="F26" i="12" s="1"/>
  <c r="E18" i="4"/>
  <c r="E34" i="4"/>
  <c r="C51" i="3"/>
  <c r="C17" i="12" s="1"/>
  <c r="C18" i="12" s="1"/>
  <c r="C28" i="3"/>
  <c r="D17" i="12" l="1"/>
  <c r="D18" i="12" s="1"/>
  <c r="D22" i="12"/>
  <c r="D23" i="12" s="1"/>
  <c r="D19" i="13"/>
  <c r="D7" i="29" s="1"/>
  <c r="D24" i="13"/>
  <c r="D13" i="13"/>
  <c r="F27" i="12"/>
  <c r="F28" i="12" s="1"/>
  <c r="G10" i="13"/>
  <c r="E74" i="13"/>
  <c r="E49" i="13"/>
  <c r="E45" i="13"/>
  <c r="E31" i="13"/>
  <c r="E33" i="13"/>
  <c r="E44" i="13"/>
  <c r="E48" i="13"/>
  <c r="E35" i="13"/>
  <c r="D70" i="13"/>
  <c r="D23" i="13"/>
  <c r="F79" i="13"/>
  <c r="F78" i="13"/>
  <c r="D14" i="13"/>
  <c r="E16" i="13"/>
  <c r="E36" i="4"/>
  <c r="E38" i="4" s="1"/>
  <c r="E26" i="12" s="1"/>
  <c r="E7" i="29"/>
  <c r="C12" i="12"/>
  <c r="C13" i="12" s="1"/>
  <c r="C22" i="12"/>
  <c r="C23" i="12" s="1"/>
  <c r="D26" i="4"/>
  <c r="D12" i="12"/>
  <c r="D13" i="12" s="1"/>
  <c r="E57" i="13"/>
  <c r="C7" i="2"/>
  <c r="D17" i="13" l="1"/>
  <c r="H73" i="13"/>
  <c r="E36" i="13"/>
  <c r="E26" i="13"/>
  <c r="E20" i="13"/>
  <c r="E8" i="29" s="1"/>
  <c r="D16" i="13"/>
  <c r="E29" i="13"/>
  <c r="E32" i="13"/>
  <c r="E30" i="13"/>
  <c r="E27" i="12"/>
  <c r="E28" i="12" s="1"/>
  <c r="F10" i="13"/>
  <c r="D63" i="13"/>
  <c r="D66" i="13" s="1"/>
  <c r="D73" i="13"/>
  <c r="D60" i="13"/>
  <c r="D56" i="13"/>
  <c r="D67" i="13"/>
  <c r="D54" i="13"/>
  <c r="D55" i="13"/>
  <c r="D61" i="13"/>
  <c r="D59" i="13"/>
  <c r="D51" i="13"/>
  <c r="D47" i="13"/>
  <c r="D9" i="13"/>
  <c r="D43" i="13"/>
  <c r="D42" i="13"/>
  <c r="C9" i="2"/>
  <c r="C30" i="2" s="1"/>
  <c r="D5" i="4"/>
  <c r="E34" i="13" l="1"/>
  <c r="E38" i="13"/>
  <c r="E75" i="13"/>
  <c r="E46" i="13"/>
  <c r="E39" i="13"/>
  <c r="E28" i="13"/>
  <c r="E27" i="13"/>
  <c r="D41" i="13"/>
  <c r="D40" i="13"/>
  <c r="E112" i="8"/>
  <c r="D32" i="4" s="1"/>
  <c r="D7" i="12"/>
  <c r="D8" i="12" s="1"/>
  <c r="D18" i="4" l="1"/>
  <c r="D34" i="4"/>
  <c r="E79" i="13" l="1"/>
  <c r="E78" i="13"/>
  <c r="D36" i="4"/>
  <c r="D38" i="4" s="1"/>
  <c r="D27" i="12" l="1"/>
  <c r="E10" i="13"/>
  <c r="D74" i="13"/>
  <c r="D33" i="13"/>
  <c r="D49" i="13"/>
  <c r="D45" i="13"/>
  <c r="D44" i="13"/>
  <c r="D31" i="13"/>
  <c r="D48" i="13"/>
  <c r="D35" i="13"/>
  <c r="D26" i="12"/>
  <c r="C40" i="2"/>
  <c r="D57" i="13" l="1"/>
  <c r="C44" i="2"/>
  <c r="D26" i="13"/>
  <c r="D20" i="13"/>
  <c r="D8" i="29" s="1"/>
  <c r="D28" i="12"/>
  <c r="D29" i="13"/>
  <c r="D32" i="13"/>
  <c r="D30" i="13"/>
  <c r="D36" i="13"/>
  <c r="C5" i="4" l="1"/>
  <c r="C18" i="4" s="1"/>
  <c r="D34" i="13"/>
  <c r="D46" i="13"/>
  <c r="D38" i="13"/>
  <c r="D27" i="13"/>
  <c r="D28" i="13"/>
  <c r="D75" i="13"/>
  <c r="D39" i="13"/>
  <c r="C7" i="12"/>
  <c r="C8" i="12" s="1"/>
  <c r="D112" i="8" l="1"/>
  <c r="C32" i="4" s="1"/>
  <c r="C34" i="4" s="1"/>
  <c r="C36" i="4" s="1"/>
  <c r="C38" i="4" s="1"/>
  <c r="D79" i="13" l="1"/>
  <c r="D78" i="13"/>
  <c r="D10" i="13"/>
  <c r="C26" i="12" l="1"/>
  <c r="C27" i="12"/>
  <c r="J43" i="4"/>
  <c r="C28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<sst xmlns="http://schemas.openxmlformats.org/spreadsheetml/2006/main" count="720" uniqueCount="506">
  <si>
    <t>Currency</t>
  </si>
  <si>
    <t>BASIC INFORMATION</t>
  </si>
  <si>
    <t xml:space="preserve">Case ID </t>
  </si>
  <si>
    <t> </t>
  </si>
  <si>
    <t>Spreading Date</t>
  </si>
  <si>
    <t>Legal Entity Name</t>
  </si>
  <si>
    <t>DBA Name (if any)</t>
  </si>
  <si>
    <t xml:space="preserve">Industry </t>
  </si>
  <si>
    <t xml:space="preserve">Tax ID </t>
  </si>
  <si>
    <t>Currency Conversion Rate</t>
  </si>
  <si>
    <t>Currency Units</t>
  </si>
  <si>
    <t>Financials Data</t>
  </si>
  <si>
    <t>Period ends</t>
  </si>
  <si>
    <t xml:space="preserve"> Notes </t>
  </si>
  <si>
    <t>Period length</t>
  </si>
  <si>
    <t xml:space="preserve">Statement Available </t>
  </si>
  <si>
    <t xml:space="preserve">Cashflow Derivation Required? </t>
  </si>
  <si>
    <t>Yes</t>
  </si>
  <si>
    <t>INCOME STATEMENT</t>
  </si>
  <si>
    <t xml:space="preserve">Statement Mapping (Select Drop Down) </t>
  </si>
  <si>
    <t xml:space="preserve"> Remarks / Notes </t>
  </si>
  <si>
    <t>Business Revenue</t>
  </si>
  <si>
    <t>Cost of Goods Sold</t>
  </si>
  <si>
    <t>Selling &amp; Marketing Expense</t>
  </si>
  <si>
    <t>Other General and Administrative Expenses</t>
  </si>
  <si>
    <t>Salaries &amp; Wages</t>
  </si>
  <si>
    <t>BALANCE SHEET</t>
  </si>
  <si>
    <t>ASSETS</t>
  </si>
  <si>
    <t>Cash and Cash Equivalents</t>
  </si>
  <si>
    <t>Accounts Receivable</t>
  </si>
  <si>
    <t>Other Current Assets</t>
  </si>
  <si>
    <t>Equipment &amp; Machinery</t>
  </si>
  <si>
    <t>(Accumulated Depreciation)</t>
  </si>
  <si>
    <t>Land &amp; Building</t>
  </si>
  <si>
    <t>LIABILITIES</t>
  </si>
  <si>
    <t>Accounts Payable</t>
  </si>
  <si>
    <t>Short Term Borrowings</t>
  </si>
  <si>
    <t>Other Current Liabilities</t>
  </si>
  <si>
    <t>Stakeholders Equity</t>
  </si>
  <si>
    <t>Retained earnings</t>
  </si>
  <si>
    <t>CASHFLOW STATEMENT</t>
  </si>
  <si>
    <t>Net Income</t>
  </si>
  <si>
    <t xml:space="preserve">Depr &amp; Amortization on Fixed Assets </t>
  </si>
  <si>
    <t>(Gain)/Loss on Asset sale</t>
  </si>
  <si>
    <t>Impairment</t>
  </si>
  <si>
    <t>Other Non Cash</t>
  </si>
  <si>
    <t>Goodwill Impairment</t>
  </si>
  <si>
    <t>Stock Based compensation</t>
  </si>
  <si>
    <t>Stock Option cost</t>
  </si>
  <si>
    <t>Bad Debt Expenses</t>
  </si>
  <si>
    <t>Company pension and postretirement expense</t>
  </si>
  <si>
    <t>Other Operating Expenses/(Income)</t>
  </si>
  <si>
    <t>Equity in earnings of affiliates, net of dividends</t>
  </si>
  <si>
    <t>Change in Net Accounts Receivable</t>
  </si>
  <si>
    <t>Change in Inventory</t>
  </si>
  <si>
    <t>Change in Other Current Assets</t>
  </si>
  <si>
    <t>Change in Accounts Payable</t>
  </si>
  <si>
    <t>Change in Other Current Liabilities</t>
  </si>
  <si>
    <t>Change in Other non- Current Liabilities</t>
  </si>
  <si>
    <t>Change in Other non- Current Assets</t>
  </si>
  <si>
    <t>Capital Expenditure - Purchase of Fixed Assets</t>
  </si>
  <si>
    <t>Proceeds from Sale of Fixed Assets)</t>
  </si>
  <si>
    <t>Proceeds from Sale of Fixed Assets</t>
  </si>
  <si>
    <t>Purchase of Investment Securities</t>
  </si>
  <si>
    <t xml:space="preserve">Sale of Investment Securities </t>
  </si>
  <si>
    <t>Other Investing Activities</t>
  </si>
  <si>
    <t>External Borrowing (Debt/LOC/ Mortgages/Other Loans)</t>
  </si>
  <si>
    <t>Repayments of Borrowings (Debt/LOC/ Mortgages/Other Loans)</t>
  </si>
  <si>
    <t>Dividends Paid</t>
  </si>
  <si>
    <t>Changes in Equity</t>
  </si>
  <si>
    <t>Other Financing Activities</t>
  </si>
  <si>
    <t>(do not change any values from hereonwards)</t>
  </si>
  <si>
    <t xml:space="preserve">CASHFLOW STATEMENT (Derived) </t>
  </si>
  <si>
    <t xml:space="preserve">Statement Mapping </t>
  </si>
  <si>
    <t>Other non-Cash Items</t>
  </si>
  <si>
    <t>Balance Sheet Assets</t>
  </si>
  <si>
    <t>Balance Sheet Liabilities</t>
  </si>
  <si>
    <t>Profit and Loss Account</t>
  </si>
  <si>
    <t>Cash Flow</t>
  </si>
  <si>
    <t>Other Revenues</t>
  </si>
  <si>
    <t>Allowance for Bad Debts</t>
  </si>
  <si>
    <t>Current Portion of LT Debt</t>
  </si>
  <si>
    <t>Inventory</t>
  </si>
  <si>
    <t>Related Parties Liability</t>
  </si>
  <si>
    <t>Operating Lease Assets - CP</t>
  </si>
  <si>
    <t>Deferred Revenue</t>
  </si>
  <si>
    <t>Short Term Investments</t>
  </si>
  <si>
    <t>Operating Lease Liabilities CP</t>
  </si>
  <si>
    <t>Retirement Benefits</t>
  </si>
  <si>
    <t>Prepaid Expenses</t>
  </si>
  <si>
    <t>Accrued Expenses</t>
  </si>
  <si>
    <t>Other Personal Cost</t>
  </si>
  <si>
    <t>Research &amp; Development Expense</t>
  </si>
  <si>
    <t>Long Term Portion of LT Debt</t>
  </si>
  <si>
    <t>Bad Debt Expense</t>
  </si>
  <si>
    <t>Operating Lease Liabilities LT</t>
  </si>
  <si>
    <t>Utilities</t>
  </si>
  <si>
    <t>Other Fixed Asset</t>
  </si>
  <si>
    <t>Deferred Tax Liability</t>
  </si>
  <si>
    <t>Other Non-Current Liabilities</t>
  </si>
  <si>
    <t>Depreciation</t>
  </si>
  <si>
    <t>Intangible Assets</t>
  </si>
  <si>
    <t>Amortization</t>
  </si>
  <si>
    <t>(Accumulated Amortization)</t>
  </si>
  <si>
    <t>Other Equity</t>
  </si>
  <si>
    <t>Impairment Expense</t>
  </si>
  <si>
    <t>Operating Lease Assets - LT</t>
  </si>
  <si>
    <t>Building Rent</t>
  </si>
  <si>
    <t>Long Term Investments</t>
  </si>
  <si>
    <t>Additional Paid-in Capital</t>
  </si>
  <si>
    <t>Equipment Rental and Lease</t>
  </si>
  <si>
    <t>Related Parties LT Assets</t>
  </si>
  <si>
    <t>Other Rent Expenses</t>
  </si>
  <si>
    <t>Deferred Tax Asset</t>
  </si>
  <si>
    <t>Interest Income</t>
  </si>
  <si>
    <t>Other Non-current Assets</t>
  </si>
  <si>
    <t>Interest Expense</t>
  </si>
  <si>
    <t xml:space="preserve">Other Income </t>
  </si>
  <si>
    <t>Other Expenses</t>
  </si>
  <si>
    <t xml:space="preserve">Non Cash Income/Expenses </t>
  </si>
  <si>
    <t>Gain / (Loss) on Sale of Assets</t>
  </si>
  <si>
    <t>Investment Income (Associates &amp; Joint Venture)</t>
  </si>
  <si>
    <t>Minority Interest</t>
  </si>
  <si>
    <t>Extraordinary Income / (Expense)</t>
  </si>
  <si>
    <t>Taxes (Benefit)</t>
  </si>
  <si>
    <t>Income Statement</t>
  </si>
  <si>
    <t>Attributes</t>
  </si>
  <si>
    <t>Operating Revenues</t>
  </si>
  <si>
    <t>Total Operating Revenues</t>
  </si>
  <si>
    <t>Gross Profit</t>
  </si>
  <si>
    <t>Operating Expenses</t>
  </si>
  <si>
    <t>Personal Expenses</t>
  </si>
  <si>
    <t>General and Administrative Expenses</t>
  </si>
  <si>
    <t>Depreciation/Amortization</t>
  </si>
  <si>
    <t xml:space="preserve">Rent </t>
  </si>
  <si>
    <t>Total Operating Expenses</t>
  </si>
  <si>
    <t>Operating Profit/(Loss)</t>
  </si>
  <si>
    <t>Non-Operating Expenses</t>
  </si>
  <si>
    <t>Total Non-Operating Revenue &amp; (Expenses)</t>
  </si>
  <si>
    <t>Profit (Loss) Before Taxes</t>
  </si>
  <si>
    <t>Net Income/(Loss)</t>
  </si>
  <si>
    <t>Balance Sheet Statement</t>
  </si>
  <si>
    <t>Net Accounts Receivable</t>
  </si>
  <si>
    <t>Total Current Assets</t>
  </si>
  <si>
    <t>Total Net Fixed Assets</t>
  </si>
  <si>
    <t>Total Net Intangible assets</t>
  </si>
  <si>
    <t>Total Noncurrent assets</t>
  </si>
  <si>
    <t>Total Assets</t>
  </si>
  <si>
    <t>LIABILITIES &amp; EQUITY</t>
  </si>
  <si>
    <t>Total Current Liabilities</t>
  </si>
  <si>
    <t>Total Non Current Liabilities</t>
  </si>
  <si>
    <t>Total Liabilities</t>
  </si>
  <si>
    <t>Total Equity</t>
  </si>
  <si>
    <t>Total Equity + Total Liabilities</t>
  </si>
  <si>
    <t>Cash Flow Statement</t>
  </si>
  <si>
    <t>Cash flows from Operating Activities</t>
  </si>
  <si>
    <t>Net income (loss) (Current Year)</t>
  </si>
  <si>
    <t>Working Capital Change</t>
  </si>
  <si>
    <t>Net cash provided by (used in) operating activities</t>
  </si>
  <si>
    <t>Cash flows from investing activities</t>
  </si>
  <si>
    <t>Net cash provided by (used in) investing activities</t>
  </si>
  <si>
    <t>Cash flows from financing activities</t>
  </si>
  <si>
    <t>Net cash provided by (used in) financing activities</t>
  </si>
  <si>
    <t xml:space="preserve">Net Cash Generated </t>
  </si>
  <si>
    <t>Cash, cash equivalents at beginning of period</t>
  </si>
  <si>
    <t>Cash, cash equivalents at end of period</t>
  </si>
  <si>
    <t>Control Sheet</t>
  </si>
  <si>
    <t>PL - Net Profit</t>
  </si>
  <si>
    <t>Profit and Loss (Hard-paste)</t>
  </si>
  <si>
    <t>Profit and Loss</t>
  </si>
  <si>
    <t>Difference</t>
  </si>
  <si>
    <t>BS - Assets</t>
  </si>
  <si>
    <t>As per FS-Data</t>
  </si>
  <si>
    <t>As per Balance Sheet</t>
  </si>
  <si>
    <t>BS - Liabilities</t>
  </si>
  <si>
    <t>BS - Total Difference</t>
  </si>
  <si>
    <t>CF - Cash at end of period</t>
  </si>
  <si>
    <t>As per Cash Flow Statement</t>
  </si>
  <si>
    <t>Covenants Sheet</t>
  </si>
  <si>
    <t>Threshold</t>
  </si>
  <si>
    <t>&gt;0.3</t>
  </si>
  <si>
    <t>&gt;0.5</t>
  </si>
  <si>
    <t>Debt/Worth</t>
  </si>
  <si>
    <t>&lt;3</t>
  </si>
  <si>
    <t>Assets Debt</t>
  </si>
  <si>
    <t>&lt;0.95</t>
  </si>
  <si>
    <t>&lt;5</t>
  </si>
  <si>
    <t>Ratios Sheet</t>
  </si>
  <si>
    <t>LIQUIDITY RATIOS</t>
  </si>
  <si>
    <t>Working Capital</t>
  </si>
  <si>
    <t>Current Assets-Current Liabilities</t>
  </si>
  <si>
    <t>Change in working capital</t>
  </si>
  <si>
    <t>Working Capital CY - Working Capital PY</t>
  </si>
  <si>
    <t>Quick Ratio</t>
  </si>
  <si>
    <t>(Cash + Cash Equivalents + Marketable Securities + Accounts Receivable) / Current Liabilities</t>
  </si>
  <si>
    <t>Current Ratio</t>
  </si>
  <si>
    <t>Current assets/Current Laibilities</t>
  </si>
  <si>
    <t>Net Sales/Working Capital</t>
  </si>
  <si>
    <t>Runway</t>
  </si>
  <si>
    <t>LEVERAGE RATIOS</t>
  </si>
  <si>
    <t>Total Debt</t>
  </si>
  <si>
    <t>Net Worth-Actual</t>
  </si>
  <si>
    <t>Total Assets - Total Liabilities</t>
  </si>
  <si>
    <t>Tang Net Worth-Actual</t>
  </si>
  <si>
    <t>Total Assets - Total Liabilities- Intangible assets</t>
  </si>
  <si>
    <t>Debt/equity</t>
  </si>
  <si>
    <t>Debt/Tang Worth</t>
  </si>
  <si>
    <t>Borrowed Funds/Eff Tg Worth</t>
  </si>
  <si>
    <t>LT Debt/Net Fixed Assets</t>
  </si>
  <si>
    <t>Total Liabilities/Total Assets</t>
  </si>
  <si>
    <t>Leverage Ratio</t>
  </si>
  <si>
    <t>Total debt/EBITA</t>
  </si>
  <si>
    <t>Financial Leverage Ratio</t>
  </si>
  <si>
    <t>Total debt/Equity</t>
  </si>
  <si>
    <t>Debt to Book Capital</t>
  </si>
  <si>
    <t>Debt/Book Capital</t>
  </si>
  <si>
    <t>Equity to Asset Ratio</t>
  </si>
  <si>
    <t xml:space="preserve">Total Equity/Total Asset </t>
  </si>
  <si>
    <t>Retained earnings to Asset Ratio</t>
  </si>
  <si>
    <t xml:space="preserve">Retained Earnings/Total Asset </t>
  </si>
  <si>
    <t>COVERAGE RATIOS</t>
  </si>
  <si>
    <t>Interest Coverage</t>
  </si>
  <si>
    <t>EBITDA/Interest Expense</t>
  </si>
  <si>
    <t>Net Income+Depr+Amort/CPLTD</t>
  </si>
  <si>
    <t>Net Income+Depr+Amort/CPLTD pp</t>
  </si>
  <si>
    <t>Net Income+Depr+Amort/CPLTDpp</t>
  </si>
  <si>
    <t>EBITDA/Interest Exp+CPLTD</t>
  </si>
  <si>
    <t>EBITDA/Interest Exp+CPLTD pp</t>
  </si>
  <si>
    <t>EBITDA/Interest Exp+CPLTDpp</t>
  </si>
  <si>
    <t>EBITDA</t>
  </si>
  <si>
    <t>EBIDA</t>
  </si>
  <si>
    <t>EBITDA-Tax</t>
  </si>
  <si>
    <t>Fixed Charge Coverage</t>
  </si>
  <si>
    <t>(EBIT+Lease Payment)/(Lease payment+Interest)</t>
  </si>
  <si>
    <t>(FFO + Interest) / Interest Expense</t>
  </si>
  <si>
    <t>Debt Coverage Ratio</t>
  </si>
  <si>
    <t>Net operating Income/Debt</t>
  </si>
  <si>
    <t>Funded Debt/EBITDA</t>
  </si>
  <si>
    <t>PROFITABILITY RATIOS</t>
  </si>
  <si>
    <t>Return on Assets</t>
  </si>
  <si>
    <t>Net Profit/Total Assets</t>
  </si>
  <si>
    <t>Return on Equity</t>
  </si>
  <si>
    <t>Net Profit/Total equity</t>
  </si>
  <si>
    <t>Gross Margin</t>
  </si>
  <si>
    <t>Revenue-COGS/Revenue</t>
  </si>
  <si>
    <t>Gross Margin (plus Depr) %</t>
  </si>
  <si>
    <t>Revenue-COGS+Depr/Revenue</t>
  </si>
  <si>
    <t>Operating Expense %</t>
  </si>
  <si>
    <t>Operating Expense/Revenue</t>
  </si>
  <si>
    <t>Operating Expense (excl Depr) %</t>
  </si>
  <si>
    <t>Operating Expense-Depr/Revenue</t>
  </si>
  <si>
    <t>Operating Profit Margin</t>
  </si>
  <si>
    <t>Operating Profit/Net Sales</t>
  </si>
  <si>
    <t>Operating Profit Margin (plus Depr) %</t>
  </si>
  <si>
    <t>Operating Profit+Depr/Net Sales</t>
  </si>
  <si>
    <t>Net Margin/Financial Profit</t>
  </si>
  <si>
    <t>Net Income/Revenue</t>
  </si>
  <si>
    <t>Dividend Payout Rate</t>
  </si>
  <si>
    <t>Dividend/Total revenue</t>
  </si>
  <si>
    <t>Effective Tax Rate</t>
  </si>
  <si>
    <t>Tax expense/(EBIT-Interest)</t>
  </si>
  <si>
    <t>EBITA Margin %</t>
  </si>
  <si>
    <t>EBITA/Total Revenue</t>
  </si>
  <si>
    <t>ACTIVITY</t>
  </si>
  <si>
    <t>Net Accounts Receivable Days</t>
  </si>
  <si>
    <t>(Net accounts receivable/Net revenue)*365</t>
  </si>
  <si>
    <t>Accounts Payable Days</t>
  </si>
  <si>
    <t>(Net accounts payable/COGS-Depr)*365</t>
  </si>
  <si>
    <t>Accounts Payable Days (excl Depr)</t>
  </si>
  <si>
    <t>(Net accounts payable/COGS)*366</t>
  </si>
  <si>
    <t>Net Sales/Total Assets</t>
  </si>
  <si>
    <t>Net Sales/Net Worth</t>
  </si>
  <si>
    <t>Net Sales/Net Fixed Assets</t>
  </si>
  <si>
    <t>Profit Before Taxes/Total Assets (%)</t>
  </si>
  <si>
    <t>CAPEX / Depreciation Expense</t>
  </si>
  <si>
    <t>(PPE CY -PPE PY +Depr)/Depr</t>
  </si>
  <si>
    <t>Cash to Net Sales</t>
  </si>
  <si>
    <t>Cash/Net sales</t>
  </si>
  <si>
    <t>Net Sales</t>
  </si>
  <si>
    <t>Net Revenue</t>
  </si>
  <si>
    <t>Cost of sales as a % of revenue</t>
  </si>
  <si>
    <t>COGS/Revenue</t>
  </si>
  <si>
    <t>Inventory turnover/Sales Turnover</t>
  </si>
  <si>
    <t>COGS/Inventories</t>
  </si>
  <si>
    <t>Accounts receivable turnover</t>
  </si>
  <si>
    <t>Revenue/Accounts Receivable</t>
  </si>
  <si>
    <t>Payables turnover</t>
  </si>
  <si>
    <t>COGS/Accounts Payable</t>
  </si>
  <si>
    <t>Inventory conversion period</t>
  </si>
  <si>
    <t>Inventories/COGS*365</t>
  </si>
  <si>
    <t>Cash conversion cycle</t>
  </si>
  <si>
    <t>Inventory conversion period+Accounts Receivable days-Accounts Payable days</t>
  </si>
  <si>
    <t>Fixed Assets Turnover Ratio</t>
  </si>
  <si>
    <t>Average Inventory</t>
  </si>
  <si>
    <t>Opening Inventory+Closing Inventory/2</t>
  </si>
  <si>
    <t>GROWTH (%)</t>
  </si>
  <si>
    <t>Total Assets Growth</t>
  </si>
  <si>
    <t>Total Asset CY-Total Asset PY/Total Asset PY</t>
  </si>
  <si>
    <t>Total Liabilities Growth</t>
  </si>
  <si>
    <t>Total Laibility CY-Total Laibility PY/Total Laibility PY</t>
  </si>
  <si>
    <t>Net Worth Growth</t>
  </si>
  <si>
    <t>Total Equity CY - Total Equity PY/Total Equity PY</t>
  </si>
  <si>
    <t>Net Sales Growth</t>
  </si>
  <si>
    <t>Net Revenue CY-Net Revenue PY/Net RevenuePy</t>
  </si>
  <si>
    <t>Operating Profit Growth</t>
  </si>
  <si>
    <t>Operating Profit CY-Operating Profit PY/Operating Profit PY</t>
  </si>
  <si>
    <t>Net Profit Growth</t>
  </si>
  <si>
    <t>Net Profit CY-Net Profit PY/Net Profit PY</t>
  </si>
  <si>
    <t xml:space="preserve">Sustainable Growth </t>
  </si>
  <si>
    <t>Retention Rate * Return on Equity</t>
  </si>
  <si>
    <t>CAPEX/CFO</t>
  </si>
  <si>
    <t>CFO/Profit before extra ordinary item</t>
  </si>
  <si>
    <t>Knockout Rules</t>
  </si>
  <si>
    <t>Sr No</t>
  </si>
  <si>
    <t>Parameters</t>
  </si>
  <si>
    <t>Criteria</t>
  </si>
  <si>
    <t>Actual Values</t>
  </si>
  <si>
    <t>Pass/Fail</t>
  </si>
  <si>
    <t>Minimum Annual revenue $5,000,000</t>
  </si>
  <si>
    <t>Negative bank balance days in the last 6 months</t>
  </si>
  <si>
    <t>&lt;=5</t>
  </si>
  <si>
    <t>Liquidity Runway</t>
  </si>
  <si>
    <t>If Tangible Net Worth is negative, business must be profitable</t>
  </si>
  <si>
    <t>N/A</t>
  </si>
  <si>
    <t>Net Income Margin</t>
  </si>
  <si>
    <t>&lt;-5%</t>
  </si>
  <si>
    <t>Current liabilities must not exceed 60% of annual revenue</t>
  </si>
  <si>
    <t>&lt;=60%</t>
  </si>
  <si>
    <t>&gt;10%</t>
  </si>
  <si>
    <t>Minimum time in Business (In Years)</t>
  </si>
  <si>
    <t>Minimum Experian Intelliscore</t>
  </si>
  <si>
    <t>Not delinquent on any Slope obligations or gone more than 15 days delinquent on any prior Slope obligations</t>
  </si>
  <si>
    <t>Line Calculation</t>
  </si>
  <si>
    <t>A</t>
  </si>
  <si>
    <t>Annual Revenue</t>
  </si>
  <si>
    <t>B</t>
  </si>
  <si>
    <t>BASE LIMIT WITH NET MARGIN</t>
  </si>
  <si>
    <t>LL</t>
  </si>
  <si>
    <t>UL</t>
  </si>
  <si>
    <t>% of AR</t>
  </si>
  <si>
    <t>Calculation</t>
  </si>
  <si>
    <t>Net profit margin -5% - 0%</t>
  </si>
  <si>
    <t>Net profit margin 0.01% - 2.5%</t>
  </si>
  <si>
    <t>Net profit margin 2.51%+</t>
  </si>
  <si>
    <t>Base Limit with Net Margin</t>
  </si>
  <si>
    <t>C</t>
  </si>
  <si>
    <t>GROSS MARGIN ADJUSTMENT</t>
  </si>
  <si>
    <t>Gross Margin Range</t>
  </si>
  <si>
    <t>Multiplier</t>
  </si>
  <si>
    <t>&lt;10%</t>
  </si>
  <si>
    <t>11-30%</t>
  </si>
  <si>
    <t>31-50%</t>
  </si>
  <si>
    <t>51%-60%</t>
  </si>
  <si>
    <t>61%-100%</t>
  </si>
  <si>
    <t>Adj Limit after Gross Margin</t>
  </si>
  <si>
    <t>D</t>
  </si>
  <si>
    <t>CURRENT LIABILITIES ADJUSTMENT</t>
  </si>
  <si>
    <t>Liabilities %</t>
  </si>
  <si>
    <t>11-25%</t>
  </si>
  <si>
    <t>26-45%</t>
  </si>
  <si>
    <t>46%-59%</t>
  </si>
  <si>
    <t>60%+</t>
  </si>
  <si>
    <t xml:space="preserve">Adj Limit after Current Liabities </t>
  </si>
  <si>
    <t>Line Recommendation</t>
  </si>
  <si>
    <t>USD</t>
  </si>
  <si>
    <t>Other</t>
  </si>
  <si>
    <t>Unaudited</t>
  </si>
  <si>
    <t>Audited</t>
  </si>
  <si>
    <t>Tax-form 1120-S</t>
  </si>
  <si>
    <t>Tax-form 1120</t>
  </si>
  <si>
    <t>Tax-Form 1065</t>
  </si>
  <si>
    <t>Tax-Form 1040</t>
  </si>
  <si>
    <t>VENTAS 12% IVA</t>
  </si>
  <si>
    <t>VENTAS 0% IVA</t>
  </si>
  <si>
    <t>SALES 12% VAT</t>
  </si>
  <si>
    <t>SALES 0% VAT</t>
  </si>
  <si>
    <t>COMPRAS</t>
  </si>
  <si>
    <t>SHOPPING</t>
  </si>
  <si>
    <t>Sueldos y Salarios</t>
  </si>
  <si>
    <t>Beneficios Sociales</t>
  </si>
  <si>
    <t>Aporte a la Seguridad Social</t>
  </si>
  <si>
    <t>Honorarios Profesionales</t>
  </si>
  <si>
    <t>Gastos de Viaje</t>
  </si>
  <si>
    <t>Gastos Movilización</t>
  </si>
  <si>
    <t>Gastos de oficina</t>
  </si>
  <si>
    <t>Gastos generales</t>
  </si>
  <si>
    <t>Gastos Uniformes</t>
  </si>
  <si>
    <t>Gastos Combustibles</t>
  </si>
  <si>
    <t>Atenciones Sociales</t>
  </si>
  <si>
    <t>Social Benefits</t>
  </si>
  <si>
    <t>Social Services</t>
  </si>
  <si>
    <t>Uniform Expenses</t>
  </si>
  <si>
    <t>Salaries and Wages</t>
  </si>
  <si>
    <t>Fuel Expenses</t>
  </si>
  <si>
    <t>Travel Expenses</t>
  </si>
  <si>
    <t>Professional Fees</t>
  </si>
  <si>
    <t>Social Security Contributions</t>
  </si>
  <si>
    <t>Mobilization Expenses</t>
  </si>
  <si>
    <t>Office Expenses</t>
  </si>
  <si>
    <t>General Expenses</t>
  </si>
  <si>
    <t>PROCREDIT</t>
  </si>
  <si>
    <t>BANCO PICHINCA</t>
  </si>
  <si>
    <t>PRODUBANCO</t>
  </si>
  <si>
    <t>BANCO PICHINCHA</t>
  </si>
  <si>
    <t>CUENTAS POR COBRAR</t>
  </si>
  <si>
    <t>INVENTARIOS</t>
  </si>
  <si>
    <t>EDIFICIO</t>
  </si>
  <si>
    <t>MUEBLES Y ENSERES</t>
  </si>
  <si>
    <t>MAQUINARIA Y EQUIPOS</t>
  </si>
  <si>
    <t>VEHICULOS</t>
  </si>
  <si>
    <t>EQUIPO DE COMPUTACION</t>
  </si>
  <si>
    <t>DEPRECIACIÒN ACUMULADA</t>
  </si>
  <si>
    <t>BUILDING</t>
  </si>
  <si>
    <t>FURNITURE AND FIXTURES</t>
  </si>
  <si>
    <t>MACHINERY AND EQUIPMENT</t>
  </si>
  <si>
    <t>VEHICLES</t>
  </si>
  <si>
    <t>COMPUTER EQUIPMENT</t>
  </si>
  <si>
    <t>ACCUMULATED DEPRECIATION</t>
  </si>
  <si>
    <t>TERRENO</t>
  </si>
  <si>
    <t>LAND</t>
  </si>
  <si>
    <t>CUENTAS POR PAGAR</t>
  </si>
  <si>
    <t>TARJETAS</t>
  </si>
  <si>
    <t>CUENTAS POR PAGAR BS</t>
  </si>
  <si>
    <t>ACCOUNTS PAYABLE</t>
  </si>
  <si>
    <t>CARDS</t>
  </si>
  <si>
    <t>ACCOUNTS PAYABLE BS</t>
  </si>
  <si>
    <t>PATRIMONIO</t>
  </si>
  <si>
    <t>HERITAGE</t>
  </si>
  <si>
    <t>Annualized</t>
  </si>
  <si>
    <t>Utilidad Neta=Ingresos−Costo de Ventas−Gastos Operativos−Impuestos−Otros Gastos</t>
  </si>
  <si>
    <t>v</t>
  </si>
  <si>
    <t>c</t>
  </si>
  <si>
    <t>u</t>
  </si>
  <si>
    <t>189m</t>
  </si>
  <si>
    <t>=1-('DATA-BRUTO'!C432/Decisioning!D18)</t>
  </si>
  <si>
    <t>PASIVOS</t>
  </si>
  <si>
    <t>margen bruto</t>
  </si>
  <si>
    <t>Ingreso anual mínimo: $5,000,000</t>
  </si>
  <si>
    <t>Días con saldo bancario negativo en los últimos 6 meses</t>
  </si>
  <si>
    <t>Ruta de liquidez</t>
  </si>
  <si>
    <t>Si el valor neto tangible es negativo, el negocio debe ser rentable</t>
  </si>
  <si>
    <t>Margen de ingreso neto</t>
  </si>
  <si>
    <t>Las pasivos corrientes no deben exceder el 60% de los ingresos anuales</t>
  </si>
  <si>
    <t>Margen bruto</t>
  </si>
  <si>
    <t>Tiempo mínimo en el negocio (en años)</t>
  </si>
  <si>
    <t>Puntaje mínimo de Experian Intelliscore</t>
  </si>
  <si>
    <t>No tener pagos atrasados en ninguna obligación de Slope ni haber estado más de 15 días en mora en obligaciones anteriores con Slope</t>
  </si>
  <si>
    <t>IMPROACERO IMPORTADORA DE PRODUCTOS DE ACERO C LTDA</t>
  </si>
  <si>
    <t>101/201 ACTIVO CORRIENTE / PASIVO</t>
  </si>
  <si>
    <t>3/10204 PATRIMONIO NETO / ACTIVO INTANGIBLE</t>
  </si>
  <si>
    <t>30701/401 GANANCIA NETA DEL PERIODO /  INGRESOS DE ACTIVIDADES ORDINARIAS</t>
  </si>
  <si>
    <t>2 PASIVO / VENTA DE BIENES</t>
  </si>
  <si>
    <t>402/401 GANANCIA BRUTA /  INGRESOS DE ACTIVIDADES ORDINARIAS</t>
  </si>
  <si>
    <t xml:space="preserve">401VENTA DE BIENES </t>
  </si>
  <si>
    <t xml:space="preserve">501 GANANCIA NETA DEL PERIODO /  VENTA DE BIENES </t>
  </si>
  <si>
    <t>B2</t>
  </si>
  <si>
    <t>Cuentas por Cobrar AR %</t>
  </si>
  <si>
    <t>COD_CUENTA_CLIENTE</t>
  </si>
  <si>
    <t>NOMBRE_CLIENTE</t>
  </si>
  <si>
    <t>CUPO_ACTUAL_CREDITO</t>
  </si>
  <si>
    <t>CUPO_DISPONIBLE</t>
  </si>
  <si>
    <t>ANIOS_ACT_ECONOMICA</t>
  </si>
  <si>
    <t>LETRA_EQUIFAX</t>
  </si>
  <si>
    <t>SCOREBURO_EQUIFAX</t>
  </si>
  <si>
    <t>SCORE_CREDITO</t>
  </si>
  <si>
    <t>DEUDA_TOTAL</t>
  </si>
  <si>
    <t>LETRA_FM</t>
  </si>
  <si>
    <t>ESTADO_CREDITO</t>
  </si>
  <si>
    <t>IDENTIFICACION</t>
  </si>
  <si>
    <t>BURO_EQUIFAX</t>
  </si>
  <si>
    <t>INDEX_PYMES_EQUIFAX</t>
  </si>
  <si>
    <t>&gt;=$200,000</t>
  </si>
  <si>
    <t>&gt;=6 Months</t>
  </si>
  <si>
    <t>&gt;=3 Years</t>
  </si>
  <si>
    <t>No se cuenta con la información</t>
  </si>
  <si>
    <t>SELECT 
COD_CUENTA_CLIENTE,
NOMBRE_CLIENTE,
CUPO_ACTUAL_CREDITO,
CUPO_DISPONIBLE,
ANIOS_ACT_ECONOMICA,
LETRA_EQUIFAX,
SCOREBURO_EQUIFAX,
SCORE_CREDITO,
DEUDA_TOTAL,
LETRA_FM,
ESTADO_CREDITO,
IDENTIFICACION,
BURO_EQUIFAX,
INDEX_PYMES_EQUIFAX
 FROM BI_DIM_CLIENTE
WHERE IDENTIFICACION = '1792886066001'</t>
  </si>
  <si>
    <t xml:space="preserve">
SELECT * FROM APP_FLUJO_CLIENTE_DETALLE
WHERE Cod_Cliente_AX ='134533'</t>
  </si>
  <si>
    <t>UTILIDAD DEL EJERCICIO</t>
  </si>
  <si>
    <t>GANANCIA BRUTA</t>
  </si>
  <si>
    <t>select COD_CUENTA_CLIENTE,
		NOMBRE_CLIENTE,
		CUPO_ACTUAL_CREDITO,
		CUPO_DISPONIBLE,
		ANIOS_ACT_ECONOMICA,
		LETRA_EQUIFAX,
		SCOREBURO_EQUIFAX,
		SCORE_CREDITO,
		DEUDA_TOTAL,
		LETRA_FM,
		ESTADO_CREDITO,
		IDENTIFICACION,
		BURO_EQUIFAX,
		INDEX_PYMES_EQUIFAX
 from BI_DIM_CLIENTE
where COD_COMPANIA = 'fm'
and IDENTIFICACION = '0103810826001'
select * from APP_FLUJO_CLIENTE_DETALLE
where Cod_Cliente_AX  = '109773'</t>
  </si>
  <si>
    <t>TOTAL ACTIVOS CORRIENTES</t>
  </si>
  <si>
    <t>TOTAL ACTIVOS INTANGIBLES</t>
  </si>
  <si>
    <t>TOTAL DEL PASIVO</t>
  </si>
  <si>
    <t>TOTAL PATRIMONIO NETO</t>
  </si>
  <si>
    <t>TOTAL INGRESOS</t>
  </si>
  <si>
    <t>Aprobado Crédito</t>
  </si>
  <si>
    <t>Descripción</t>
  </si>
  <si>
    <t>Código</t>
  </si>
  <si>
    <t>Valor</t>
  </si>
  <si>
    <t>314</t>
  </si>
  <si>
    <t>349</t>
  </si>
  <si>
    <t>389</t>
  </si>
  <si>
    <t>599</t>
  </si>
  <si>
    <t>698</t>
  </si>
  <si>
    <t>701</t>
  </si>
  <si>
    <t>TOTAL COSTOS</t>
  </si>
  <si>
    <t>6999</t>
  </si>
  <si>
    <t>7991</t>
  </si>
  <si>
    <t>. Locales</t>
  </si>
  <si>
    <t>ACTIVA</t>
  </si>
  <si>
    <t>134811</t>
  </si>
  <si>
    <t>MACONSMIL CIA. LTDA.</t>
  </si>
  <si>
    <t>1792333938001</t>
  </si>
  <si>
    <t>SIN INDEX PYMES</t>
  </si>
  <si>
    <t>GB</t>
  </si>
  <si>
    <t>CXC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</si>
</sst>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(* #,##0.00_);_(* \(#,##0.00\);_(* &quot;-&quot;??_);_(@_)"/>
    <numFmt numFmtId="165" formatCode="_ * #,##0_ ;_ * \-#,##0_ ;_ * &quot;-&quot;??_ ;_ @_ "/>
    <numFmt numFmtId="166" formatCode="[$-C09]dd/mmm/yy;@"/>
    <numFmt numFmtId="167" formatCode="_(* #,##0_);_(* \(#,##0\);_(* &quot;-&quot;??_);_(@_)"/>
    <numFmt numFmtId="168" formatCode="0.0000"/>
    <numFmt numFmtId="169" formatCode="_ &quot;$&quot;* #,##0_ ;_ &quot;$&quot;* \-#,##0_ ;_ &quot;$&quot;* &quot;-&quot;??_ ;_ @_ 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Calibri"/>
      <family val="2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b/>
      <i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3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286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1" applyNumberFormat="1" applyFont="1" applyBorder="1" applyAlignment="1">
      <alignment horizontal="left"/>
    </xf>
    <xf numFmtId="0" fontId="0" fillId="0" borderId="1" xfId="0" applyBorder="1"/>
    <xf numFmtId="165" fontId="0" fillId="0" borderId="0" xfId="1" applyNumberFormat="1" applyFont="1" applyFill="1"/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165" fontId="0" fillId="0" borderId="1" xfId="1" applyNumberFormat="1" applyFont="1" applyFill="1" applyBorder="1"/>
    <xf numFmtId="165" fontId="1" fillId="0" borderId="1" xfId="1" applyNumberFormat="1" applyFont="1" applyFill="1" applyBorder="1"/>
    <xf numFmtId="0" fontId="3" fillId="0" borderId="1" xfId="0" applyFont="1" applyBorder="1" applyAlignment="1">
      <alignment horizontal="left" vertical="center"/>
    </xf>
    <xf numFmtId="165" fontId="0" fillId="0" borderId="1" xfId="1" applyNumberFormat="1" applyFont="1" applyBorder="1" applyAlignment="1"/>
    <xf numFmtId="0" fontId="8" fillId="0" borderId="1" xfId="0" applyFont="1" applyBorder="1"/>
    <xf numFmtId="165" fontId="0" fillId="0" borderId="0" xfId="1" applyNumberFormat="1" applyFont="1" applyFill="1" applyBorder="1"/>
    <xf numFmtId="0" fontId="3" fillId="0" borderId="1" xfId="0" applyFont="1" applyBorder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right" vertical="center" wrapText="1"/>
    </xf>
    <xf numFmtId="4" fontId="1" fillId="0" borderId="0" xfId="0" applyNumberFormat="1" applyFont="1"/>
    <xf numFmtId="165" fontId="1" fillId="0" borderId="0" xfId="0" applyNumberFormat="1" applyFont="1"/>
    <xf numFmtId="165" fontId="1" fillId="7" borderId="1" xfId="1" applyNumberFormat="1" applyFont="1" applyFill="1" applyBorder="1"/>
    <xf numFmtId="165" fontId="14" fillId="0" borderId="0" xfId="0" applyNumberFormat="1" applyFont="1"/>
    <xf numFmtId="0" fontId="2" fillId="0" borderId="1" xfId="0" applyFont="1" applyBorder="1"/>
    <xf numFmtId="0" fontId="2" fillId="8" borderId="1" xfId="0" applyFont="1" applyFill="1" applyBorder="1"/>
    <xf numFmtId="0" fontId="12" fillId="9" borderId="1" xfId="0" applyFont="1" applyFill="1" applyBorder="1"/>
    <xf numFmtId="15" fontId="5" fillId="6" borderId="1" xfId="0" applyNumberFormat="1" applyFont="1" applyFill="1" applyBorder="1" applyAlignment="1">
      <alignment horizontal="center"/>
    </xf>
    <xf numFmtId="0" fontId="1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10" borderId="1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 wrapText="1"/>
    </xf>
    <xf numFmtId="0" fontId="10" fillId="11" borderId="1" xfId="0" applyFont="1" applyFill="1" applyBorder="1" applyAlignment="1">
      <alignment vertical="center" wrapText="1"/>
    </xf>
    <xf numFmtId="0" fontId="10" fillId="11" borderId="0" xfId="0" applyFont="1" applyFill="1" applyAlignment="1">
      <alignment vertical="center" wrapText="1"/>
    </xf>
    <xf numFmtId="0" fontId="1" fillId="7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65" fontId="1" fillId="0" borderId="1" xfId="1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166" fontId="1" fillId="4" borderId="1" xfId="1" applyNumberFormat="1" applyFont="1" applyFill="1" applyBorder="1" applyAlignment="1">
      <alignment horizontal="center"/>
    </xf>
    <xf numFmtId="165" fontId="1" fillId="4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165" fontId="0" fillId="0" borderId="0" xfId="0" applyNumberFormat="1"/>
    <xf numFmtId="0" fontId="0" fillId="0" borderId="0" xfId="0" quotePrefix="1"/>
    <xf numFmtId="4" fontId="0" fillId="0" borderId="0" xfId="0" applyNumberFormat="1"/>
    <xf numFmtId="0" fontId="9" fillId="7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0" fontId="9" fillId="0" borderId="1" xfId="0" applyFont="1" applyBorder="1" applyAlignment="1">
      <alignment vertical="center"/>
    </xf>
    <xf numFmtId="165" fontId="1" fillId="0" borderId="1" xfId="1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165" fontId="1" fillId="2" borderId="1" xfId="1" applyNumberFormat="1" applyFont="1" applyFill="1" applyBorder="1" applyAlignment="1">
      <alignment horizontal="left"/>
    </xf>
    <xf numFmtId="165" fontId="1" fillId="0" borderId="1" xfId="1" applyNumberFormat="1" applyFont="1" applyBorder="1" applyAlignment="1">
      <alignment horizontal="left"/>
    </xf>
    <xf numFmtId="165" fontId="15" fillId="0" borderId="1" xfId="1" applyNumberFormat="1" applyFont="1" applyBorder="1" applyAlignment="1">
      <alignment horizontal="left" vertical="center"/>
    </xf>
    <xf numFmtId="165" fontId="1" fillId="7" borderId="1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/>
    </xf>
    <xf numFmtId="0" fontId="19" fillId="0" borderId="0" xfId="0" applyFont="1"/>
    <xf numFmtId="15" fontId="15" fillId="0" borderId="0" xfId="0" applyNumberFormat="1" applyFont="1" applyAlignment="1">
      <alignment horizontal="center"/>
    </xf>
    <xf numFmtId="0" fontId="6" fillId="0" borderId="1" xfId="0" applyFont="1" applyBorder="1"/>
    <xf numFmtId="165" fontId="2" fillId="8" borderId="1" xfId="1" applyNumberFormat="1" applyFont="1" applyFill="1" applyBorder="1"/>
    <xf numFmtId="165" fontId="6" fillId="0" borderId="1" xfId="1" applyNumberFormat="1" applyFont="1" applyFill="1" applyBorder="1"/>
    <xf numFmtId="165" fontId="2" fillId="0" borderId="1" xfId="1" applyNumberFormat="1" applyFont="1" applyFill="1" applyBorder="1"/>
    <xf numFmtId="165" fontId="4" fillId="0" borderId="1" xfId="1" applyNumberFormat="1" applyFont="1" applyBorder="1" applyAlignment="1"/>
    <xf numFmtId="0" fontId="20" fillId="0" borderId="1" xfId="0" applyFont="1" applyBorder="1"/>
    <xf numFmtId="0" fontId="2" fillId="12" borderId="1" xfId="0" applyFont="1" applyFill="1" applyBorder="1"/>
    <xf numFmtId="165" fontId="2" fillId="12" borderId="1" xfId="1" applyNumberFormat="1" applyFont="1" applyFill="1" applyBorder="1" applyAlignment="1">
      <alignment vertical="top"/>
    </xf>
    <xf numFmtId="165" fontId="2" fillId="12" borderId="1" xfId="1" applyNumberFormat="1" applyFont="1" applyFill="1" applyBorder="1"/>
    <xf numFmtId="165" fontId="3" fillId="0" borderId="1" xfId="1" applyNumberFormat="1" applyFont="1" applyFill="1" applyBorder="1"/>
    <xf numFmtId="0" fontId="13" fillId="0" borderId="1" xfId="0" applyFont="1" applyBorder="1"/>
    <xf numFmtId="0" fontId="9" fillId="4" borderId="1" xfId="0" applyFont="1" applyFill="1" applyBorder="1" applyAlignment="1">
      <alignment vertical="center"/>
    </xf>
    <xf numFmtId="165" fontId="1" fillId="4" borderId="1" xfId="1" applyNumberFormat="1" applyFont="1" applyFill="1" applyBorder="1" applyAlignment="1">
      <alignment horizontal="left"/>
    </xf>
    <xf numFmtId="0" fontId="0" fillId="0" borderId="0" xfId="0" applyAlignment="1">
      <alignment vertical="top"/>
    </xf>
    <xf numFmtId="0" fontId="12" fillId="9" borderId="1" xfId="0" applyFont="1" applyFill="1" applyBorder="1" applyAlignment="1">
      <alignment vertical="top"/>
    </xf>
    <xf numFmtId="15" fontId="5" fillId="6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0" xfId="0" applyFont="1" applyBorder="1" applyAlignment="1">
      <alignment horizontal="left" vertical="top"/>
    </xf>
    <xf numFmtId="165" fontId="0" fillId="0" borderId="10" xfId="1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7" xfId="0" applyFont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165" fontId="1" fillId="2" borderId="7" xfId="1" applyNumberFormat="1" applyFont="1" applyFill="1" applyBorder="1" applyAlignment="1">
      <alignment vertical="top"/>
    </xf>
    <xf numFmtId="0" fontId="2" fillId="2" borderId="9" xfId="0" applyFont="1" applyFill="1" applyBorder="1" applyAlignment="1">
      <alignment horizontal="left" vertical="top"/>
    </xf>
    <xf numFmtId="165" fontId="1" fillId="2" borderId="9" xfId="1" applyNumberFormat="1" applyFont="1" applyFill="1" applyBorder="1" applyAlignment="1">
      <alignment vertical="top"/>
    </xf>
    <xf numFmtId="165" fontId="1" fillId="0" borderId="10" xfId="1" applyNumberFormat="1" applyFont="1" applyBorder="1" applyAlignment="1">
      <alignment vertical="top"/>
    </xf>
    <xf numFmtId="165" fontId="1" fillId="0" borderId="7" xfId="1" applyNumberFormat="1" applyFont="1" applyBorder="1" applyAlignment="1">
      <alignment vertical="top"/>
    </xf>
    <xf numFmtId="0" fontId="2" fillId="0" borderId="8" xfId="0" applyFont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165" fontId="1" fillId="4" borderId="7" xfId="1" applyNumberFormat="1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165" fontId="1" fillId="7" borderId="7" xfId="1" applyNumberFormat="1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17" fillId="0" borderId="0" xfId="0" applyFont="1" applyAlignment="1">
      <alignment vertical="center" wrapText="1"/>
    </xf>
    <xf numFmtId="0" fontId="5" fillId="6" borderId="1" xfId="0" applyFont="1" applyFill="1" applyBorder="1"/>
    <xf numFmtId="0" fontId="5" fillId="0" borderId="1" xfId="0" applyFont="1" applyBorder="1"/>
    <xf numFmtId="15" fontId="5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1" fillId="3" borderId="1" xfId="0" applyFont="1" applyFill="1" applyBorder="1"/>
    <xf numFmtId="165" fontId="1" fillId="3" borderId="1" xfId="1" applyNumberFormat="1" applyFont="1" applyFill="1" applyBorder="1"/>
    <xf numFmtId="0" fontId="10" fillId="0" borderId="6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7" fillId="2" borderId="2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vertical="center" wrapText="1"/>
    </xf>
    <xf numFmtId="0" fontId="17" fillId="2" borderId="4" xfId="0" applyFont="1" applyFill="1" applyBorder="1" applyAlignment="1">
      <alignment vertical="center" wrapText="1"/>
    </xf>
    <xf numFmtId="0" fontId="12" fillId="9" borderId="6" xfId="0" applyFont="1" applyFill="1" applyBorder="1"/>
    <xf numFmtId="15" fontId="5" fillId="6" borderId="6" xfId="0" applyNumberFormat="1" applyFont="1" applyFill="1" applyBorder="1" applyAlignment="1">
      <alignment horizontal="center"/>
    </xf>
    <xf numFmtId="0" fontId="18" fillId="2" borderId="2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5" xfId="0" quotePrefix="1" applyFont="1" applyBorder="1" applyAlignment="1">
      <alignment vertical="center" wrapText="1"/>
    </xf>
    <xf numFmtId="0" fontId="10" fillId="11" borderId="6" xfId="0" applyFont="1" applyFill="1" applyBorder="1" applyAlignment="1">
      <alignment vertical="center" wrapText="1"/>
    </xf>
    <xf numFmtId="0" fontId="10" fillId="10" borderId="5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/>
    </xf>
    <xf numFmtId="0" fontId="2" fillId="0" borderId="11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165" fontId="4" fillId="0" borderId="10" xfId="1" applyNumberFormat="1" applyFont="1" applyBorder="1" applyAlignment="1">
      <alignment vertical="top"/>
    </xf>
    <xf numFmtId="165" fontId="4" fillId="0" borderId="12" xfId="1" applyNumberFormat="1" applyFont="1" applyBorder="1" applyAlignment="1">
      <alignment vertical="top"/>
    </xf>
    <xf numFmtId="165" fontId="4" fillId="0" borderId="1" xfId="1" applyNumberFormat="1" applyFont="1" applyBorder="1" applyAlignment="1">
      <alignment vertical="top"/>
    </xf>
    <xf numFmtId="43" fontId="0" fillId="0" borderId="0" xfId="0" applyNumberFormat="1"/>
    <xf numFmtId="165" fontId="0" fillId="0" borderId="1" xfId="1" applyNumberFormat="1" applyFont="1" applyFill="1" applyBorder="1" applyAlignment="1"/>
    <xf numFmtId="15" fontId="0" fillId="0" borderId="0" xfId="0" applyNumberFormat="1"/>
    <xf numFmtId="0" fontId="11" fillId="0" borderId="1" xfId="0" applyFont="1" applyBorder="1" applyAlignment="1">
      <alignment vertical="top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14" xfId="0" applyFont="1" applyBorder="1"/>
    <xf numFmtId="0" fontId="2" fillId="0" borderId="14" xfId="0" applyFont="1" applyBorder="1"/>
    <xf numFmtId="0" fontId="12" fillId="13" borderId="1" xfId="0" applyFont="1" applyFill="1" applyBorder="1"/>
    <xf numFmtId="0" fontId="12" fillId="13" borderId="4" xfId="0" applyFont="1" applyFill="1" applyBorder="1"/>
    <xf numFmtId="0" fontId="2" fillId="0" borderId="4" xfId="0" applyFont="1" applyBorder="1"/>
    <xf numFmtId="0" fontId="6" fillId="0" borderId="5" xfId="0" applyFont="1" applyBorder="1"/>
    <xf numFmtId="0" fontId="3" fillId="0" borderId="15" xfId="0" applyFont="1" applyBorder="1"/>
    <xf numFmtId="0" fontId="12" fillId="13" borderId="14" xfId="0" applyFont="1" applyFill="1" applyBorder="1"/>
    <xf numFmtId="0" fontId="21" fillId="0" borderId="0" xfId="0" quotePrefix="1" applyFont="1"/>
    <xf numFmtId="0" fontId="3" fillId="0" borderId="14" xfId="0" applyFont="1" applyBorder="1" applyAlignment="1">
      <alignment horizontal="center"/>
    </xf>
    <xf numFmtId="15" fontId="2" fillId="0" borderId="14" xfId="0" applyNumberFormat="1" applyFont="1" applyBorder="1" applyAlignment="1">
      <alignment horizontal="center"/>
    </xf>
    <xf numFmtId="15" fontId="12" fillId="13" borderId="1" xfId="0" applyNumberFormat="1" applyFont="1" applyFill="1" applyBorder="1" applyAlignment="1">
      <alignment horizontal="center"/>
    </xf>
    <xf numFmtId="15" fontId="12" fillId="13" borderId="5" xfId="0" applyNumberFormat="1" applyFont="1" applyFill="1" applyBorder="1" applyAlignment="1">
      <alignment horizontal="center"/>
    </xf>
    <xf numFmtId="165" fontId="0" fillId="0" borderId="4" xfId="1" applyNumberFormat="1" applyFont="1" applyBorder="1"/>
    <xf numFmtId="0" fontId="12" fillId="0" borderId="4" xfId="0" applyFont="1" applyBorder="1"/>
    <xf numFmtId="15" fontId="12" fillId="0" borderId="4" xfId="0" applyNumberFormat="1" applyFont="1" applyBorder="1"/>
    <xf numFmtId="0" fontId="3" fillId="0" borderId="4" xfId="0" applyFont="1" applyBorder="1" applyAlignment="1">
      <alignment horizontal="center"/>
    </xf>
    <xf numFmtId="165" fontId="0" fillId="0" borderId="4" xfId="1" applyNumberFormat="1" applyFont="1" applyFill="1" applyBorder="1"/>
    <xf numFmtId="43" fontId="0" fillId="0" borderId="1" xfId="1" applyFont="1" applyBorder="1"/>
    <xf numFmtId="0" fontId="21" fillId="10" borderId="0" xfId="0" quotePrefix="1" applyFont="1" applyFill="1"/>
    <xf numFmtId="0" fontId="0" fillId="11" borderId="1" xfId="0" applyFill="1" applyBorder="1"/>
    <xf numFmtId="165" fontId="0" fillId="11" borderId="1" xfId="1" applyNumberFormat="1" applyFont="1" applyFill="1" applyBorder="1"/>
    <xf numFmtId="2" fontId="10" fillId="0" borderId="1" xfId="0" applyNumberFormat="1" applyFont="1" applyBorder="1" applyAlignment="1">
      <alignment horizontal="right" vertical="center" wrapText="1"/>
    </xf>
    <xf numFmtId="167" fontId="10" fillId="0" borderId="5" xfId="0" applyNumberFormat="1" applyFont="1" applyBorder="1" applyAlignment="1">
      <alignment horizontal="right" vertical="center" wrapText="1"/>
    </xf>
    <xf numFmtId="167" fontId="10" fillId="0" borderId="1" xfId="0" applyNumberFormat="1" applyFont="1" applyBorder="1" applyAlignment="1">
      <alignment horizontal="right" vertical="center" wrapText="1"/>
    </xf>
    <xf numFmtId="2" fontId="10" fillId="0" borderId="6" xfId="0" applyNumberFormat="1" applyFont="1" applyBorder="1" applyAlignment="1">
      <alignment horizontal="right" vertical="center" wrapText="1"/>
    </xf>
    <xf numFmtId="0" fontId="17" fillId="2" borderId="3" xfId="0" applyFont="1" applyFill="1" applyBorder="1" applyAlignment="1">
      <alignment horizontal="right" vertical="center" wrapText="1"/>
    </xf>
    <xf numFmtId="0" fontId="17" fillId="2" borderId="4" xfId="0" applyFont="1" applyFill="1" applyBorder="1" applyAlignment="1">
      <alignment horizontal="right" vertical="center" wrapText="1"/>
    </xf>
    <xf numFmtId="2" fontId="10" fillId="0" borderId="1" xfId="0" quotePrefix="1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right" vertical="center" wrapText="1"/>
    </xf>
    <xf numFmtId="2" fontId="10" fillId="0" borderId="5" xfId="0" quotePrefix="1" applyNumberFormat="1" applyFont="1" applyBorder="1" applyAlignment="1">
      <alignment horizontal="right" vertical="center" wrapText="1"/>
    </xf>
    <xf numFmtId="2" fontId="10" fillId="11" borderId="1" xfId="0" applyNumberFormat="1" applyFont="1" applyFill="1" applyBorder="1" applyAlignment="1">
      <alignment horizontal="right" vertical="center" wrapText="1"/>
    </xf>
    <xf numFmtId="2" fontId="10" fillId="11" borderId="6" xfId="0" applyNumberFormat="1" applyFont="1" applyFill="1" applyBorder="1" applyAlignment="1">
      <alignment horizontal="right" vertical="center" wrapText="1"/>
    </xf>
    <xf numFmtId="10" fontId="10" fillId="0" borderId="5" xfId="3" applyNumberFormat="1" applyFont="1" applyFill="1" applyBorder="1" applyAlignment="1">
      <alignment horizontal="right" vertical="center" wrapText="1"/>
    </xf>
    <xf numFmtId="10" fontId="10" fillId="0" borderId="1" xfId="3" applyNumberFormat="1" applyFont="1" applyFill="1" applyBorder="1" applyAlignment="1">
      <alignment horizontal="right" vertical="center" wrapText="1"/>
    </xf>
    <xf numFmtId="9" fontId="10" fillId="0" borderId="1" xfId="3" applyFont="1" applyFill="1" applyBorder="1" applyAlignment="1">
      <alignment horizontal="right" vertical="center" wrapText="1"/>
    </xf>
    <xf numFmtId="10" fontId="10" fillId="0" borderId="1" xfId="3" quotePrefix="1" applyNumberFormat="1" applyFont="1" applyFill="1" applyBorder="1" applyAlignment="1">
      <alignment horizontal="right" vertical="center" wrapText="1"/>
    </xf>
    <xf numFmtId="10" fontId="10" fillId="0" borderId="6" xfId="3" applyNumberFormat="1" applyFont="1" applyFill="1" applyBorder="1" applyAlignment="1">
      <alignment horizontal="right" vertical="center" wrapText="1"/>
    </xf>
    <xf numFmtId="0" fontId="10" fillId="2" borderId="4" xfId="0" applyFont="1" applyFill="1" applyBorder="1" applyAlignment="1">
      <alignment horizontal="right" vertical="center" wrapText="1"/>
    </xf>
    <xf numFmtId="2" fontId="10" fillId="0" borderId="5" xfId="0" applyNumberFormat="1" applyFont="1" applyBorder="1" applyAlignment="1">
      <alignment horizontal="right" vertical="center" wrapText="1"/>
    </xf>
    <xf numFmtId="43" fontId="10" fillId="0" borderId="1" xfId="1" applyFont="1" applyBorder="1" applyAlignment="1">
      <alignment horizontal="right" vertical="center" wrapText="1"/>
    </xf>
    <xf numFmtId="9" fontId="10" fillId="0" borderId="1" xfId="3" applyFont="1" applyBorder="1" applyAlignment="1">
      <alignment horizontal="right" vertical="center" wrapText="1"/>
    </xf>
    <xf numFmtId="165" fontId="10" fillId="0" borderId="1" xfId="1" applyNumberFormat="1" applyFont="1" applyBorder="1" applyAlignment="1">
      <alignment horizontal="right" vertical="center" wrapText="1"/>
    </xf>
    <xf numFmtId="10" fontId="10" fillId="0" borderId="1" xfId="3" applyNumberFormat="1" applyFont="1" applyBorder="1" applyAlignment="1">
      <alignment horizontal="right" vertical="center" wrapText="1"/>
    </xf>
    <xf numFmtId="43" fontId="11" fillId="0" borderId="1" xfId="1" applyFont="1" applyBorder="1" applyAlignment="1">
      <alignment horizontal="right" vertical="center" wrapText="1"/>
    </xf>
    <xf numFmtId="9" fontId="10" fillId="0" borderId="5" xfId="3" applyFont="1" applyFill="1" applyBorder="1" applyAlignment="1">
      <alignment horizontal="right" vertical="center" wrapText="1"/>
    </xf>
    <xf numFmtId="9" fontId="10" fillId="0" borderId="6" xfId="3" applyFont="1" applyFill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15" fontId="5" fillId="6" borderId="17" xfId="0" applyNumberFormat="1" applyFont="1" applyFill="1" applyBorder="1" applyAlignment="1">
      <alignment horizontal="center"/>
    </xf>
    <xf numFmtId="0" fontId="18" fillId="2" borderId="16" xfId="0" applyFont="1" applyFill="1" applyBorder="1" applyAlignment="1">
      <alignment vertical="center" wrapText="1"/>
    </xf>
    <xf numFmtId="0" fontId="17" fillId="2" borderId="13" xfId="0" applyFont="1" applyFill="1" applyBorder="1" applyAlignment="1">
      <alignment vertical="center" wrapText="1"/>
    </xf>
    <xf numFmtId="0" fontId="12" fillId="9" borderId="2" xfId="0" applyFont="1" applyFill="1" applyBorder="1"/>
    <xf numFmtId="0" fontId="12" fillId="9" borderId="4" xfId="0" applyFont="1" applyFill="1" applyBorder="1"/>
    <xf numFmtId="3" fontId="3" fillId="14" borderId="1" xfId="0" applyNumberFormat="1" applyFont="1" applyFill="1" applyBorder="1"/>
    <xf numFmtId="165" fontId="0" fillId="14" borderId="1" xfId="1" applyNumberFormat="1" applyFont="1" applyFill="1" applyBorder="1"/>
    <xf numFmtId="165" fontId="3" fillId="0" borderId="1" xfId="1" applyNumberFormat="1" applyFont="1" applyBorder="1"/>
    <xf numFmtId="165" fontId="3" fillId="0" borderId="14" xfId="1" applyNumberFormat="1" applyFont="1" applyBorder="1"/>
    <xf numFmtId="165" fontId="3" fillId="0" borderId="1" xfId="1" quotePrefix="1" applyNumberFormat="1" applyFont="1" applyBorder="1"/>
    <xf numFmtId="165" fontId="3" fillId="0" borderId="4" xfId="1" applyNumberFormat="1" applyFont="1" applyBorder="1"/>
    <xf numFmtId="43" fontId="0" fillId="0" borderId="0" xfId="0" applyNumberFormat="1" applyAlignment="1">
      <alignment vertical="top"/>
    </xf>
    <xf numFmtId="0" fontId="10" fillId="0" borderId="1" xfId="0" applyFont="1" applyBorder="1" applyAlignment="1">
      <alignment vertical="center"/>
    </xf>
    <xf numFmtId="0" fontId="3" fillId="0" borderId="7" xfId="0" applyFont="1" applyBorder="1"/>
    <xf numFmtId="0" fontId="3" fillId="0" borderId="2" xfId="0" applyFont="1" applyBorder="1" applyAlignment="1">
      <alignment horizontal="center"/>
    </xf>
    <xf numFmtId="164" fontId="0" fillId="0" borderId="0" xfId="0" applyNumberFormat="1"/>
    <xf numFmtId="0" fontId="5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5" fillId="15" borderId="6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15" borderId="1" xfId="0" applyFont="1" applyFill="1" applyBorder="1" applyAlignment="1">
      <alignment horizontal="center" vertical="center" wrapText="1"/>
    </xf>
    <xf numFmtId="0" fontId="5" fillId="15" borderId="6" xfId="0" applyFont="1" applyFill="1" applyBorder="1" applyAlignment="1">
      <alignment horizontal="left" vertical="center"/>
    </xf>
    <xf numFmtId="0" fontId="5" fillId="15" borderId="1" xfId="0" applyFont="1" applyFill="1" applyBorder="1"/>
    <xf numFmtId="9" fontId="0" fillId="0" borderId="1" xfId="3" applyFont="1" applyBorder="1"/>
    <xf numFmtId="10" fontId="0" fillId="0" borderId="1" xfId="3" applyNumberFormat="1" applyFont="1" applyBorder="1"/>
    <xf numFmtId="10" fontId="0" fillId="0" borderId="0" xfId="0" applyNumberFormat="1"/>
    <xf numFmtId="15" fontId="12" fillId="13" borderId="4" xfId="0" applyNumberFormat="1" applyFont="1" applyFill="1" applyBorder="1" applyAlignment="1">
      <alignment horizontal="center"/>
    </xf>
    <xf numFmtId="165" fontId="10" fillId="0" borderId="6" xfId="1" applyNumberFormat="1" applyFont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/>
    </xf>
    <xf numFmtId="10" fontId="5" fillId="6" borderId="6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/>
    </xf>
    <xf numFmtId="0" fontId="10" fillId="2" borderId="1" xfId="0" applyFont="1" applyFill="1" applyBorder="1"/>
    <xf numFmtId="165" fontId="17" fillId="2" borderId="1" xfId="1" applyNumberFormat="1" applyFont="1" applyFill="1" applyBorder="1"/>
    <xf numFmtId="0" fontId="17" fillId="2" borderId="1" xfId="0" applyFont="1" applyFill="1" applyBorder="1"/>
    <xf numFmtId="0" fontId="1" fillId="2" borderId="1" xfId="0" applyFont="1" applyFill="1" applyBorder="1"/>
    <xf numFmtId="43" fontId="1" fillId="2" borderId="1" xfId="1" applyFont="1" applyFill="1" applyBorder="1"/>
    <xf numFmtId="0" fontId="17" fillId="0" borderId="1" xfId="0" applyFont="1" applyBorder="1" applyAlignment="1">
      <alignment horizontal="left" vertical="center"/>
    </xf>
    <xf numFmtId="0" fontId="11" fillId="0" borderId="1" xfId="0" applyFont="1" applyBorder="1"/>
    <xf numFmtId="0" fontId="0" fillId="16" borderId="0" xfId="0" applyFill="1"/>
    <xf numFmtId="0" fontId="0" fillId="16" borderId="0" xfId="0" applyFill="1" applyAlignment="1">
      <alignment horizontal="left" vertical="top" wrapText="1"/>
    </xf>
    <xf numFmtId="0" fontId="24" fillId="0" borderId="1" xfId="0" applyFont="1" applyBorder="1"/>
    <xf numFmtId="0" fontId="24" fillId="0" borderId="0" xfId="0" applyFont="1"/>
    <xf numFmtId="165" fontId="24" fillId="0" borderId="1" xfId="1" applyNumberFormat="1" applyFont="1" applyBorder="1"/>
    <xf numFmtId="165" fontId="25" fillId="3" borderId="1" xfId="1" applyNumberFormat="1" applyFont="1" applyFill="1" applyBorder="1"/>
    <xf numFmtId="0" fontId="0" fillId="0" borderId="2" xfId="0" applyBorder="1"/>
    <xf numFmtId="15" fontId="2" fillId="0" borderId="5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2" fillId="0" borderId="0" xfId="0" applyFont="1"/>
    <xf numFmtId="10" fontId="0" fillId="0" borderId="0" xfId="3" applyNumberFormat="1" applyFont="1"/>
    <xf numFmtId="10" fontId="5" fillId="6" borderId="6" xfId="3" applyNumberFormat="1" applyFont="1" applyFill="1" applyBorder="1" applyAlignment="1">
      <alignment horizontal="center" vertical="center"/>
    </xf>
    <xf numFmtId="43" fontId="22" fillId="0" borderId="0" xfId="0" applyNumberFormat="1" applyFont="1"/>
    <xf numFmtId="0" fontId="22" fillId="0" borderId="0" xfId="0" quotePrefix="1" applyFont="1"/>
    <xf numFmtId="165" fontId="0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3" fontId="0" fillId="0" borderId="1" xfId="1" applyFont="1" applyBorder="1" applyAlignment="1">
      <alignment vertical="center"/>
    </xf>
    <xf numFmtId="10" fontId="0" fillId="0" borderId="1" xfId="0" applyNumberFormat="1" applyBorder="1" applyAlignment="1">
      <alignment vertical="center"/>
    </xf>
    <xf numFmtId="10" fontId="0" fillId="0" borderId="1" xfId="3" applyNumberFormat="1" applyFont="1" applyBorder="1" applyAlignment="1">
      <alignment vertical="center"/>
    </xf>
    <xf numFmtId="49" fontId="0" fillId="0" borderId="0" xfId="0" applyNumberFormat="1"/>
    <xf numFmtId="49" fontId="0" fillId="16" borderId="0" xfId="0" applyNumberFormat="1" applyFill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0" fontId="22" fillId="0" borderId="0" xfId="0" applyNumberFormat="1" applyFont="1"/>
    <xf numFmtId="169" fontId="0" fillId="0" borderId="1" xfId="5" applyNumberFormat="1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165" fontId="5" fillId="6" borderId="1" xfId="1" quotePrefix="1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ill="1"/>
    <xf numFmtId="43" fontId="0" fillId="0" borderId="0" xfId="1" applyFont="1" applyFill="1"/>
    <xf numFmtId="0" fontId="0" fillId="0" borderId="0" xfId="0" applyFont="1"/>
    <xf numFmtId="0" fontId="0" fillId="0" borderId="0" xfId="0" quotePrefix="1" applyFont="1"/>
    <xf numFmtId="0" fontId="22" fillId="0" borderId="0" xfId="0" applyFont="1" applyFill="1"/>
    <xf numFmtId="0" fontId="28" fillId="0" borderId="0" xfId="0" quotePrefix="1" applyFont="1" applyFill="1"/>
    <xf numFmtId="0" fontId="22" fillId="0" borderId="0" xfId="0" quotePrefix="1" applyFont="1" applyFill="1"/>
    <xf numFmtId="43" fontId="22" fillId="0" borderId="0" xfId="0" applyNumberFormat="1" applyFont="1" applyFill="1"/>
    <xf numFmtId="0" fontId="27" fillId="0" borderId="1" xfId="0" applyFont="1" applyFill="1" applyBorder="1" applyAlignment="1">
      <alignment horizontal="center" vertical="top"/>
    </xf>
    <xf numFmtId="43" fontId="27" fillId="0" borderId="1" xfId="1" applyFont="1" applyFill="1" applyBorder="1" applyAlignment="1">
      <alignment horizontal="center" vertical="top"/>
    </xf>
    <xf numFmtId="0" fontId="0" fillId="0" borderId="1" xfId="0" applyFont="1" applyBorder="1"/>
    <xf numFmtId="0" fontId="3" fillId="0" borderId="13" xfId="0" applyFont="1" applyBorder="1"/>
    <xf numFmtId="0" fontId="12" fillId="13" borderId="2" xfId="0" applyFont="1" applyFill="1" applyBorder="1" applyAlignment="1">
      <alignment horizontal="left"/>
    </xf>
    <xf numFmtId="0" fontId="12" fillId="13" borderId="3" xfId="0" applyFont="1" applyFill="1" applyBorder="1" applyAlignment="1">
      <alignment horizontal="left"/>
    </xf>
    <xf numFmtId="0" fontId="12" fillId="13" borderId="4" xfId="0" applyFont="1" applyFill="1" applyBorder="1" applyAlignment="1">
      <alignment horizontal="left"/>
    </xf>
    <xf numFmtId="0" fontId="11" fillId="0" borderId="2" xfId="0" applyFont="1" applyBorder="1"/>
    <xf numFmtId="0" fontId="11" fillId="0" borderId="4" xfId="0" applyFont="1" applyBorder="1"/>
    <xf numFmtId="0" fontId="3" fillId="0" borderId="2" xfId="0" applyFont="1" applyBorder="1"/>
    <xf numFmtId="0" fontId="3" fillId="0" borderId="1" xfId="0" applyFont="1" applyBorder="1"/>
    <xf numFmtId="0" fontId="6" fillId="0" borderId="2" xfId="0" applyFont="1" applyBorder="1"/>
    <xf numFmtId="0" fontId="6" fillId="0" borderId="1" xfId="0" applyFont="1" applyBorder="1"/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5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43" fontId="0" fillId="0" borderId="0" xfId="6" applyFont="1" applyFill="1"/>
  </cellXfs>
  <cellStyles count="9">
    <cellStyle name="Comma 2" xfId="2" xr:uid="{E2F26028-7787-45EF-96A0-C9F7F2B9D394}"/>
    <cellStyle name="Comma 2 2" xfId="7" xr:uid="{5D9D2AAA-4F5E-4087-90B5-58DC2248CE54}"/>
    <cellStyle name="Millares" xfId="1" builtinId="3"/>
    <cellStyle name="Millares 2" xfId="6" xr:uid="{D8EE3DB0-87D7-4356-A40C-ACDEF1B1599A}"/>
    <cellStyle name="Moneda" xfId="5" builtinId="4"/>
    <cellStyle name="Moneda 2" xfId="8" xr:uid="{B635A0B9-9245-4991-9818-3D4B089809EC}"/>
    <cellStyle name="Normal" xfId="0" builtinId="0"/>
    <cellStyle name="Normal 2" xfId="4" xr:uid="{6FB310DF-93FE-405B-9E9F-871AC87CD1A6}"/>
    <cellStyle name="Porcentaje" xfId="3" builtinId="5"/>
  </cellStyles>
  <dxfs count="17"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fgColor auto="1"/>
          <bgColor theme="5" tint="0.59996337778862885"/>
        </patternFill>
      </fill>
    </dxf>
    <dxf>
      <fill>
        <patternFill>
          <fgColor auto="1"/>
          <bgColor theme="5" tint="0.59996337778862885"/>
        </patternFill>
      </fill>
    </dxf>
    <dxf>
      <fill>
        <patternFill>
          <fgColor auto="1"/>
          <bgColor theme="5" tint="0.59996337778862885"/>
        </patternFill>
      </fill>
    </dxf>
    <dxf>
      <fill>
        <patternFill>
          <fgColor auto="1"/>
          <bgColor theme="5" tint="0.59996337778862885"/>
        </patternFill>
      </fill>
    </dxf>
    <dxf>
      <fill>
        <patternFill>
          <fgColor auto="1"/>
          <bgColor theme="5" tint="0.59996337778862885"/>
        </patternFill>
      </fill>
    </dxf>
    <dxf>
      <numFmt numFmtId="30" formatCode="@"/>
    </dxf>
    <dxf>
      <numFmt numFmtId="165" formatCode="_ * #,##0_ ;_ * \-#,##0_ ;_ * &quot;-&quot;??_ ;_ @_ "/>
    </dxf>
    <dxf>
      <numFmt numFmtId="165" formatCode="_ * #,##0_ ;_ * \-#,##0_ ;_ * &quot;-&quot;??_ ;_ @_ "/>
    </dxf>
    <dxf>
      <numFmt numFmtId="30" formatCode="@"/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mruColors>
      <color rgb="FFFFFF00"/>
      <color rgb="FFFF5050"/>
      <color rgb="FFFF3300"/>
      <color rgb="FFCC0066"/>
      <color rgb="FFFF33CC"/>
      <color rgb="FFFF0066"/>
      <color rgb="FFC763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2A4EB-3A9F-4A76-AF1E-58E611280EE9}" name="Tabla2" displayName="Tabla2" ref="A1:N2" totalsRowShown="0">
  <autoFilter ref="A1:N2" xr:uid="{DA92A4EB-3A9F-4A76-AF1E-58E611280EE9}"/>
  <tableColumns count="14">
    <tableColumn id="1" xr3:uid="{B4EE9B8B-30FE-4638-9C22-3B9E2ABEE82C}" name="COD_CUENTA_CLIENTE" dataDxfId="15"/>
    <tableColumn id="2" xr3:uid="{19C753AA-D1DE-4523-A89D-5EA36993C142}" name="NOMBRE_CLIENTE"/>
    <tableColumn id="3" xr3:uid="{F3C3C9A9-B6A0-4CF6-AE7D-79FF06B04E44}" name="CUPO_ACTUAL_CREDITO" dataDxfId="14" dataCellStyle="Millares"/>
    <tableColumn id="4" xr3:uid="{F6C6BBC8-7046-4554-BEDB-A06E4B2D30FC}" name="CUPO_DISPONIBLE" dataDxfId="13" dataCellStyle="Millares"/>
    <tableColumn id="5" xr3:uid="{1890737B-B520-44BB-B50F-C3255B7AE1AA}" name="ANIOS_ACT_ECONOMICA"/>
    <tableColumn id="6" xr3:uid="{C97402BD-60D9-4EA9-AE3D-33BCC62F3228}" name="LETRA_EQUIFAX"/>
    <tableColumn id="7" xr3:uid="{19C079F0-A44C-450B-B442-894FBD4BE5B2}" name="SCOREBURO_EQUIFAX"/>
    <tableColumn id="8" xr3:uid="{AD544D34-4F8F-4BE1-A1CE-58C82D4D4455}" name="SCORE_CREDITO"/>
    <tableColumn id="9" xr3:uid="{9A00D4B8-60BD-4F9A-AB0C-EE40CED4B681}" name="DEUDA_TOTAL"/>
    <tableColumn id="10" xr3:uid="{B93396D9-8285-4871-9D45-2755EC3DE3C4}" name="LETRA_FM"/>
    <tableColumn id="11" xr3:uid="{12D58808-4DCA-4518-A3FE-B65BAB616C3F}" name="ESTADO_CREDITO"/>
    <tableColumn id="12" xr3:uid="{A0E1C214-932D-43AE-AEEB-447F2B97BB8D}" name="IDENTIFICACION" dataDxfId="12"/>
    <tableColumn id="13" xr3:uid="{17438614-6D2C-4153-B3B1-5E38E388F119}" name="BURO_EQUIFAX"/>
    <tableColumn id="14" xr3:uid="{E575721F-7CDD-467F-B452-61F00262F84E}" name="INDEX_PYMES_EQUIF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2321B-9BCA-43F5-A735-A401E1C3ACAA}">
  <sheetPr>
    <tabColor theme="8" tint="0.39997558519241921"/>
  </sheetPr>
  <dimension ref="A1:P112"/>
  <sheetViews>
    <sheetView showGridLines="0" zoomScale="70" zoomScaleNormal="70" zoomScaleSheetLayoutView="84" workbookViewId="0">
      <selection activeCell="D6" sqref="D6"/>
    </sheetView>
  </sheetViews>
  <sheetFormatPr baseColWidth="10" defaultColWidth="8.85546875" defaultRowHeight="15" x14ac:dyDescent="0.25"/>
  <cols>
    <col min="1" max="1" width="5.85546875" style="7" customWidth="1"/>
    <col min="2" max="2" width="38.7109375" customWidth="1"/>
    <col min="3" max="3" width="43.42578125" customWidth="1"/>
    <col min="4" max="4" width="22.7109375" bestFit="1" customWidth="1"/>
    <col min="5" max="7" width="20" bestFit="1" customWidth="1"/>
    <col min="8" max="8" width="18" bestFit="1" customWidth="1"/>
    <col min="9" max="9" width="17.42578125" customWidth="1"/>
    <col min="10" max="10" width="14.140625" bestFit="1" customWidth="1"/>
    <col min="11" max="11" width="14" customWidth="1"/>
    <col min="12" max="12" width="9.140625" bestFit="1" customWidth="1"/>
  </cols>
  <sheetData>
    <row r="1" spans="2:9" x14ac:dyDescent="0.25">
      <c r="D1" s="160"/>
    </row>
    <row r="2" spans="2:9" x14ac:dyDescent="0.25">
      <c r="B2" s="272" t="s">
        <v>1</v>
      </c>
      <c r="C2" s="273"/>
      <c r="D2" s="273"/>
      <c r="E2" s="273"/>
      <c r="F2" s="273"/>
      <c r="G2" s="273"/>
      <c r="H2" s="273"/>
      <c r="I2" s="274"/>
    </row>
    <row r="3" spans="2:9" x14ac:dyDescent="0.25">
      <c r="B3" s="277" t="s">
        <v>2</v>
      </c>
      <c r="C3" s="278"/>
      <c r="D3" s="236"/>
      <c r="E3" s="138" t="s">
        <v>3</v>
      </c>
      <c r="F3" s="138" t="s">
        <v>3</v>
      </c>
      <c r="G3" s="138" t="s">
        <v>3</v>
      </c>
      <c r="H3" s="138" t="s">
        <v>3</v>
      </c>
      <c r="I3" s="139"/>
    </row>
    <row r="4" spans="2:9" x14ac:dyDescent="0.25">
      <c r="B4" s="281" t="s">
        <v>4</v>
      </c>
      <c r="C4" s="282"/>
      <c r="D4" s="237">
        <v>45645</v>
      </c>
      <c r="E4" s="138"/>
      <c r="F4" s="138"/>
      <c r="G4" s="138"/>
      <c r="H4" s="138"/>
      <c r="I4" s="139"/>
    </row>
    <row r="5" spans="2:9" x14ac:dyDescent="0.25">
      <c r="B5" s="277" t="s">
        <v>5</v>
      </c>
      <c r="C5" s="278"/>
      <c r="D5" s="238" t="s">
        <v>447</v>
      </c>
      <c r="E5" s="138"/>
      <c r="F5" s="138"/>
      <c r="G5" s="138" t="s">
        <v>3</v>
      </c>
      <c r="H5" s="138" t="s">
        <v>3</v>
      </c>
      <c r="I5" s="139"/>
    </row>
    <row r="6" spans="2:9" x14ac:dyDescent="0.25">
      <c r="B6" s="277" t="s">
        <v>6</v>
      </c>
      <c r="C6" s="278"/>
      <c r="D6" s="203"/>
      <c r="E6" s="138" t="s">
        <v>3</v>
      </c>
      <c r="F6" s="138" t="s">
        <v>3</v>
      </c>
      <c r="G6" s="138" t="s">
        <v>3</v>
      </c>
      <c r="H6" s="138" t="s">
        <v>3</v>
      </c>
      <c r="I6" s="139"/>
    </row>
    <row r="7" spans="2:9" x14ac:dyDescent="0.25">
      <c r="B7" s="277" t="s">
        <v>7</v>
      </c>
      <c r="C7" s="278"/>
      <c r="D7" s="203"/>
      <c r="E7" s="138" t="s">
        <v>3</v>
      </c>
      <c r="F7" s="138" t="s">
        <v>3</v>
      </c>
      <c r="G7" s="138" t="s">
        <v>3</v>
      </c>
      <c r="H7" s="138" t="s">
        <v>3</v>
      </c>
      <c r="I7" s="139"/>
    </row>
    <row r="8" spans="2:9" x14ac:dyDescent="0.25">
      <c r="B8" s="277" t="s">
        <v>8</v>
      </c>
      <c r="C8" s="278"/>
      <c r="D8" s="203"/>
      <c r="E8" s="138" t="s">
        <v>3</v>
      </c>
      <c r="F8" s="138" t="s">
        <v>3</v>
      </c>
      <c r="G8" s="138" t="s">
        <v>3</v>
      </c>
      <c r="H8" s="138" t="s">
        <v>3</v>
      </c>
      <c r="I8" s="139"/>
    </row>
    <row r="9" spans="2:9" x14ac:dyDescent="0.25">
      <c r="B9" s="277" t="s">
        <v>0</v>
      </c>
      <c r="C9" s="278"/>
      <c r="D9" s="203" t="s">
        <v>364</v>
      </c>
      <c r="E9" s="138" t="s">
        <v>3</v>
      </c>
      <c r="F9" s="138" t="s">
        <v>3</v>
      </c>
      <c r="G9" s="138" t="s">
        <v>3</v>
      </c>
      <c r="H9" s="138" t="s">
        <v>3</v>
      </c>
      <c r="I9" s="139"/>
    </row>
    <row r="10" spans="2:9" x14ac:dyDescent="0.25">
      <c r="B10" s="277" t="s">
        <v>9</v>
      </c>
      <c r="C10" s="278"/>
      <c r="D10" s="203"/>
      <c r="E10" s="138"/>
      <c r="F10" s="138"/>
      <c r="G10" s="138"/>
      <c r="H10" s="138"/>
      <c r="I10" s="139"/>
    </row>
    <row r="11" spans="2:9" x14ac:dyDescent="0.25">
      <c r="B11" s="277" t="s">
        <v>10</v>
      </c>
      <c r="C11" s="278"/>
      <c r="D11" s="203">
        <v>1</v>
      </c>
      <c r="E11" s="138"/>
      <c r="F11" s="138"/>
      <c r="G11" s="138" t="s">
        <v>3</v>
      </c>
      <c r="H11" s="138" t="s">
        <v>3</v>
      </c>
      <c r="I11" s="139"/>
    </row>
    <row r="12" spans="2:9" x14ac:dyDescent="0.25">
      <c r="B12" s="279" t="s">
        <v>11</v>
      </c>
      <c r="C12" s="280"/>
      <c r="D12" s="271" t="s">
        <v>3</v>
      </c>
      <c r="E12" s="271"/>
      <c r="F12" s="271"/>
      <c r="G12" s="271"/>
      <c r="H12" s="271"/>
      <c r="I12" s="141"/>
    </row>
    <row r="13" spans="2:9" x14ac:dyDescent="0.25">
      <c r="B13" s="277" t="s">
        <v>12</v>
      </c>
      <c r="C13" s="278"/>
      <c r="D13" s="151">
        <v>45504</v>
      </c>
      <c r="E13" s="151">
        <v>45504</v>
      </c>
      <c r="F13" s="151"/>
      <c r="G13" s="151"/>
      <c r="H13" s="151"/>
      <c r="I13" s="142" t="s">
        <v>13</v>
      </c>
    </row>
    <row r="14" spans="2:9" x14ac:dyDescent="0.25">
      <c r="B14" s="277" t="s">
        <v>14</v>
      </c>
      <c r="C14" s="278"/>
      <c r="D14" s="150">
        <v>12</v>
      </c>
      <c r="E14" s="150"/>
      <c r="F14" s="150"/>
      <c r="G14" s="150"/>
      <c r="H14" s="150"/>
      <c r="I14" s="141"/>
    </row>
    <row r="15" spans="2:9" x14ac:dyDescent="0.25">
      <c r="B15" s="277" t="s">
        <v>15</v>
      </c>
      <c r="C15" s="278"/>
      <c r="D15" s="8" t="s">
        <v>367</v>
      </c>
      <c r="E15" s="8"/>
      <c r="F15" s="8"/>
      <c r="G15" s="8"/>
      <c r="H15" s="8"/>
      <c r="I15" s="141"/>
    </row>
    <row r="16" spans="2:9" x14ac:dyDescent="0.25">
      <c r="B16" s="275" t="s">
        <v>16</v>
      </c>
      <c r="C16" s="276"/>
      <c r="D16" s="157" t="s">
        <v>17</v>
      </c>
      <c r="E16" s="157"/>
      <c r="F16" s="157"/>
      <c r="G16" s="157"/>
      <c r="H16" s="157"/>
      <c r="I16" s="147"/>
    </row>
    <row r="17" spans="2:11" x14ac:dyDescent="0.25">
      <c r="B17" s="35"/>
      <c r="C17" s="12"/>
      <c r="D17" s="10"/>
      <c r="E17" s="10"/>
      <c r="F17" s="9"/>
      <c r="G17" s="6"/>
      <c r="H17" s="6"/>
      <c r="I17" s="6"/>
    </row>
    <row r="18" spans="2:11" x14ac:dyDescent="0.25">
      <c r="B18" s="40" t="s">
        <v>18</v>
      </c>
      <c r="C18" s="41" t="s">
        <v>19</v>
      </c>
      <c r="D18" s="152" t="s">
        <v>428</v>
      </c>
      <c r="E18" s="152">
        <f>E13</f>
        <v>45504</v>
      </c>
      <c r="F18" s="152">
        <f>F13</f>
        <v>0</v>
      </c>
      <c r="G18" s="152">
        <f>G13</f>
        <v>0</v>
      </c>
      <c r="H18" s="153">
        <f>H13</f>
        <v>0</v>
      </c>
      <c r="I18" s="148" t="s">
        <v>20</v>
      </c>
    </row>
    <row r="19" spans="2:11" x14ac:dyDescent="0.25">
      <c r="B19" s="16"/>
      <c r="C19" s="16"/>
      <c r="D19" s="196"/>
      <c r="E19" s="196"/>
      <c r="F19" s="196"/>
      <c r="G19" s="196"/>
      <c r="H19" s="196"/>
      <c r="I19" s="141"/>
      <c r="J19" s="204"/>
      <c r="K19" s="204"/>
    </row>
    <row r="20" spans="2:11" x14ac:dyDescent="0.25">
      <c r="B20" s="16" t="s">
        <v>372</v>
      </c>
      <c r="C20" s="16" t="s">
        <v>21</v>
      </c>
      <c r="D20" s="196">
        <f>E20/7*12</f>
        <v>451825.32</v>
      </c>
      <c r="E20" s="196">
        <v>263564.77</v>
      </c>
      <c r="F20" s="196"/>
      <c r="G20" s="196"/>
      <c r="H20" s="196"/>
      <c r="I20" s="141" t="s">
        <v>374</v>
      </c>
    </row>
    <row r="21" spans="2:11" x14ac:dyDescent="0.25">
      <c r="B21" s="16" t="s">
        <v>373</v>
      </c>
      <c r="C21" s="16" t="s">
        <v>21</v>
      </c>
      <c r="D21" s="196">
        <f t="shared" ref="D21:D35" si="0">E21/7*12</f>
        <v>71339.622857142851</v>
      </c>
      <c r="E21" s="196">
        <v>41614.78</v>
      </c>
      <c r="F21" s="196"/>
      <c r="G21" s="196"/>
      <c r="H21" s="196"/>
      <c r="I21" s="141" t="s">
        <v>375</v>
      </c>
    </row>
    <row r="22" spans="2:11" x14ac:dyDescent="0.25">
      <c r="B22" s="16"/>
      <c r="C22" s="16"/>
      <c r="D22" s="196">
        <f t="shared" si="0"/>
        <v>0</v>
      </c>
      <c r="E22" s="196"/>
      <c r="F22" s="196"/>
      <c r="G22" s="196"/>
      <c r="H22" s="196"/>
      <c r="I22" s="141"/>
    </row>
    <row r="23" spans="2:11" x14ac:dyDescent="0.25">
      <c r="B23" s="16" t="s">
        <v>376</v>
      </c>
      <c r="C23" s="16" t="s">
        <v>22</v>
      </c>
      <c r="D23" s="196">
        <f t="shared" si="0"/>
        <v>268411.28571428568</v>
      </c>
      <c r="E23" s="196">
        <v>156573.25</v>
      </c>
      <c r="F23" s="196"/>
      <c r="G23" s="196"/>
      <c r="H23" s="196"/>
      <c r="I23" s="141" t="s">
        <v>377</v>
      </c>
    </row>
    <row r="24" spans="2:11" x14ac:dyDescent="0.25">
      <c r="B24" s="16"/>
      <c r="C24" s="16"/>
      <c r="D24" s="196">
        <f t="shared" si="0"/>
        <v>0</v>
      </c>
      <c r="E24" s="196"/>
      <c r="F24" s="196"/>
      <c r="G24" s="196"/>
      <c r="H24" s="196"/>
      <c r="I24" s="141"/>
    </row>
    <row r="25" spans="2:11" x14ac:dyDescent="0.25">
      <c r="B25" s="16" t="s">
        <v>378</v>
      </c>
      <c r="C25" s="16" t="s">
        <v>25</v>
      </c>
      <c r="D25" s="196">
        <f t="shared" si="0"/>
        <v>81931.234285714279</v>
      </c>
      <c r="E25" s="196">
        <v>47793.22</v>
      </c>
      <c r="F25" s="196"/>
      <c r="G25" s="196"/>
      <c r="H25" s="196"/>
      <c r="I25" s="141" t="s">
        <v>392</v>
      </c>
    </row>
    <row r="26" spans="2:11" x14ac:dyDescent="0.25">
      <c r="B26" s="16" t="s">
        <v>379</v>
      </c>
      <c r="C26" s="16" t="s">
        <v>91</v>
      </c>
      <c r="D26" s="196">
        <f t="shared" si="0"/>
        <v>3992.1942857142863</v>
      </c>
      <c r="E26" s="196">
        <v>2328.7800000000002</v>
      </c>
      <c r="F26" s="196"/>
      <c r="G26" s="196"/>
      <c r="H26" s="196"/>
      <c r="I26" s="141" t="s">
        <v>389</v>
      </c>
    </row>
    <row r="27" spans="2:11" x14ac:dyDescent="0.25">
      <c r="B27" s="16" t="s">
        <v>380</v>
      </c>
      <c r="C27" s="16" t="s">
        <v>24</v>
      </c>
      <c r="D27" s="196">
        <f t="shared" si="0"/>
        <v>9997.7314285714292</v>
      </c>
      <c r="E27" s="196">
        <v>5832.01</v>
      </c>
      <c r="F27" s="196"/>
      <c r="G27" s="196"/>
      <c r="H27" s="196"/>
      <c r="I27" s="141" t="s">
        <v>396</v>
      </c>
    </row>
    <row r="28" spans="2:11" x14ac:dyDescent="0.25">
      <c r="B28" s="16" t="s">
        <v>381</v>
      </c>
      <c r="C28" s="16" t="s">
        <v>24</v>
      </c>
      <c r="D28" s="196">
        <f t="shared" si="0"/>
        <v>10800</v>
      </c>
      <c r="E28" s="196">
        <v>6300</v>
      </c>
      <c r="F28" s="196"/>
      <c r="G28" s="196"/>
      <c r="H28" s="196"/>
      <c r="I28" s="141" t="s">
        <v>395</v>
      </c>
    </row>
    <row r="29" spans="2:11" x14ac:dyDescent="0.25">
      <c r="B29" s="16" t="s">
        <v>382</v>
      </c>
      <c r="C29" s="16" t="s">
        <v>24</v>
      </c>
      <c r="D29" s="196">
        <f t="shared" si="0"/>
        <v>3085.7142857142862</v>
      </c>
      <c r="E29" s="196">
        <v>1800</v>
      </c>
      <c r="F29" s="196"/>
      <c r="G29" s="196"/>
      <c r="H29" s="196"/>
      <c r="I29" s="141" t="s">
        <v>394</v>
      </c>
    </row>
    <row r="30" spans="2:11" x14ac:dyDescent="0.25">
      <c r="B30" s="16" t="s">
        <v>383</v>
      </c>
      <c r="C30" s="16" t="s">
        <v>24</v>
      </c>
      <c r="D30" s="196">
        <f t="shared" si="0"/>
        <v>3942.8571428571427</v>
      </c>
      <c r="E30" s="196">
        <v>2300</v>
      </c>
      <c r="F30" s="196"/>
      <c r="G30" s="196"/>
      <c r="H30" s="196"/>
      <c r="I30" s="141" t="s">
        <v>397</v>
      </c>
    </row>
    <row r="31" spans="2:11" x14ac:dyDescent="0.25">
      <c r="B31" s="16" t="s">
        <v>384</v>
      </c>
      <c r="C31" s="16" t="s">
        <v>24</v>
      </c>
      <c r="D31" s="196">
        <f t="shared" si="0"/>
        <v>685.71428571428578</v>
      </c>
      <c r="E31" s="196">
        <v>400</v>
      </c>
      <c r="F31" s="196"/>
      <c r="G31" s="196"/>
      <c r="H31" s="196"/>
      <c r="I31" s="141" t="s">
        <v>398</v>
      </c>
    </row>
    <row r="32" spans="2:11" x14ac:dyDescent="0.25">
      <c r="B32" s="16" t="s">
        <v>385</v>
      </c>
      <c r="C32" s="16" t="s">
        <v>24</v>
      </c>
      <c r="D32" s="196">
        <f t="shared" si="0"/>
        <v>1371.4285714285716</v>
      </c>
      <c r="E32" s="196">
        <v>800</v>
      </c>
      <c r="F32" s="196"/>
      <c r="G32" s="196"/>
      <c r="H32" s="196"/>
      <c r="I32" s="141" t="s">
        <v>399</v>
      </c>
    </row>
    <row r="33" spans="2:11" x14ac:dyDescent="0.25">
      <c r="B33" s="16" t="s">
        <v>386</v>
      </c>
      <c r="C33" s="16" t="s">
        <v>24</v>
      </c>
      <c r="D33" s="196">
        <f t="shared" si="0"/>
        <v>2571.4285714285716</v>
      </c>
      <c r="E33" s="196">
        <v>1500</v>
      </c>
      <c r="F33" s="196"/>
      <c r="G33" s="196"/>
      <c r="H33" s="196"/>
      <c r="I33" s="141" t="s">
        <v>391</v>
      </c>
    </row>
    <row r="34" spans="2:11" x14ac:dyDescent="0.25">
      <c r="B34" s="16" t="s">
        <v>387</v>
      </c>
      <c r="C34" s="16" t="s">
        <v>24</v>
      </c>
      <c r="D34" s="196">
        <f t="shared" si="0"/>
        <v>1714.2857142857142</v>
      </c>
      <c r="E34" s="196">
        <v>1000</v>
      </c>
      <c r="F34" s="196"/>
      <c r="G34" s="196"/>
      <c r="H34" s="196"/>
      <c r="I34" s="141" t="s">
        <v>393</v>
      </c>
    </row>
    <row r="35" spans="2:11" x14ac:dyDescent="0.25">
      <c r="B35" s="16" t="s">
        <v>388</v>
      </c>
      <c r="C35" s="16" t="s">
        <v>24</v>
      </c>
      <c r="D35" s="196">
        <f t="shared" si="0"/>
        <v>3942.8571428571427</v>
      </c>
      <c r="E35" s="196">
        <v>2300</v>
      </c>
      <c r="F35" s="196"/>
      <c r="G35" s="196"/>
      <c r="H35" s="196"/>
      <c r="I35" s="141" t="s">
        <v>390</v>
      </c>
    </row>
    <row r="36" spans="2:11" x14ac:dyDescent="0.25">
      <c r="B36" s="16"/>
      <c r="C36" s="16"/>
      <c r="D36" s="196"/>
      <c r="E36" s="196"/>
      <c r="F36" s="196"/>
      <c r="G36" s="196"/>
      <c r="H36" s="196"/>
      <c r="I36" s="141"/>
    </row>
    <row r="37" spans="2:11" x14ac:dyDescent="0.25">
      <c r="B37" s="16"/>
      <c r="C37" s="136"/>
      <c r="D37" s="158"/>
      <c r="E37" s="158"/>
      <c r="F37" s="154"/>
      <c r="G37" s="154"/>
      <c r="H37" s="154"/>
      <c r="I37" s="154"/>
    </row>
    <row r="38" spans="2:11" x14ac:dyDescent="0.25">
      <c r="B38" s="143" t="s">
        <v>26</v>
      </c>
      <c r="C38" s="144" t="s">
        <v>19</v>
      </c>
      <c r="D38" s="218">
        <f>D13</f>
        <v>45504</v>
      </c>
      <c r="E38" s="218">
        <f>E18</f>
        <v>45504</v>
      </c>
      <c r="F38" s="218">
        <f>F18</f>
        <v>0</v>
      </c>
      <c r="G38" s="218">
        <f>G18</f>
        <v>0</v>
      </c>
      <c r="H38" s="218">
        <f>H18</f>
        <v>0</v>
      </c>
      <c r="I38" s="144" t="s">
        <v>20</v>
      </c>
      <c r="K38" s="52"/>
    </row>
    <row r="39" spans="2:11" x14ac:dyDescent="0.25">
      <c r="B39" s="38"/>
      <c r="C39" s="39"/>
      <c r="D39" s="36"/>
      <c r="E39" s="36"/>
      <c r="F39" s="36"/>
      <c r="G39" s="9"/>
      <c r="H39" s="9"/>
      <c r="I39" s="9"/>
      <c r="K39" s="52"/>
    </row>
    <row r="40" spans="2:11" x14ac:dyDescent="0.25">
      <c r="B40" s="68" t="s">
        <v>27</v>
      </c>
      <c r="C40" s="145" t="s">
        <v>3</v>
      </c>
      <c r="D40" s="199"/>
      <c r="E40" s="199"/>
      <c r="F40" s="199"/>
      <c r="G40" s="9"/>
      <c r="H40" s="9"/>
      <c r="I40" s="9"/>
      <c r="K40" s="52"/>
    </row>
    <row r="41" spans="2:11" x14ac:dyDescent="0.25">
      <c r="B41" s="16"/>
      <c r="C41" s="141"/>
      <c r="D41" s="196"/>
      <c r="E41" s="196"/>
      <c r="F41" s="196"/>
      <c r="G41" s="196"/>
      <c r="H41" s="196"/>
      <c r="I41" s="9"/>
      <c r="K41" s="52"/>
    </row>
    <row r="42" spans="2:11" ht="16.5" customHeight="1" x14ac:dyDescent="0.25">
      <c r="B42" s="16" t="s">
        <v>400</v>
      </c>
      <c r="C42" s="141" t="s">
        <v>28</v>
      </c>
      <c r="D42" s="196">
        <v>4215.6000000000004</v>
      </c>
      <c r="E42" s="196">
        <v>4215.6000000000004</v>
      </c>
      <c r="F42" s="196"/>
      <c r="G42" s="196"/>
      <c r="H42" s="196"/>
      <c r="I42" s="9" t="s">
        <v>400</v>
      </c>
      <c r="K42" s="52"/>
    </row>
    <row r="43" spans="2:11" x14ac:dyDescent="0.25">
      <c r="B43" s="16" t="s">
        <v>401</v>
      </c>
      <c r="C43" s="141" t="s">
        <v>28</v>
      </c>
      <c r="D43" s="196">
        <v>10879.59</v>
      </c>
      <c r="E43" s="196">
        <v>10879.59</v>
      </c>
      <c r="F43" s="196"/>
      <c r="G43" s="196"/>
      <c r="H43" s="196"/>
      <c r="I43" s="9" t="s">
        <v>403</v>
      </c>
      <c r="K43" s="52"/>
    </row>
    <row r="44" spans="2:11" x14ac:dyDescent="0.25">
      <c r="B44" s="16" t="s">
        <v>402</v>
      </c>
      <c r="C44" s="141" t="s">
        <v>28</v>
      </c>
      <c r="D44" s="196">
        <v>78981.56</v>
      </c>
      <c r="E44" s="196">
        <v>78981.56</v>
      </c>
      <c r="F44" s="196"/>
      <c r="G44" s="196"/>
      <c r="H44" s="196"/>
      <c r="I44" s="9" t="s">
        <v>402</v>
      </c>
      <c r="K44" s="52"/>
    </row>
    <row r="45" spans="2:11" x14ac:dyDescent="0.25">
      <c r="B45" s="16"/>
      <c r="C45" s="141"/>
      <c r="D45" s="196"/>
      <c r="E45" s="196"/>
      <c r="F45" s="196"/>
      <c r="G45" s="196"/>
      <c r="H45" s="196"/>
      <c r="I45" s="9"/>
      <c r="K45" s="52"/>
    </row>
    <row r="46" spans="2:11" x14ac:dyDescent="0.25">
      <c r="B46" s="16" t="s">
        <v>404</v>
      </c>
      <c r="C46" s="141" t="s">
        <v>29</v>
      </c>
      <c r="D46" s="196">
        <v>46070</v>
      </c>
      <c r="E46" s="196">
        <v>46070</v>
      </c>
      <c r="F46" s="196"/>
      <c r="G46" s="196"/>
      <c r="H46" s="196"/>
      <c r="I46" s="9" t="s">
        <v>29</v>
      </c>
      <c r="K46" s="52"/>
    </row>
    <row r="47" spans="2:11" x14ac:dyDescent="0.25">
      <c r="B47" s="16" t="s">
        <v>405</v>
      </c>
      <c r="C47" s="141" t="s">
        <v>82</v>
      </c>
      <c r="D47" s="196">
        <v>15000</v>
      </c>
      <c r="E47" s="196">
        <v>15000</v>
      </c>
      <c r="F47" s="196"/>
      <c r="G47" s="196"/>
      <c r="H47" s="196"/>
      <c r="I47" s="9" t="s">
        <v>82</v>
      </c>
      <c r="K47" s="52"/>
    </row>
    <row r="48" spans="2:11" x14ac:dyDescent="0.25">
      <c r="B48" s="16"/>
      <c r="C48" s="141"/>
      <c r="D48" s="196"/>
      <c r="E48" s="196"/>
      <c r="F48" s="196"/>
      <c r="G48" s="196"/>
      <c r="H48" s="196"/>
      <c r="I48" s="9"/>
      <c r="K48" s="52"/>
    </row>
    <row r="49" spans="1:16" x14ac:dyDescent="0.25">
      <c r="B49" s="16" t="s">
        <v>406</v>
      </c>
      <c r="C49" s="141" t="s">
        <v>33</v>
      </c>
      <c r="D49" s="196">
        <v>140000</v>
      </c>
      <c r="E49" s="196">
        <v>140000</v>
      </c>
      <c r="F49" s="196"/>
      <c r="G49" s="196"/>
      <c r="H49" s="196"/>
      <c r="I49" s="9" t="s">
        <v>412</v>
      </c>
      <c r="K49" s="52"/>
    </row>
    <row r="50" spans="1:16" x14ac:dyDescent="0.25">
      <c r="B50" s="16" t="s">
        <v>407</v>
      </c>
      <c r="C50" s="141" t="s">
        <v>97</v>
      </c>
      <c r="D50" s="196">
        <v>15000</v>
      </c>
      <c r="E50" s="196">
        <v>15000</v>
      </c>
      <c r="F50" s="196"/>
      <c r="G50" s="196"/>
      <c r="H50" s="196"/>
      <c r="I50" s="9" t="s">
        <v>413</v>
      </c>
      <c r="K50" s="52"/>
    </row>
    <row r="51" spans="1:16" x14ac:dyDescent="0.25">
      <c r="B51" s="16" t="s">
        <v>408</v>
      </c>
      <c r="C51" s="141" t="s">
        <v>31</v>
      </c>
      <c r="D51" s="196">
        <v>15000</v>
      </c>
      <c r="E51" s="196">
        <v>15000</v>
      </c>
      <c r="F51" s="196"/>
      <c r="G51" s="196"/>
      <c r="H51" s="196"/>
      <c r="I51" s="9" t="s">
        <v>414</v>
      </c>
      <c r="K51" s="52"/>
    </row>
    <row r="52" spans="1:16" x14ac:dyDescent="0.25">
      <c r="B52" s="16" t="s">
        <v>409</v>
      </c>
      <c r="C52" s="141" t="s">
        <v>97</v>
      </c>
      <c r="D52" s="196">
        <v>40000</v>
      </c>
      <c r="E52" s="196">
        <v>40000</v>
      </c>
      <c r="F52" s="196"/>
      <c r="G52" s="196"/>
      <c r="H52" s="196"/>
      <c r="I52" s="9" t="s">
        <v>415</v>
      </c>
      <c r="K52" s="52"/>
    </row>
    <row r="53" spans="1:16" x14ac:dyDescent="0.25">
      <c r="B53" s="16" t="s">
        <v>410</v>
      </c>
      <c r="C53" s="141" t="s">
        <v>97</v>
      </c>
      <c r="D53" s="196">
        <v>4000</v>
      </c>
      <c r="E53" s="196">
        <v>4000</v>
      </c>
      <c r="F53" s="196"/>
      <c r="G53" s="196"/>
      <c r="H53" s="196"/>
      <c r="I53" s="9" t="s">
        <v>416</v>
      </c>
      <c r="K53" s="52"/>
    </row>
    <row r="54" spans="1:16" x14ac:dyDescent="0.25">
      <c r="B54" s="16" t="s">
        <v>411</v>
      </c>
      <c r="C54" s="141" t="s">
        <v>32</v>
      </c>
      <c r="D54" s="196">
        <v>-192364.32</v>
      </c>
      <c r="E54" s="196">
        <v>-192364.32</v>
      </c>
      <c r="F54" s="196"/>
      <c r="G54" s="196"/>
      <c r="H54" s="196"/>
      <c r="I54" s="9" t="s">
        <v>417</v>
      </c>
      <c r="K54" s="52"/>
    </row>
    <row r="55" spans="1:16" x14ac:dyDescent="0.25">
      <c r="B55" s="16" t="s">
        <v>418</v>
      </c>
      <c r="C55" s="141" t="s">
        <v>33</v>
      </c>
      <c r="D55" s="196">
        <v>10000</v>
      </c>
      <c r="E55" s="196">
        <v>10000</v>
      </c>
      <c r="F55" s="196"/>
      <c r="G55" s="196"/>
      <c r="H55" s="196"/>
      <c r="I55" s="9" t="s">
        <v>419</v>
      </c>
      <c r="K55" s="52"/>
    </row>
    <row r="56" spans="1:16" x14ac:dyDescent="0.25">
      <c r="A56" s="4"/>
      <c r="B56" s="137" t="s">
        <v>3</v>
      </c>
      <c r="C56" s="141" t="s">
        <v>3</v>
      </c>
      <c r="D56" s="197"/>
      <c r="E56" s="197"/>
      <c r="F56" s="197"/>
      <c r="G56" s="197"/>
      <c r="H56" s="197"/>
      <c r="I56" s="9"/>
      <c r="L56" t="s">
        <v>3</v>
      </c>
      <c r="M56" t="s">
        <v>3</v>
      </c>
      <c r="N56" t="s">
        <v>3</v>
      </c>
      <c r="O56" t="s">
        <v>3</v>
      </c>
      <c r="P56" t="s">
        <v>3</v>
      </c>
    </row>
    <row r="57" spans="1:16" x14ac:dyDescent="0.25">
      <c r="B57" s="146" t="s">
        <v>34</v>
      </c>
      <c r="C57" s="142" t="s">
        <v>3</v>
      </c>
      <c r="D57" s="197"/>
      <c r="E57" s="197"/>
      <c r="F57" s="197"/>
      <c r="G57" s="197"/>
      <c r="H57" s="197"/>
      <c r="I57" s="9"/>
    </row>
    <row r="58" spans="1:16" x14ac:dyDescent="0.25">
      <c r="B58" s="137"/>
      <c r="C58" s="141"/>
      <c r="D58" s="196"/>
      <c r="E58" s="196"/>
      <c r="F58" s="196"/>
      <c r="G58" s="196"/>
      <c r="H58" s="196"/>
      <c r="I58" s="9"/>
    </row>
    <row r="59" spans="1:16" x14ac:dyDescent="0.25">
      <c r="B59" s="137" t="s">
        <v>420</v>
      </c>
      <c r="C59" s="141" t="s">
        <v>35</v>
      </c>
      <c r="D59" s="196">
        <v>48268.83</v>
      </c>
      <c r="E59" s="196">
        <v>48268.83</v>
      </c>
      <c r="F59" s="196"/>
      <c r="G59" s="196"/>
      <c r="H59" s="196"/>
      <c r="I59" s="9" t="s">
        <v>423</v>
      </c>
    </row>
    <row r="60" spans="1:16" x14ac:dyDescent="0.25">
      <c r="B60" s="137" t="s">
        <v>421</v>
      </c>
      <c r="C60" s="141" t="s">
        <v>36</v>
      </c>
      <c r="D60" s="196">
        <v>5892.56</v>
      </c>
      <c r="E60" s="196">
        <v>5892.56</v>
      </c>
      <c r="F60" s="196"/>
      <c r="G60" s="196"/>
      <c r="H60" s="196"/>
      <c r="I60" s="9" t="s">
        <v>424</v>
      </c>
    </row>
    <row r="61" spans="1:16" x14ac:dyDescent="0.25">
      <c r="B61" s="202" t="s">
        <v>422</v>
      </c>
      <c r="C61" s="141" t="s">
        <v>35</v>
      </c>
      <c r="D61" s="196">
        <v>2340.89</v>
      </c>
      <c r="E61" s="196">
        <v>2340.89</v>
      </c>
      <c r="F61" s="196"/>
      <c r="G61" s="196"/>
      <c r="H61" s="196"/>
      <c r="I61" s="9" t="s">
        <v>425</v>
      </c>
    </row>
    <row r="62" spans="1:16" x14ac:dyDescent="0.25">
      <c r="B62" s="16" t="s">
        <v>426</v>
      </c>
      <c r="C62" s="141" t="s">
        <v>38</v>
      </c>
      <c r="D62" s="196">
        <v>130280.15</v>
      </c>
      <c r="E62" s="196">
        <v>130280.15</v>
      </c>
      <c r="F62" s="196"/>
      <c r="G62" s="196"/>
      <c r="H62" s="196"/>
      <c r="I62" s="9" t="s">
        <v>427</v>
      </c>
    </row>
    <row r="63" spans="1:16" x14ac:dyDescent="0.25">
      <c r="B63" s="16"/>
      <c r="C63" s="141"/>
      <c r="D63" s="198"/>
      <c r="E63" s="196"/>
      <c r="F63" s="196"/>
      <c r="G63" s="196"/>
      <c r="H63" s="196"/>
      <c r="I63" s="9"/>
    </row>
    <row r="64" spans="1:16" x14ac:dyDescent="0.25">
      <c r="B64" s="137"/>
      <c r="C64" s="141"/>
      <c r="D64" s="197"/>
      <c r="E64" s="197"/>
      <c r="F64" s="197"/>
      <c r="G64" s="154"/>
      <c r="H64" s="154"/>
      <c r="I64" s="9"/>
    </row>
    <row r="65" spans="1:9" x14ac:dyDescent="0.25">
      <c r="A65" s="140"/>
      <c r="B65" s="143" t="s">
        <v>40</v>
      </c>
      <c r="C65" s="144" t="s">
        <v>19</v>
      </c>
      <c r="D65" s="218">
        <f>D38</f>
        <v>45504</v>
      </c>
      <c r="E65" s="218">
        <f>E38</f>
        <v>45504</v>
      </c>
      <c r="F65" s="218">
        <f>F38</f>
        <v>0</v>
      </c>
      <c r="G65" s="218">
        <f>G38</f>
        <v>0</v>
      </c>
      <c r="H65" s="218">
        <f>H38</f>
        <v>0</v>
      </c>
      <c r="I65" s="144" t="s">
        <v>20</v>
      </c>
    </row>
    <row r="66" spans="1:9" x14ac:dyDescent="0.25">
      <c r="A66" s="140"/>
      <c r="B66" s="229" t="s">
        <v>41</v>
      </c>
      <c r="C66" s="6" t="s">
        <v>41</v>
      </c>
      <c r="D66" s="156"/>
      <c r="E66" s="156"/>
      <c r="F66" s="156"/>
      <c r="G66" s="156"/>
      <c r="H66" s="156"/>
      <c r="I66" s="155"/>
    </row>
    <row r="67" spans="1:9" x14ac:dyDescent="0.25">
      <c r="B67" s="6" t="s">
        <v>42</v>
      </c>
      <c r="C67" s="6" t="s">
        <v>42</v>
      </c>
      <c r="D67" s="6"/>
      <c r="E67" s="6"/>
      <c r="F67" s="6"/>
      <c r="G67" s="9"/>
      <c r="H67" s="9"/>
      <c r="I67" s="9"/>
    </row>
    <row r="68" spans="1:9" x14ac:dyDescent="0.25">
      <c r="B68" s="6" t="s">
        <v>43</v>
      </c>
      <c r="C68" s="6" t="s">
        <v>43</v>
      </c>
      <c r="D68" s="6"/>
      <c r="E68" s="6"/>
      <c r="F68" s="6"/>
      <c r="G68" s="9"/>
      <c r="H68" s="9"/>
      <c r="I68" s="9"/>
    </row>
    <row r="69" spans="1:9" x14ac:dyDescent="0.25">
      <c r="B69" s="6" t="s">
        <v>44</v>
      </c>
      <c r="C69" s="6" t="s">
        <v>45</v>
      </c>
      <c r="D69" s="6"/>
      <c r="E69" s="6"/>
      <c r="F69" s="6"/>
      <c r="G69" s="9"/>
      <c r="H69" s="9"/>
      <c r="I69" s="9"/>
    </row>
    <row r="70" spans="1:9" x14ac:dyDescent="0.25">
      <c r="B70" s="6" t="s">
        <v>46</v>
      </c>
      <c r="C70" s="6" t="s">
        <v>45</v>
      </c>
      <c r="D70" s="6"/>
      <c r="E70" s="6"/>
      <c r="F70" s="6"/>
      <c r="G70" s="9"/>
      <c r="H70" s="9"/>
      <c r="I70" s="9"/>
    </row>
    <row r="71" spans="1:9" x14ac:dyDescent="0.25">
      <c r="B71" s="6" t="s">
        <v>47</v>
      </c>
      <c r="C71" s="6" t="s">
        <v>45</v>
      </c>
      <c r="D71" s="6"/>
      <c r="E71" s="6"/>
      <c r="F71" s="6"/>
      <c r="G71" s="9"/>
      <c r="H71" s="9"/>
      <c r="I71" s="9"/>
    </row>
    <row r="72" spans="1:9" x14ac:dyDescent="0.25">
      <c r="B72" s="6" t="s">
        <v>48</v>
      </c>
      <c r="C72" s="6" t="s">
        <v>45</v>
      </c>
      <c r="D72" s="6"/>
      <c r="E72" s="6"/>
      <c r="F72" s="6"/>
      <c r="G72" s="9"/>
      <c r="H72" s="9"/>
      <c r="I72" s="9"/>
    </row>
    <row r="73" spans="1:9" x14ac:dyDescent="0.25">
      <c r="B73" s="6" t="s">
        <v>49</v>
      </c>
      <c r="C73" s="6" t="s">
        <v>45</v>
      </c>
      <c r="D73" s="6"/>
      <c r="E73" s="6"/>
      <c r="F73" s="6"/>
      <c r="G73" s="9"/>
      <c r="H73" s="9"/>
      <c r="I73" s="9"/>
    </row>
    <row r="74" spans="1:9" x14ac:dyDescent="0.25">
      <c r="B74" s="135" t="s">
        <v>50</v>
      </c>
      <c r="C74" s="6" t="s">
        <v>51</v>
      </c>
      <c r="D74" s="6"/>
      <c r="E74" s="6"/>
      <c r="F74" s="6"/>
      <c r="G74" s="9"/>
      <c r="H74" s="9"/>
      <c r="I74" s="9"/>
    </row>
    <row r="75" spans="1:9" x14ac:dyDescent="0.25">
      <c r="B75" s="135" t="s">
        <v>52</v>
      </c>
      <c r="C75" s="6" t="s">
        <v>51</v>
      </c>
      <c r="D75" s="6"/>
      <c r="E75" s="6"/>
      <c r="F75" s="6"/>
      <c r="G75" s="9"/>
      <c r="H75" s="9"/>
      <c r="I75" s="9"/>
    </row>
    <row r="76" spans="1:9" x14ac:dyDescent="0.25">
      <c r="B76" s="6" t="s">
        <v>53</v>
      </c>
      <c r="C76" s="6" t="s">
        <v>53</v>
      </c>
      <c r="D76" s="6"/>
      <c r="E76" s="6"/>
      <c r="F76" s="6"/>
      <c r="G76" s="9"/>
      <c r="H76" s="9"/>
      <c r="I76" s="9"/>
    </row>
    <row r="77" spans="1:9" x14ac:dyDescent="0.25">
      <c r="B77" s="6" t="s">
        <v>54</v>
      </c>
      <c r="C77" s="6" t="s">
        <v>54</v>
      </c>
      <c r="D77" s="6"/>
      <c r="E77" s="6"/>
      <c r="F77" s="6"/>
      <c r="G77" s="9"/>
      <c r="H77" s="9"/>
      <c r="I77" s="9"/>
    </row>
    <row r="78" spans="1:9" x14ac:dyDescent="0.25">
      <c r="B78" s="6" t="s">
        <v>55</v>
      </c>
      <c r="C78" s="6" t="s">
        <v>55</v>
      </c>
      <c r="D78" s="6"/>
      <c r="E78" s="6"/>
      <c r="F78" s="6"/>
      <c r="G78" s="9"/>
      <c r="H78" s="9"/>
      <c r="I78" s="9"/>
    </row>
    <row r="79" spans="1:9" x14ac:dyDescent="0.25">
      <c r="B79" s="6" t="s">
        <v>56</v>
      </c>
      <c r="C79" s="6" t="s">
        <v>56</v>
      </c>
      <c r="D79" s="6"/>
      <c r="E79" s="6"/>
      <c r="F79" s="6"/>
      <c r="G79" s="9"/>
      <c r="H79" s="9"/>
      <c r="I79" s="9"/>
    </row>
    <row r="80" spans="1:9" x14ac:dyDescent="0.25">
      <c r="B80" s="6" t="s">
        <v>57</v>
      </c>
      <c r="C80" s="6" t="s">
        <v>57</v>
      </c>
      <c r="D80" s="6"/>
      <c r="E80" s="6"/>
      <c r="F80" s="6"/>
      <c r="G80" s="9"/>
      <c r="H80" s="9"/>
      <c r="I80" s="9"/>
    </row>
    <row r="81" spans="2:9" x14ac:dyDescent="0.25">
      <c r="B81" s="6" t="s">
        <v>58</v>
      </c>
      <c r="C81" s="6" t="s">
        <v>58</v>
      </c>
      <c r="D81" s="6"/>
      <c r="E81" s="6"/>
      <c r="F81" s="6"/>
      <c r="G81" s="9"/>
      <c r="H81" s="9"/>
      <c r="I81" s="9"/>
    </row>
    <row r="82" spans="2:9" x14ac:dyDescent="0.25">
      <c r="B82" s="6" t="s">
        <v>59</v>
      </c>
      <c r="C82" s="6" t="s">
        <v>59</v>
      </c>
      <c r="D82" s="6"/>
      <c r="E82" s="6"/>
      <c r="F82" s="6"/>
      <c r="G82" s="9"/>
      <c r="H82" s="9"/>
      <c r="I82" s="9"/>
    </row>
    <row r="83" spans="2:9" x14ac:dyDescent="0.25">
      <c r="B83" s="6" t="s">
        <v>60</v>
      </c>
      <c r="C83" s="6" t="s">
        <v>60</v>
      </c>
      <c r="D83" s="6"/>
      <c r="E83" s="6"/>
      <c r="F83" s="6"/>
      <c r="G83" s="9"/>
      <c r="H83" s="9"/>
      <c r="I83" s="9"/>
    </row>
    <row r="84" spans="2:9" x14ac:dyDescent="0.25">
      <c r="B84" s="6" t="s">
        <v>61</v>
      </c>
      <c r="C84" s="6" t="s">
        <v>62</v>
      </c>
      <c r="D84" s="6"/>
      <c r="E84" s="6"/>
      <c r="F84" s="6"/>
      <c r="G84" s="9"/>
      <c r="H84" s="9"/>
      <c r="I84" s="9"/>
    </row>
    <row r="85" spans="2:9" x14ac:dyDescent="0.25">
      <c r="B85" s="6" t="s">
        <v>63</v>
      </c>
      <c r="C85" s="6" t="s">
        <v>63</v>
      </c>
      <c r="D85" s="6"/>
      <c r="E85" s="6"/>
      <c r="F85" s="6"/>
      <c r="G85" s="9"/>
      <c r="H85" s="9"/>
      <c r="I85" s="9"/>
    </row>
    <row r="86" spans="2:9" x14ac:dyDescent="0.25">
      <c r="B86" s="6" t="s">
        <v>64</v>
      </c>
      <c r="C86" s="6" t="s">
        <v>64</v>
      </c>
      <c r="D86" s="6"/>
      <c r="E86" s="6"/>
      <c r="F86" s="6"/>
      <c r="G86" s="9"/>
      <c r="H86" s="9"/>
      <c r="I86" s="9"/>
    </row>
    <row r="87" spans="2:9" x14ac:dyDescent="0.25">
      <c r="B87" s="6" t="s">
        <v>65</v>
      </c>
      <c r="C87" s="6" t="s">
        <v>65</v>
      </c>
      <c r="D87" s="6"/>
      <c r="E87" s="6"/>
      <c r="F87" s="6"/>
      <c r="G87" s="9"/>
      <c r="H87" s="9"/>
      <c r="I87" s="9"/>
    </row>
    <row r="88" spans="2:9" x14ac:dyDescent="0.25">
      <c r="B88" s="6" t="s">
        <v>66</v>
      </c>
      <c r="C88" s="6" t="s">
        <v>66</v>
      </c>
      <c r="D88" s="6"/>
      <c r="E88" s="6"/>
      <c r="F88" s="6"/>
      <c r="G88" s="9"/>
      <c r="H88" s="9"/>
      <c r="I88" s="9"/>
    </row>
    <row r="89" spans="2:9" x14ac:dyDescent="0.25">
      <c r="B89" s="6" t="s">
        <v>67</v>
      </c>
      <c r="C89" s="6" t="s">
        <v>67</v>
      </c>
      <c r="D89" s="6"/>
      <c r="E89" s="6"/>
      <c r="F89" s="6"/>
      <c r="G89" s="9"/>
      <c r="H89" s="9"/>
      <c r="I89" s="9"/>
    </row>
    <row r="90" spans="2:9" x14ac:dyDescent="0.25">
      <c r="B90" s="6" t="s">
        <v>68</v>
      </c>
      <c r="C90" s="6" t="s">
        <v>68</v>
      </c>
      <c r="D90" s="6"/>
      <c r="E90" s="6"/>
      <c r="F90" s="6"/>
      <c r="G90" s="9"/>
      <c r="H90" s="9"/>
      <c r="I90" s="9"/>
    </row>
    <row r="91" spans="2:9" x14ac:dyDescent="0.25">
      <c r="B91" s="6" t="s">
        <v>69</v>
      </c>
      <c r="C91" s="6" t="s">
        <v>69</v>
      </c>
      <c r="D91" s="6"/>
      <c r="E91" s="6"/>
      <c r="F91" s="6"/>
      <c r="G91" s="9"/>
      <c r="H91" s="9"/>
      <c r="I91" s="9"/>
    </row>
    <row r="92" spans="2:9" x14ac:dyDescent="0.25">
      <c r="B92" s="6" t="s">
        <v>70</v>
      </c>
      <c r="C92" s="6" t="s">
        <v>70</v>
      </c>
      <c r="D92" s="6"/>
      <c r="E92" s="6"/>
      <c r="F92" s="6"/>
      <c r="G92" s="9"/>
      <c r="H92" s="9"/>
      <c r="I92" s="9"/>
    </row>
    <row r="93" spans="2:9" x14ac:dyDescent="0.25">
      <c r="B93" s="78" t="s">
        <v>71</v>
      </c>
      <c r="C93" s="6"/>
      <c r="D93" s="6"/>
      <c r="E93" s="6"/>
      <c r="F93" s="6"/>
      <c r="G93" s="9"/>
      <c r="H93" s="9"/>
      <c r="I93" s="9"/>
    </row>
    <row r="94" spans="2:9" x14ac:dyDescent="0.25">
      <c r="B94" s="78"/>
      <c r="C94" s="6"/>
      <c r="D94" s="6"/>
      <c r="E94" s="6"/>
      <c r="F94" s="6"/>
      <c r="G94" s="9"/>
      <c r="H94" s="9"/>
      <c r="I94" s="9"/>
    </row>
    <row r="95" spans="2:9" x14ac:dyDescent="0.25">
      <c r="B95" s="42" t="s">
        <v>72</v>
      </c>
      <c r="C95" s="43" t="s">
        <v>73</v>
      </c>
      <c r="D95" s="44">
        <f>D65</f>
        <v>45504</v>
      </c>
      <c r="E95" s="44">
        <f>E65</f>
        <v>45504</v>
      </c>
      <c r="F95" s="44">
        <f>F65</f>
        <v>0</v>
      </c>
      <c r="G95" s="44">
        <f>G65</f>
        <v>0</v>
      </c>
      <c r="H95" s="44">
        <f>H65</f>
        <v>0</v>
      </c>
      <c r="I95" s="45"/>
    </row>
    <row r="96" spans="2:9" x14ac:dyDescent="0.25">
      <c r="B96" s="6" t="str">
        <f>'Data Labels'!E4</f>
        <v xml:space="preserve">Depr &amp; Amortization on Fixed Assets </v>
      </c>
      <c r="C96" s="6" t="s">
        <v>42</v>
      </c>
      <c r="D96" s="9">
        <f>IF(D$16="Yes",'FS-IS'!C21,"")</f>
        <v>0</v>
      </c>
      <c r="E96" s="9" t="str">
        <f>IF(E$16="Yes",'FS-IS'!D21,"")</f>
        <v/>
      </c>
      <c r="F96" s="9" t="str">
        <f>IF(F$16="Yes",'FS-IS'!E21,"")</f>
        <v/>
      </c>
      <c r="G96" s="9" t="str">
        <f>IF(G$16="Yes",'FS-IS'!F21,"")</f>
        <v/>
      </c>
      <c r="H96" s="9" t="str">
        <f>IF(H$16="Yes",'FS-IS'!G21,"")</f>
        <v/>
      </c>
      <c r="I96" s="9"/>
    </row>
    <row r="97" spans="2:9" x14ac:dyDescent="0.25">
      <c r="B97" s="6" t="str">
        <f>'Data Labels'!E5</f>
        <v>(Gain)/Loss on Asset sale</v>
      </c>
      <c r="C97" s="6" t="s">
        <v>43</v>
      </c>
      <c r="D97" s="9">
        <f>IF(D$16="Yes",'FS-IS'!C37,"")</f>
        <v>0</v>
      </c>
      <c r="E97" s="9" t="str">
        <f>IF(E$16="Yes",'FS-IS'!D37,"")</f>
        <v/>
      </c>
      <c r="F97" s="9" t="str">
        <f>IF(F$16="Yes",'FS-IS'!E37,"")</f>
        <v/>
      </c>
      <c r="G97" s="9" t="str">
        <f>IF(G$16="Yes",'FS-IS'!F37,"")</f>
        <v/>
      </c>
      <c r="H97" s="9" t="str">
        <f>IF(H$16="Yes",'FS-IS'!G37,"")</f>
        <v/>
      </c>
      <c r="I97" s="9"/>
    </row>
    <row r="98" spans="2:9" x14ac:dyDescent="0.25">
      <c r="B98" s="6" t="str">
        <f>'Data Labels'!E6</f>
        <v>Other non-Cash Items</v>
      </c>
      <c r="C98" s="6" t="s">
        <v>74</v>
      </c>
      <c r="D98" s="9">
        <f>IF(D$16="Yes",'FS-BS'!D6-'FS-BS'!C6,"")</f>
        <v>0</v>
      </c>
      <c r="E98" s="9" t="str">
        <f>IF(E$16="Yes",'FS-BS'!E6-'FS-BS'!D6,"")</f>
        <v/>
      </c>
      <c r="F98" s="9" t="str">
        <f>IF(F$16="Yes",'FS-BS'!F6-'FS-BS'!E6,"")</f>
        <v/>
      </c>
      <c r="G98" s="9" t="str">
        <f>IF(G$16="Yes",'FS-BS'!G6-'FS-BS'!F6,"")</f>
        <v/>
      </c>
      <c r="H98" s="9" t="str">
        <f>IF(H$16="Yes",'FS-BS'!H6-'FS-BS'!G6,"")</f>
        <v/>
      </c>
      <c r="I98" s="9"/>
    </row>
    <row r="99" spans="2:9" x14ac:dyDescent="0.25">
      <c r="B99" s="6" t="str">
        <f>'Data Labels'!E8</f>
        <v>Change in Net Accounts Receivable</v>
      </c>
      <c r="C99" s="6" t="s">
        <v>53</v>
      </c>
      <c r="D99" s="9">
        <f>IF(D$16="Yes",'FS-BS'!D5-'FS-BS'!C5,"")</f>
        <v>0</v>
      </c>
      <c r="E99" s="9" t="str">
        <f>IF(E$16="Yes",'FS-BS'!E5-'FS-BS'!D5,"")</f>
        <v/>
      </c>
      <c r="F99" s="9" t="str">
        <f>IF(F$16="Yes",'FS-BS'!F5-'FS-BS'!E5,"")</f>
        <v/>
      </c>
      <c r="G99" s="9" t="str">
        <f>IF(G$16="Yes",'FS-BS'!G5-'FS-BS'!F5,"")</f>
        <v/>
      </c>
      <c r="H99" s="9" t="str">
        <f>IF(H$16="Yes",'FS-BS'!H5-'FS-BS'!G5,"")</f>
        <v/>
      </c>
      <c r="I99" s="9"/>
    </row>
    <row r="100" spans="2:9" x14ac:dyDescent="0.25">
      <c r="B100" s="6" t="str">
        <f>'Data Labels'!E9</f>
        <v>Change in Inventory</v>
      </c>
      <c r="C100" s="6" t="s">
        <v>54</v>
      </c>
      <c r="D100" s="9">
        <f>IF(D$16="Yes",('FS-BS'!D8-'FS-BS'!C8),"")</f>
        <v>0</v>
      </c>
      <c r="E100" s="9" t="str">
        <f>IF(E$16="Yes",('FS-BS'!E8-'FS-BS'!D8),"")</f>
        <v/>
      </c>
      <c r="F100" s="9" t="str">
        <f>IF(F$16="Yes",('FS-BS'!F8-'FS-BS'!E8),"")</f>
        <v/>
      </c>
      <c r="G100" s="9" t="str">
        <f>IF(G$16="Yes",-('FS-BS'!G8-'FS-BS'!F8),"")</f>
        <v/>
      </c>
      <c r="H100" s="9" t="str">
        <f>IF(H$16="Yes",-('FS-BS'!H8-'FS-BS'!G8),"")</f>
        <v/>
      </c>
      <c r="I100" s="9"/>
    </row>
    <row r="101" spans="2:9" x14ac:dyDescent="0.25">
      <c r="B101" s="6" t="str">
        <f>'Data Labels'!E10</f>
        <v>Change in Other Current Assets</v>
      </c>
      <c r="C101" s="6" t="s">
        <v>55</v>
      </c>
      <c r="D101" s="9">
        <f>IF(D$16="Yes",('FS-BS'!D12-'FS-BS'!C12)+('FS-BS'!D10-'FS-BS'!C10)+('FS-BS'!D11-'FS-BS'!C11),"")</f>
        <v>0</v>
      </c>
      <c r="E101" s="9" t="str">
        <f>IF(E$16="Yes",('FS-BS'!E12-'FS-BS'!D12)+('FS-BS'!E10-'FS-BS'!D10)+('FS-BS'!E11-'FS-BS'!D11),"")</f>
        <v/>
      </c>
      <c r="F101" s="9" t="str">
        <f>IF(F$16="Yes",('FS-BS'!F12-'FS-BS'!E12)+('FS-BS'!F10-'FS-BS'!E10)+('FS-BS'!F11-'FS-BS'!E11),"")</f>
        <v/>
      </c>
      <c r="G101" s="9" t="str">
        <f>IF(G$16="Yes",('FS-BS'!G12-'FS-BS'!F12)+('FS-BS'!G10-'FS-BS'!F10)+('FS-BS'!G11-'FS-BS'!F11),"")</f>
        <v/>
      </c>
      <c r="H101" s="9" t="str">
        <f>IF(H$16="Yes",('FS-BS'!H12-'FS-BS'!G12)+('FS-BS'!H10-'FS-BS'!G10)+('FS-BS'!H11-'FS-BS'!G11),"")</f>
        <v/>
      </c>
      <c r="I101" s="9" t="str">
        <f>IF(I$16="Yes",('FS-BS'!I12-'FS-BS'!H12)+('FS-BS'!I10-'FS-BS'!H10)+('FS-BS'!I11-'FS-BS'!H11),"")</f>
        <v/>
      </c>
    </row>
    <row r="102" spans="2:9" x14ac:dyDescent="0.25">
      <c r="B102" s="6" t="str">
        <f>'Data Labels'!E11</f>
        <v>Change in Accounts Payable</v>
      </c>
      <c r="C102" s="6" t="s">
        <v>56</v>
      </c>
      <c r="D102" s="9">
        <f>IF(D$16="Yes",-('FS-BS'!D31-'FS-BS'!C31),"")</f>
        <v>0</v>
      </c>
      <c r="E102" s="9" t="str">
        <f>IF(E$16="Yes",-('FS-BS'!E31-'FS-BS'!D31),"")</f>
        <v/>
      </c>
      <c r="F102" s="9" t="str">
        <f>IF(F$16="Yes",-('FS-BS'!F31-'FS-BS'!E31),"")</f>
        <v/>
      </c>
      <c r="G102" s="9" t="str">
        <f>IF(G$16="Yes",-('FS-BS'!G31-'FS-BS'!F31),"")</f>
        <v/>
      </c>
      <c r="H102" s="9" t="str">
        <f>IF(H$16="Yes",-('FS-BS'!H31-'FS-BS'!G31),"")</f>
        <v/>
      </c>
      <c r="I102" s="9"/>
    </row>
    <row r="103" spans="2:9" x14ac:dyDescent="0.25">
      <c r="B103" s="6" t="str">
        <f>'Data Labels'!E12</f>
        <v>Change in Other Current Liabilities</v>
      </c>
      <c r="C103" s="6" t="s">
        <v>57</v>
      </c>
      <c r="D103" s="9">
        <f>IF(D$16="Yes",-(('FS-BS'!D32-'FS-BS'!C32)+('FS-BS'!D38-'FS-BS'!C38)+('FS-BS'!D36-'FS-BS'!C36)+('FS-BS'!D37-'FS-BS'!C37)),"")</f>
        <v>0</v>
      </c>
      <c r="E103" s="9" t="str">
        <f>IF(E$16="Yes",-(('FS-BS'!E32-'FS-BS'!D32)+('FS-BS'!E38-'FS-BS'!D38)+('FS-BS'!E36-'FS-BS'!D36)+('FS-BS'!E37-'FS-BS'!D37)),"")</f>
        <v/>
      </c>
      <c r="F103" s="9" t="str">
        <f>IF(F$16="Yes",-(('FS-BS'!F32-'FS-BS'!E32)+('FS-BS'!F38-'FS-BS'!E38)+('FS-BS'!F36-'FS-BS'!E36)+('FS-BS'!F37-'FS-BS'!E37)),"")</f>
        <v/>
      </c>
      <c r="G103" s="9" t="str">
        <f>IF(G$16="Yes",-(('FS-BS'!G32-'FS-BS'!F32)+('FS-BS'!G38-'FS-BS'!F38)+('FS-BS'!G36-'FS-BS'!F36)),"")</f>
        <v/>
      </c>
      <c r="H103" s="9" t="str">
        <f>IF(H$16="Yes",-(('FS-BS'!H32-'FS-BS'!G32)+('FS-BS'!H38-'FS-BS'!G38)+('FS-BS'!H36-'FS-BS'!G36)),"")</f>
        <v/>
      </c>
      <c r="I103" s="9"/>
    </row>
    <row r="104" spans="2:9" x14ac:dyDescent="0.25">
      <c r="B104" s="6" t="str">
        <f>'Data Labels'!E13</f>
        <v>Change in Other non- Current Liabilities</v>
      </c>
      <c r="C104" s="6" t="s">
        <v>58</v>
      </c>
      <c r="D104" s="9">
        <f>IF(D$16="Yes",-(('FS-BS'!D41-'FS-BS'!C41)+('FS-BS'!D42-'FS-BS'!C42)+('FS-BS'!D43-'FS-BS'!C43)),"")</f>
        <v>0</v>
      </c>
      <c r="E104" s="9" t="str">
        <f>IF(E$16="Yes",-(('FS-BS'!E41-'FS-BS'!D41)+('FS-BS'!E42-'FS-BS'!D42)+('FS-BS'!E43-'FS-BS'!D43)),"")</f>
        <v/>
      </c>
      <c r="F104" s="9" t="str">
        <f>IF(F$16="Yes",-(('FS-BS'!F41-'FS-BS'!E41)+('FS-BS'!F42-'FS-BS'!E42)+('FS-BS'!F43-'FS-BS'!E43)),"")</f>
        <v/>
      </c>
      <c r="G104" s="9" t="str">
        <f>IF(G$16="Yes",-(('FS-BS'!G41-'FS-BS'!F41)+('FS-BS'!G42-'FS-BS'!F42)+('FS-BS'!G43-'FS-BS'!F43)),"")</f>
        <v/>
      </c>
      <c r="H104" s="9" t="str">
        <f>IF(H$16="Yes",-(('FS-BS'!H41-'FS-BS'!G41)+('FS-BS'!H42-'FS-BS'!G42)+('FS-BS'!H43-'FS-BS'!G43)),"")</f>
        <v/>
      </c>
      <c r="I104" s="9"/>
    </row>
    <row r="105" spans="2:9" x14ac:dyDescent="0.25">
      <c r="B105" s="6" t="str">
        <f>'Data Labels'!E14</f>
        <v>Change in Other non- Current Assets</v>
      </c>
      <c r="C105" s="6" t="s">
        <v>59</v>
      </c>
      <c r="D105" s="9">
        <f>IF(D$16="Yes",(('FS-BS'!D26-'FS-BS'!C26)+('FS-BS'!D24-'FS-BS'!C24)+('FS-BS'!D25-'FS-BS'!C25)+('FS-BS'!D22-'FS-BS'!C22)),"")</f>
        <v>0</v>
      </c>
      <c r="E105" s="9" t="str">
        <f>IF(E$16="Yes",(('FS-BS'!E26-'FS-BS'!D26)+('FS-BS'!E24-'FS-BS'!D24)+('FS-BS'!E25-'FS-BS'!D25)+('FS-BS'!E22-'FS-BS'!D22)),"")</f>
        <v/>
      </c>
      <c r="F105" s="9" t="str">
        <f>IF(F$16="Yes",(('FS-BS'!F26-'FS-BS'!E26)+('FS-BS'!F24-'FS-BS'!E24)+('FS-BS'!F25-'FS-BS'!E25)+('FS-BS'!F22-'FS-BS'!E22)),"")</f>
        <v/>
      </c>
      <c r="G105" s="9" t="str">
        <f>IF(G$16="Yes",(('FS-BS'!G26-'FS-BS'!F26)+('FS-BS'!G24-'FS-BS'!F24)+('FS-BS'!G25-'FS-BS'!F25)+('FS-BS'!G22-'FS-BS'!F22)),"")</f>
        <v/>
      </c>
      <c r="H105" s="9" t="str">
        <f>IF(H$16="Yes",(('FS-BS'!H26-'FS-BS'!G26)+('FS-BS'!H24-'FS-BS'!G24)+('FS-BS'!H25-'FS-BS'!G25)+('FS-BS'!H22-'FS-BS'!G22)),"")</f>
        <v/>
      </c>
      <c r="I105" s="9"/>
    </row>
    <row r="106" spans="2:9" x14ac:dyDescent="0.25">
      <c r="B106" s="6" t="str">
        <f>'Data Labels'!E15</f>
        <v>Capital Expenditure - Purchase of Fixed Assets</v>
      </c>
      <c r="C106" s="6" t="s">
        <v>60</v>
      </c>
      <c r="D106" s="9">
        <f>IF(D$16="Yes",(('FS-BS'!D18-'FS-BS'!C18)-'FS-IS'!C21+'FS-IS'!C37),"")</f>
        <v>0</v>
      </c>
      <c r="E106" s="9" t="str">
        <f>IF(E$16="Yes",(('FS-BS'!E18-'FS-BS'!D18)-'FS-IS'!D21+'FS-IS'!D37),"")</f>
        <v/>
      </c>
      <c r="F106" s="9" t="str">
        <f>IF(F$16="Yes",(('FS-BS'!F18-'FS-BS'!E18)-'FS-IS'!E21+'FS-IS'!E37),"")</f>
        <v/>
      </c>
      <c r="G106" s="9" t="str">
        <f>IF(G$16="Yes",(('FS-BS'!G18-'FS-BS'!F18)-'FS-IS'!F21+'FS-IS'!F37),"")</f>
        <v/>
      </c>
      <c r="H106" s="9" t="str">
        <f>IF(H$16="Yes",(('FS-BS'!H18-'FS-BS'!G18)-'FS-IS'!G21+'FS-IS'!G37),"")</f>
        <v/>
      </c>
      <c r="I106" s="9"/>
    </row>
    <row r="107" spans="2:9" x14ac:dyDescent="0.25">
      <c r="B107" s="6" t="str">
        <f>'Data Labels'!E16</f>
        <v>Proceeds from Sale of Fixed Assets</v>
      </c>
      <c r="C107" s="6" t="s">
        <v>62</v>
      </c>
      <c r="D107" s="9">
        <f>IF(D$16="Yes",'FS-BS'!D21-'FS-BS'!C21,"")</f>
        <v>0</v>
      </c>
      <c r="E107" s="9" t="str">
        <f>IF(E$16="Yes",'FS-BS'!E21-'FS-BS'!D21,"")</f>
        <v/>
      </c>
      <c r="F107" s="9" t="str">
        <f>IF(F$16="Yes",'FS-BS'!F21-'FS-BS'!E21,"")</f>
        <v/>
      </c>
      <c r="G107" s="9" t="str">
        <f>IF(G$16="Yes",'FS-BS'!G21-'FS-BS'!F21,"")</f>
        <v/>
      </c>
      <c r="H107" s="9" t="str">
        <f>IF(H$16="Yes",'FS-BS'!H21-'FS-BS'!G21,"")</f>
        <v/>
      </c>
      <c r="I107" s="9"/>
    </row>
    <row r="108" spans="2:9" x14ac:dyDescent="0.25">
      <c r="B108" s="6" t="str">
        <f>'Data Labels'!E17</f>
        <v>Purchase of Investment Securities</v>
      </c>
      <c r="C108" s="6" t="s">
        <v>63</v>
      </c>
      <c r="D108" s="9">
        <f>IF(D$16="Yes",IF('FS-BS'!D23-'FS-BS'!C23&lt;0,'FS-BS'!D23-'FS-BS'!C23,0),"")</f>
        <v>0</v>
      </c>
      <c r="E108" s="9" t="str">
        <f>IF(E$16="Yes",IF('FS-BS'!E23-'FS-BS'!D23&lt;0,'FS-BS'!E23-'FS-BS'!D23,0),"")</f>
        <v/>
      </c>
      <c r="F108" s="9" t="str">
        <f>IF(F$16="Yes",IF('FS-BS'!F23-'FS-BS'!E23&lt;0,'FS-BS'!F23-'FS-BS'!E23,0),"")</f>
        <v/>
      </c>
      <c r="G108" s="9" t="str">
        <f>IF(G$16="Yes",IF('FS-BS'!G23-'FS-BS'!F23&lt;0,'FS-BS'!G23-'FS-BS'!F23,0),"")</f>
        <v/>
      </c>
      <c r="H108" s="9" t="str">
        <f>IF(H$16="Yes",IF('FS-BS'!H23-'FS-BS'!G23&lt;0,'FS-BS'!H23-'FS-BS'!G23,0),"")</f>
        <v/>
      </c>
      <c r="I108" s="9"/>
    </row>
    <row r="109" spans="2:9" x14ac:dyDescent="0.25">
      <c r="B109" s="6" t="str">
        <f>'Data Labels'!E18</f>
        <v xml:space="preserve">Sale of Investment Securities </v>
      </c>
      <c r="C109" s="6" t="s">
        <v>64</v>
      </c>
      <c r="D109" s="9">
        <f>IF(D$16="Yes",IF('FS-BS'!D23-'FS-BS'!C23&gt;0,'FS-BS'!D23-'FS-BS'!C23,0),"")</f>
        <v>0</v>
      </c>
      <c r="E109" s="9" t="str">
        <f>IF(E$16="Yes",IF('FS-BS'!E23-'FS-BS'!D23&gt;0,'FS-BS'!E23-'FS-BS'!D23,0),"")</f>
        <v/>
      </c>
      <c r="F109" s="9" t="str">
        <f>IF(F$16="Yes",IF('FS-BS'!F23-'FS-BS'!E23&gt;0,'FS-BS'!F23-'FS-BS'!E23,0),"")</f>
        <v/>
      </c>
      <c r="G109" s="9" t="str">
        <f>IF(G$16="Yes",IF('FS-BS'!G23-'FS-BS'!F23&gt;0,'FS-BS'!G23-'FS-BS'!F23,0),"")</f>
        <v/>
      </c>
      <c r="H109" s="9" t="str">
        <f>IF(H$16="Yes",IF('FS-BS'!H23-'FS-BS'!G23&gt;0,'FS-BS'!H23-'FS-BS'!G23,0),"")</f>
        <v/>
      </c>
      <c r="I109" s="9"/>
    </row>
    <row r="110" spans="2:9" x14ac:dyDescent="0.25">
      <c r="B110" s="6" t="str">
        <f>'Data Labels'!E20</f>
        <v>External Borrowing (Debt/LOC/ Mortgages/Other Loans)</v>
      </c>
      <c r="C110" s="6" t="s">
        <v>66</v>
      </c>
      <c r="D110" s="9">
        <f>IF(D$16="Yes",-(('FS-BS'!D35-'FS-BS'!C35)+('FS-BS'!D33-'FS-BS'!C33)+('FS-BS'!D34-'FS-BS'!C34)),"")</f>
        <v>0</v>
      </c>
      <c r="E110" s="9" t="str">
        <f>IF(E$16="Yes",-(('FS-BS'!E35-'FS-BS'!D35)+('FS-BS'!E33-'FS-BS'!D33)+('FS-BS'!E34-'FS-BS'!D34)),"")</f>
        <v/>
      </c>
      <c r="F110" s="9" t="str">
        <f>IF(F$16="Yes",-(('FS-BS'!F35-'FS-BS'!E35)+('FS-BS'!F33-'FS-BS'!E33)+('FS-BS'!F34-'FS-BS'!E34)),"")</f>
        <v/>
      </c>
      <c r="G110" s="9" t="str">
        <f>IF(G$16="Yes",-(('FS-BS'!G35-'FS-BS'!F35)+('FS-BS'!G33-'FS-BS'!F33)+('FS-BS'!G34-'FS-BS'!F34)),"")</f>
        <v/>
      </c>
      <c r="H110" s="9" t="str">
        <f>IF(H$16="Yes",-(('FS-BS'!H35-'FS-BS'!G35)+('FS-BS'!H33-'FS-BS'!G33)+('FS-BS'!H34-'FS-BS'!G34)),"")</f>
        <v/>
      </c>
      <c r="I110" s="6"/>
    </row>
    <row r="111" spans="2:9" x14ac:dyDescent="0.25">
      <c r="B111" s="6" t="str">
        <f>'Data Labels'!E21</f>
        <v>Repayments of Borrowings (Debt/LOC/ Mortgages/Other Loans)</v>
      </c>
      <c r="C111" s="6" t="s">
        <v>67</v>
      </c>
      <c r="D111" s="9">
        <f>IF(D$16="Yes",-('FS-BS'!D40-'FS-BS'!C40),"")</f>
        <v>0</v>
      </c>
      <c r="E111" s="9" t="str">
        <f>IF(E$16="Yes",-('FS-BS'!E40-'FS-BS'!D40),"")</f>
        <v/>
      </c>
      <c r="F111" s="9" t="str">
        <f>IF(F$16="Yes",-('FS-BS'!F40-'FS-BS'!E40),"")</f>
        <v/>
      </c>
      <c r="G111" s="9" t="str">
        <f>IF(G$16="Yes",-('FS-BS'!G40-'FS-BS'!F40),"")</f>
        <v/>
      </c>
      <c r="H111" s="9" t="str">
        <f>IF(H$16="Yes",-('FS-BS'!H40-'FS-BS'!G40),"")</f>
        <v/>
      </c>
      <c r="I111" s="6"/>
    </row>
    <row r="112" spans="2:9" x14ac:dyDescent="0.25">
      <c r="B112" s="161" t="str">
        <f>'Data Labels'!E23</f>
        <v>Changes in Equity</v>
      </c>
      <c r="C112" s="161" t="s">
        <v>69</v>
      </c>
      <c r="D112" s="162">
        <f>IF(D$16="Yes",('FS-BS'!D50-'FS-BS'!C50)+'FS-CF'!C5,"")</f>
        <v>0</v>
      </c>
      <c r="E112" s="162" t="str">
        <f>IF(E$16="Yes",('FS-BS'!E50-'FS-BS'!D50)+'FS-CF'!D5,"")</f>
        <v/>
      </c>
      <c r="F112" s="162" t="str">
        <f>IF(F$16="Yes",('FS-BS'!F50-'FS-BS'!E50)+'FS-CF'!E5,"")</f>
        <v/>
      </c>
      <c r="G112" s="162" t="str">
        <f>IF(G$16="Yes",('FS-BS'!G50-'FS-BS'!F50)+'FS-CF'!F5,"")</f>
        <v/>
      </c>
      <c r="H112" s="162" t="str">
        <f>IF(H$16="Yes",('FS-BS'!H50-'FS-BS'!G50)+'FS-CF'!G5,"")</f>
        <v/>
      </c>
      <c r="I112" s="161"/>
    </row>
  </sheetData>
  <mergeCells count="16">
    <mergeCell ref="D12:H12"/>
    <mergeCell ref="B2:I2"/>
    <mergeCell ref="B16:C16"/>
    <mergeCell ref="B14:C14"/>
    <mergeCell ref="B15:C15"/>
    <mergeCell ref="B3:C3"/>
    <mergeCell ref="B5:C5"/>
    <mergeCell ref="B6:C6"/>
    <mergeCell ref="B13:C13"/>
    <mergeCell ref="B8:C8"/>
    <mergeCell ref="B10:C10"/>
    <mergeCell ref="B9:C9"/>
    <mergeCell ref="B11:C11"/>
    <mergeCell ref="B12:C12"/>
    <mergeCell ref="B7:C7"/>
    <mergeCell ref="B4:C4"/>
  </mergeCells>
  <dataValidations count="1">
    <dataValidation type="list" allowBlank="1" showInputMessage="1" showErrorMessage="1" sqref="D16:H16" xr:uid="{C5B45CF5-9F2E-4ADE-8864-B14805011CFC}">
      <formula1>"Yes, No"</formula1>
    </dataValidation>
  </dataValidations>
  <pageMargins left="0.7" right="0.7" top="0.75" bottom="0.75" header="0.3" footer="0.3"/>
  <pageSetup paperSize="9" scale="52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85172344-0A14-4A8F-B35B-3AFBF31D2D71}">
          <x14:formula1>
            <xm:f>'Data Labels'!$E$4:$E$24</xm:f>
          </x14:formula1>
          <xm:sqref>C96:C112</xm:sqref>
        </x14:dataValidation>
        <x14:dataValidation type="list" allowBlank="1" showInputMessage="1" showErrorMessage="1" xr:uid="{962B637B-0330-4DAE-855E-3393BB289749}">
          <x14:formula1>
            <xm:f>'Data Labels'!$D$3:$D$29</xm:f>
          </x14:formula1>
          <xm:sqref>C19:C36</xm:sqref>
        </x14:dataValidation>
        <x14:dataValidation type="list" allowBlank="1" showInputMessage="1" showErrorMessage="1" xr:uid="{B7046DD0-4139-4BCC-B928-5D5ACD90D581}">
          <x14:formula1>
            <xm:f>'Data Labels'!$C$3:$C$18</xm:f>
          </x14:formula1>
          <xm:sqref>C58:C64</xm:sqref>
        </x14:dataValidation>
        <x14:dataValidation type="list" allowBlank="1" showInputMessage="1" showErrorMessage="1" xr:uid="{A5B10D14-79AC-4885-A95D-DC444C86F640}">
          <x14:formula1>
            <xm:f>'Data Labels'!$E$3:$E$24</xm:f>
          </x14:formula1>
          <xm:sqref>C66:C92</xm:sqref>
        </x14:dataValidation>
        <x14:dataValidation type="list" allowBlank="1" showInputMessage="1" showErrorMessage="1" xr:uid="{CFC73F6A-CA91-447C-8642-2F7BCFC0FEFB}">
          <x14:formula1>
            <xm:f>'Data Labels'!$G$3:$G$5</xm:f>
          </x14:formula1>
          <xm:sqref>D9</xm:sqref>
        </x14:dataValidation>
        <x14:dataValidation type="list" allowBlank="1" showInputMessage="1" showErrorMessage="1" xr:uid="{D50B829D-1FFA-40E0-A5BD-E1B038459078}">
          <x14:formula1>
            <xm:f>'Data Labels'!$I$3:$I$14</xm:f>
          </x14:formula1>
          <xm:sqref>E14:H14</xm:sqref>
        </x14:dataValidation>
        <x14:dataValidation type="list" allowBlank="1" showInputMessage="1" showErrorMessage="1" xr:uid="{DEE5A593-1067-4005-A101-8B4317C64167}">
          <x14:formula1>
            <xm:f>'Data Labels'!$K$3:$K$8</xm:f>
          </x14:formula1>
          <xm:sqref>D15:H15</xm:sqref>
        </x14:dataValidation>
        <x14:dataValidation type="list" allowBlank="1" showInputMessage="1" showErrorMessage="1" xr:uid="{79CA8B4C-D657-4CC6-9D78-CDC1202975B3}">
          <x14:formula1>
            <xm:f>'Data Labels'!$I$3:$I$15</xm:f>
          </x14:formula1>
          <xm:sqref>D14</xm:sqref>
        </x14:dataValidation>
        <x14:dataValidation type="list" allowBlank="1" showInputMessage="1" showErrorMessage="1" xr:uid="{4ED43723-98D1-40FE-9098-9919D4AFE6DA}">
          <x14:formula1>
            <xm:f>'Data Labels'!$B$3:$B$21</xm:f>
          </x14:formula1>
          <xm:sqref>C42:C57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E024-1F9B-4B27-A51F-BE3126207AC1}">
  <sheetPr>
    <tabColor theme="8" tint="0.39997558519241921"/>
  </sheetPr>
  <dimension ref="A1:D215"/>
  <sheetViews>
    <sheetView workbookViewId="0">
      <selection activeCell="C8" sqref="C8"/>
    </sheetView>
  </sheetViews>
  <sheetFormatPr baseColWidth="10" defaultRowHeight="15" x14ac:dyDescent="0.25"/>
  <cols>
    <col min="1" max="1" width="39.140625" style="260" customWidth="1"/>
    <col min="2" max="2" width="15" style="261" customWidth="1"/>
    <col min="3" max="3" width="12.5703125" style="261" bestFit="1" customWidth="1"/>
    <col min="4" max="4" width="12" style="260" bestFit="1" customWidth="1"/>
  </cols>
  <sheetData>
    <row r="1" spans="1:4" s="1" customFormat="1" x14ac:dyDescent="0.25">
      <c r="A1" s="268" t="s">
        <v>486</v>
      </c>
      <c r="B1" s="268" t="s">
        <v>487</v>
      </c>
      <c r="C1" s="269" t="s">
        <v>488</v>
      </c>
      <c r="D1" s="259"/>
    </row>
    <row r="2" spans="1:4" x14ac:dyDescent="0.25">
      <c r="A2" s="260" t="s">
        <v>498</v>
      </c>
      <c r="B2" s="260" t="s">
        <v>489</v>
      </c>
      <c r="C2" s="261">
        <v>38663.22</v>
      </c>
    </row>
    <row r="3" spans="1:4" x14ac:dyDescent="0.25">
      <c r="A3" s="260" t="s">
        <v>480</v>
      </c>
      <c r="B3" s="260" t="s">
        <v>490</v>
      </c>
      <c r="C3" s="261">
        <v>1167050</v>
      </c>
    </row>
    <row r="4" spans="1:4" x14ac:dyDescent="0.25">
      <c r="A4" s="260" t="s">
        <v>481</v>
      </c>
      <c r="B4" s="260" t="s">
        <v>491</v>
      </c>
      <c r="C4" s="261">
        <v>0</v>
      </c>
    </row>
    <row r="5" spans="1:4" x14ac:dyDescent="0.25">
      <c r="A5" s="260" t="s">
        <v>482</v>
      </c>
      <c r="B5" s="260" t="s">
        <v>492</v>
      </c>
      <c r="C5" s="261">
        <v>247673.61</v>
      </c>
    </row>
    <row r="6" spans="1:4" x14ac:dyDescent="0.25">
      <c r="A6" s="260" t="s">
        <v>483</v>
      </c>
      <c r="B6" s="260" t="s">
        <v>493</v>
      </c>
      <c r="C6" s="261">
        <v>922209.73</v>
      </c>
    </row>
    <row r="7" spans="1:4" x14ac:dyDescent="0.25">
      <c r="A7" s="260" t="s">
        <v>477</v>
      </c>
      <c r="B7" s="260" t="s">
        <v>494</v>
      </c>
      <c r="C7" s="261">
        <v>31945.94</v>
      </c>
    </row>
    <row r="8" spans="1:4" x14ac:dyDescent="0.25">
      <c r="A8" s="260" t="s">
        <v>484</v>
      </c>
      <c r="B8" s="260" t="s">
        <v>496</v>
      </c>
      <c r="C8" s="261">
        <v>959646.58</v>
      </c>
    </row>
    <row r="9" spans="1:4" x14ac:dyDescent="0.25">
      <c r="A9" s="260" t="s">
        <v>495</v>
      </c>
      <c r="B9" s="260" t="s">
        <v>497</v>
      </c>
      <c r="C9" s="261">
        <v>873720.07</v>
      </c>
    </row>
    <row r="10" spans="1:4" x14ac:dyDescent="0.25">
      <c r="A10" s="260" t="s">
        <v>478</v>
      </c>
      <c r="B10" s="260" t="s">
        <v>504</v>
      </c>
      <c r="C10" s="285">
        <f>C8-C9</f>
        <v>85926.510000000009</v>
      </c>
    </row>
    <row r="11" spans="1:4" x14ac:dyDescent="0.25">
      <c r="A11" s="260" t="s">
        <v>404</v>
      </c>
      <c r="B11" s="260" t="s">
        <v>505</v>
      </c>
      <c r="C11" s="260">
        <v>111970.27</v>
      </c>
    </row>
    <row r="12" spans="1:4" x14ac:dyDescent="0.25">
      <c r="B12" s="260"/>
    </row>
    <row r="13" spans="1:4" x14ac:dyDescent="0.25">
      <c r="B13" s="260"/>
    </row>
    <row r="14" spans="1:4" x14ac:dyDescent="0.25">
      <c r="B14" s="260"/>
    </row>
    <row r="15" spans="1:4" x14ac:dyDescent="0.25">
      <c r="B15" s="260"/>
    </row>
    <row r="16" spans="1:4" x14ac:dyDescent="0.25">
      <c r="B16" s="260"/>
    </row>
    <row r="17" spans="2:2" x14ac:dyDescent="0.25">
      <c r="B17" s="260"/>
    </row>
    <row r="18" spans="2:2" x14ac:dyDescent="0.25">
      <c r="B18" s="260"/>
    </row>
    <row r="19" spans="2:2" x14ac:dyDescent="0.25">
      <c r="B19" s="260"/>
    </row>
    <row r="20" spans="2:2" x14ac:dyDescent="0.25">
      <c r="B20" s="260"/>
    </row>
    <row r="21" spans="2:2" x14ac:dyDescent="0.25">
      <c r="B21" s="260"/>
    </row>
    <row r="22" spans="2:2" x14ac:dyDescent="0.25">
      <c r="B22" s="260"/>
    </row>
    <row r="23" spans="2:2" x14ac:dyDescent="0.25">
      <c r="B23" s="260"/>
    </row>
    <row r="24" spans="2:2" x14ac:dyDescent="0.25">
      <c r="B24" s="260"/>
    </row>
    <row r="25" spans="2:2" x14ac:dyDescent="0.25">
      <c r="B25" s="260"/>
    </row>
    <row r="26" spans="2:2" x14ac:dyDescent="0.25">
      <c r="B26" s="260"/>
    </row>
    <row r="27" spans="2:2" x14ac:dyDescent="0.25">
      <c r="B27" s="260"/>
    </row>
    <row r="28" spans="2:2" x14ac:dyDescent="0.25">
      <c r="B28" s="260"/>
    </row>
    <row r="29" spans="2:2" x14ac:dyDescent="0.25">
      <c r="B29" s="260"/>
    </row>
    <row r="30" spans="2:2" x14ac:dyDescent="0.25">
      <c r="B30" s="260"/>
    </row>
    <row r="31" spans="2:2" x14ac:dyDescent="0.25">
      <c r="B31" s="260"/>
    </row>
    <row r="32" spans="2:2" x14ac:dyDescent="0.25">
      <c r="B32" s="260"/>
    </row>
    <row r="33" spans="2:2" x14ac:dyDescent="0.25">
      <c r="B33" s="260"/>
    </row>
    <row r="34" spans="2:2" x14ac:dyDescent="0.25">
      <c r="B34" s="260"/>
    </row>
    <row r="35" spans="2:2" x14ac:dyDescent="0.25">
      <c r="B35" s="260"/>
    </row>
    <row r="36" spans="2:2" x14ac:dyDescent="0.25">
      <c r="B36" s="260"/>
    </row>
    <row r="37" spans="2:2" x14ac:dyDescent="0.25">
      <c r="B37" s="260"/>
    </row>
    <row r="38" spans="2:2" x14ac:dyDescent="0.25">
      <c r="B38" s="260"/>
    </row>
    <row r="39" spans="2:2" x14ac:dyDescent="0.25">
      <c r="B39" s="260"/>
    </row>
    <row r="40" spans="2:2" x14ac:dyDescent="0.25">
      <c r="B40" s="260"/>
    </row>
    <row r="41" spans="2:2" x14ac:dyDescent="0.25">
      <c r="B41" s="260"/>
    </row>
    <row r="42" spans="2:2" x14ac:dyDescent="0.25">
      <c r="B42" s="260"/>
    </row>
    <row r="43" spans="2:2" x14ac:dyDescent="0.25">
      <c r="B43" s="260"/>
    </row>
    <row r="44" spans="2:2" x14ac:dyDescent="0.25">
      <c r="B44" s="260"/>
    </row>
    <row r="45" spans="2:2" x14ac:dyDescent="0.25">
      <c r="B45" s="260"/>
    </row>
    <row r="46" spans="2:2" x14ac:dyDescent="0.25">
      <c r="B46" s="260"/>
    </row>
    <row r="47" spans="2:2" x14ac:dyDescent="0.25">
      <c r="B47" s="260"/>
    </row>
    <row r="48" spans="2:2" x14ac:dyDescent="0.25">
      <c r="B48" s="260"/>
    </row>
    <row r="49" spans="2:2" x14ac:dyDescent="0.25">
      <c r="B49" s="260"/>
    </row>
    <row r="50" spans="2:2" x14ac:dyDescent="0.25">
      <c r="B50" s="260"/>
    </row>
    <row r="51" spans="2:2" x14ac:dyDescent="0.25">
      <c r="B51" s="260"/>
    </row>
    <row r="52" spans="2:2" x14ac:dyDescent="0.25">
      <c r="B52" s="260"/>
    </row>
    <row r="53" spans="2:2" x14ac:dyDescent="0.25">
      <c r="B53" s="260"/>
    </row>
    <row r="54" spans="2:2" x14ac:dyDescent="0.25">
      <c r="B54" s="260"/>
    </row>
    <row r="55" spans="2:2" x14ac:dyDescent="0.25">
      <c r="B55" s="260"/>
    </row>
    <row r="56" spans="2:2" x14ac:dyDescent="0.25">
      <c r="B56" s="260"/>
    </row>
    <row r="57" spans="2:2" x14ac:dyDescent="0.25">
      <c r="B57" s="260"/>
    </row>
    <row r="58" spans="2:2" x14ac:dyDescent="0.25">
      <c r="B58" s="260"/>
    </row>
    <row r="59" spans="2:2" x14ac:dyDescent="0.25">
      <c r="B59" s="260"/>
    </row>
    <row r="60" spans="2:2" x14ac:dyDescent="0.25">
      <c r="B60" s="260"/>
    </row>
    <row r="61" spans="2:2" x14ac:dyDescent="0.25">
      <c r="B61" s="260"/>
    </row>
    <row r="62" spans="2:2" x14ac:dyDescent="0.25">
      <c r="B62" s="260"/>
    </row>
    <row r="63" spans="2:2" x14ac:dyDescent="0.25">
      <c r="B63" s="260"/>
    </row>
    <row r="64" spans="2:2" x14ac:dyDescent="0.25">
      <c r="B64" s="260"/>
    </row>
    <row r="65" spans="2:2" x14ac:dyDescent="0.25">
      <c r="B65" s="260"/>
    </row>
    <row r="66" spans="2:2" x14ac:dyDescent="0.25">
      <c r="B66" s="260"/>
    </row>
    <row r="67" spans="2:2" x14ac:dyDescent="0.25">
      <c r="B67" s="260"/>
    </row>
    <row r="68" spans="2:2" x14ac:dyDescent="0.25">
      <c r="B68" s="260"/>
    </row>
    <row r="69" spans="2:2" x14ac:dyDescent="0.25">
      <c r="B69" s="260"/>
    </row>
    <row r="70" spans="2:2" x14ac:dyDescent="0.25">
      <c r="B70" s="260"/>
    </row>
    <row r="71" spans="2:2" x14ac:dyDescent="0.25">
      <c r="B71" s="260"/>
    </row>
    <row r="72" spans="2:2" x14ac:dyDescent="0.25">
      <c r="B72" s="260"/>
    </row>
    <row r="73" spans="2:2" x14ac:dyDescent="0.25">
      <c r="B73" s="260"/>
    </row>
    <row r="74" spans="2:2" x14ac:dyDescent="0.25">
      <c r="B74" s="260"/>
    </row>
    <row r="75" spans="2:2" x14ac:dyDescent="0.25">
      <c r="B75" s="260"/>
    </row>
    <row r="76" spans="2:2" x14ac:dyDescent="0.25">
      <c r="B76" s="260"/>
    </row>
    <row r="77" spans="2:2" x14ac:dyDescent="0.25">
      <c r="B77" s="260"/>
    </row>
    <row r="78" spans="2:2" x14ac:dyDescent="0.25">
      <c r="B78" s="260"/>
    </row>
    <row r="79" spans="2:2" x14ac:dyDescent="0.25">
      <c r="B79" s="260"/>
    </row>
    <row r="80" spans="2:2" x14ac:dyDescent="0.25">
      <c r="B80" s="260"/>
    </row>
    <row r="81" spans="2:2" x14ac:dyDescent="0.25">
      <c r="B81" s="260"/>
    </row>
    <row r="82" spans="2:2" x14ac:dyDescent="0.25">
      <c r="B82" s="260"/>
    </row>
    <row r="83" spans="2:2" x14ac:dyDescent="0.25">
      <c r="B83" s="260"/>
    </row>
    <row r="84" spans="2:2" x14ac:dyDescent="0.25">
      <c r="B84" s="260"/>
    </row>
    <row r="85" spans="2:2" x14ac:dyDescent="0.25">
      <c r="B85" s="260"/>
    </row>
    <row r="86" spans="2:2" x14ac:dyDescent="0.25">
      <c r="B86" s="260"/>
    </row>
    <row r="87" spans="2:2" x14ac:dyDescent="0.25">
      <c r="B87" s="260"/>
    </row>
    <row r="88" spans="2:2" x14ac:dyDescent="0.25">
      <c r="B88" s="260"/>
    </row>
    <row r="89" spans="2:2" x14ac:dyDescent="0.25">
      <c r="B89" s="260"/>
    </row>
    <row r="90" spans="2:2" x14ac:dyDescent="0.25">
      <c r="B90" s="260"/>
    </row>
    <row r="91" spans="2:2" x14ac:dyDescent="0.25">
      <c r="B91" s="260"/>
    </row>
    <row r="92" spans="2:2" x14ac:dyDescent="0.25">
      <c r="B92" s="260"/>
    </row>
    <row r="93" spans="2:2" x14ac:dyDescent="0.25">
      <c r="B93" s="260"/>
    </row>
    <row r="94" spans="2:2" x14ac:dyDescent="0.25">
      <c r="B94" s="260"/>
    </row>
    <row r="95" spans="2:2" x14ac:dyDescent="0.25">
      <c r="B95" s="260"/>
    </row>
    <row r="96" spans="2:2" x14ac:dyDescent="0.25">
      <c r="B96" s="260"/>
    </row>
    <row r="97" spans="1:4" x14ac:dyDescent="0.25">
      <c r="B97" s="260"/>
    </row>
    <row r="98" spans="1:4" x14ac:dyDescent="0.25">
      <c r="B98" s="260"/>
    </row>
    <row r="99" spans="1:4" x14ac:dyDescent="0.25">
      <c r="B99" s="260"/>
    </row>
    <row r="100" spans="1:4" x14ac:dyDescent="0.25">
      <c r="B100" s="260"/>
    </row>
    <row r="101" spans="1:4" x14ac:dyDescent="0.25">
      <c r="B101" s="260"/>
    </row>
    <row r="102" spans="1:4" x14ac:dyDescent="0.25">
      <c r="B102" s="260"/>
    </row>
    <row r="103" spans="1:4" x14ac:dyDescent="0.25">
      <c r="B103" s="260"/>
    </row>
    <row r="104" spans="1:4" x14ac:dyDescent="0.25">
      <c r="B104" s="260"/>
    </row>
    <row r="105" spans="1:4" x14ac:dyDescent="0.25">
      <c r="B105" s="260"/>
    </row>
    <row r="106" spans="1:4" s="1" customFormat="1" x14ac:dyDescent="0.25">
      <c r="A106" s="260"/>
      <c r="B106" s="260"/>
      <c r="C106" s="261"/>
      <c r="D106" s="259"/>
    </row>
    <row r="107" spans="1:4" x14ac:dyDescent="0.25">
      <c r="B107" s="260"/>
    </row>
    <row r="108" spans="1:4" x14ac:dyDescent="0.25">
      <c r="B108" s="260"/>
    </row>
    <row r="109" spans="1:4" x14ac:dyDescent="0.25">
      <c r="B109" s="260"/>
    </row>
    <row r="110" spans="1:4" x14ac:dyDescent="0.25">
      <c r="B110" s="260"/>
    </row>
    <row r="111" spans="1:4" x14ac:dyDescent="0.25">
      <c r="B111" s="260"/>
    </row>
    <row r="112" spans="1:4" x14ac:dyDescent="0.25">
      <c r="B112" s="260"/>
    </row>
    <row r="113" spans="2:2" x14ac:dyDescent="0.25">
      <c r="B113" s="260"/>
    </row>
    <row r="114" spans="2:2" x14ac:dyDescent="0.25">
      <c r="B114" s="260"/>
    </row>
    <row r="115" spans="2:2" x14ac:dyDescent="0.25">
      <c r="B115" s="260"/>
    </row>
    <row r="116" spans="2:2" x14ac:dyDescent="0.25">
      <c r="B116" s="260"/>
    </row>
    <row r="117" spans="2:2" x14ac:dyDescent="0.25">
      <c r="B117" s="260"/>
    </row>
    <row r="118" spans="2:2" x14ac:dyDescent="0.25">
      <c r="B118" s="260"/>
    </row>
    <row r="119" spans="2:2" x14ac:dyDescent="0.25">
      <c r="B119" s="260"/>
    </row>
    <row r="120" spans="2:2" x14ac:dyDescent="0.25">
      <c r="B120" s="260"/>
    </row>
    <row r="121" spans="2:2" x14ac:dyDescent="0.25">
      <c r="B121" s="260"/>
    </row>
    <row r="122" spans="2:2" x14ac:dyDescent="0.25">
      <c r="B122" s="260"/>
    </row>
    <row r="123" spans="2:2" x14ac:dyDescent="0.25">
      <c r="B123" s="260"/>
    </row>
    <row r="124" spans="2:2" x14ac:dyDescent="0.25">
      <c r="B124" s="260"/>
    </row>
    <row r="125" spans="2:2" x14ac:dyDescent="0.25">
      <c r="B125" s="260"/>
    </row>
    <row r="126" spans="2:2" x14ac:dyDescent="0.25">
      <c r="B126" s="260"/>
    </row>
    <row r="127" spans="2:2" x14ac:dyDescent="0.25">
      <c r="B127" s="260"/>
    </row>
    <row r="128" spans="2:2" x14ac:dyDescent="0.25">
      <c r="B128" s="260"/>
    </row>
    <row r="129" spans="2:2" x14ac:dyDescent="0.25">
      <c r="B129" s="260"/>
    </row>
    <row r="130" spans="2:2" x14ac:dyDescent="0.25">
      <c r="B130" s="260"/>
    </row>
    <row r="131" spans="2:2" x14ac:dyDescent="0.25">
      <c r="B131" s="260"/>
    </row>
    <row r="132" spans="2:2" x14ac:dyDescent="0.25">
      <c r="B132" s="260"/>
    </row>
    <row r="133" spans="2:2" x14ac:dyDescent="0.25">
      <c r="B133" s="260"/>
    </row>
    <row r="134" spans="2:2" x14ac:dyDescent="0.25">
      <c r="B134" s="260"/>
    </row>
    <row r="135" spans="2:2" x14ac:dyDescent="0.25">
      <c r="B135" s="260"/>
    </row>
    <row r="136" spans="2:2" x14ac:dyDescent="0.25">
      <c r="B136" s="260"/>
    </row>
    <row r="137" spans="2:2" x14ac:dyDescent="0.25">
      <c r="B137" s="260"/>
    </row>
    <row r="138" spans="2:2" x14ac:dyDescent="0.25">
      <c r="B138" s="260"/>
    </row>
    <row r="139" spans="2:2" x14ac:dyDescent="0.25">
      <c r="B139" s="260"/>
    </row>
    <row r="140" spans="2:2" x14ac:dyDescent="0.25">
      <c r="B140" s="260"/>
    </row>
    <row r="141" spans="2:2" x14ac:dyDescent="0.25">
      <c r="B141" s="260"/>
    </row>
    <row r="142" spans="2:2" x14ac:dyDescent="0.25">
      <c r="B142" s="260"/>
    </row>
    <row r="143" spans="2:2" x14ac:dyDescent="0.25">
      <c r="B143" s="260"/>
    </row>
    <row r="144" spans="2:2" x14ac:dyDescent="0.25">
      <c r="B144" s="260"/>
    </row>
    <row r="145" spans="2:2" x14ac:dyDescent="0.25">
      <c r="B145" s="260"/>
    </row>
    <row r="146" spans="2:2" x14ac:dyDescent="0.25">
      <c r="B146" s="260"/>
    </row>
    <row r="147" spans="2:2" x14ac:dyDescent="0.25">
      <c r="B147" s="260"/>
    </row>
    <row r="148" spans="2:2" x14ac:dyDescent="0.25">
      <c r="B148" s="260"/>
    </row>
    <row r="149" spans="2:2" x14ac:dyDescent="0.25">
      <c r="B149" s="260"/>
    </row>
    <row r="150" spans="2:2" x14ac:dyDescent="0.25">
      <c r="B150" s="260"/>
    </row>
    <row r="151" spans="2:2" x14ac:dyDescent="0.25">
      <c r="B151" s="260"/>
    </row>
    <row r="152" spans="2:2" x14ac:dyDescent="0.25">
      <c r="B152" s="260"/>
    </row>
    <row r="153" spans="2:2" x14ac:dyDescent="0.25">
      <c r="B153" s="260"/>
    </row>
    <row r="154" spans="2:2" x14ac:dyDescent="0.25">
      <c r="B154" s="260"/>
    </row>
    <row r="155" spans="2:2" x14ac:dyDescent="0.25">
      <c r="B155" s="260"/>
    </row>
    <row r="156" spans="2:2" x14ac:dyDescent="0.25">
      <c r="B156" s="260"/>
    </row>
    <row r="157" spans="2:2" x14ac:dyDescent="0.25">
      <c r="B157" s="260"/>
    </row>
    <row r="158" spans="2:2" x14ac:dyDescent="0.25">
      <c r="B158" s="260"/>
    </row>
    <row r="159" spans="2:2" x14ac:dyDescent="0.25">
      <c r="B159" s="260"/>
    </row>
    <row r="160" spans="2:2" x14ac:dyDescent="0.25">
      <c r="B160" s="260"/>
    </row>
    <row r="161" spans="2:2" x14ac:dyDescent="0.25">
      <c r="B161" s="260"/>
    </row>
    <row r="162" spans="2:2" x14ac:dyDescent="0.25">
      <c r="B162" s="260"/>
    </row>
    <row r="163" spans="2:2" x14ac:dyDescent="0.25">
      <c r="B163" s="260"/>
    </row>
    <row r="164" spans="2:2" x14ac:dyDescent="0.25">
      <c r="B164" s="260"/>
    </row>
    <row r="165" spans="2:2" x14ac:dyDescent="0.25">
      <c r="B165" s="260"/>
    </row>
    <row r="166" spans="2:2" x14ac:dyDescent="0.25">
      <c r="B166" s="260"/>
    </row>
    <row r="167" spans="2:2" x14ac:dyDescent="0.25">
      <c r="B167" s="260"/>
    </row>
    <row r="168" spans="2:2" x14ac:dyDescent="0.25">
      <c r="B168" s="260"/>
    </row>
    <row r="169" spans="2:2" x14ac:dyDescent="0.25">
      <c r="B169" s="260"/>
    </row>
    <row r="170" spans="2:2" x14ac:dyDescent="0.25">
      <c r="B170" s="260"/>
    </row>
    <row r="171" spans="2:2" x14ac:dyDescent="0.25">
      <c r="B171" s="260"/>
    </row>
    <row r="172" spans="2:2" x14ac:dyDescent="0.25">
      <c r="B172" s="260"/>
    </row>
    <row r="173" spans="2:2" x14ac:dyDescent="0.25">
      <c r="B173" s="260"/>
    </row>
    <row r="174" spans="2:2" x14ac:dyDescent="0.25">
      <c r="B174" s="260"/>
    </row>
    <row r="175" spans="2:2" x14ac:dyDescent="0.25">
      <c r="B175" s="260"/>
    </row>
    <row r="176" spans="2:2" x14ac:dyDescent="0.25">
      <c r="B176" s="260"/>
    </row>
    <row r="177" spans="2:2" x14ac:dyDescent="0.25">
      <c r="B177" s="260"/>
    </row>
    <row r="178" spans="2:2" x14ac:dyDescent="0.25">
      <c r="B178" s="260"/>
    </row>
    <row r="179" spans="2:2" x14ac:dyDescent="0.25">
      <c r="B179" s="260"/>
    </row>
    <row r="180" spans="2:2" x14ac:dyDescent="0.25">
      <c r="B180" s="260"/>
    </row>
    <row r="181" spans="2:2" x14ac:dyDescent="0.25">
      <c r="B181" s="260"/>
    </row>
    <row r="182" spans="2:2" x14ac:dyDescent="0.25">
      <c r="B182" s="260"/>
    </row>
    <row r="183" spans="2:2" x14ac:dyDescent="0.25">
      <c r="B183" s="260"/>
    </row>
    <row r="184" spans="2:2" x14ac:dyDescent="0.25">
      <c r="B184" s="260"/>
    </row>
    <row r="185" spans="2:2" x14ac:dyDescent="0.25">
      <c r="B185" s="260"/>
    </row>
    <row r="186" spans="2:2" x14ac:dyDescent="0.25">
      <c r="B186" s="260"/>
    </row>
    <row r="187" spans="2:2" x14ac:dyDescent="0.25">
      <c r="B187" s="260"/>
    </row>
    <row r="188" spans="2:2" x14ac:dyDescent="0.25">
      <c r="B188" s="260"/>
    </row>
    <row r="189" spans="2:2" x14ac:dyDescent="0.25">
      <c r="B189" s="260"/>
    </row>
    <row r="190" spans="2:2" x14ac:dyDescent="0.25">
      <c r="B190" s="260"/>
    </row>
    <row r="191" spans="2:2" x14ac:dyDescent="0.25">
      <c r="B191" s="260"/>
    </row>
    <row r="192" spans="2:2" x14ac:dyDescent="0.25">
      <c r="B192" s="260"/>
    </row>
    <row r="193" spans="2:2" x14ac:dyDescent="0.25">
      <c r="B193" s="260"/>
    </row>
    <row r="194" spans="2:2" x14ac:dyDescent="0.25">
      <c r="B194" s="260"/>
    </row>
    <row r="195" spans="2:2" x14ac:dyDescent="0.25">
      <c r="B195" s="260"/>
    </row>
    <row r="196" spans="2:2" x14ac:dyDescent="0.25">
      <c r="B196" s="260"/>
    </row>
    <row r="197" spans="2:2" x14ac:dyDescent="0.25">
      <c r="B197" s="260"/>
    </row>
    <row r="198" spans="2:2" x14ac:dyDescent="0.25">
      <c r="B198" s="260"/>
    </row>
    <row r="199" spans="2:2" x14ac:dyDescent="0.25">
      <c r="B199" s="260"/>
    </row>
    <row r="200" spans="2:2" x14ac:dyDescent="0.25">
      <c r="B200" s="260"/>
    </row>
    <row r="201" spans="2:2" x14ac:dyDescent="0.25">
      <c r="B201" s="260"/>
    </row>
    <row r="202" spans="2:2" x14ac:dyDescent="0.25">
      <c r="B202" s="260"/>
    </row>
    <row r="203" spans="2:2" x14ac:dyDescent="0.25">
      <c r="B203" s="260"/>
    </row>
    <row r="204" spans="2:2" x14ac:dyDescent="0.25">
      <c r="B204" s="260"/>
    </row>
    <row r="205" spans="2:2" x14ac:dyDescent="0.25">
      <c r="B205" s="260"/>
    </row>
    <row r="206" spans="2:2" x14ac:dyDescent="0.25">
      <c r="B206" s="260"/>
    </row>
    <row r="207" spans="2:2" x14ac:dyDescent="0.25">
      <c r="B207" s="260"/>
    </row>
    <row r="208" spans="2:2" x14ac:dyDescent="0.25">
      <c r="B208" s="260"/>
    </row>
    <row r="209" spans="2:2" x14ac:dyDescent="0.25">
      <c r="B209" s="260"/>
    </row>
    <row r="210" spans="2:2" x14ac:dyDescent="0.25">
      <c r="B210" s="260"/>
    </row>
    <row r="211" spans="2:2" x14ac:dyDescent="0.25">
      <c r="B211" s="260"/>
    </row>
    <row r="212" spans="2:2" x14ac:dyDescent="0.25">
      <c r="B212" s="260"/>
    </row>
    <row r="213" spans="2:2" x14ac:dyDescent="0.25">
      <c r="B213" s="260"/>
    </row>
    <row r="214" spans="2:2" x14ac:dyDescent="0.25">
      <c r="B214" s="260"/>
    </row>
    <row r="215" spans="2:2" x14ac:dyDescent="0.25">
      <c r="B215" s="260"/>
    </row>
  </sheetData>
  <autoFilter ref="A1:C300" xr:uid="{5C75E024-1F9B-4B27-A51F-BE3126207AC1}">
    <sortState xmlns:xlrd2="http://schemas.microsoft.com/office/spreadsheetml/2017/richdata2" ref="A2:C300">
      <sortCondition sortBy="cellColor" ref="A1:A300" dxfId="1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0654-BC04-4122-9B01-283E8B7CBD1A}">
  <sheetPr>
    <tabColor theme="8" tint="0.39997558519241921"/>
  </sheetPr>
  <dimension ref="A1:B11"/>
  <sheetViews>
    <sheetView workbookViewId="0">
      <selection activeCell="B11" sqref="B11"/>
    </sheetView>
  </sheetViews>
  <sheetFormatPr baseColWidth="10" defaultRowHeight="15" x14ac:dyDescent="0.25"/>
  <cols>
    <col min="1" max="1" width="12.5703125" bestFit="1" customWidth="1"/>
  </cols>
  <sheetData>
    <row r="1" spans="1:2" x14ac:dyDescent="0.25">
      <c r="A1">
        <v>15</v>
      </c>
    </row>
    <row r="2" spans="1:2" x14ac:dyDescent="0.25">
      <c r="A2">
        <v>5</v>
      </c>
    </row>
    <row r="3" spans="1:2" x14ac:dyDescent="0.25">
      <c r="A3">
        <v>-10</v>
      </c>
    </row>
    <row r="4" spans="1:2" x14ac:dyDescent="0.25">
      <c r="A4">
        <f>A1+A3</f>
        <v>5</v>
      </c>
      <c r="B4">
        <f>A4-A1</f>
        <v>-10</v>
      </c>
    </row>
    <row r="8" spans="1:2" x14ac:dyDescent="0.25">
      <c r="A8" s="4">
        <v>6127705</v>
      </c>
      <c r="B8" t="s">
        <v>430</v>
      </c>
    </row>
    <row r="9" spans="1:2" x14ac:dyDescent="0.25">
      <c r="A9" s="4">
        <v>4903803</v>
      </c>
      <c r="B9" t="s">
        <v>431</v>
      </c>
    </row>
    <row r="10" spans="1:2" x14ac:dyDescent="0.25">
      <c r="A10" s="4">
        <f>A8-A9</f>
        <v>1223902</v>
      </c>
      <c r="B10" t="s">
        <v>432</v>
      </c>
    </row>
    <row r="11" spans="1:2" x14ac:dyDescent="0.25">
      <c r="A11" s="240">
        <f>A10/A8</f>
        <v>0.19973252628839019</v>
      </c>
      <c r="B11" s="240">
        <f>1-(A9/A8)</f>
        <v>0.19973252628839022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8D89-2D7B-4971-85A2-3F1D955657F4}">
  <dimension ref="B2:K29"/>
  <sheetViews>
    <sheetView topLeftCell="D1" workbookViewId="0">
      <selection activeCell="L10" sqref="L10"/>
    </sheetView>
  </sheetViews>
  <sheetFormatPr baseColWidth="10" defaultColWidth="8.85546875" defaultRowHeight="15" x14ac:dyDescent="0.25"/>
  <cols>
    <col min="2" max="2" width="26.42578125" bestFit="1" customWidth="1"/>
    <col min="3" max="3" width="37.7109375" bestFit="1" customWidth="1"/>
    <col min="4" max="4" width="44.42578125" bestFit="1" customWidth="1"/>
    <col min="5" max="5" width="67.140625" customWidth="1"/>
  </cols>
  <sheetData>
    <row r="2" spans="2:11" x14ac:dyDescent="0.25">
      <c r="B2" s="46" t="s">
        <v>75</v>
      </c>
      <c r="C2" s="46" t="s">
        <v>76</v>
      </c>
      <c r="D2" s="46" t="s">
        <v>77</v>
      </c>
      <c r="E2" s="47" t="s">
        <v>78</v>
      </c>
      <c r="G2" s="46" t="s">
        <v>0</v>
      </c>
      <c r="I2" s="1" t="s">
        <v>14</v>
      </c>
      <c r="K2" t="s">
        <v>15</v>
      </c>
    </row>
    <row r="3" spans="2:11" x14ac:dyDescent="0.25">
      <c r="B3" t="s">
        <v>28</v>
      </c>
      <c r="C3" t="s">
        <v>35</v>
      </c>
      <c r="D3" t="s">
        <v>21</v>
      </c>
      <c r="E3" s="231" t="s">
        <v>41</v>
      </c>
      <c r="G3" t="s">
        <v>364</v>
      </c>
      <c r="I3">
        <v>1</v>
      </c>
      <c r="K3" t="s">
        <v>366</v>
      </c>
    </row>
    <row r="4" spans="2:11" x14ac:dyDescent="0.25">
      <c r="B4" t="s">
        <v>29</v>
      </c>
      <c r="C4" t="s">
        <v>36</v>
      </c>
      <c r="D4" t="s">
        <v>79</v>
      </c>
      <c r="E4" t="s">
        <v>42</v>
      </c>
      <c r="G4" t="s">
        <v>365</v>
      </c>
      <c r="I4">
        <v>2</v>
      </c>
      <c r="K4" t="s">
        <v>367</v>
      </c>
    </row>
    <row r="5" spans="2:11" x14ac:dyDescent="0.25">
      <c r="B5" t="s">
        <v>80</v>
      </c>
      <c r="C5" t="s">
        <v>81</v>
      </c>
      <c r="D5" t="s">
        <v>22</v>
      </c>
      <c r="E5" t="s">
        <v>43</v>
      </c>
      <c r="I5">
        <v>3</v>
      </c>
      <c r="K5" t="s">
        <v>368</v>
      </c>
    </row>
    <row r="6" spans="2:11" x14ac:dyDescent="0.25">
      <c r="B6" t="s">
        <v>82</v>
      </c>
      <c r="C6" t="s">
        <v>83</v>
      </c>
      <c r="D6" t="s">
        <v>23</v>
      </c>
      <c r="E6" t="s">
        <v>74</v>
      </c>
      <c r="F6" s="100"/>
      <c r="I6">
        <v>4</v>
      </c>
      <c r="K6" t="s">
        <v>369</v>
      </c>
    </row>
    <row r="7" spans="2:11" x14ac:dyDescent="0.25">
      <c r="B7" t="s">
        <v>84</v>
      </c>
      <c r="C7" t="s">
        <v>85</v>
      </c>
      <c r="D7" t="s">
        <v>25</v>
      </c>
      <c r="E7" t="s">
        <v>51</v>
      </c>
      <c r="I7">
        <v>5</v>
      </c>
      <c r="K7" t="s">
        <v>370</v>
      </c>
    </row>
    <row r="8" spans="2:11" x14ac:dyDescent="0.25">
      <c r="B8" t="s">
        <v>86</v>
      </c>
      <c r="C8" t="s">
        <v>87</v>
      </c>
      <c r="D8" t="s">
        <v>88</v>
      </c>
      <c r="E8" t="s">
        <v>53</v>
      </c>
      <c r="I8">
        <v>6</v>
      </c>
      <c r="K8" t="s">
        <v>371</v>
      </c>
    </row>
    <row r="9" spans="2:11" x14ac:dyDescent="0.25">
      <c r="B9" s="230" t="s">
        <v>89</v>
      </c>
      <c r="C9" s="230" t="s">
        <v>90</v>
      </c>
      <c r="D9" t="s">
        <v>91</v>
      </c>
      <c r="E9" t="s">
        <v>54</v>
      </c>
      <c r="I9">
        <v>7</v>
      </c>
    </row>
    <row r="10" spans="2:11" x14ac:dyDescent="0.25">
      <c r="B10" t="s">
        <v>30</v>
      </c>
      <c r="C10" t="s">
        <v>37</v>
      </c>
      <c r="D10" t="s">
        <v>92</v>
      </c>
      <c r="E10" t="s">
        <v>55</v>
      </c>
      <c r="I10">
        <v>8</v>
      </c>
    </row>
    <row r="11" spans="2:11" x14ac:dyDescent="0.25">
      <c r="B11" t="s">
        <v>33</v>
      </c>
      <c r="C11" t="s">
        <v>93</v>
      </c>
      <c r="D11" t="s">
        <v>94</v>
      </c>
      <c r="E11" t="s">
        <v>56</v>
      </c>
      <c r="I11">
        <v>9</v>
      </c>
    </row>
    <row r="12" spans="2:11" x14ac:dyDescent="0.25">
      <c r="B12" t="s">
        <v>31</v>
      </c>
      <c r="C12" t="s">
        <v>95</v>
      </c>
      <c r="D12" t="s">
        <v>96</v>
      </c>
      <c r="E12" t="s">
        <v>57</v>
      </c>
      <c r="I12">
        <v>10</v>
      </c>
    </row>
    <row r="13" spans="2:11" x14ac:dyDescent="0.25">
      <c r="B13" t="s">
        <v>97</v>
      </c>
      <c r="C13" t="s">
        <v>98</v>
      </c>
      <c r="D13" t="s">
        <v>24</v>
      </c>
      <c r="E13" t="s">
        <v>58</v>
      </c>
      <c r="I13">
        <v>11</v>
      </c>
    </row>
    <row r="14" spans="2:11" x14ac:dyDescent="0.25">
      <c r="B14" t="s">
        <v>32</v>
      </c>
      <c r="C14" t="s">
        <v>99</v>
      </c>
      <c r="D14" t="s">
        <v>100</v>
      </c>
      <c r="E14" t="s">
        <v>59</v>
      </c>
      <c r="I14">
        <v>12</v>
      </c>
    </row>
    <row r="15" spans="2:11" x14ac:dyDescent="0.25">
      <c r="B15" t="s">
        <v>101</v>
      </c>
      <c r="C15" t="s">
        <v>38</v>
      </c>
      <c r="D15" t="s">
        <v>102</v>
      </c>
      <c r="E15" t="s">
        <v>60</v>
      </c>
    </row>
    <row r="16" spans="2:11" x14ac:dyDescent="0.25">
      <c r="B16" t="s">
        <v>103</v>
      </c>
      <c r="C16" t="s">
        <v>104</v>
      </c>
      <c r="D16" t="s">
        <v>105</v>
      </c>
      <c r="E16" t="s">
        <v>62</v>
      </c>
    </row>
    <row r="17" spans="2:5" x14ac:dyDescent="0.25">
      <c r="B17" t="s">
        <v>106</v>
      </c>
      <c r="C17" t="s">
        <v>39</v>
      </c>
      <c r="D17" t="s">
        <v>107</v>
      </c>
      <c r="E17" t="s">
        <v>63</v>
      </c>
    </row>
    <row r="18" spans="2:5" x14ac:dyDescent="0.25">
      <c r="B18" t="s">
        <v>108</v>
      </c>
      <c r="C18" t="s">
        <v>109</v>
      </c>
      <c r="D18" t="s">
        <v>110</v>
      </c>
      <c r="E18" t="s">
        <v>64</v>
      </c>
    </row>
    <row r="19" spans="2:5" x14ac:dyDescent="0.25">
      <c r="B19" t="s">
        <v>111</v>
      </c>
      <c r="D19" t="s">
        <v>112</v>
      </c>
      <c r="E19" t="s">
        <v>65</v>
      </c>
    </row>
    <row r="20" spans="2:5" x14ac:dyDescent="0.25">
      <c r="B20" t="s">
        <v>113</v>
      </c>
      <c r="D20" t="s">
        <v>114</v>
      </c>
      <c r="E20" t="s">
        <v>66</v>
      </c>
    </row>
    <row r="21" spans="2:5" x14ac:dyDescent="0.25">
      <c r="B21" t="s">
        <v>115</v>
      </c>
      <c r="D21" t="s">
        <v>116</v>
      </c>
      <c r="E21" t="s">
        <v>67</v>
      </c>
    </row>
    <row r="22" spans="2:5" x14ac:dyDescent="0.25">
      <c r="D22" t="s">
        <v>117</v>
      </c>
      <c r="E22" t="s">
        <v>68</v>
      </c>
    </row>
    <row r="23" spans="2:5" x14ac:dyDescent="0.25">
      <c r="D23" t="s">
        <v>118</v>
      </c>
      <c r="E23" t="s">
        <v>69</v>
      </c>
    </row>
    <row r="24" spans="2:5" x14ac:dyDescent="0.25">
      <c r="D24" t="s">
        <v>119</v>
      </c>
      <c r="E24" t="s">
        <v>70</v>
      </c>
    </row>
    <row r="25" spans="2:5" x14ac:dyDescent="0.25">
      <c r="D25" t="s">
        <v>120</v>
      </c>
    </row>
    <row r="26" spans="2:5" x14ac:dyDescent="0.25">
      <c r="D26" t="s">
        <v>121</v>
      </c>
    </row>
    <row r="27" spans="2:5" x14ac:dyDescent="0.25">
      <c r="D27" t="s">
        <v>122</v>
      </c>
    </row>
    <row r="28" spans="2:5" x14ac:dyDescent="0.25">
      <c r="D28" t="s">
        <v>123</v>
      </c>
    </row>
    <row r="29" spans="2:5" x14ac:dyDescent="0.25">
      <c r="D29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74BF-3994-4762-86D9-50DECF854FEC}">
  <sheetPr>
    <tabColor theme="8" tint="0.39997558519241921"/>
  </sheetPr>
  <dimension ref="B1:H44"/>
  <sheetViews>
    <sheetView showGridLines="0" zoomScale="125" zoomScaleNormal="90" zoomScaleSheetLayoutView="111" workbookViewId="0">
      <selection activeCell="B16" sqref="B16"/>
    </sheetView>
  </sheetViews>
  <sheetFormatPr baseColWidth="10" defaultColWidth="8.85546875" defaultRowHeight="15" outlineLevelRow="4" x14ac:dyDescent="0.25"/>
  <cols>
    <col min="1" max="1" width="4.85546875" style="81" customWidth="1"/>
    <col min="2" max="2" width="44.42578125" style="81" bestFit="1" customWidth="1"/>
    <col min="3" max="7" width="10.42578125" style="81" bestFit="1" customWidth="1"/>
    <col min="8" max="8" width="16.140625" style="81" customWidth="1"/>
    <col min="9" max="10" width="12.140625" style="81" bestFit="1" customWidth="1"/>
    <col min="11" max="16384" width="8.85546875" style="81"/>
  </cols>
  <sheetData>
    <row r="1" spans="2:8" ht="15.75" x14ac:dyDescent="0.25">
      <c r="B1" s="104" t="s">
        <v>125</v>
      </c>
    </row>
    <row r="3" spans="2:8" x14ac:dyDescent="0.25">
      <c r="B3" s="82" t="s">
        <v>126</v>
      </c>
      <c r="C3" s="83" t="str">
        <f>'FS-Data'!D18</f>
        <v>Annualized</v>
      </c>
      <c r="D3" s="83">
        <f>'FS-Data'!E18</f>
        <v>45504</v>
      </c>
      <c r="E3" s="83">
        <f>'FS-Data'!F18</f>
        <v>0</v>
      </c>
      <c r="F3" s="83">
        <f>'FS-Data'!G18</f>
        <v>0</v>
      </c>
      <c r="G3" s="83">
        <f>'FS-Data'!H18</f>
        <v>0</v>
      </c>
    </row>
    <row r="4" spans="2:8" outlineLevel="1" x14ac:dyDescent="0.25">
      <c r="B4" s="84" t="s">
        <v>127</v>
      </c>
      <c r="C4" s="85"/>
      <c r="D4" s="85"/>
      <c r="E4" s="85"/>
      <c r="F4" s="85"/>
      <c r="G4" s="85"/>
    </row>
    <row r="5" spans="2:8" outlineLevel="1" x14ac:dyDescent="0.25">
      <c r="B5" s="86" t="str">
        <f>'Data Labels'!D3</f>
        <v>Business Revenue</v>
      </c>
      <c r="C5" s="87">
        <f>SUMIF('FS-Data'!$C:$C,$B5,'FS-Data'!D:D)</f>
        <v>523164.94285714289</v>
      </c>
      <c r="D5" s="87">
        <f>SUMIF('FS-Data'!$C:$C,$B5,'FS-Data'!E:E)</f>
        <v>305179.55000000005</v>
      </c>
      <c r="E5" s="87">
        <f>SUMIF('FS-Data'!$C:$C,$B5,'FS-Data'!F:F)</f>
        <v>0</v>
      </c>
      <c r="F5" s="87">
        <f>SUMIF('FS-Data'!$C:$C,$B5,'FS-Data'!G:G)</f>
        <v>0</v>
      </c>
      <c r="G5" s="87">
        <f>SUMIF('FS-Data'!$C:$C,$B5,'FS-Data'!H:H)</f>
        <v>0</v>
      </c>
    </row>
    <row r="6" spans="2:8" outlineLevel="1" x14ac:dyDescent="0.25">
      <c r="B6" s="86" t="str">
        <f>'Data Labels'!D4</f>
        <v>Other Revenues</v>
      </c>
      <c r="C6" s="87">
        <f>SUMIF('FS-Data'!$C:$C,$B6,'FS-Data'!D:D)</f>
        <v>0</v>
      </c>
      <c r="D6" s="87">
        <f>SUMIF('FS-Data'!$C:$C,$B6,'FS-Data'!E:E)</f>
        <v>0</v>
      </c>
      <c r="E6" s="87">
        <f>SUMIF('FS-Data'!$C:$C,$B6,'FS-Data'!F:F)</f>
        <v>0</v>
      </c>
      <c r="F6" s="87">
        <f>SUMIF('FS-Data'!$C:$C,$B6,'FS-Data'!G:G)</f>
        <v>0</v>
      </c>
      <c r="G6" s="87">
        <f>SUMIF('FS-Data'!$C:$C,$B6,'FS-Data'!H:H)</f>
        <v>0</v>
      </c>
    </row>
    <row r="7" spans="2:8" x14ac:dyDescent="0.25">
      <c r="B7" s="90" t="s">
        <v>128</v>
      </c>
      <c r="C7" s="91">
        <f>C5+C6</f>
        <v>523164.94285714289</v>
      </c>
      <c r="D7" s="91">
        <f t="shared" ref="D7:G7" si="0">D5+D6</f>
        <v>305179.55000000005</v>
      </c>
      <c r="E7" s="91">
        <f t="shared" si="0"/>
        <v>0</v>
      </c>
      <c r="F7" s="91">
        <f t="shared" si="0"/>
        <v>0</v>
      </c>
      <c r="G7" s="91">
        <f t="shared" si="0"/>
        <v>0</v>
      </c>
      <c r="H7" s="200"/>
    </row>
    <row r="8" spans="2:8" x14ac:dyDescent="0.25">
      <c r="B8" s="89" t="str">
        <f>'Data Labels'!D5</f>
        <v>Cost of Goods Sold</v>
      </c>
      <c r="C8" s="94">
        <f>SUMIF('FS-Data'!$C:$C,$B8,'FS-Data'!D:D)</f>
        <v>268411.28571428568</v>
      </c>
      <c r="D8" s="94">
        <f>SUMIF('FS-Data'!$C:$C,$B8,'FS-Data'!E:E)</f>
        <v>156573.25</v>
      </c>
      <c r="E8" s="94">
        <f>SUMIF('FS-Data'!$C:$C,$B8,'FS-Data'!F:F)</f>
        <v>0</v>
      </c>
      <c r="F8" s="94">
        <f>SUMIF('FS-Data'!$C:$C,$B8,'FS-Data'!G:G)</f>
        <v>0</v>
      </c>
      <c r="G8" s="94">
        <f>SUMIF('FS-Data'!$C:$C,$B8,'FS-Data'!H:H)</f>
        <v>0</v>
      </c>
    </row>
    <row r="9" spans="2:8" x14ac:dyDescent="0.25">
      <c r="B9" s="92" t="s">
        <v>129</v>
      </c>
      <c r="C9" s="93">
        <f>C7-C8</f>
        <v>254753.65714285721</v>
      </c>
      <c r="D9" s="93">
        <f t="shared" ref="D9:G9" si="1">D7-D8</f>
        <v>148606.30000000005</v>
      </c>
      <c r="E9" s="93">
        <f t="shared" si="1"/>
        <v>0</v>
      </c>
      <c r="F9" s="93">
        <f t="shared" si="1"/>
        <v>0</v>
      </c>
      <c r="G9" s="93">
        <f t="shared" si="1"/>
        <v>0</v>
      </c>
    </row>
    <row r="10" spans="2:8" outlineLevel="1" x14ac:dyDescent="0.25">
      <c r="B10" s="84" t="s">
        <v>130</v>
      </c>
      <c r="C10" s="85"/>
      <c r="D10" s="85"/>
      <c r="E10" s="85"/>
      <c r="F10" s="85"/>
      <c r="G10" s="85"/>
    </row>
    <row r="11" spans="2:8" outlineLevel="2" x14ac:dyDescent="0.25">
      <c r="B11" s="89" t="str">
        <f>'Data Labels'!D6</f>
        <v>Selling &amp; Marketing Expense</v>
      </c>
      <c r="C11" s="94">
        <f>SUMIF('FS-Data'!$C:$C,$B11,'FS-Data'!D:D)</f>
        <v>0</v>
      </c>
      <c r="D11" s="94">
        <f>SUMIF('FS-Data'!$C:$C,$B11,'FS-Data'!E:E)</f>
        <v>0</v>
      </c>
      <c r="E11" s="94">
        <f>SUMIF('FS-Data'!$C:$C,$B11,'FS-Data'!F:F)</f>
        <v>0</v>
      </c>
      <c r="F11" s="94">
        <f>SUMIF('FS-Data'!$C:$C,$B11,'FS-Data'!G:G)</f>
        <v>0</v>
      </c>
      <c r="G11" s="94">
        <f>SUMIF('FS-Data'!$C:$C,$B11,'FS-Data'!H:H)</f>
        <v>0</v>
      </c>
    </row>
    <row r="12" spans="2:8" outlineLevel="2" x14ac:dyDescent="0.25">
      <c r="B12" s="126" t="s">
        <v>131</v>
      </c>
      <c r="C12" s="95">
        <f>SUM(C13:C15)</f>
        <v>85923.428571428565</v>
      </c>
      <c r="D12" s="95">
        <f t="shared" ref="D12:G12" si="2">SUM(D13:D15)</f>
        <v>50122</v>
      </c>
      <c r="E12" s="95">
        <f t="shared" si="2"/>
        <v>0</v>
      </c>
      <c r="F12" s="95">
        <f t="shared" si="2"/>
        <v>0</v>
      </c>
      <c r="G12" s="95">
        <f t="shared" si="2"/>
        <v>0</v>
      </c>
    </row>
    <row r="13" spans="2:8" outlineLevel="3" x14ac:dyDescent="0.25">
      <c r="B13" s="89" t="str">
        <f>'Data Labels'!D7</f>
        <v>Salaries &amp; Wages</v>
      </c>
      <c r="C13" s="129">
        <f>SUMIF('FS-Data'!$C:$C,$B13,'FS-Data'!D:D)</f>
        <v>81931.234285714279</v>
      </c>
      <c r="D13" s="129">
        <f>SUMIF('FS-Data'!$C:$C,$B13,'FS-Data'!E:E)</f>
        <v>47793.22</v>
      </c>
      <c r="E13" s="129">
        <f>SUMIF('FS-Data'!$C:$C,$B13,'FS-Data'!F:F)</f>
        <v>0</v>
      </c>
      <c r="F13" s="129">
        <f>SUMIF('FS-Data'!$C:$C,$B13,'FS-Data'!G:G)</f>
        <v>0</v>
      </c>
      <c r="G13" s="129">
        <f>SUMIF('FS-Data'!$C:$C,$B13,'FS-Data'!H:H)</f>
        <v>0</v>
      </c>
    </row>
    <row r="14" spans="2:8" outlineLevel="3" x14ac:dyDescent="0.25">
      <c r="B14" s="89" t="str">
        <f>'Data Labels'!D8</f>
        <v>Retirement Benefits</v>
      </c>
      <c r="C14" s="130">
        <f>SUMIF('FS-Data'!$C:$C,$B14,'FS-Data'!D:D)</f>
        <v>0</v>
      </c>
      <c r="D14" s="130">
        <f>SUMIF('FS-Data'!$C:$C,$B14,'FS-Data'!E:E)</f>
        <v>0</v>
      </c>
      <c r="E14" s="130">
        <f>SUMIF('FS-Data'!$C:$C,$B14,'FS-Data'!F:F)</f>
        <v>0</v>
      </c>
      <c r="F14" s="130">
        <f>SUMIF('FS-Data'!$C:$C,$B14,'FS-Data'!G:G)</f>
        <v>0</v>
      </c>
      <c r="G14" s="130">
        <f>SUMIF('FS-Data'!$C:$C,$B14,'FS-Data'!H:H)</f>
        <v>0</v>
      </c>
    </row>
    <row r="15" spans="2:8" outlineLevel="3" x14ac:dyDescent="0.25">
      <c r="B15" s="89" t="str">
        <f>'Data Labels'!D9</f>
        <v>Other Personal Cost</v>
      </c>
      <c r="C15" s="131">
        <f>SUMIF('FS-Data'!$C:$C,$B15,'FS-Data'!D:D)</f>
        <v>3992.1942857142863</v>
      </c>
      <c r="D15" s="131">
        <f>SUMIF('FS-Data'!$C:$C,$B15,'FS-Data'!E:E)</f>
        <v>2328.7800000000002</v>
      </c>
      <c r="E15" s="131">
        <f>SUMIF('FS-Data'!$C:$C,$B15,'FS-Data'!F:F)</f>
        <v>0</v>
      </c>
      <c r="F15" s="131">
        <f>SUMIF('FS-Data'!$C:$C,$B15,'FS-Data'!G:G)</f>
        <v>0</v>
      </c>
      <c r="G15" s="131">
        <f>SUMIF('FS-Data'!$C:$C,$B15,'FS-Data'!H:H)</f>
        <v>0</v>
      </c>
    </row>
    <row r="16" spans="2:8" outlineLevel="2" x14ac:dyDescent="0.25">
      <c r="B16" s="127" t="s">
        <v>132</v>
      </c>
      <c r="C16" s="94">
        <f>SUM(C17:C20)</f>
        <v>38112.017142857148</v>
      </c>
      <c r="D16" s="94">
        <f t="shared" ref="D16:G16" si="3">SUM(D17:D20)</f>
        <v>22232.010000000002</v>
      </c>
      <c r="E16" s="94">
        <f t="shared" si="3"/>
        <v>0</v>
      </c>
      <c r="F16" s="94">
        <f t="shared" si="3"/>
        <v>0</v>
      </c>
      <c r="G16" s="94">
        <f t="shared" si="3"/>
        <v>0</v>
      </c>
    </row>
    <row r="17" spans="2:7" outlineLevel="4" x14ac:dyDescent="0.25">
      <c r="B17" s="89" t="str">
        <f>'Data Labels'!D10</f>
        <v>Research &amp; Development Expense</v>
      </c>
      <c r="C17" s="94">
        <f>SUMIF('FS-Data'!$C:$C,$B17,'FS-Data'!D:D)</f>
        <v>0</v>
      </c>
      <c r="D17" s="94">
        <f>SUMIF('FS-Data'!$C:$C,$B17,'FS-Data'!E:E)</f>
        <v>0</v>
      </c>
      <c r="E17" s="94">
        <f>SUMIF('FS-Data'!$C:$C,$B17,'FS-Data'!F:F)</f>
        <v>0</v>
      </c>
      <c r="F17" s="94">
        <f>SUMIF('FS-Data'!$C:$C,$B17,'FS-Data'!G:G)</f>
        <v>0</v>
      </c>
      <c r="G17" s="94">
        <f>SUMIF('FS-Data'!$C:$C,$B17,'FS-Data'!H:H)</f>
        <v>0</v>
      </c>
    </row>
    <row r="18" spans="2:7" outlineLevel="4" x14ac:dyDescent="0.25">
      <c r="B18" s="89" t="str">
        <f>'Data Labels'!D11</f>
        <v>Bad Debt Expense</v>
      </c>
      <c r="C18" s="94">
        <f>SUMIF('FS-Data'!$C:$C,$B18,'FS-Data'!D:D)</f>
        <v>0</v>
      </c>
      <c r="D18" s="94">
        <f>SUMIF('FS-Data'!$C:$C,$B18,'FS-Data'!E:E)</f>
        <v>0</v>
      </c>
      <c r="E18" s="94">
        <f>SUMIF('FS-Data'!$C:$C,$B18,'FS-Data'!F:F)</f>
        <v>0</v>
      </c>
      <c r="F18" s="94">
        <f>SUMIF('FS-Data'!$C:$C,$B18,'FS-Data'!G:G)</f>
        <v>0</v>
      </c>
      <c r="G18" s="94">
        <f>SUMIF('FS-Data'!$C:$C,$B18,'FS-Data'!H:H)</f>
        <v>0</v>
      </c>
    </row>
    <row r="19" spans="2:7" outlineLevel="4" x14ac:dyDescent="0.25">
      <c r="B19" s="89" t="str">
        <f>'Data Labels'!D12</f>
        <v>Utilities</v>
      </c>
      <c r="C19" s="94">
        <f>SUMIF('FS-Data'!$C:$C,$B19,'FS-Data'!D:D)</f>
        <v>0</v>
      </c>
      <c r="D19" s="94">
        <f>SUMIF('FS-Data'!$C:$C,$B19,'FS-Data'!E:E)</f>
        <v>0</v>
      </c>
      <c r="E19" s="94">
        <f>SUMIF('FS-Data'!$C:$C,$B19,'FS-Data'!F:F)</f>
        <v>0</v>
      </c>
      <c r="F19" s="94">
        <f>SUMIF('FS-Data'!$C:$C,$B19,'FS-Data'!G:G)</f>
        <v>0</v>
      </c>
      <c r="G19" s="94">
        <f>SUMIF('FS-Data'!$C:$C,$B19,'FS-Data'!H:H)</f>
        <v>0</v>
      </c>
    </row>
    <row r="20" spans="2:7" outlineLevel="4" x14ac:dyDescent="0.25">
      <c r="B20" s="89" t="str">
        <f>'Data Labels'!D13</f>
        <v>Other General and Administrative Expenses</v>
      </c>
      <c r="C20" s="129">
        <f>SUMIF('FS-Data'!$C:$C,$B20,'FS-Data'!D:D)</f>
        <v>38112.017142857148</v>
      </c>
      <c r="D20" s="129">
        <f>SUMIF('FS-Data'!$C:$C,$B20,'FS-Data'!E:E)</f>
        <v>22232.010000000002</v>
      </c>
      <c r="E20" s="129">
        <f>SUMIF('FS-Data'!$C:$C,$B20,'FS-Data'!F:F)</f>
        <v>0</v>
      </c>
      <c r="F20" s="129">
        <f>SUMIF('FS-Data'!$C:$C,$B20,'FS-Data'!G:G)</f>
        <v>0</v>
      </c>
      <c r="G20" s="129">
        <f>SUMIF('FS-Data'!$C:$C,$B20,'FS-Data'!H:H)</f>
        <v>0</v>
      </c>
    </row>
    <row r="21" spans="2:7" outlineLevel="2" x14ac:dyDescent="0.25">
      <c r="B21" s="128" t="s">
        <v>133</v>
      </c>
      <c r="C21" s="95">
        <f>SUM(C22:C24)</f>
        <v>0</v>
      </c>
      <c r="D21" s="95">
        <f t="shared" ref="D21:G21" si="4">SUM(D22:D24)</f>
        <v>0</v>
      </c>
      <c r="E21" s="95">
        <f t="shared" si="4"/>
        <v>0</v>
      </c>
      <c r="F21" s="95">
        <f t="shared" si="4"/>
        <v>0</v>
      </c>
      <c r="G21" s="95">
        <f t="shared" si="4"/>
        <v>0</v>
      </c>
    </row>
    <row r="22" spans="2:7" outlineLevel="3" x14ac:dyDescent="0.25">
      <c r="B22" s="89" t="str">
        <f>'Data Labels'!D14</f>
        <v>Depreciation</v>
      </c>
      <c r="C22" s="129">
        <f>SUMIF('FS-Data'!$C:$C,$B22,'FS-Data'!D:D)</f>
        <v>0</v>
      </c>
      <c r="D22" s="129">
        <f>SUMIF('FS-Data'!$C:$C,$B22,'FS-Data'!E:E)</f>
        <v>0</v>
      </c>
      <c r="E22" s="129">
        <f>SUMIF('FS-Data'!$C:$C,$B22,'FS-Data'!F:F)</f>
        <v>0</v>
      </c>
      <c r="F22" s="129">
        <f>SUMIF('FS-Data'!$C:$C,$B22,'FS-Data'!G:G)</f>
        <v>0</v>
      </c>
      <c r="G22" s="129">
        <f>SUMIF('FS-Data'!$C:$C,$B22,'FS-Data'!H:H)</f>
        <v>0</v>
      </c>
    </row>
    <row r="23" spans="2:7" outlineLevel="3" x14ac:dyDescent="0.25">
      <c r="B23" s="89" t="str">
        <f>'Data Labels'!D15</f>
        <v>Amortization</v>
      </c>
      <c r="C23" s="129">
        <f>SUMIF('FS-Data'!$C:$C,$B23,'FS-Data'!D:D)</f>
        <v>0</v>
      </c>
      <c r="D23" s="129">
        <f>SUMIF('FS-Data'!$C:$C,$B23,'FS-Data'!E:E)</f>
        <v>0</v>
      </c>
      <c r="E23" s="129">
        <f>SUMIF('FS-Data'!$C:$C,$B23,'FS-Data'!F:F)</f>
        <v>0</v>
      </c>
      <c r="F23" s="129">
        <f>SUMIF('FS-Data'!$C:$C,$B23,'FS-Data'!G:G)</f>
        <v>0</v>
      </c>
      <c r="G23" s="129">
        <f>SUMIF('FS-Data'!$C:$C,$B23,'FS-Data'!H:H)</f>
        <v>0</v>
      </c>
    </row>
    <row r="24" spans="2:7" outlineLevel="3" x14ac:dyDescent="0.25">
      <c r="B24" s="89" t="str">
        <f>'Data Labels'!D16</f>
        <v>Impairment Expense</v>
      </c>
      <c r="C24" s="129">
        <f>SUMIF('FS-Data'!$C:$C,$B24,'FS-Data'!D:D)</f>
        <v>0</v>
      </c>
      <c r="D24" s="129">
        <f>SUMIF('FS-Data'!$C:$C,$B24,'FS-Data'!E:E)</f>
        <v>0</v>
      </c>
      <c r="E24" s="129">
        <f>SUMIF('FS-Data'!$C:$C,$B24,'FS-Data'!F:F)</f>
        <v>0</v>
      </c>
      <c r="F24" s="129">
        <f>SUMIF('FS-Data'!$C:$C,$B24,'FS-Data'!G:G)</f>
        <v>0</v>
      </c>
      <c r="G24" s="129">
        <f>SUMIF('FS-Data'!$C:$C,$B24,'FS-Data'!H:H)</f>
        <v>0</v>
      </c>
    </row>
    <row r="25" spans="2:7" outlineLevel="2" x14ac:dyDescent="0.25">
      <c r="B25" s="96" t="s">
        <v>134</v>
      </c>
      <c r="C25" s="95">
        <f>SUM(C26:C28)</f>
        <v>0</v>
      </c>
      <c r="D25" s="95">
        <f t="shared" ref="D25:G25" si="5">SUM(D26:D28)</f>
        <v>0</v>
      </c>
      <c r="E25" s="95">
        <f t="shared" si="5"/>
        <v>0</v>
      </c>
      <c r="F25" s="95">
        <f t="shared" si="5"/>
        <v>0</v>
      </c>
      <c r="G25" s="95">
        <f t="shared" si="5"/>
        <v>0</v>
      </c>
    </row>
    <row r="26" spans="2:7" outlineLevel="1" x14ac:dyDescent="0.25">
      <c r="B26" s="89" t="str">
        <f>'Data Labels'!D17</f>
        <v>Building Rent</v>
      </c>
      <c r="C26" s="87">
        <f>SUMIF('FS-Data'!$C:$C,$B26,'FS-Data'!D:D)</f>
        <v>0</v>
      </c>
      <c r="D26" s="87">
        <f>SUMIF('FS-Data'!$C:$C,$B26,'FS-Data'!E:E)</f>
        <v>0</v>
      </c>
      <c r="E26" s="87">
        <f>SUMIF('FS-Data'!$C:$C,$B26,'FS-Data'!F:F)</f>
        <v>0</v>
      </c>
      <c r="F26" s="87">
        <f>SUMIF('FS-Data'!$C:$C,$B26,'FS-Data'!G:G)</f>
        <v>0</v>
      </c>
      <c r="G26" s="87">
        <f>SUMIF('FS-Data'!$C:$C,$B26,'FS-Data'!H:H)</f>
        <v>0</v>
      </c>
    </row>
    <row r="27" spans="2:7" outlineLevel="1" x14ac:dyDescent="0.25">
      <c r="B27" s="89" t="str">
        <f>'Data Labels'!D18</f>
        <v>Equipment Rental and Lease</v>
      </c>
      <c r="C27" s="87">
        <f>SUMIF('FS-Data'!$C:$C,$B27,'FS-Data'!D:D)</f>
        <v>0</v>
      </c>
      <c r="D27" s="87">
        <f>SUMIF('FS-Data'!$C:$C,$B27,'FS-Data'!E:E)</f>
        <v>0</v>
      </c>
      <c r="E27" s="87">
        <f>SUMIF('FS-Data'!$C:$C,$B27,'FS-Data'!F:F)</f>
        <v>0</v>
      </c>
      <c r="F27" s="87">
        <f>SUMIF('FS-Data'!$C:$C,$B27,'FS-Data'!G:G)</f>
        <v>0</v>
      </c>
      <c r="G27" s="87">
        <f>SUMIF('FS-Data'!$C:$C,$B27,'FS-Data'!H:H)</f>
        <v>0</v>
      </c>
    </row>
    <row r="28" spans="2:7" outlineLevel="1" x14ac:dyDescent="0.25">
      <c r="B28" s="89" t="str">
        <f>'Data Labels'!D19</f>
        <v>Other Rent Expenses</v>
      </c>
      <c r="C28" s="87">
        <f>SUMIF('FS-Data'!$C:$C,$B28,'FS-Data'!D:D)</f>
        <v>0</v>
      </c>
      <c r="D28" s="87">
        <f>SUMIF('FS-Data'!$C:$C,$B28,'FS-Data'!E:E)</f>
        <v>0</v>
      </c>
      <c r="E28" s="87">
        <f>SUMIF('FS-Data'!$C:$C,$B28,'FS-Data'!F:F)</f>
        <v>0</v>
      </c>
      <c r="F28" s="87">
        <f>SUMIF('FS-Data'!$C:$C,$B28,'FS-Data'!G:G)</f>
        <v>0</v>
      </c>
      <c r="G28" s="87">
        <f>SUMIF('FS-Data'!$C:$C,$B28,'FS-Data'!H:H)</f>
        <v>0</v>
      </c>
    </row>
    <row r="29" spans="2:7" x14ac:dyDescent="0.25">
      <c r="B29" s="97" t="s">
        <v>135</v>
      </c>
      <c r="C29" s="91">
        <f>SUM(C11,C12,C16,C21,C25)</f>
        <v>124035.44571428571</v>
      </c>
      <c r="D29" s="91">
        <f t="shared" ref="D29:G29" si="6">SUM(D11,D12,D16,D21,D25)</f>
        <v>72354.010000000009</v>
      </c>
      <c r="E29" s="91">
        <f t="shared" si="6"/>
        <v>0</v>
      </c>
      <c r="F29" s="91">
        <f t="shared" si="6"/>
        <v>0</v>
      </c>
      <c r="G29" s="91">
        <f t="shared" si="6"/>
        <v>0</v>
      </c>
    </row>
    <row r="30" spans="2:7" x14ac:dyDescent="0.25">
      <c r="B30" s="98" t="s">
        <v>136</v>
      </c>
      <c r="C30" s="99">
        <f>C9-C29</f>
        <v>130718.21142857149</v>
      </c>
      <c r="D30" s="99">
        <f t="shared" ref="D30:G30" si="7">D9-D29</f>
        <v>76252.290000000037</v>
      </c>
      <c r="E30" s="99">
        <f t="shared" si="7"/>
        <v>0</v>
      </c>
      <c r="F30" s="99">
        <f t="shared" si="7"/>
        <v>0</v>
      </c>
      <c r="G30" s="99">
        <f t="shared" si="7"/>
        <v>0</v>
      </c>
    </row>
    <row r="31" spans="2:7" outlineLevel="1" x14ac:dyDescent="0.25">
      <c r="B31" s="84" t="s">
        <v>137</v>
      </c>
      <c r="C31" s="85"/>
      <c r="D31" s="85"/>
      <c r="E31" s="85"/>
      <c r="F31" s="85"/>
      <c r="G31" s="85"/>
    </row>
    <row r="32" spans="2:7" outlineLevel="1" x14ac:dyDescent="0.25">
      <c r="B32" s="86" t="str">
        <f>'Data Labels'!D20</f>
        <v>Interest Income</v>
      </c>
      <c r="C32" s="87">
        <f>-SUMIF('FS-Data'!$C:$C,$B32,'FS-Data'!D:D)</f>
        <v>0</v>
      </c>
      <c r="D32" s="87">
        <f>-SUMIF('FS-Data'!$C:$C,$B32,'FS-Data'!E:E)</f>
        <v>0</v>
      </c>
      <c r="E32" s="87">
        <f>-SUMIF('FS-Data'!$C:$C,$B32,'FS-Data'!F:F)</f>
        <v>0</v>
      </c>
      <c r="F32" s="87">
        <f>-SUMIF('FS-Data'!$C:$C,$B32,'FS-Data'!G:G)</f>
        <v>0</v>
      </c>
      <c r="G32" s="87">
        <f>-SUMIF('FS-Data'!$C:$C,$B32,'FS-Data'!H:H)</f>
        <v>0</v>
      </c>
    </row>
    <row r="33" spans="2:7" outlineLevel="1" x14ac:dyDescent="0.25">
      <c r="B33" s="86" t="str">
        <f>'Data Labels'!D21</f>
        <v>Interest Expense</v>
      </c>
      <c r="C33" s="87">
        <f>SUMIF('FS-Data'!$C:$C,$B33,'FS-Data'!D:D)</f>
        <v>0</v>
      </c>
      <c r="D33" s="87">
        <f>SUMIF('FS-Data'!$C:$C,$B33,'FS-Data'!E:E)</f>
        <v>0</v>
      </c>
      <c r="E33" s="87">
        <f>SUMIF('FS-Data'!$C:$C,$B33,'FS-Data'!F:F)</f>
        <v>0</v>
      </c>
      <c r="F33" s="87">
        <f>SUMIF('FS-Data'!$C:$C,$B33,'FS-Data'!G:G)</f>
        <v>0</v>
      </c>
      <c r="G33" s="87">
        <f>SUMIF('FS-Data'!$C:$C,$B33,'FS-Data'!H:H)</f>
        <v>0</v>
      </c>
    </row>
    <row r="34" spans="2:7" outlineLevel="1" x14ac:dyDescent="0.25">
      <c r="B34" s="86" t="str">
        <f>'Data Labels'!D22</f>
        <v xml:space="preserve">Other Income </v>
      </c>
      <c r="C34" s="87">
        <f>-SUMIF('FS-Data'!$C:$C,$B34,'FS-Data'!D:D)</f>
        <v>0</v>
      </c>
      <c r="D34" s="87">
        <f>-SUMIF('FS-Data'!$C:$C,$B34,'FS-Data'!E:E)</f>
        <v>0</v>
      </c>
      <c r="E34" s="87">
        <f>-SUMIF('FS-Data'!$C:$C,$B34,'FS-Data'!F:F)</f>
        <v>0</v>
      </c>
      <c r="F34" s="87">
        <f>-SUMIF('FS-Data'!$C:$C,$B34,'FS-Data'!G:G)</f>
        <v>0</v>
      </c>
      <c r="G34" s="87">
        <f>-SUMIF('FS-Data'!$C:$C,$B34,'FS-Data'!H:H)</f>
        <v>0</v>
      </c>
    </row>
    <row r="35" spans="2:7" outlineLevel="1" x14ac:dyDescent="0.25">
      <c r="B35" s="86" t="str">
        <f>'Data Labels'!D23</f>
        <v>Other Expenses</v>
      </c>
      <c r="C35" s="87">
        <f>SUMIF('FS-Data'!$C:$C,$B35,'FS-Data'!D:D)</f>
        <v>0</v>
      </c>
      <c r="D35" s="87">
        <f>SUMIF('FS-Data'!$C:$C,$B35,'FS-Data'!E:E)</f>
        <v>0</v>
      </c>
      <c r="E35" s="87">
        <f>SUMIF('FS-Data'!$C:$C,$B35,'FS-Data'!F:F)</f>
        <v>0</v>
      </c>
      <c r="F35" s="87">
        <f>SUMIF('FS-Data'!$C:$C,$B35,'FS-Data'!G:G)</f>
        <v>0</v>
      </c>
      <c r="G35" s="87">
        <f>SUMIF('FS-Data'!$C:$C,$B35,'FS-Data'!H:H)</f>
        <v>0</v>
      </c>
    </row>
    <row r="36" spans="2:7" outlineLevel="1" x14ac:dyDescent="0.25">
      <c r="B36" s="86" t="str">
        <f>'Data Labels'!D24</f>
        <v xml:space="preserve">Non Cash Income/Expenses </v>
      </c>
      <c r="C36" s="87">
        <f>SUMIF('FS-Data'!$C:$C,$B36,'FS-Data'!D:D)</f>
        <v>0</v>
      </c>
      <c r="D36" s="87">
        <f>SUMIF('FS-Data'!$C:$C,$B36,'FS-Data'!E:E)</f>
        <v>0</v>
      </c>
      <c r="E36" s="87">
        <f>SUMIF('FS-Data'!$C:$C,$B36,'FS-Data'!F:F)</f>
        <v>0</v>
      </c>
      <c r="F36" s="87">
        <f>SUMIF('FS-Data'!$C:$C,$B36,'FS-Data'!G:G)</f>
        <v>0</v>
      </c>
      <c r="G36" s="87">
        <f>SUMIF('FS-Data'!$C:$C,$B36,'FS-Data'!H:H)</f>
        <v>0</v>
      </c>
    </row>
    <row r="37" spans="2:7" outlineLevel="1" x14ac:dyDescent="0.25">
      <c r="B37" s="86" t="str">
        <f>'Data Labels'!D25</f>
        <v>Gain / (Loss) on Sale of Assets</v>
      </c>
      <c r="C37" s="87">
        <f>SUMIF('FS-Data'!$C:$C,$B37,'FS-Data'!D:D)</f>
        <v>0</v>
      </c>
      <c r="D37" s="87">
        <f>SUMIF('FS-Data'!$C:$C,$B37,'FS-Data'!E:E)</f>
        <v>0</v>
      </c>
      <c r="E37" s="87">
        <f>SUMIF('FS-Data'!$C:$C,$B37,'FS-Data'!F:F)</f>
        <v>0</v>
      </c>
      <c r="F37" s="87">
        <f>SUMIF('FS-Data'!$C:$C,$B37,'FS-Data'!G:G)</f>
        <v>0</v>
      </c>
      <c r="G37" s="87">
        <f>SUMIF('FS-Data'!$C:$C,$B37,'FS-Data'!H:H)</f>
        <v>0</v>
      </c>
    </row>
    <row r="38" spans="2:7" outlineLevel="1" x14ac:dyDescent="0.25">
      <c r="B38" s="86" t="str">
        <f>'Data Labels'!D26</f>
        <v>Investment Income (Associates &amp; Joint Venture)</v>
      </c>
      <c r="C38" s="87">
        <f>SUMIF('FS-Data'!$C:$C,$B38,'FS-Data'!D:D)</f>
        <v>0</v>
      </c>
      <c r="D38" s="87">
        <f>SUMIF('FS-Data'!$C:$C,$B38,'FS-Data'!E:E)</f>
        <v>0</v>
      </c>
      <c r="E38" s="87">
        <f>SUMIF('FS-Data'!$C:$C,$B38,'FS-Data'!F:F)</f>
        <v>0</v>
      </c>
      <c r="F38" s="87">
        <f>SUMIF('FS-Data'!$C:$C,$B38,'FS-Data'!G:G)</f>
        <v>0</v>
      </c>
      <c r="G38" s="87">
        <f>SUMIF('FS-Data'!$C:$C,$B38,'FS-Data'!H:H)</f>
        <v>0</v>
      </c>
    </row>
    <row r="39" spans="2:7" s="88" customFormat="1" x14ac:dyDescent="0.25">
      <c r="B39" s="90" t="s">
        <v>138</v>
      </c>
      <c r="C39" s="91">
        <f>SUM(C32:C38)</f>
        <v>0</v>
      </c>
      <c r="D39" s="91">
        <f t="shared" ref="D39:G39" si="8">SUM(D32:D38)</f>
        <v>0</v>
      </c>
      <c r="E39" s="91">
        <f t="shared" si="8"/>
        <v>0</v>
      </c>
      <c r="F39" s="91">
        <f t="shared" si="8"/>
        <v>0</v>
      </c>
      <c r="G39" s="91">
        <f t="shared" si="8"/>
        <v>0</v>
      </c>
    </row>
    <row r="40" spans="2:7" x14ac:dyDescent="0.25">
      <c r="B40" s="101" t="s">
        <v>139</v>
      </c>
      <c r="C40" s="99">
        <f>C30-C39</f>
        <v>130718.21142857149</v>
      </c>
      <c r="D40" s="99">
        <f t="shared" ref="D40:G40" si="9">D30-D39</f>
        <v>76252.290000000037</v>
      </c>
      <c r="E40" s="99">
        <f t="shared" si="9"/>
        <v>0</v>
      </c>
      <c r="F40" s="99">
        <f t="shared" si="9"/>
        <v>0</v>
      </c>
      <c r="G40" s="99">
        <f t="shared" si="9"/>
        <v>0</v>
      </c>
    </row>
    <row r="41" spans="2:7" outlineLevel="1" x14ac:dyDescent="0.25">
      <c r="B41" s="89" t="str">
        <f>'Data Labels'!D27</f>
        <v>Minority Interest</v>
      </c>
      <c r="C41" s="87">
        <f>SUMIF('FS-Data'!$C:$C,$B41,'FS-Data'!D:D)</f>
        <v>0</v>
      </c>
      <c r="D41" s="87">
        <f>SUMIF('FS-Data'!$C:$C,$B41,'FS-Data'!E:E)</f>
        <v>0</v>
      </c>
      <c r="E41" s="87">
        <f>SUMIF('FS-Data'!$C:$C,$B41,'FS-Data'!F:F)</f>
        <v>0</v>
      </c>
      <c r="F41" s="87">
        <f>SUMIF('FS-Data'!$C:$C,$B41,'FS-Data'!G:G)</f>
        <v>0</v>
      </c>
      <c r="G41" s="87">
        <f>SUMIF('FS-Data'!$C:$C,$B41,'FS-Data'!H:H)</f>
        <v>0</v>
      </c>
    </row>
    <row r="42" spans="2:7" outlineLevel="1" x14ac:dyDescent="0.25">
      <c r="B42" s="89" t="str">
        <f>'Data Labels'!D28</f>
        <v>Extraordinary Income / (Expense)</v>
      </c>
      <c r="C42" s="87">
        <f>SUMIF('FS-Data'!$C:$C,$B42,'FS-Data'!D:D)</f>
        <v>0</v>
      </c>
      <c r="D42" s="87">
        <f>SUMIF('FS-Data'!$C:$C,$B42,'FS-Data'!E:E)</f>
        <v>0</v>
      </c>
      <c r="E42" s="87">
        <f>SUMIF('FS-Data'!$C:$C,$B42,'FS-Data'!F:F)</f>
        <v>0</v>
      </c>
      <c r="F42" s="87">
        <f>SUMIF('FS-Data'!$C:$C,$B42,'FS-Data'!G:G)</f>
        <v>0</v>
      </c>
      <c r="G42" s="87">
        <f>SUMIF('FS-Data'!$C:$C,$B42,'FS-Data'!H:H)</f>
        <v>0</v>
      </c>
    </row>
    <row r="43" spans="2:7" outlineLevel="1" x14ac:dyDescent="0.25">
      <c r="B43" s="89" t="str">
        <f>'Data Labels'!D29</f>
        <v>Taxes (Benefit)</v>
      </c>
      <c r="C43" s="87">
        <f>SUMIF('FS-Data'!$C:$C,$B43,'FS-Data'!D:D)</f>
        <v>0</v>
      </c>
      <c r="D43" s="87">
        <f>SUMIF('FS-Data'!$C:$C,$B43,'FS-Data'!E:E)</f>
        <v>0</v>
      </c>
      <c r="E43" s="87">
        <f>SUMIF('FS-Data'!$C:$C,$B43,'FS-Data'!F:F)</f>
        <v>0</v>
      </c>
      <c r="F43" s="87">
        <f>SUMIF('FS-Data'!$C:$C,$B43,'FS-Data'!G:G)</f>
        <v>0</v>
      </c>
      <c r="G43" s="87">
        <f>SUMIF('FS-Data'!$C:$C,$B43,'FS-Data'!H:H)</f>
        <v>0</v>
      </c>
    </row>
    <row r="44" spans="2:7" s="88" customFormat="1" x14ac:dyDescent="0.25">
      <c r="B44" s="102" t="s">
        <v>140</v>
      </c>
      <c r="C44" s="103">
        <f>C40-C41+C42-C43</f>
        <v>130718.21142857149</v>
      </c>
      <c r="D44" s="103">
        <f t="shared" ref="D44:G44" si="10">D40-D41+D42-D43</f>
        <v>76252.290000000037</v>
      </c>
      <c r="E44" s="103">
        <f t="shared" si="10"/>
        <v>0</v>
      </c>
      <c r="F44" s="103">
        <f t="shared" si="10"/>
        <v>0</v>
      </c>
      <c r="G44" s="103">
        <f t="shared" si="10"/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9347-5C92-4C08-9D8B-71642831FEE7}">
  <sheetPr>
    <tabColor theme="8" tint="0.39997558519241921"/>
  </sheetPr>
  <dimension ref="A1:K55"/>
  <sheetViews>
    <sheetView showGridLines="0" topLeftCell="A4" zoomScale="119" zoomScaleNormal="90" workbookViewId="0">
      <selection activeCell="B16" sqref="B16"/>
    </sheetView>
  </sheetViews>
  <sheetFormatPr baseColWidth="10" defaultColWidth="8.85546875" defaultRowHeight="15" outlineLevelRow="2" x14ac:dyDescent="0.25"/>
  <cols>
    <col min="1" max="1" width="4.28515625" customWidth="1"/>
    <col min="2" max="2" width="43.7109375" bestFit="1" customWidth="1"/>
    <col min="3" max="7" width="13.42578125" customWidth="1"/>
    <col min="8" max="8" width="17.140625" customWidth="1"/>
  </cols>
  <sheetData>
    <row r="1" spans="1:9" ht="15.75" x14ac:dyDescent="0.25">
      <c r="B1" s="66" t="s">
        <v>141</v>
      </c>
      <c r="C1" s="67"/>
      <c r="D1" s="67"/>
      <c r="E1" s="67"/>
      <c r="F1" s="67"/>
      <c r="G1" s="67"/>
    </row>
    <row r="2" spans="1:9" x14ac:dyDescent="0.25">
      <c r="C2" s="149"/>
      <c r="D2" s="149"/>
      <c r="E2" s="149"/>
      <c r="F2" s="149"/>
      <c r="G2" s="149"/>
    </row>
    <row r="3" spans="1:9" x14ac:dyDescent="0.25">
      <c r="A3" s="65"/>
      <c r="B3" s="49" t="s">
        <v>27</v>
      </c>
      <c r="C3" s="26">
        <f>'FS-Data'!D13</f>
        <v>45504</v>
      </c>
      <c r="D3" s="26">
        <f>'FS-Data'!E13</f>
        <v>45504</v>
      </c>
      <c r="E3" s="26">
        <f>'FS-Data'!F13</f>
        <v>0</v>
      </c>
      <c r="F3" s="26">
        <f>'FS-Data'!G13</f>
        <v>0</v>
      </c>
      <c r="G3" s="26">
        <f>'FS-Data'!H13</f>
        <v>0</v>
      </c>
    </row>
    <row r="4" spans="1:9" outlineLevel="1" x14ac:dyDescent="0.25">
      <c r="B4" s="54" t="str">
        <f>'Data Labels'!B3</f>
        <v>Cash and Cash Equivalents</v>
      </c>
      <c r="C4" s="57">
        <f>SUMIF('FS-Data'!$C:$C,$B4,'FS-Data'!D:D)</f>
        <v>94076.75</v>
      </c>
      <c r="D4" s="57">
        <f>SUMIF('FS-Data'!$C:$C,$B4,'FS-Data'!E:E)</f>
        <v>94076.75</v>
      </c>
      <c r="E4" s="57">
        <f>SUMIF('FS-Data'!$C:$C,$B4,'FS-Data'!F:F)</f>
        <v>0</v>
      </c>
      <c r="F4" s="57">
        <f>SUMIF('FS-Data'!$C:$C,$B4,'FS-Data'!G:G)</f>
        <v>0</v>
      </c>
      <c r="G4" s="57">
        <f>SUMIF('FS-Data'!$C:$C,$B4,'FS-Data'!H:H)</f>
        <v>0</v>
      </c>
      <c r="I4" s="50"/>
    </row>
    <row r="5" spans="1:9" outlineLevel="1" x14ac:dyDescent="0.25">
      <c r="B5" s="54" t="str">
        <f>'Data Labels'!B4</f>
        <v>Accounts Receivable</v>
      </c>
      <c r="C5" s="57">
        <f>SUMIF('FS-Data'!$C:$C,$B5,'FS-Data'!D:D)</f>
        <v>46070</v>
      </c>
      <c r="D5" s="57">
        <f>SUMIF('FS-Data'!$C:$C,$B5,'FS-Data'!E:E)</f>
        <v>46070</v>
      </c>
      <c r="E5" s="57">
        <f>SUMIF('FS-Data'!$C:$C,$B5,'FS-Data'!F:F)</f>
        <v>0</v>
      </c>
      <c r="F5" s="57">
        <f>SUMIF('FS-Data'!$C:$C,$B5,'FS-Data'!G:G)</f>
        <v>0</v>
      </c>
      <c r="G5" s="57">
        <f>SUMIF('FS-Data'!$C:$C,$B5,'FS-Data'!H:H)</f>
        <v>0</v>
      </c>
      <c r="I5" s="50"/>
    </row>
    <row r="6" spans="1:9" outlineLevel="1" x14ac:dyDescent="0.25">
      <c r="B6" s="54" t="str">
        <f>'Data Labels'!B5</f>
        <v>Allowance for Bad Debts</v>
      </c>
      <c r="C6" s="57">
        <f>SUMIF('FS-Data'!$C:$C,$B6,'FS-Data'!D:D)</f>
        <v>0</v>
      </c>
      <c r="D6" s="57">
        <f>SUMIF('FS-Data'!$C:$C,$B6,'FS-Data'!E:E)</f>
        <v>0</v>
      </c>
      <c r="E6" s="57">
        <f>SUMIF('FS-Data'!$C:$C,$B6,'FS-Data'!F:F)</f>
        <v>0</v>
      </c>
      <c r="F6" s="57">
        <f>SUMIF('FS-Data'!$C:$C,$B6,'FS-Data'!G:G)</f>
        <v>0</v>
      </c>
      <c r="G6" s="57">
        <f>SUMIF('FS-Data'!$C:$C,$B6,'FS-Data'!H:H)</f>
        <v>0</v>
      </c>
      <c r="I6" s="50"/>
    </row>
    <row r="7" spans="1:9" outlineLevel="1" x14ac:dyDescent="0.25">
      <c r="B7" s="58" t="s">
        <v>142</v>
      </c>
      <c r="C7" s="59">
        <f>C5+C6</f>
        <v>46070</v>
      </c>
      <c r="D7" s="59">
        <f t="shared" ref="D7:G7" si="0">D5+D6</f>
        <v>46070</v>
      </c>
      <c r="E7" s="59">
        <f t="shared" si="0"/>
        <v>0</v>
      </c>
      <c r="F7" s="59">
        <f t="shared" si="0"/>
        <v>0</v>
      </c>
      <c r="G7" s="59">
        <f t="shared" si="0"/>
        <v>0</v>
      </c>
      <c r="H7" s="50"/>
      <c r="I7" s="50"/>
    </row>
    <row r="8" spans="1:9" outlineLevel="1" x14ac:dyDescent="0.25">
      <c r="B8" s="54" t="str">
        <f>'Data Labels'!B6</f>
        <v>Inventory</v>
      </c>
      <c r="C8" s="57">
        <f>SUMIF('FS-Data'!$C:$C,$B8,'FS-Data'!D:D)</f>
        <v>15000</v>
      </c>
      <c r="D8" s="57">
        <f>SUMIF('FS-Data'!$C:$C,$B8,'FS-Data'!E:E)</f>
        <v>15000</v>
      </c>
      <c r="E8" s="57">
        <f>SUMIF('FS-Data'!$C:$C,$B8,'FS-Data'!F:F)</f>
        <v>0</v>
      </c>
      <c r="F8" s="57">
        <f>SUMIF('FS-Data'!$C:$C,$B8,'FS-Data'!G:G)</f>
        <v>0</v>
      </c>
      <c r="G8" s="57">
        <f>SUMIF('FS-Data'!$C:$C,$B8,'FS-Data'!H:H)</f>
        <v>0</v>
      </c>
      <c r="I8" s="50"/>
    </row>
    <row r="9" spans="1:9" outlineLevel="1" x14ac:dyDescent="0.25">
      <c r="B9" s="54" t="str">
        <f>'Data Labels'!B7</f>
        <v>Operating Lease Assets - CP</v>
      </c>
      <c r="C9" s="57">
        <f>SUMIF('FS-Data'!$C:$C,$B9,'FS-Data'!D:D)</f>
        <v>0</v>
      </c>
      <c r="D9" s="57">
        <f>SUMIF('FS-Data'!$C:$C,$B9,'FS-Data'!E:E)</f>
        <v>0</v>
      </c>
      <c r="E9" s="57">
        <f>SUMIF('FS-Data'!$C:$C,$B9,'FS-Data'!F:F)</f>
        <v>0</v>
      </c>
      <c r="F9" s="57">
        <f>SUMIF('FS-Data'!$C:$C,$B9,'FS-Data'!G:G)</f>
        <v>0</v>
      </c>
      <c r="G9" s="57">
        <f>SUMIF('FS-Data'!$C:$C,$B9,'FS-Data'!H:H)</f>
        <v>0</v>
      </c>
      <c r="I9" s="50"/>
    </row>
    <row r="10" spans="1:9" outlineLevel="1" x14ac:dyDescent="0.25">
      <c r="B10" s="54" t="str">
        <f>'Data Labels'!B8</f>
        <v>Short Term Investments</v>
      </c>
      <c r="C10" s="57">
        <f>SUMIF('FS-Data'!$C:$C,$B10,'FS-Data'!D:D)</f>
        <v>0</v>
      </c>
      <c r="D10" s="57">
        <f>SUMIF('FS-Data'!$C:$C,$B10,'FS-Data'!E:E)</f>
        <v>0</v>
      </c>
      <c r="E10" s="57">
        <f>SUMIF('FS-Data'!$C:$C,$B10,'FS-Data'!F:F)</f>
        <v>0</v>
      </c>
      <c r="F10" s="57">
        <f>SUMIF('FS-Data'!$C:$C,$B10,'FS-Data'!G:G)</f>
        <v>0</v>
      </c>
      <c r="G10" s="57">
        <f>SUMIF('FS-Data'!$C:$C,$B10,'FS-Data'!H:H)</f>
        <v>0</v>
      </c>
      <c r="I10" s="50"/>
    </row>
    <row r="11" spans="1:9" outlineLevel="1" x14ac:dyDescent="0.25">
      <c r="B11" s="54" t="str">
        <f>'Data Labels'!B9</f>
        <v>Prepaid Expenses</v>
      </c>
      <c r="C11" s="57">
        <f>SUMIF('FS-Data'!$C:$C,$B11,'FS-Data'!D:D)</f>
        <v>0</v>
      </c>
      <c r="D11" s="57">
        <f>SUMIF('FS-Data'!$C:$C,$B11,'FS-Data'!E:E)</f>
        <v>0</v>
      </c>
      <c r="E11" s="57">
        <f>SUMIF('FS-Data'!$C:$C,$B11,'FS-Data'!F:F)</f>
        <v>0</v>
      </c>
      <c r="F11" s="57">
        <f>SUMIF('FS-Data'!$C:$C,$B11,'FS-Data'!G:G)</f>
        <v>0</v>
      </c>
      <c r="G11" s="57">
        <f>SUMIF('FS-Data'!$C:$C,$B11,'FS-Data'!H:H)</f>
        <v>0</v>
      </c>
      <c r="I11" s="50"/>
    </row>
    <row r="12" spans="1:9" outlineLevel="1" x14ac:dyDescent="0.25">
      <c r="B12" s="54" t="str">
        <f>'Data Labels'!B10</f>
        <v>Other Current Assets</v>
      </c>
      <c r="C12" s="57">
        <f>SUMIF('FS-Data'!$C:$C,$B12,'FS-Data'!D:D)</f>
        <v>0</v>
      </c>
      <c r="D12" s="57">
        <f>SUMIF('FS-Data'!$C:$C,$B12,'FS-Data'!E:E)</f>
        <v>0</v>
      </c>
      <c r="E12" s="57">
        <f>SUMIF('FS-Data'!$C:$C,$B12,'FS-Data'!F:F)</f>
        <v>0</v>
      </c>
      <c r="F12" s="57">
        <f>SUMIF('FS-Data'!$C:$C,$B12,'FS-Data'!G:G)</f>
        <v>0</v>
      </c>
      <c r="G12" s="57">
        <f>SUMIF('FS-Data'!$C:$C,$B12,'FS-Data'!H:H)</f>
        <v>0</v>
      </c>
      <c r="H12" s="50"/>
      <c r="I12" s="50"/>
    </row>
    <row r="13" spans="1:9" x14ac:dyDescent="0.25">
      <c r="B13" s="60" t="s">
        <v>143</v>
      </c>
      <c r="C13" s="61">
        <f>C4+C7+SUM(C8:C12)</f>
        <v>155146.75</v>
      </c>
      <c r="D13" s="61">
        <f t="shared" ref="D13:G13" si="1">D4+D7+SUM(D8:D12)</f>
        <v>155146.75</v>
      </c>
      <c r="E13" s="61">
        <f t="shared" si="1"/>
        <v>0</v>
      </c>
      <c r="F13" s="61">
        <f t="shared" si="1"/>
        <v>0</v>
      </c>
      <c r="G13" s="61">
        <f t="shared" si="1"/>
        <v>0</v>
      </c>
      <c r="I13" s="50"/>
    </row>
    <row r="14" spans="1:9" outlineLevel="1" x14ac:dyDescent="0.25">
      <c r="B14" s="54" t="str">
        <f>'Data Labels'!B11</f>
        <v>Land &amp; Building</v>
      </c>
      <c r="C14" s="57">
        <f>SUMIF('FS-Data'!$C:$C,$B14,'FS-Data'!D:D)</f>
        <v>150000</v>
      </c>
      <c r="D14" s="57">
        <f>SUMIF('FS-Data'!$C:$C,$B14,'FS-Data'!E:E)</f>
        <v>150000</v>
      </c>
      <c r="E14" s="57">
        <f>SUMIF('FS-Data'!$C:$C,$B14,'FS-Data'!F:F)</f>
        <v>0</v>
      </c>
      <c r="F14" s="57">
        <f>SUMIF('FS-Data'!$C:$C,$B14,'FS-Data'!G:G)</f>
        <v>0</v>
      </c>
      <c r="G14" s="57">
        <f>SUMIF('FS-Data'!$C:$C,$B14,'FS-Data'!H:H)</f>
        <v>0</v>
      </c>
      <c r="I14" s="50"/>
    </row>
    <row r="15" spans="1:9" outlineLevel="2" x14ac:dyDescent="0.25">
      <c r="B15" s="54" t="str">
        <f>'Data Labels'!B12</f>
        <v>Equipment &amp; Machinery</v>
      </c>
      <c r="C15" s="57">
        <f>SUMIF('FS-Data'!$C:$C,$B15,'FS-Data'!D:D)</f>
        <v>15000</v>
      </c>
      <c r="D15" s="57">
        <f>SUMIF('FS-Data'!$C:$C,$B15,'FS-Data'!E:E)</f>
        <v>15000</v>
      </c>
      <c r="E15" s="57">
        <f>SUMIF('FS-Data'!$C:$C,$B15,'FS-Data'!F:F)</f>
        <v>0</v>
      </c>
      <c r="F15" s="57">
        <f>SUMIF('FS-Data'!$C:$C,$B15,'FS-Data'!G:G)</f>
        <v>0</v>
      </c>
      <c r="G15" s="57">
        <f>SUMIF('FS-Data'!$C:$C,$B15,'FS-Data'!H:H)</f>
        <v>0</v>
      </c>
      <c r="H15" s="50"/>
      <c r="I15" s="50"/>
    </row>
    <row r="16" spans="1:9" outlineLevel="2" x14ac:dyDescent="0.25">
      <c r="B16" s="54" t="str">
        <f>'Data Labels'!B13</f>
        <v>Other Fixed Asset</v>
      </c>
      <c r="C16" s="57">
        <f>SUMIF('FS-Data'!$C:$C,$B16,'FS-Data'!D:D)</f>
        <v>59000</v>
      </c>
      <c r="D16" s="57">
        <f>SUMIF('FS-Data'!$C:$C,$B16,'FS-Data'!E:E)</f>
        <v>59000</v>
      </c>
      <c r="E16" s="57">
        <f>SUMIF('FS-Data'!$C:$C,$B16,'FS-Data'!F:F)</f>
        <v>0</v>
      </c>
      <c r="F16" s="57">
        <f>SUMIF('FS-Data'!$C:$C,$B16,'FS-Data'!G:G)</f>
        <v>0</v>
      </c>
      <c r="G16" s="57">
        <f>SUMIF('FS-Data'!$C:$C,$B16,'FS-Data'!H:H)</f>
        <v>0</v>
      </c>
      <c r="I16" s="50"/>
    </row>
    <row r="17" spans="1:9" outlineLevel="2" x14ac:dyDescent="0.25">
      <c r="B17" s="54" t="str">
        <f>'Data Labels'!B14</f>
        <v>(Accumulated Depreciation)</v>
      </c>
      <c r="C17" s="57">
        <f>SUMIF('FS-Data'!$C:$C,$B17,'FS-Data'!D:D)</f>
        <v>-192364.32</v>
      </c>
      <c r="D17" s="57">
        <f>SUMIF('FS-Data'!$C:$C,$B17,'FS-Data'!E:E)</f>
        <v>-192364.32</v>
      </c>
      <c r="E17" s="57">
        <f>SUMIF('FS-Data'!$C:$C,$B17,'FS-Data'!F:F)</f>
        <v>0</v>
      </c>
      <c r="F17" s="57">
        <f>SUMIF('FS-Data'!$C:$C,$B17,'FS-Data'!G:G)</f>
        <v>0</v>
      </c>
      <c r="G17" s="57">
        <f>SUMIF('FS-Data'!$C:$C,$B17,'FS-Data'!H:H)</f>
        <v>0</v>
      </c>
      <c r="H17" s="50"/>
      <c r="I17" s="50"/>
    </row>
    <row r="18" spans="1:9" outlineLevel="1" x14ac:dyDescent="0.25">
      <c r="A18" s="1"/>
      <c r="B18" s="55" t="s">
        <v>144</v>
      </c>
      <c r="C18" s="59">
        <f>SUM(C14:C17)</f>
        <v>31635.679999999993</v>
      </c>
      <c r="D18" s="59">
        <f t="shared" ref="D18:G18" si="2">SUM(D14:D17)</f>
        <v>31635.679999999993</v>
      </c>
      <c r="E18" s="59">
        <f t="shared" si="2"/>
        <v>0</v>
      </c>
      <c r="F18" s="59">
        <f t="shared" si="2"/>
        <v>0</v>
      </c>
      <c r="G18" s="59">
        <f t="shared" si="2"/>
        <v>0</v>
      </c>
      <c r="H18" s="50"/>
      <c r="I18" s="50"/>
    </row>
    <row r="19" spans="1:9" outlineLevel="2" x14ac:dyDescent="0.25">
      <c r="B19" s="54" t="str">
        <f>'Data Labels'!B15</f>
        <v>Intangible Assets</v>
      </c>
      <c r="C19" s="57">
        <f>SUMIF('FS-Data'!$C:$C,$B19,'FS-Data'!D:D)</f>
        <v>0</v>
      </c>
      <c r="D19" s="57">
        <f>SUMIF('FS-Data'!$C:$C,$B19,'FS-Data'!E:E)</f>
        <v>0</v>
      </c>
      <c r="E19" s="57">
        <f>SUMIF('FS-Data'!$C:$C,$B19,'FS-Data'!F:F)</f>
        <v>0</v>
      </c>
      <c r="F19" s="57">
        <f>SUMIF('FS-Data'!$C:$C,$B19,'FS-Data'!G:G)</f>
        <v>0</v>
      </c>
      <c r="G19" s="57">
        <f>SUMIF('FS-Data'!$C:$C,$B19,'FS-Data'!H:H)</f>
        <v>0</v>
      </c>
      <c r="I19" s="50"/>
    </row>
    <row r="20" spans="1:9" outlineLevel="2" x14ac:dyDescent="0.25">
      <c r="B20" s="54" t="str">
        <f>'Data Labels'!B16</f>
        <v>(Accumulated Amortization)</v>
      </c>
      <c r="C20" s="57">
        <f>SUMIF('FS-Data'!$C:$C,$B20,'FS-Data'!D:D)</f>
        <v>0</v>
      </c>
      <c r="D20" s="57">
        <f>SUMIF('FS-Data'!$C:$C,$B20,'FS-Data'!E:E)</f>
        <v>0</v>
      </c>
      <c r="E20" s="57">
        <f>SUMIF('FS-Data'!$C:$C,$B20,'FS-Data'!F:F)</f>
        <v>0</v>
      </c>
      <c r="F20" s="57">
        <f>SUMIF('FS-Data'!$C:$C,$B20,'FS-Data'!G:G)</f>
        <v>0</v>
      </c>
      <c r="G20" s="57">
        <f>SUMIF('FS-Data'!$C:$C,$B20,'FS-Data'!H:H)</f>
        <v>0</v>
      </c>
      <c r="I20" s="50"/>
    </row>
    <row r="21" spans="1:9" s="1" customFormat="1" outlineLevel="1" x14ac:dyDescent="0.25">
      <c r="B21" s="55" t="s">
        <v>145</v>
      </c>
      <c r="C21" s="62">
        <f>SUM(C19:C20)</f>
        <v>0</v>
      </c>
      <c r="D21" s="62">
        <f t="shared" ref="D21:G21" si="3">SUM(D19:D20)</f>
        <v>0</v>
      </c>
      <c r="E21" s="62">
        <f t="shared" si="3"/>
        <v>0</v>
      </c>
      <c r="F21" s="62">
        <f t="shared" si="3"/>
        <v>0</v>
      </c>
      <c r="G21" s="62">
        <f t="shared" si="3"/>
        <v>0</v>
      </c>
      <c r="H21"/>
      <c r="I21" s="50"/>
    </row>
    <row r="22" spans="1:9" s="1" customFormat="1" outlineLevel="1" x14ac:dyDescent="0.25">
      <c r="B22" s="54" t="str">
        <f>'Data Labels'!B17</f>
        <v>Operating Lease Assets - LT</v>
      </c>
      <c r="C22" s="63">
        <f>SUMIF('FS-Data'!$C:$C,$B22,'FS-Data'!D:D)</f>
        <v>0</v>
      </c>
      <c r="D22" s="63">
        <f>SUMIF('FS-Data'!$C:$C,$B22,'FS-Data'!E:E)</f>
        <v>0</v>
      </c>
      <c r="E22" s="63">
        <f>SUMIF('FS-Data'!$C:$C,$B22,'FS-Data'!F:F)</f>
        <v>0</v>
      </c>
      <c r="F22" s="63">
        <f>SUMIF('FS-Data'!$C:$C,$B22,'FS-Data'!G:G)</f>
        <v>0</v>
      </c>
      <c r="G22" s="63">
        <f>SUMIF('FS-Data'!$C:$C,$B22,'FS-Data'!H:H)</f>
        <v>0</v>
      </c>
      <c r="H22"/>
      <c r="I22" s="50"/>
    </row>
    <row r="23" spans="1:9" outlineLevel="1" x14ac:dyDescent="0.25">
      <c r="B23" s="54" t="str">
        <f>'Data Labels'!B18</f>
        <v>Long Term Investments</v>
      </c>
      <c r="C23" s="63">
        <f>SUMIF('FS-Data'!$C:$C,$B23,'FS-Data'!D:D)</f>
        <v>0</v>
      </c>
      <c r="D23" s="63">
        <f>SUMIF('FS-Data'!$C:$C,$B23,'FS-Data'!E:E)</f>
        <v>0</v>
      </c>
      <c r="E23" s="63">
        <f>SUMIF('FS-Data'!$C:$C,$B23,'FS-Data'!F:F)</f>
        <v>0</v>
      </c>
      <c r="F23" s="63">
        <f>SUMIF('FS-Data'!$C:$C,$B23,'FS-Data'!G:G)</f>
        <v>0</v>
      </c>
      <c r="G23" s="63">
        <f>SUMIF('FS-Data'!$C:$C,$B23,'FS-Data'!H:H)</f>
        <v>0</v>
      </c>
      <c r="I23" s="50"/>
    </row>
    <row r="24" spans="1:9" outlineLevel="1" x14ac:dyDescent="0.25">
      <c r="B24" s="54" t="str">
        <f>'Data Labels'!B19</f>
        <v>Related Parties LT Assets</v>
      </c>
      <c r="C24" s="63">
        <f>SUMIF('FS-Data'!$C:$C,$B24,'FS-Data'!D:D)</f>
        <v>0</v>
      </c>
      <c r="D24" s="63">
        <f>SUMIF('FS-Data'!$C:$C,$B24,'FS-Data'!E:E)</f>
        <v>0</v>
      </c>
      <c r="E24" s="63">
        <f>SUMIF('FS-Data'!$C:$C,$B24,'FS-Data'!F:F)</f>
        <v>0</v>
      </c>
      <c r="F24" s="63">
        <f>SUMIF('FS-Data'!$C:$C,$B24,'FS-Data'!G:G)</f>
        <v>0</v>
      </c>
      <c r="G24" s="63">
        <f>SUMIF('FS-Data'!$C:$C,$B24,'FS-Data'!H:H)</f>
        <v>0</v>
      </c>
      <c r="I24" s="50"/>
    </row>
    <row r="25" spans="1:9" outlineLevel="1" x14ac:dyDescent="0.25">
      <c r="B25" s="54" t="str">
        <f>'Data Labels'!B20</f>
        <v>Deferred Tax Asset</v>
      </c>
      <c r="C25" s="63">
        <f>SUMIF('FS-Data'!$C:$C,$B25,'FS-Data'!D:D)</f>
        <v>0</v>
      </c>
      <c r="D25" s="63">
        <f>SUMIF('FS-Data'!$C:$C,$B25,'FS-Data'!E:E)</f>
        <v>0</v>
      </c>
      <c r="E25" s="63">
        <f>SUMIF('FS-Data'!$C:$C,$B25,'FS-Data'!F:F)</f>
        <v>0</v>
      </c>
      <c r="F25" s="63">
        <f>SUMIF('FS-Data'!$C:$C,$B25,'FS-Data'!G:G)</f>
        <v>0</v>
      </c>
      <c r="G25" s="63">
        <f>SUMIF('FS-Data'!$C:$C,$B25,'FS-Data'!H:H)</f>
        <v>0</v>
      </c>
      <c r="I25" s="50"/>
    </row>
    <row r="26" spans="1:9" outlineLevel="1" x14ac:dyDescent="0.25">
      <c r="B26" s="54" t="str">
        <f>'Data Labels'!B21</f>
        <v>Other Non-current Assets</v>
      </c>
      <c r="C26" s="63">
        <f>SUMIF('FS-Data'!$C:$C,$B26,'FS-Data'!D:D)</f>
        <v>0</v>
      </c>
      <c r="D26" s="63">
        <f>SUMIF('FS-Data'!$C:$C,$B26,'FS-Data'!E:E)</f>
        <v>0</v>
      </c>
      <c r="E26" s="63">
        <f>SUMIF('FS-Data'!$C:$C,$B26,'FS-Data'!F:F)</f>
        <v>0</v>
      </c>
      <c r="F26" s="63">
        <f>SUMIF('FS-Data'!$C:$C,$B26,'FS-Data'!G:G)</f>
        <v>0</v>
      </c>
      <c r="G26" s="63">
        <f>SUMIF('FS-Data'!$C:$C,$B26,'FS-Data'!H:H)</f>
        <v>0</v>
      </c>
      <c r="I26" s="50"/>
    </row>
    <row r="27" spans="1:9" x14ac:dyDescent="0.25">
      <c r="B27" s="60" t="s">
        <v>146</v>
      </c>
      <c r="C27" s="61">
        <f>C18+C21+SUM(C22:C26)</f>
        <v>31635.679999999993</v>
      </c>
      <c r="D27" s="61">
        <f t="shared" ref="D27:G27" si="4">D18+D21+SUM(D22:D26)</f>
        <v>31635.679999999993</v>
      </c>
      <c r="E27" s="61">
        <f t="shared" si="4"/>
        <v>0</v>
      </c>
      <c r="F27" s="61">
        <f t="shared" si="4"/>
        <v>0</v>
      </c>
      <c r="G27" s="61">
        <f t="shared" si="4"/>
        <v>0</v>
      </c>
      <c r="I27" s="50"/>
    </row>
    <row r="28" spans="1:9" s="1" customFormat="1" x14ac:dyDescent="0.25">
      <c r="B28" s="53" t="s">
        <v>147</v>
      </c>
      <c r="C28" s="64">
        <f>C13+C27</f>
        <v>186782.43</v>
      </c>
      <c r="D28" s="64">
        <f t="shared" ref="D28:G28" si="5">D13+D27</f>
        <v>186782.43</v>
      </c>
      <c r="E28" s="64">
        <f t="shared" si="5"/>
        <v>0</v>
      </c>
      <c r="F28" s="64">
        <f t="shared" si="5"/>
        <v>0</v>
      </c>
      <c r="G28" s="64">
        <f t="shared" si="5"/>
        <v>0</v>
      </c>
      <c r="H28"/>
      <c r="I28" s="50"/>
    </row>
    <row r="29" spans="1:9" x14ac:dyDescent="0.25">
      <c r="B29" s="48"/>
      <c r="C29" s="5"/>
      <c r="D29" s="5"/>
      <c r="E29" s="5"/>
      <c r="F29" s="5"/>
      <c r="G29" s="5"/>
      <c r="I29" s="50"/>
    </row>
    <row r="30" spans="1:9" x14ac:dyDescent="0.25">
      <c r="B30" s="49" t="s">
        <v>148</v>
      </c>
      <c r="C30" s="26">
        <f>C3</f>
        <v>45504</v>
      </c>
      <c r="D30" s="26">
        <f t="shared" ref="D30:G30" si="6">D3</f>
        <v>45504</v>
      </c>
      <c r="E30" s="26">
        <f t="shared" si="6"/>
        <v>0</v>
      </c>
      <c r="F30" s="26">
        <f t="shared" si="6"/>
        <v>0</v>
      </c>
      <c r="G30" s="26">
        <f t="shared" si="6"/>
        <v>0</v>
      </c>
      <c r="I30" s="50"/>
    </row>
    <row r="31" spans="1:9" outlineLevel="1" x14ac:dyDescent="0.25">
      <c r="B31" s="54" t="str">
        <f>'Data Labels'!C3</f>
        <v>Accounts Payable</v>
      </c>
      <c r="C31" s="57">
        <f>SUMIF('FS-Data'!$C:$C,$B31,'FS-Data'!D:D)</f>
        <v>50609.72</v>
      </c>
      <c r="D31" s="57">
        <f>SUMIF('FS-Data'!$C:$C,$B31,'FS-Data'!E:E)</f>
        <v>50609.72</v>
      </c>
      <c r="E31" s="57">
        <f>SUMIF('FS-Data'!$C:$C,$B31,'FS-Data'!F:F)</f>
        <v>0</v>
      </c>
      <c r="F31" s="57">
        <f>SUMIF('FS-Data'!$C:$C,$B31,'FS-Data'!G:G)</f>
        <v>0</v>
      </c>
      <c r="G31" s="57">
        <f>SUMIF('FS-Data'!$C:$C,$B31,'FS-Data'!H:H)</f>
        <v>0</v>
      </c>
      <c r="H31" s="50"/>
      <c r="I31" s="50"/>
    </row>
    <row r="32" spans="1:9" outlineLevel="1" x14ac:dyDescent="0.25">
      <c r="B32" s="54" t="str">
        <f>'Data Labels'!C4</f>
        <v>Short Term Borrowings</v>
      </c>
      <c r="C32" s="57">
        <f>SUMIF('FS-Data'!$C:$C,$B32,'FS-Data'!D:D)</f>
        <v>5892.56</v>
      </c>
      <c r="D32" s="57">
        <f>SUMIF('FS-Data'!$C:$C,$B32,'FS-Data'!E:E)</f>
        <v>5892.56</v>
      </c>
      <c r="E32" s="57">
        <f>SUMIF('FS-Data'!$C:$C,$B32,'FS-Data'!F:F)</f>
        <v>0</v>
      </c>
      <c r="F32" s="57">
        <f>SUMIF('FS-Data'!$C:$C,$B32,'FS-Data'!G:G)</f>
        <v>0</v>
      </c>
      <c r="G32" s="57">
        <f>SUMIF('FS-Data'!$C:$C,$B32,'FS-Data'!H:H)</f>
        <v>0</v>
      </c>
      <c r="H32" s="50"/>
      <c r="I32" s="50"/>
    </row>
    <row r="33" spans="2:11" outlineLevel="1" x14ac:dyDescent="0.25">
      <c r="B33" s="54" t="str">
        <f>'Data Labels'!C5</f>
        <v>Current Portion of LT Debt</v>
      </c>
      <c r="C33" s="57">
        <f>SUMIF('FS-Data'!$C:$C,$B33,'FS-Data'!D:D)</f>
        <v>0</v>
      </c>
      <c r="D33" s="57">
        <f>SUMIF('FS-Data'!$C:$C,$B33,'FS-Data'!E:E)</f>
        <v>0</v>
      </c>
      <c r="E33" s="57">
        <f>SUMIF('FS-Data'!$C:$C,$B33,'FS-Data'!F:F)</f>
        <v>0</v>
      </c>
      <c r="F33" s="57">
        <f>SUMIF('FS-Data'!$C:$C,$B33,'FS-Data'!G:G)</f>
        <v>0</v>
      </c>
      <c r="G33" s="57">
        <f>SUMIF('FS-Data'!$C:$C,$B33,'FS-Data'!H:H)</f>
        <v>0</v>
      </c>
      <c r="H33" s="50"/>
      <c r="I33" s="50"/>
    </row>
    <row r="34" spans="2:11" outlineLevel="1" x14ac:dyDescent="0.25">
      <c r="B34" s="54" t="str">
        <f>'Data Labels'!C6</f>
        <v>Related Parties Liability</v>
      </c>
      <c r="C34" s="57">
        <f>SUMIF('FS-Data'!$C:$C,$B34,'FS-Data'!D:D)</f>
        <v>0</v>
      </c>
      <c r="D34" s="57">
        <f>SUMIF('FS-Data'!$C:$C,$B34,'FS-Data'!E:E)</f>
        <v>0</v>
      </c>
      <c r="E34" s="57">
        <f>SUMIF('FS-Data'!$C:$C,$B34,'FS-Data'!F:F)</f>
        <v>0</v>
      </c>
      <c r="F34" s="57">
        <f>SUMIF('FS-Data'!$C:$C,$B34,'FS-Data'!G:G)</f>
        <v>0</v>
      </c>
      <c r="G34" s="57">
        <f>SUMIF('FS-Data'!$C:$C,$B34,'FS-Data'!H:H)</f>
        <v>0</v>
      </c>
      <c r="I34" s="50"/>
    </row>
    <row r="35" spans="2:11" outlineLevel="1" x14ac:dyDescent="0.25">
      <c r="B35" s="54" t="str">
        <f>'Data Labels'!C7</f>
        <v>Deferred Revenue</v>
      </c>
      <c r="C35" s="57">
        <f>SUMIF('FS-Data'!$C:$C,$B35,'FS-Data'!D:D)</f>
        <v>0</v>
      </c>
      <c r="D35" s="57">
        <f>SUMIF('FS-Data'!$C:$C,$B35,'FS-Data'!E:E)</f>
        <v>0</v>
      </c>
      <c r="E35" s="57">
        <f>SUMIF('FS-Data'!$C:$C,$B35,'FS-Data'!F:F)</f>
        <v>0</v>
      </c>
      <c r="F35" s="57">
        <f>SUMIF('FS-Data'!$C:$C,$B35,'FS-Data'!G:G)</f>
        <v>0</v>
      </c>
      <c r="G35" s="57">
        <f>SUMIF('FS-Data'!$C:$C,$B35,'FS-Data'!H:H)</f>
        <v>0</v>
      </c>
      <c r="I35" s="50"/>
    </row>
    <row r="36" spans="2:11" outlineLevel="1" x14ac:dyDescent="0.25">
      <c r="B36" s="54" t="str">
        <f>'Data Labels'!C8</f>
        <v>Operating Lease Liabilities CP</v>
      </c>
      <c r="C36" s="57">
        <f>SUMIF('FS-Data'!$C:$C,$B36,'FS-Data'!D:D)</f>
        <v>0</v>
      </c>
      <c r="D36" s="57">
        <f>SUMIF('FS-Data'!$C:$C,$B36,'FS-Data'!E:E)</f>
        <v>0</v>
      </c>
      <c r="E36" s="57">
        <f>SUMIF('FS-Data'!$C:$C,$B36,'FS-Data'!F:F)</f>
        <v>0</v>
      </c>
      <c r="F36" s="57">
        <f>SUMIF('FS-Data'!$C:$C,$B36,'FS-Data'!G:G)</f>
        <v>0</v>
      </c>
      <c r="G36" s="57">
        <f>SUMIF('FS-Data'!$C:$C,$B36,'FS-Data'!H:H)</f>
        <v>0</v>
      </c>
      <c r="I36" s="50"/>
    </row>
    <row r="37" spans="2:11" outlineLevel="1" x14ac:dyDescent="0.25">
      <c r="B37" s="54" t="s">
        <v>90</v>
      </c>
      <c r="C37" s="57">
        <f>SUMIF('FS-Data'!$C:$C,$B37,'FS-Data'!D:D)</f>
        <v>0</v>
      </c>
      <c r="D37" s="57">
        <f>SUMIF('FS-Data'!$C:$C,$B37,'FS-Data'!E:E)</f>
        <v>0</v>
      </c>
      <c r="E37" s="57">
        <f>SUMIF('FS-Data'!$C:$C,$B37,'FS-Data'!F:F)</f>
        <v>0</v>
      </c>
      <c r="F37" s="57">
        <f>SUMIF('FS-Data'!$C:$C,$B37,'FS-Data'!G:G)</f>
        <v>0</v>
      </c>
      <c r="G37" s="57">
        <f>SUMIF('FS-Data'!$C:$C,$B37,'FS-Data'!H:H)</f>
        <v>0</v>
      </c>
      <c r="I37" s="50"/>
    </row>
    <row r="38" spans="2:11" outlineLevel="1" x14ac:dyDescent="0.25">
      <c r="B38" s="54" t="str">
        <f>'Data Labels'!C10</f>
        <v>Other Current Liabilities</v>
      </c>
      <c r="C38" s="57">
        <f>SUMIF('FS-Data'!$C:$C,$B38,'FS-Data'!D:D)</f>
        <v>0</v>
      </c>
      <c r="D38" s="57">
        <f>SUMIF('FS-Data'!$C:$C,$B38,'FS-Data'!E:E)</f>
        <v>0</v>
      </c>
      <c r="E38" s="57">
        <f>SUMIF('FS-Data'!$C:$C,$B38,'FS-Data'!F:F)</f>
        <v>0</v>
      </c>
      <c r="F38" s="57">
        <f>SUMIF('FS-Data'!$C:$C,$B38,'FS-Data'!G:G)</f>
        <v>0</v>
      </c>
      <c r="G38" s="57">
        <f>SUMIF('FS-Data'!$C:$C,$B38,'FS-Data'!H:H)</f>
        <v>0</v>
      </c>
      <c r="H38" s="50"/>
      <c r="I38" s="50"/>
      <c r="K38" s="50"/>
    </row>
    <row r="39" spans="2:11" x14ac:dyDescent="0.25">
      <c r="B39" s="60" t="s">
        <v>149</v>
      </c>
      <c r="C39" s="61">
        <f>SUM(C31:C38)</f>
        <v>56502.28</v>
      </c>
      <c r="D39" s="61">
        <f t="shared" ref="D39:G39" si="7">SUM(D31:D38)</f>
        <v>56502.28</v>
      </c>
      <c r="E39" s="61">
        <f t="shared" si="7"/>
        <v>0</v>
      </c>
      <c r="F39" s="61">
        <f t="shared" si="7"/>
        <v>0</v>
      </c>
      <c r="G39" s="61">
        <f t="shared" si="7"/>
        <v>0</v>
      </c>
      <c r="I39" s="50"/>
    </row>
    <row r="40" spans="2:11" outlineLevel="1" x14ac:dyDescent="0.25">
      <c r="B40" s="54" t="str">
        <f>'Data Labels'!C11</f>
        <v>Long Term Portion of LT Debt</v>
      </c>
      <c r="C40" s="57">
        <f>SUMIF('FS-Data'!$C:$C,$B40,'FS-Data'!D:D)</f>
        <v>0</v>
      </c>
      <c r="D40" s="57">
        <f>SUMIF('FS-Data'!$C:$C,$B40,'FS-Data'!E:E)</f>
        <v>0</v>
      </c>
      <c r="E40" s="57">
        <f>SUMIF('FS-Data'!$C:$C,$B40,'FS-Data'!F:F)</f>
        <v>0</v>
      </c>
      <c r="F40" s="57">
        <f>SUMIF('FS-Data'!$C:$C,$B40,'FS-Data'!G:G)</f>
        <v>0</v>
      </c>
      <c r="G40" s="57">
        <f>SUMIF('FS-Data'!$C:$C,$B40,'FS-Data'!H:H)</f>
        <v>0</v>
      </c>
      <c r="I40" s="50"/>
    </row>
    <row r="41" spans="2:11" outlineLevel="1" x14ac:dyDescent="0.25">
      <c r="B41" s="54" t="str">
        <f>'Data Labels'!C12</f>
        <v>Operating Lease Liabilities LT</v>
      </c>
      <c r="C41" s="57">
        <f>SUMIF('FS-Data'!$C:$C,$B41,'FS-Data'!D:D)</f>
        <v>0</v>
      </c>
      <c r="D41" s="57">
        <f>SUMIF('FS-Data'!$C:$C,$B41,'FS-Data'!E:E)</f>
        <v>0</v>
      </c>
      <c r="E41" s="57">
        <f>SUMIF('FS-Data'!$C:$C,$B41,'FS-Data'!F:F)</f>
        <v>0</v>
      </c>
      <c r="F41" s="57">
        <f>SUMIF('FS-Data'!$C:$C,$B41,'FS-Data'!G:G)</f>
        <v>0</v>
      </c>
      <c r="G41" s="57">
        <f>SUMIF('FS-Data'!$C:$C,$B41,'FS-Data'!H:H)</f>
        <v>0</v>
      </c>
      <c r="I41" s="50"/>
    </row>
    <row r="42" spans="2:11" outlineLevel="1" x14ac:dyDescent="0.25">
      <c r="B42" s="54" t="str">
        <f>'Data Labels'!C13</f>
        <v>Deferred Tax Liability</v>
      </c>
      <c r="C42" s="57">
        <f>SUMIF('FS-Data'!$C:$C,$B42,'FS-Data'!D:D)</f>
        <v>0</v>
      </c>
      <c r="D42" s="57">
        <f>SUMIF('FS-Data'!$C:$C,$B42,'FS-Data'!E:E)</f>
        <v>0</v>
      </c>
      <c r="E42" s="57">
        <f>SUMIF('FS-Data'!$C:$C,$B42,'FS-Data'!F:F)</f>
        <v>0</v>
      </c>
      <c r="F42" s="57">
        <f>SUMIF('FS-Data'!$C:$C,$B42,'FS-Data'!G:G)</f>
        <v>0</v>
      </c>
      <c r="G42" s="57">
        <f>SUMIF('FS-Data'!$C:$C,$B42,'FS-Data'!H:H)</f>
        <v>0</v>
      </c>
      <c r="I42" s="50"/>
    </row>
    <row r="43" spans="2:11" outlineLevel="1" x14ac:dyDescent="0.25">
      <c r="B43" s="54" t="str">
        <f>'Data Labels'!C14</f>
        <v>Other Non-Current Liabilities</v>
      </c>
      <c r="C43" s="57">
        <f>SUMIF('FS-Data'!$C:$C,$B43,'FS-Data'!D:D)</f>
        <v>0</v>
      </c>
      <c r="D43" s="57">
        <f>SUMIF('FS-Data'!$C:$C,$B43,'FS-Data'!E:E)</f>
        <v>0</v>
      </c>
      <c r="E43" s="57">
        <f>SUMIF('FS-Data'!$C:$C,$B43,'FS-Data'!F:F)</f>
        <v>0</v>
      </c>
      <c r="F43" s="57">
        <f>SUMIF('FS-Data'!$C:$C,$B43,'FS-Data'!G:G)</f>
        <v>0</v>
      </c>
      <c r="G43" s="57">
        <f>SUMIF('FS-Data'!$C:$C,$B43,'FS-Data'!H:H)</f>
        <v>0</v>
      </c>
      <c r="I43" s="50"/>
    </row>
    <row r="44" spans="2:11" s="1" customFormat="1" x14ac:dyDescent="0.25">
      <c r="B44" s="56" t="s">
        <v>150</v>
      </c>
      <c r="C44" s="61">
        <f>SUM(C40:C43)</f>
        <v>0</v>
      </c>
      <c r="D44" s="61">
        <f t="shared" ref="D44:G44" si="8">SUM(D40:D43)</f>
        <v>0</v>
      </c>
      <c r="E44" s="61">
        <f t="shared" si="8"/>
        <v>0</v>
      </c>
      <c r="F44" s="61">
        <f t="shared" si="8"/>
        <v>0</v>
      </c>
      <c r="G44" s="61">
        <f t="shared" si="8"/>
        <v>0</v>
      </c>
      <c r="H44"/>
      <c r="I44" s="50"/>
    </row>
    <row r="45" spans="2:11" s="1" customFormat="1" x14ac:dyDescent="0.25">
      <c r="B45" s="79" t="s">
        <v>151</v>
      </c>
      <c r="C45" s="80">
        <f>C44+C39</f>
        <v>56502.28</v>
      </c>
      <c r="D45" s="80">
        <f t="shared" ref="D45:G45" si="9">D44+D39</f>
        <v>56502.28</v>
      </c>
      <c r="E45" s="80">
        <f t="shared" si="9"/>
        <v>0</v>
      </c>
      <c r="F45" s="80">
        <f t="shared" si="9"/>
        <v>0</v>
      </c>
      <c r="G45" s="80">
        <f t="shared" si="9"/>
        <v>0</v>
      </c>
      <c r="H45"/>
      <c r="I45" s="50"/>
    </row>
    <row r="46" spans="2:11" x14ac:dyDescent="0.25">
      <c r="B46" s="54" t="str">
        <f>'Data Labels'!C15</f>
        <v>Stakeholders Equity</v>
      </c>
      <c r="C46" s="57">
        <f>SUMIF('FS-Data'!$C:$C,$B46,'FS-Data'!D:D)</f>
        <v>130280.15</v>
      </c>
      <c r="D46" s="57">
        <f>SUMIF('FS-Data'!$C:$C,$B46,'FS-Data'!E:E)</f>
        <v>130280.15</v>
      </c>
      <c r="E46" s="57">
        <f>SUMIF('FS-Data'!$C:$C,$B46,'FS-Data'!F:F)</f>
        <v>0</v>
      </c>
      <c r="F46" s="57">
        <f>SUMIF('FS-Data'!$C:$C,$B46,'FS-Data'!G:G)</f>
        <v>0</v>
      </c>
      <c r="G46" s="57">
        <f>SUMIF('FS-Data'!$C:$C,$B46,'FS-Data'!H:H)</f>
        <v>0</v>
      </c>
      <c r="H46" s="50"/>
      <c r="I46" s="50"/>
    </row>
    <row r="47" spans="2:11" x14ac:dyDescent="0.25">
      <c r="B47" s="54" t="str">
        <f>'Data Labels'!C16</f>
        <v>Other Equity</v>
      </c>
      <c r="C47" s="57">
        <f>SUMIF('FS-Data'!$C:$C,$B47,'FS-Data'!D:D)</f>
        <v>0</v>
      </c>
      <c r="D47" s="57">
        <f>SUMIF('FS-Data'!$C:$C,$B47,'FS-Data'!E:E)</f>
        <v>0</v>
      </c>
      <c r="E47" s="57">
        <f>SUMIF('FS-Data'!$C:$C,$B47,'FS-Data'!F:F)</f>
        <v>0</v>
      </c>
      <c r="F47" s="57">
        <f>SUMIF('FS-Data'!$C:$C,$B47,'FS-Data'!G:G)</f>
        <v>0</v>
      </c>
      <c r="G47" s="57">
        <f>SUMIF('FS-Data'!$C:$C,$B47,'FS-Data'!H:H)</f>
        <v>0</v>
      </c>
      <c r="I47" s="50"/>
    </row>
    <row r="48" spans="2:11" x14ac:dyDescent="0.25">
      <c r="B48" s="54" t="str">
        <f>'Data Labels'!C17</f>
        <v>Retained earnings</v>
      </c>
      <c r="C48" s="57">
        <f>SUMIF('FS-Data'!$C:$C,$B48,'FS-Data'!D:D)</f>
        <v>0</v>
      </c>
      <c r="D48" s="57">
        <f>SUMIF('FS-Data'!$C:$C,$B48,'FS-Data'!E:E)</f>
        <v>0</v>
      </c>
      <c r="E48" s="57">
        <f>SUMIF('FS-Data'!$C:$C,$B48,'FS-Data'!F:F)</f>
        <v>0</v>
      </c>
      <c r="F48" s="57">
        <f>SUMIF('FS-Data'!$C:$C,$B48,'FS-Data'!G:G)</f>
        <v>0</v>
      </c>
      <c r="G48" s="57">
        <f>SUMIF('FS-Data'!$C:$C,$B48,'FS-Data'!H:H)</f>
        <v>0</v>
      </c>
      <c r="H48" s="50"/>
      <c r="I48" s="50"/>
    </row>
    <row r="49" spans="2:9" x14ac:dyDescent="0.25">
      <c r="B49" s="54" t="str">
        <f>'Data Labels'!C18</f>
        <v>Additional Paid-in Capital</v>
      </c>
      <c r="C49" s="57">
        <f>SUMIF('FS-Data'!$C:$C,$B49,'FS-Data'!D:D)</f>
        <v>0</v>
      </c>
      <c r="D49" s="57">
        <f>SUMIF('FS-Data'!$C:$C,$B49,'FS-Data'!E:E)</f>
        <v>0</v>
      </c>
      <c r="E49" s="57">
        <f>SUMIF('FS-Data'!$C:$C,$B49,'FS-Data'!F:F)</f>
        <v>0</v>
      </c>
      <c r="F49" s="57">
        <f>SUMIF('FS-Data'!$C:$C,$B49,'FS-Data'!G:G)</f>
        <v>0</v>
      </c>
      <c r="G49" s="57">
        <f>SUMIF('FS-Data'!$C:$C,$B49,'FS-Data'!H:H)</f>
        <v>0</v>
      </c>
      <c r="H49" s="50"/>
      <c r="I49" s="50"/>
    </row>
    <row r="50" spans="2:9" collapsed="1" x14ac:dyDescent="0.25">
      <c r="B50" s="56" t="s">
        <v>152</v>
      </c>
      <c r="C50" s="61">
        <f>SUM(C46:C49)</f>
        <v>130280.15</v>
      </c>
      <c r="D50" s="61">
        <f t="shared" ref="D50:G50" si="10">SUM(D46:D49)</f>
        <v>130280.15</v>
      </c>
      <c r="E50" s="61">
        <f t="shared" si="10"/>
        <v>0</v>
      </c>
      <c r="F50" s="61">
        <f t="shared" si="10"/>
        <v>0</v>
      </c>
      <c r="G50" s="61">
        <f t="shared" si="10"/>
        <v>0</v>
      </c>
      <c r="I50" s="50"/>
    </row>
    <row r="51" spans="2:9" s="1" customFormat="1" x14ac:dyDescent="0.25">
      <c r="B51" s="34" t="s">
        <v>153</v>
      </c>
      <c r="C51" s="21">
        <f>C45+C50</f>
        <v>186782.43</v>
      </c>
      <c r="D51" s="21">
        <f t="shared" ref="D51:G51" si="11">D45+D50</f>
        <v>186782.43</v>
      </c>
      <c r="E51" s="21">
        <f t="shared" si="11"/>
        <v>0</v>
      </c>
      <c r="F51" s="21">
        <f t="shared" si="11"/>
        <v>0</v>
      </c>
      <c r="G51" s="21">
        <f t="shared" si="11"/>
        <v>0</v>
      </c>
      <c r="H51"/>
      <c r="I51" s="50"/>
    </row>
    <row r="52" spans="2:9" x14ac:dyDescent="0.25">
      <c r="C52" s="15"/>
      <c r="D52" s="15"/>
      <c r="E52" s="15"/>
      <c r="F52" s="15"/>
      <c r="G52" s="15"/>
      <c r="H52" s="52"/>
      <c r="I52" s="50"/>
    </row>
    <row r="53" spans="2:9" x14ac:dyDescent="0.25">
      <c r="C53" s="22"/>
      <c r="D53" s="22"/>
      <c r="E53" s="22"/>
      <c r="F53" s="22"/>
      <c r="G53" s="22"/>
      <c r="H53" s="19"/>
    </row>
    <row r="54" spans="2:9" x14ac:dyDescent="0.25">
      <c r="C54" s="20"/>
      <c r="D54" s="20"/>
      <c r="E54" s="20"/>
      <c r="F54" s="20"/>
      <c r="G54" s="20"/>
      <c r="H54" s="19"/>
    </row>
    <row r="55" spans="2:9" x14ac:dyDescent="0.25">
      <c r="C55" s="20"/>
      <c r="D55" s="20"/>
      <c r="E55" s="20"/>
      <c r="F55" s="20"/>
      <c r="G55" s="20"/>
      <c r="H55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43DF-2523-43DC-ABFD-44398CFDD7B2}">
  <sheetPr>
    <tabColor theme="8" tint="0.39997558519241921"/>
  </sheetPr>
  <dimension ref="B1:J43"/>
  <sheetViews>
    <sheetView showGridLines="0" topLeftCell="A31" zoomScale="135" zoomScaleNormal="90" workbookViewId="0">
      <selection activeCell="B16" sqref="B16"/>
    </sheetView>
  </sheetViews>
  <sheetFormatPr baseColWidth="10" defaultColWidth="8.85546875" defaultRowHeight="15" outlineLevelRow="1" x14ac:dyDescent="0.25"/>
  <cols>
    <col min="1" max="1" width="3.7109375" customWidth="1"/>
    <col min="2" max="2" width="58.85546875" bestFit="1" customWidth="1"/>
    <col min="3" max="3" width="13.7109375" bestFit="1" customWidth="1"/>
    <col min="4" max="4" width="13.42578125" bestFit="1" customWidth="1"/>
    <col min="5" max="5" width="11.42578125" bestFit="1" customWidth="1"/>
    <col min="6" max="6" width="10.28515625" bestFit="1" customWidth="1"/>
    <col min="7" max="7" width="19.42578125" bestFit="1" customWidth="1"/>
    <col min="8" max="8" width="10.7109375" bestFit="1" customWidth="1"/>
    <col min="9" max="9" width="10" bestFit="1" customWidth="1"/>
  </cols>
  <sheetData>
    <row r="1" spans="2:10" ht="15.75" x14ac:dyDescent="0.25">
      <c r="B1" s="66" t="s">
        <v>154</v>
      </c>
    </row>
    <row r="3" spans="2:10" x14ac:dyDescent="0.25">
      <c r="B3" s="25" t="s">
        <v>126</v>
      </c>
      <c r="C3" s="26">
        <f>'FS-BS'!C3</f>
        <v>45504</v>
      </c>
      <c r="D3" s="26">
        <f>'FS-BS'!D3</f>
        <v>45504</v>
      </c>
      <c r="E3" s="26">
        <f>'FS-BS'!E3</f>
        <v>0</v>
      </c>
      <c r="F3" s="26">
        <f>'FS-BS'!F3</f>
        <v>0</v>
      </c>
    </row>
    <row r="4" spans="2:10" outlineLevel="1" x14ac:dyDescent="0.25">
      <c r="B4" s="68" t="s">
        <v>155</v>
      </c>
      <c r="C4" s="70"/>
      <c r="D4" s="70"/>
      <c r="E4" s="70"/>
      <c r="F4" s="70"/>
    </row>
    <row r="5" spans="2:10" outlineLevel="1" x14ac:dyDescent="0.25">
      <c r="B5" s="16" t="s">
        <v>156</v>
      </c>
      <c r="C5" s="72">
        <f>IF('FS-Data'!D15="Yes",'FS-IS'!C44,IF('FS-IS'!C44='FS-Data'!D70,'FS-IS'!C44,'FS-Data'!D70))</f>
        <v>0</v>
      </c>
      <c r="D5" s="72">
        <f>IF('FS-Data'!E15="Yes",'FS-IS'!D44,IF('FS-IS'!D44='FS-Data'!E70,'FS-IS'!D44,'FS-Data'!E70))</f>
        <v>0</v>
      </c>
      <c r="E5" s="72">
        <f>IF('FS-Data'!F15="Yes",'FS-IS'!E44,IF('FS-IS'!E44='FS-Data'!F70,'FS-IS'!E44,'FS-Data'!F70))</f>
        <v>0</v>
      </c>
      <c r="F5" s="72">
        <f>IF('FS-Data'!G15="Yes",'FS-IS'!F44,IF('FS-IS'!F44='FS-Data'!G70,'FS-IS'!F44,'FS-Data'!G70))</f>
        <v>0</v>
      </c>
    </row>
    <row r="6" spans="2:10" outlineLevel="1" x14ac:dyDescent="0.25">
      <c r="B6" s="16" t="str">
        <f>'Data Labels'!E4</f>
        <v xml:space="preserve">Depr &amp; Amortization on Fixed Assets </v>
      </c>
      <c r="C6" s="133">
        <f>IF('FS-Data'!D$16="Yes",SUMIF('FS-Data'!$C$95:$C$112,'FS-CF'!$B6,'FS-Data'!D$95:D$112),SUMIF('FS-Data'!$C$65:$C$95,'FS-CF'!$B6,'FS-Data'!D$65:D$95))</f>
        <v>0</v>
      </c>
      <c r="D6" s="133">
        <f>IF('FS-Data'!E$16="Yes",SUMIF('FS-Data'!$C$95:$C$112,'FS-CF'!$B6,'FS-Data'!E$95:E$112),SUMIF('FS-Data'!$C$65:$C$95,'FS-CF'!$B6,'FS-Data'!E$65:E$95))</f>
        <v>0</v>
      </c>
      <c r="E6" s="133">
        <f>IF('FS-Data'!F$16="Yes",SUMIF('FS-Data'!$C$95:$C$112,'FS-CF'!$B6,'FS-Data'!F$95:F$112),SUMIF('FS-Data'!$C$65:$C$95,'FS-CF'!$B6,'FS-Data'!F$65:F$95))</f>
        <v>0</v>
      </c>
      <c r="F6" s="133">
        <f>IF('FS-Data'!G$16="Yes",SUMIF('FS-Data'!$C$95:$C$112,'FS-CF'!$B6,'FS-Data'!G$95:G$112),SUMIF('FS-Data'!$C$65:$C$95,'FS-CF'!$B6,'FS-Data'!G$65:G$95))</f>
        <v>0</v>
      </c>
    </row>
    <row r="7" spans="2:10" outlineLevel="1" x14ac:dyDescent="0.25">
      <c r="B7" s="16" t="str">
        <f>'Data Labels'!E5</f>
        <v>(Gain)/Loss on Asset sale</v>
      </c>
      <c r="C7" s="133">
        <f>IF('FS-Data'!D$16="Yes",SUMIF('FS-Data'!$C$95:$C$112,'FS-CF'!$B7,'FS-Data'!D$95:D$112),SUMIF('FS-Data'!$C$65:$C$95,'FS-CF'!$B7,'FS-Data'!D$65:D$95))</f>
        <v>0</v>
      </c>
      <c r="D7" s="133">
        <f>IF('FS-Data'!E$16="Yes",SUMIF('FS-Data'!$C$95:$C$112,'FS-CF'!$B7,'FS-Data'!E$95:E$112),SUMIF('FS-Data'!$C$65:$C$95,'FS-CF'!$B7,'FS-Data'!E$65:E$95))</f>
        <v>0</v>
      </c>
      <c r="E7" s="133">
        <f>IF('FS-Data'!F$16="Yes",SUMIF('FS-Data'!$C$95:$C$112,'FS-CF'!$B7,'FS-Data'!F$95:F$112),SUMIF('FS-Data'!$C$65:$C$95,'FS-CF'!$B7,'FS-Data'!F$65:F$95))</f>
        <v>0</v>
      </c>
      <c r="F7" s="133">
        <f>IF('FS-Data'!G$16="Yes",SUMIF('FS-Data'!$C$95:$C$112,'FS-CF'!$B7,'FS-Data'!G$95:G$112),SUMIF('FS-Data'!$C$65:$C$95,'FS-CF'!$B7,'FS-Data'!G$65:G$95))</f>
        <v>0</v>
      </c>
    </row>
    <row r="8" spans="2:10" outlineLevel="1" x14ac:dyDescent="0.25">
      <c r="B8" s="16" t="str">
        <f>'Data Labels'!E6</f>
        <v>Other non-Cash Items</v>
      </c>
      <c r="C8" s="133">
        <f>IF('FS-Data'!D$16="Yes",SUMIF('FS-Data'!$C$95:$C$112,'FS-CF'!$B8,'FS-Data'!D$95:D$112),SUMIF('FS-Data'!$C$65:$C$95,'FS-CF'!$B8,'FS-Data'!D$65:D$95))</f>
        <v>0</v>
      </c>
      <c r="D8" s="133">
        <f>IF('FS-Data'!E$16="Yes",SUMIF('FS-Data'!$C$95:$C$112,'FS-CF'!$B8,'FS-Data'!E$95:E$112),SUMIF('FS-Data'!$C$65:$C$95,'FS-CF'!$B8,'FS-Data'!E$65:E$95))</f>
        <v>0</v>
      </c>
      <c r="E8" s="133">
        <f>IF('FS-Data'!F$16="Yes",SUMIF('FS-Data'!$C$95:$C$112,'FS-CF'!$B8,'FS-Data'!F$95:F$112),SUMIF('FS-Data'!$C$65:$C$95,'FS-CF'!$B8,'FS-Data'!F$65:F$95))</f>
        <v>0</v>
      </c>
      <c r="F8" s="133">
        <f>IF('FS-Data'!G$16="Yes",SUMIF('FS-Data'!$C$95:$C$112,'FS-CF'!$B8,'FS-Data'!G$95:G$112),SUMIF('FS-Data'!$C$65:$C$95,'FS-CF'!$B8,'FS-Data'!G$65:G$95))</f>
        <v>0</v>
      </c>
    </row>
    <row r="9" spans="2:10" outlineLevel="1" x14ac:dyDescent="0.25">
      <c r="B9" s="16" t="str">
        <f>'Data Labels'!E7</f>
        <v>Other Operating Expenses/(Income)</v>
      </c>
      <c r="C9" s="133">
        <f>IF('FS-Data'!D$16="Yes",SUMIF('FS-Data'!$C$95:$C$112,'FS-CF'!$B9,'FS-Data'!D$95:D$112),SUMIF('FS-Data'!$C$65:$C$95,'FS-CF'!$B9,'FS-Data'!D$65:D$95))</f>
        <v>0</v>
      </c>
      <c r="D9" s="133">
        <f>IF('FS-Data'!E$16="Yes",SUMIF('FS-Data'!$C$95:$C$112,'FS-CF'!$B9,'FS-Data'!E$95:E$112),SUMIF('FS-Data'!$C$65:$C$95,'FS-CF'!$B9,'FS-Data'!E$65:E$95))</f>
        <v>0</v>
      </c>
      <c r="E9" s="133">
        <f>IF('FS-Data'!F$16="Yes",SUMIF('FS-Data'!$C$95:$C$112,'FS-CF'!$B9,'FS-Data'!F$95:F$112),SUMIF('FS-Data'!$C$65:$C$95,'FS-CF'!$B9,'FS-Data'!F$65:F$95))</f>
        <v>0</v>
      </c>
      <c r="F9" s="133">
        <f>IF('FS-Data'!G$16="Yes",SUMIF('FS-Data'!$C$95:$C$112,'FS-CF'!$B9,'FS-Data'!G$95:G$112),SUMIF('FS-Data'!$C$65:$C$95,'FS-CF'!$B9,'FS-Data'!G$65:G$95))</f>
        <v>0</v>
      </c>
    </row>
    <row r="10" spans="2:10" outlineLevel="1" x14ac:dyDescent="0.25">
      <c r="B10" s="73" t="s">
        <v>157</v>
      </c>
      <c r="C10" s="70"/>
      <c r="D10" s="70"/>
      <c r="E10" s="70"/>
      <c r="F10" s="70"/>
    </row>
    <row r="11" spans="2:10" outlineLevel="1" x14ac:dyDescent="0.25">
      <c r="B11" s="16" t="str">
        <f>'Data Labels'!E8</f>
        <v>Change in Net Accounts Receivable</v>
      </c>
      <c r="C11" s="133">
        <f>IF('FS-Data'!D$16="Yes",SUMIF('FS-Data'!$C$95:$C$112,'FS-CF'!$B11,'FS-Data'!D$95:D$112),SUMIF('FS-Data'!$C$65:$C$95,'FS-CF'!$B11,'FS-Data'!D$65:D$95))</f>
        <v>0</v>
      </c>
      <c r="D11" s="133">
        <f>IF('FS-Data'!E$16="Yes",SUMIF('FS-Data'!$C$95:$C$112,'FS-CF'!$B11,'FS-Data'!E$95:E$112),SUMIF('FS-Data'!$C$65:$C$95,'FS-CF'!$B11,'FS-Data'!E$65:E$95))</f>
        <v>0</v>
      </c>
      <c r="E11" s="133">
        <f>IF('FS-Data'!F$16="Yes",SUMIF('FS-Data'!$C$95:$C$112,'FS-CF'!$B11,'FS-Data'!F$95:F$112),SUMIF('FS-Data'!$C$65:$C$95,'FS-CF'!$B11,'FS-Data'!F$65:F$95))</f>
        <v>0</v>
      </c>
      <c r="F11" s="133">
        <f>IF('FS-Data'!G$16="Yes",SUMIF('FS-Data'!$C$95:$C$112,'FS-CF'!$B11,'FS-Data'!G$95:G$112),SUMIF('FS-Data'!$C$65:$C$95,'FS-CF'!$B11,'FS-Data'!G$65:G$95))</f>
        <v>0</v>
      </c>
    </row>
    <row r="12" spans="2:10" outlineLevel="1" x14ac:dyDescent="0.25">
      <c r="B12" s="16" t="str">
        <f>'Data Labels'!E9</f>
        <v>Change in Inventory</v>
      </c>
      <c r="C12" s="133">
        <f>IF('FS-Data'!D$16="Yes",SUMIF('FS-Data'!$C$95:$C$112,'FS-CF'!$B12,'FS-Data'!D$95:D$112),SUMIF('FS-Data'!$C$65:$C$95,'FS-CF'!$B12,'FS-Data'!D$65:D$95))</f>
        <v>0</v>
      </c>
      <c r="D12" s="133">
        <f>IF('FS-Data'!E$16="Yes",SUMIF('FS-Data'!$C$95:$C$112,'FS-CF'!$B12,'FS-Data'!E$95:E$112),SUMIF('FS-Data'!$C$65:$C$95,'FS-CF'!$B12,'FS-Data'!E$65:E$95))</f>
        <v>0</v>
      </c>
      <c r="E12" s="133">
        <f>IF('FS-Data'!F$16="Yes",SUMIF('FS-Data'!$C$95:$C$112,'FS-CF'!$B12,'FS-Data'!F$95:F$112),SUMIF('FS-Data'!$C$65:$C$95,'FS-CF'!$B12,'FS-Data'!F$65:F$95))</f>
        <v>0</v>
      </c>
      <c r="F12" s="133">
        <f>IF('FS-Data'!G$16="Yes",SUMIF('FS-Data'!$C$95:$C$112,'FS-CF'!$B12,'FS-Data'!G$95:G$112),SUMIF('FS-Data'!$C$65:$C$95,'FS-CF'!$B12,'FS-Data'!G$65:G$95))</f>
        <v>0</v>
      </c>
    </row>
    <row r="13" spans="2:10" outlineLevel="1" x14ac:dyDescent="0.25">
      <c r="B13" s="16" t="str">
        <f>'Data Labels'!E10</f>
        <v>Change in Other Current Assets</v>
      </c>
      <c r="C13" s="133">
        <f>IF('FS-Data'!D$16="Yes",SUMIF('FS-Data'!$C$95:$C$112,'FS-CF'!$B13,'FS-Data'!D$95:D$112),SUMIF('FS-Data'!$C$65:$C$95,'FS-CF'!$B13,'FS-Data'!D$65:D$95))</f>
        <v>0</v>
      </c>
      <c r="D13" s="133">
        <f>IF('FS-Data'!E$16="Yes",SUMIF('FS-Data'!$C$95:$C$112,'FS-CF'!$B13,'FS-Data'!E$95:E$112),SUMIF('FS-Data'!$C$65:$C$95,'FS-CF'!$B13,'FS-Data'!E$65:E$95))</f>
        <v>0</v>
      </c>
      <c r="E13" s="133">
        <f>IF('FS-Data'!F$16="Yes",SUMIF('FS-Data'!$C$95:$C$112,'FS-CF'!$B13,'FS-Data'!F$95:F$112),SUMIF('FS-Data'!$C$65:$C$95,'FS-CF'!$B13,'FS-Data'!F$65:F$95))</f>
        <v>0</v>
      </c>
      <c r="F13" s="133">
        <f>IF('FS-Data'!G$16="Yes",SUMIF('FS-Data'!$C$95:$C$112,'FS-CF'!$B13,'FS-Data'!G$95:G$112),SUMIF('FS-Data'!$C$65:$C$95,'FS-CF'!$B13,'FS-Data'!G$65:G$95))</f>
        <v>0</v>
      </c>
    </row>
    <row r="14" spans="2:10" outlineLevel="1" x14ac:dyDescent="0.25">
      <c r="B14" s="16" t="str">
        <f>'Data Labels'!E11</f>
        <v>Change in Accounts Payable</v>
      </c>
      <c r="C14" s="133">
        <f>IF('FS-Data'!D$16="Yes",SUMIF('FS-Data'!$C$95:$C$112,'FS-CF'!$B14,'FS-Data'!D$95:D$112),SUMIF('FS-Data'!$C$65:$C$95,'FS-CF'!$B14,'FS-Data'!D$65:D$95))</f>
        <v>0</v>
      </c>
      <c r="D14" s="133">
        <f>IF('FS-Data'!E$16="Yes",SUMIF('FS-Data'!$C$95:$C$112,'FS-CF'!$B14,'FS-Data'!E$95:E$112),SUMIF('FS-Data'!$C$65:$C$95,'FS-CF'!$B14,'FS-Data'!E$65:E$95))</f>
        <v>0</v>
      </c>
      <c r="E14" s="133">
        <f>IF('FS-Data'!F$16="Yes",SUMIF('FS-Data'!$C$95:$C$112,'FS-CF'!$B14,'FS-Data'!F$95:F$112),SUMIF('FS-Data'!$C$65:$C$95,'FS-CF'!$B14,'FS-Data'!F$65:F$95))</f>
        <v>0</v>
      </c>
      <c r="F14" s="133">
        <f>IF('FS-Data'!G$16="Yes",SUMIF('FS-Data'!$C$95:$C$112,'FS-CF'!$B14,'FS-Data'!G$95:G$112),SUMIF('FS-Data'!$C$65:$C$95,'FS-CF'!$B14,'FS-Data'!G$65:G$95))</f>
        <v>0</v>
      </c>
      <c r="J14" s="134"/>
    </row>
    <row r="15" spans="2:10" outlineLevel="1" x14ac:dyDescent="0.25">
      <c r="B15" s="16" t="str">
        <f>'Data Labels'!E12</f>
        <v>Change in Other Current Liabilities</v>
      </c>
      <c r="C15" s="133">
        <f>IF('FS-Data'!D$16="Yes",SUMIF('FS-Data'!$C$95:$C$112,'FS-CF'!$B15,'FS-Data'!D$95:D$112),SUMIF('FS-Data'!$C$65:$C$95,'FS-CF'!$B15,'FS-Data'!D$65:D$95))</f>
        <v>0</v>
      </c>
      <c r="D15" s="133">
        <f>IF('FS-Data'!E$16="Yes",SUMIF('FS-Data'!$C$95:$C$112,'FS-CF'!$B15,'FS-Data'!E$95:E$112),SUMIF('FS-Data'!$C$65:$C$95,'FS-CF'!$B15,'FS-Data'!E$65:E$95))</f>
        <v>0</v>
      </c>
      <c r="E15" s="133">
        <f>IF('FS-Data'!F$16="Yes",SUMIF('FS-Data'!$C$95:$C$112,'FS-CF'!$B15,'FS-Data'!F$95:F$112),SUMIF('FS-Data'!$C$65:$C$95,'FS-CF'!$B15,'FS-Data'!F$65:F$95))</f>
        <v>0</v>
      </c>
      <c r="F15" s="133">
        <f>IF('FS-Data'!G$16="Yes",SUMIF('FS-Data'!$C$95:$C$112,'FS-CF'!$B15,'FS-Data'!G$95:G$112),SUMIF('FS-Data'!$C$65:$C$95,'FS-CF'!$B15,'FS-Data'!G$65:G$95))</f>
        <v>0</v>
      </c>
    </row>
    <row r="16" spans="2:10" outlineLevel="1" x14ac:dyDescent="0.25">
      <c r="B16" s="16" t="str">
        <f>'Data Labels'!E13</f>
        <v>Change in Other non- Current Liabilities</v>
      </c>
      <c r="C16" s="133">
        <f>IF('FS-Data'!D$16="Yes",SUMIF('FS-Data'!$C$95:$C$112,'FS-CF'!$B16,'FS-Data'!D$95:D$112),SUMIF('FS-Data'!$C$65:$C$95,'FS-CF'!$B16,'FS-Data'!D$65:D$95))</f>
        <v>0</v>
      </c>
      <c r="D16" s="133">
        <f>IF('FS-Data'!E$16="Yes",SUMIF('FS-Data'!$C$95:$C$112,'FS-CF'!$B16,'FS-Data'!E$95:E$112),SUMIF('FS-Data'!$C$65:$C$95,'FS-CF'!$B16,'FS-Data'!E$65:E$95))</f>
        <v>0</v>
      </c>
      <c r="E16" s="133">
        <f>IF('FS-Data'!F$16="Yes",SUMIF('FS-Data'!$C$95:$C$112,'FS-CF'!$B16,'FS-Data'!F$95:F$112),SUMIF('FS-Data'!$C$65:$C$95,'FS-CF'!$B16,'FS-Data'!F$65:F$95))</f>
        <v>0</v>
      </c>
      <c r="F16" s="133">
        <f>IF('FS-Data'!G$16="Yes",SUMIF('FS-Data'!$C$95:$C$112,'FS-CF'!$B16,'FS-Data'!G$95:G$112),SUMIF('FS-Data'!$C$65:$C$95,'FS-CF'!$B16,'FS-Data'!G$65:G$95))</f>
        <v>0</v>
      </c>
    </row>
    <row r="17" spans="2:9" outlineLevel="1" x14ac:dyDescent="0.25">
      <c r="B17" s="16" t="str">
        <f>'Data Labels'!E14</f>
        <v>Change in Other non- Current Assets</v>
      </c>
      <c r="C17" s="133">
        <f>IF('FS-Data'!D$16="Yes",SUMIF('FS-Data'!$C$95:$C$112,'FS-CF'!$B17,'FS-Data'!D$95:D$112),SUMIF('FS-Data'!$C$65:$C$95,'FS-CF'!$B17,'FS-Data'!D$65:D$95))</f>
        <v>0</v>
      </c>
      <c r="D17" s="133">
        <f>IF('FS-Data'!E$16="Yes",SUMIF('FS-Data'!$C$95:$C$112,'FS-CF'!$B17,'FS-Data'!E$95:E$112),SUMIF('FS-Data'!$C$65:$C$95,'FS-CF'!$B17,'FS-Data'!E$65:E$95))</f>
        <v>0</v>
      </c>
      <c r="E17" s="133">
        <f>IF('FS-Data'!F$16="Yes",SUMIF('FS-Data'!$C$95:$C$112,'FS-CF'!$B17,'FS-Data'!F$95:F$112),SUMIF('FS-Data'!$C$65:$C$95,'FS-CF'!$B17,'FS-Data'!F$65:F$95))</f>
        <v>0</v>
      </c>
      <c r="F17" s="133">
        <f>IF('FS-Data'!G$16="Yes",SUMIF('FS-Data'!$C$95:$C$112,'FS-CF'!$B17,'FS-Data'!G$95:G$112),SUMIF('FS-Data'!$C$65:$C$95,'FS-CF'!$B17,'FS-Data'!G$65:G$95))</f>
        <v>0</v>
      </c>
    </row>
    <row r="18" spans="2:9" x14ac:dyDescent="0.25">
      <c r="B18" s="74" t="s">
        <v>158</v>
      </c>
      <c r="C18" s="75">
        <f>SUM(C5:C17)</f>
        <v>0</v>
      </c>
      <c r="D18" s="75">
        <f>SUM(D5:D17)</f>
        <v>0</v>
      </c>
      <c r="E18" s="75">
        <f>SUM(E5:E17)</f>
        <v>0</v>
      </c>
      <c r="F18" s="75">
        <f>SUM(F5:F17)</f>
        <v>0</v>
      </c>
    </row>
    <row r="19" spans="2:9" outlineLevel="1" x14ac:dyDescent="0.25">
      <c r="B19" s="23"/>
      <c r="C19" s="13"/>
      <c r="D19" s="13"/>
      <c r="E19" s="13"/>
      <c r="F19" s="13"/>
    </row>
    <row r="20" spans="2:9" outlineLevel="1" x14ac:dyDescent="0.25">
      <c r="B20" s="68" t="s">
        <v>159</v>
      </c>
      <c r="C20" s="70"/>
      <c r="D20" s="70"/>
      <c r="E20" s="70"/>
      <c r="F20" s="70"/>
    </row>
    <row r="21" spans="2:9" outlineLevel="1" x14ac:dyDescent="0.25">
      <c r="B21" s="16" t="str">
        <f>'Data Labels'!E15</f>
        <v>Capital Expenditure - Purchase of Fixed Assets</v>
      </c>
      <c r="C21" s="133">
        <f>IF('FS-Data'!D$16="Yes",SUMIF('FS-Data'!$C$95:$C$112,'FS-CF'!$B21,'FS-Data'!D$95:D$112),SUMIF('FS-Data'!$C$65:$C$95,'FS-CF'!$B21,'FS-Data'!D$65:D$95))</f>
        <v>0</v>
      </c>
      <c r="D21" s="133">
        <f>IF('FS-Data'!E$16="Yes",SUMIF('FS-Data'!$C$95:$C$112,'FS-CF'!$B21,'FS-Data'!E$95:E$112),SUMIF('FS-Data'!$C$65:$C$95,'FS-CF'!$B21,'FS-Data'!E$65:E$95))</f>
        <v>0</v>
      </c>
      <c r="E21" s="133">
        <f>IF('FS-Data'!F$16="Yes",SUMIF('FS-Data'!$C$95:$C$112,'FS-CF'!$B21,'FS-Data'!F$95:F$112),SUMIF('FS-Data'!$C$65:$C$95,'FS-CF'!$B21,'FS-Data'!F$65:F$95))</f>
        <v>0</v>
      </c>
      <c r="F21" s="133">
        <f>IF('FS-Data'!G$16="Yes",SUMIF('FS-Data'!$C$95:$C$112,'FS-CF'!$B21,'FS-Data'!G$95:G$112),SUMIF('FS-Data'!$C$65:$C$95,'FS-CF'!$B21,'FS-Data'!G$65:G$95))</f>
        <v>0</v>
      </c>
      <c r="H21" s="50"/>
    </row>
    <row r="22" spans="2:9" outlineLevel="1" x14ac:dyDescent="0.25">
      <c r="B22" s="16" t="str">
        <f>'Data Labels'!E16</f>
        <v>Proceeds from Sale of Fixed Assets</v>
      </c>
      <c r="C22" s="133">
        <f>IF('FS-Data'!D$16="Yes",SUMIF('FS-Data'!$C$95:$C$112,'FS-CF'!$B22,'FS-Data'!D$95:D$112),SUMIF('FS-Data'!$C$65:$C$95,'FS-CF'!$B22,'FS-Data'!D$65:D$95))</f>
        <v>0</v>
      </c>
      <c r="D22" s="133">
        <f>IF('FS-Data'!E$16="Yes",SUMIF('FS-Data'!$C$95:$C$112,'FS-CF'!$B22,'FS-Data'!E$95:E$112),SUMIF('FS-Data'!$C$65:$C$95,'FS-CF'!$B22,'FS-Data'!E$65:E$95))</f>
        <v>0</v>
      </c>
      <c r="E22" s="133">
        <f>IF('FS-Data'!F$16="Yes",SUMIF('FS-Data'!$C$95:$C$112,'FS-CF'!$B22,'FS-Data'!F$95:F$112),SUMIF('FS-Data'!$C$65:$C$95,'FS-CF'!$B22,'FS-Data'!F$65:F$95))</f>
        <v>0</v>
      </c>
      <c r="F22" s="133">
        <f>IF('FS-Data'!G$16="Yes",SUMIF('FS-Data'!$C$95:$C$112,'FS-CF'!$B22,'FS-Data'!G$95:G$112),SUMIF('FS-Data'!$C$65:$C$95,'FS-CF'!$B22,'FS-Data'!G$65:G$95))</f>
        <v>0</v>
      </c>
    </row>
    <row r="23" spans="2:9" outlineLevel="1" x14ac:dyDescent="0.25">
      <c r="B23" s="16" t="str">
        <f>'Data Labels'!E17</f>
        <v>Purchase of Investment Securities</v>
      </c>
      <c r="C23" s="133">
        <f>IF('FS-Data'!D$16="Yes",SUMIF('FS-Data'!$C$95:$C$112,'FS-CF'!$B23,'FS-Data'!D$95:D$112),SUMIF('FS-Data'!$C$65:$C$95,'FS-CF'!$B23,'FS-Data'!D$65:D$95))</f>
        <v>0</v>
      </c>
      <c r="D23" s="133">
        <f>IF('FS-Data'!E$16="Yes",SUMIF('FS-Data'!$C$95:$C$112,'FS-CF'!$B23,'FS-Data'!E$95:E$112),SUMIF('FS-Data'!$C$65:$C$95,'FS-CF'!$B23,'FS-Data'!E$65:E$95))</f>
        <v>0</v>
      </c>
      <c r="E23" s="133">
        <f>IF('FS-Data'!F$16="Yes",SUMIF('FS-Data'!$C$95:$C$112,'FS-CF'!$B23,'FS-Data'!F$95:F$112),SUMIF('FS-Data'!$C$65:$C$95,'FS-CF'!$B23,'FS-Data'!F$65:F$95))</f>
        <v>0</v>
      </c>
      <c r="F23" s="133">
        <f>IF('FS-Data'!G$16="Yes",SUMIF('FS-Data'!$C$95:$C$112,'FS-CF'!$B23,'FS-Data'!G$95:G$112),SUMIF('FS-Data'!$C$65:$C$95,'FS-CF'!$B23,'FS-Data'!G$65:G$95))</f>
        <v>0</v>
      </c>
    </row>
    <row r="24" spans="2:9" outlineLevel="1" x14ac:dyDescent="0.25">
      <c r="B24" s="16" t="str">
        <f>'Data Labels'!E18</f>
        <v xml:space="preserve">Sale of Investment Securities </v>
      </c>
      <c r="C24" s="133">
        <f>IF('FS-Data'!D$16="Yes",SUMIF('FS-Data'!$C$95:$C$112,'FS-CF'!$B24,'FS-Data'!D$95:D$112),SUMIF('FS-Data'!$C$65:$C$95,'FS-CF'!$B24,'FS-Data'!D$65:D$95))</f>
        <v>0</v>
      </c>
      <c r="D24" s="133">
        <f>IF('FS-Data'!E$16="Yes",SUMIF('FS-Data'!$C$95:$C$112,'FS-CF'!$B24,'FS-Data'!E$95:E$112),SUMIF('FS-Data'!$C$65:$C$95,'FS-CF'!$B24,'FS-Data'!E$65:E$95))</f>
        <v>0</v>
      </c>
      <c r="E24" s="133">
        <f>IF('FS-Data'!F$16="Yes",SUMIF('FS-Data'!$C$95:$C$112,'FS-CF'!$B24,'FS-Data'!F$95:F$112),SUMIF('FS-Data'!$C$65:$C$95,'FS-CF'!$B24,'FS-Data'!F$65:F$95))</f>
        <v>0</v>
      </c>
      <c r="F24" s="133">
        <f>IF('FS-Data'!G$16="Yes",SUMIF('FS-Data'!$C$95:$C$112,'FS-CF'!$B24,'FS-Data'!G$95:G$112),SUMIF('FS-Data'!$C$65:$C$95,'FS-CF'!$B24,'FS-Data'!G$65:G$95))</f>
        <v>0</v>
      </c>
    </row>
    <row r="25" spans="2:9" outlineLevel="1" x14ac:dyDescent="0.25">
      <c r="B25" s="16" t="str">
        <f>'Data Labels'!E19</f>
        <v>Other Investing Activities</v>
      </c>
      <c r="C25" s="133">
        <f>IF('FS-Data'!D$16="Yes",SUMIF('FS-Data'!$C$95:$C$112,'FS-CF'!$B25,'FS-Data'!D$95:D$112),SUMIF('FS-Data'!$C$65:$C$95,'FS-CF'!$B25,'FS-Data'!D$65:D$95))</f>
        <v>0</v>
      </c>
      <c r="D25" s="133">
        <f>IF('FS-Data'!E$16="Yes",SUMIF('FS-Data'!$C$95:$C$112,'FS-CF'!$B25,'FS-Data'!E$95:E$112),SUMIF('FS-Data'!$C$65:$C$95,'FS-CF'!$B25,'FS-Data'!E$65:E$95))</f>
        <v>0</v>
      </c>
      <c r="E25" s="133">
        <f>IF('FS-Data'!F$16="Yes",SUMIF('FS-Data'!$C$95:$C$112,'FS-CF'!$B25,'FS-Data'!F$95:F$112),SUMIF('FS-Data'!$C$65:$C$95,'FS-CF'!$B25,'FS-Data'!F$65:F$95))</f>
        <v>0</v>
      </c>
      <c r="F25" s="133">
        <f>IF('FS-Data'!G$16="Yes",SUMIF('FS-Data'!$C$95:$C$112,'FS-CF'!$B25,'FS-Data'!G$95:G$112),SUMIF('FS-Data'!$C$65:$C$95,'FS-CF'!$B25,'FS-Data'!G$65:G$95))</f>
        <v>0</v>
      </c>
    </row>
    <row r="26" spans="2:9" x14ac:dyDescent="0.25">
      <c r="B26" s="74" t="s">
        <v>160</v>
      </c>
      <c r="C26" s="76">
        <f>SUM(C21:C25)</f>
        <v>0</v>
      </c>
      <c r="D26" s="76">
        <f>SUM(D21:D25)</f>
        <v>0</v>
      </c>
      <c r="E26" s="76">
        <f>SUM(E21:E25)</f>
        <v>0</v>
      </c>
      <c r="F26" s="76">
        <f>SUM(F21:F25)</f>
        <v>0</v>
      </c>
    </row>
    <row r="27" spans="2:9" outlineLevel="1" x14ac:dyDescent="0.25">
      <c r="B27" s="23"/>
      <c r="C27" s="13"/>
      <c r="D27" s="13"/>
      <c r="E27" s="13"/>
      <c r="F27" s="13"/>
    </row>
    <row r="28" spans="2:9" outlineLevel="1" x14ac:dyDescent="0.25">
      <c r="B28" s="68" t="s">
        <v>161</v>
      </c>
      <c r="C28" s="71"/>
      <c r="D28" s="71"/>
      <c r="E28" s="71"/>
      <c r="F28" s="71"/>
    </row>
    <row r="29" spans="2:9" outlineLevel="1" x14ac:dyDescent="0.25">
      <c r="B29" s="16" t="str">
        <f>'Data Labels'!E20</f>
        <v>External Borrowing (Debt/LOC/ Mortgages/Other Loans)</v>
      </c>
      <c r="C29" s="133">
        <f>IF('FS-Data'!D$16="Yes",SUMIF('FS-Data'!$C$95:$C$112,'FS-CF'!$B29,'FS-Data'!D$95:D$112),SUMIF('FS-Data'!$C$65:$C$95,'FS-CF'!$B29,'FS-Data'!D$65:D$95))</f>
        <v>0</v>
      </c>
      <c r="D29" s="133">
        <f>IF('FS-Data'!E$16="Yes",SUMIF('FS-Data'!$C$95:$C$112,'FS-CF'!$B29,'FS-Data'!E$95:E$112),SUMIF('FS-Data'!$C$65:$C$95,'FS-CF'!$B29,'FS-Data'!E$65:E$95))</f>
        <v>0</v>
      </c>
      <c r="E29" s="133">
        <f>IF('FS-Data'!F$16="Yes",SUMIF('FS-Data'!$C$95:$C$112,'FS-CF'!$B29,'FS-Data'!F$95:F$112),SUMIF('FS-Data'!$C$65:$C$95,'FS-CF'!$B29,'FS-Data'!F$65:F$95))</f>
        <v>0</v>
      </c>
      <c r="F29" s="133">
        <f>IF('FS-Data'!G$16="Yes",SUMIF('FS-Data'!$C$95:$C$112,'FS-CF'!$B29,'FS-Data'!G$95:G$112),SUMIF('FS-Data'!$C$65:$C$95,'FS-CF'!$B29,'FS-Data'!G$65:G$95))</f>
        <v>0</v>
      </c>
      <c r="H29" s="50"/>
      <c r="I29" s="134"/>
    </row>
    <row r="30" spans="2:9" outlineLevel="1" x14ac:dyDescent="0.25">
      <c r="B30" s="16" t="str">
        <f>'Data Labels'!E21</f>
        <v>Repayments of Borrowings (Debt/LOC/ Mortgages/Other Loans)</v>
      </c>
      <c r="C30" s="133">
        <f>IF('FS-Data'!D$16="Yes",SUMIF('FS-Data'!$C$95:$C$112,'FS-CF'!$B30,'FS-Data'!D$95:D$112),SUMIF('FS-Data'!$C$65:$C$95,'FS-CF'!$B30,'FS-Data'!D$65:D$95))</f>
        <v>0</v>
      </c>
      <c r="D30" s="133">
        <f>IF('FS-Data'!E$16="Yes",SUMIF('FS-Data'!$C$95:$C$112,'FS-CF'!$B30,'FS-Data'!E$95:E$112),SUMIF('FS-Data'!$C$65:$C$95,'FS-CF'!$B30,'FS-Data'!E$65:E$95))</f>
        <v>0</v>
      </c>
      <c r="E30" s="133">
        <f>IF('FS-Data'!F$16="Yes",SUMIF('FS-Data'!$C$95:$C$112,'FS-CF'!$B30,'FS-Data'!F$95:F$112),SUMIF('FS-Data'!$C$65:$C$95,'FS-CF'!$B30,'FS-Data'!F$65:F$95))</f>
        <v>0</v>
      </c>
      <c r="F30" s="133">
        <f>IF('FS-Data'!G$16="Yes",SUMIF('FS-Data'!$C$95:$C$112,'FS-CF'!$B30,'FS-Data'!G$95:G$112),SUMIF('FS-Data'!$C$65:$C$95,'FS-CF'!$B30,'FS-Data'!G$65:G$95))</f>
        <v>0</v>
      </c>
      <c r="H30" s="50"/>
    </row>
    <row r="31" spans="2:9" outlineLevel="1" x14ac:dyDescent="0.25">
      <c r="B31" s="16" t="str">
        <f>'Data Labels'!E22</f>
        <v>Dividends Paid</v>
      </c>
      <c r="C31" s="133">
        <f>IF('FS-Data'!D$16="Yes",SUMIF('FS-Data'!$C$95:$C$112,'FS-CF'!$B31,'FS-Data'!D$95:D$112),SUMIF('FS-Data'!$C$65:$C$95,'FS-CF'!$B31,'FS-Data'!D$65:D$95))</f>
        <v>0</v>
      </c>
      <c r="D31" s="133">
        <f>IF('FS-Data'!E$16="Yes",SUMIF('FS-Data'!$C$95:$C$112,'FS-CF'!$B31,'FS-Data'!E$95:E$112),SUMIF('FS-Data'!$C$65:$C$95,'FS-CF'!$B31,'FS-Data'!E$65:E$95))</f>
        <v>0</v>
      </c>
      <c r="E31" s="133">
        <f>IF('FS-Data'!F$16="Yes",SUMIF('FS-Data'!$C$95:$C$112,'FS-CF'!$B31,'FS-Data'!F$95:F$112),SUMIF('FS-Data'!$C$65:$C$95,'FS-CF'!$B31,'FS-Data'!F$65:F$95))</f>
        <v>0</v>
      </c>
      <c r="F31" s="133">
        <f>IF('FS-Data'!G$16="Yes",SUMIF('FS-Data'!$C$95:$C$112,'FS-CF'!$B31,'FS-Data'!G$95:G$112),SUMIF('FS-Data'!$C$65:$C$95,'FS-CF'!$B31,'FS-Data'!G$65:G$95))</f>
        <v>0</v>
      </c>
      <c r="H31" s="50"/>
    </row>
    <row r="32" spans="2:9" outlineLevel="1" x14ac:dyDescent="0.25">
      <c r="B32" s="16" t="str">
        <f>'Data Labels'!E23</f>
        <v>Changes in Equity</v>
      </c>
      <c r="C32" s="133">
        <f>-IF('FS-Data'!D$16="Yes",SUMIF('FS-Data'!$C$95:$C$112,'FS-CF'!$B32,'FS-Data'!D$95:D$112),SUMIF('FS-Data'!$C$65:$C$95,'FS-CF'!$B32,'FS-Data'!D$65:D$95))</f>
        <v>0</v>
      </c>
      <c r="D32" s="133">
        <f>-IF('FS-Data'!E$16="Yes",SUMIF('FS-Data'!$C$95:$C$112,'FS-CF'!$B32,'FS-Data'!E$95:E$112),SUMIF('FS-Data'!$C$65:$C$95,'FS-CF'!$B32,'FS-Data'!E$65:E$95))</f>
        <v>0</v>
      </c>
      <c r="E32" s="133">
        <f>-IF('FS-Data'!F$16="Yes",SUMIF('FS-Data'!$C$95:$C$112,'FS-CF'!$B32,'FS-Data'!F$95:F$112),SUMIF('FS-Data'!$C$65:$C$95,'FS-CF'!$B32,'FS-Data'!F$65:F$95))</f>
        <v>0</v>
      </c>
      <c r="F32" s="133">
        <f>-IF('FS-Data'!G$16="Yes",SUMIF('FS-Data'!$C$95:$C$112,'FS-CF'!$B32,'FS-Data'!G$95:G$112),SUMIF('FS-Data'!$C$65:$C$95,'FS-CF'!$B32,'FS-Data'!G$65:G$95))</f>
        <v>0</v>
      </c>
      <c r="H32" s="50"/>
    </row>
    <row r="33" spans="2:10" outlineLevel="1" x14ac:dyDescent="0.25">
      <c r="B33" s="16" t="str">
        <f>'Data Labels'!E24</f>
        <v>Other Financing Activities</v>
      </c>
      <c r="C33" s="133">
        <f>IF('FS-Data'!D$16="Yes",SUMIF('FS-Data'!$C$95:$C$112,'FS-CF'!$B33,'FS-Data'!D$95:D$112),SUMIF('FS-Data'!$C$65:$C$95,'FS-CF'!$B33,'FS-Data'!D$65:D$95))</f>
        <v>0</v>
      </c>
      <c r="D33" s="133">
        <f>IF('FS-Data'!E$16="Yes",SUMIF('FS-Data'!$C$95:$C$112,'FS-CF'!$B33,'FS-Data'!E$95:E$112),SUMIF('FS-Data'!$C$65:$C$95,'FS-CF'!$B33,'FS-Data'!E$65:E$95))</f>
        <v>0</v>
      </c>
      <c r="E33" s="133">
        <f>IF('FS-Data'!F$16="Yes",SUMIF('FS-Data'!$C$95:$C$112,'FS-CF'!$B33,'FS-Data'!F$95:F$112),SUMIF('FS-Data'!$C$65:$C$95,'FS-CF'!$B33,'FS-Data'!F$65:F$95))</f>
        <v>0</v>
      </c>
      <c r="F33" s="133">
        <f>IF('FS-Data'!G$16="Yes",SUMIF('FS-Data'!$C$95:$C$112,'FS-CF'!$B33,'FS-Data'!G$95:G$112),SUMIF('FS-Data'!$C$65:$C$95,'FS-CF'!$B33,'FS-Data'!G$65:G$95))</f>
        <v>0</v>
      </c>
    </row>
    <row r="34" spans="2:10" x14ac:dyDescent="0.25">
      <c r="B34" s="74" t="s">
        <v>162</v>
      </c>
      <c r="C34" s="76">
        <f>SUM(C29:C33)</f>
        <v>0</v>
      </c>
      <c r="D34" s="76">
        <f>SUM(D29:D33)</f>
        <v>0</v>
      </c>
      <c r="E34" s="76">
        <f>SUM(E29:E33)</f>
        <v>0</v>
      </c>
      <c r="F34" s="76">
        <f>SUM(F29:F33)</f>
        <v>0</v>
      </c>
      <c r="H34" s="132"/>
    </row>
    <row r="35" spans="2:10" x14ac:dyDescent="0.25">
      <c r="B35" s="23"/>
      <c r="C35" s="9"/>
      <c r="D35" s="9"/>
      <c r="E35" s="9"/>
      <c r="F35" s="9"/>
      <c r="H35" s="132"/>
    </row>
    <row r="36" spans="2:10" x14ac:dyDescent="0.25">
      <c r="B36" s="74" t="s">
        <v>163</v>
      </c>
      <c r="C36" s="76">
        <f>C18+C26+C34</f>
        <v>0</v>
      </c>
      <c r="D36" s="76">
        <f>D18+D26+D34</f>
        <v>0</v>
      </c>
      <c r="E36" s="76">
        <f>E18+E26+E34</f>
        <v>0</v>
      </c>
      <c r="F36" s="76">
        <f>F18+F26+F34</f>
        <v>0</v>
      </c>
    </row>
    <row r="37" spans="2:10" x14ac:dyDescent="0.25">
      <c r="B37" s="16" t="s">
        <v>164</v>
      </c>
      <c r="C37" s="77">
        <f>'FS-BS'!D4</f>
        <v>94076.75</v>
      </c>
      <c r="D37" s="77">
        <f>'FS-BS'!E4</f>
        <v>0</v>
      </c>
      <c r="E37" s="77">
        <f>'FS-BS'!F4</f>
        <v>0</v>
      </c>
      <c r="F37" s="77">
        <f>'FS-BS'!G4</f>
        <v>0</v>
      </c>
    </row>
    <row r="38" spans="2:10" x14ac:dyDescent="0.25">
      <c r="B38" s="24" t="s">
        <v>165</v>
      </c>
      <c r="C38" s="69">
        <f>C36+C37</f>
        <v>94076.75</v>
      </c>
      <c r="D38" s="69">
        <f>D36+D37</f>
        <v>0</v>
      </c>
      <c r="E38" s="69">
        <f>E36+E37</f>
        <v>0</v>
      </c>
      <c r="F38" s="69">
        <f>F36+F37</f>
        <v>0</v>
      </c>
    </row>
    <row r="39" spans="2:10" x14ac:dyDescent="0.25">
      <c r="J39" s="50"/>
    </row>
    <row r="43" spans="2:10" x14ac:dyDescent="0.25">
      <c r="J43" s="50">
        <f>J39/2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4865-7AB1-4FF8-943D-F51386F2DF56}">
  <sheetPr>
    <tabColor theme="8" tint="0.39997558519241921"/>
  </sheetPr>
  <dimension ref="A1:I40"/>
  <sheetViews>
    <sheetView showGridLines="0" topLeftCell="A4" zoomScale="142" zoomScaleNormal="80" workbookViewId="0">
      <selection activeCell="B16" sqref="B16"/>
    </sheetView>
  </sheetViews>
  <sheetFormatPr baseColWidth="10" defaultColWidth="8.85546875" defaultRowHeight="15" x14ac:dyDescent="0.25"/>
  <cols>
    <col min="1" max="1" width="6.42578125" style="3" customWidth="1"/>
    <col min="2" max="2" width="30.7109375" customWidth="1"/>
    <col min="3" max="3" width="13.42578125" bestFit="1" customWidth="1"/>
    <col min="4" max="4" width="14.85546875" bestFit="1" customWidth="1"/>
    <col min="5" max="5" width="11.85546875" bestFit="1" customWidth="1"/>
    <col min="6" max="7" width="13.7109375" customWidth="1"/>
  </cols>
  <sheetData>
    <row r="1" spans="2:7" ht="15.75" x14ac:dyDescent="0.25">
      <c r="B1" s="66" t="s">
        <v>166</v>
      </c>
    </row>
    <row r="2" spans="2:7" x14ac:dyDescent="0.25">
      <c r="D2" s="149"/>
    </row>
    <row r="3" spans="2:7" x14ac:dyDescent="0.25">
      <c r="B3" s="106" t="s">
        <v>126</v>
      </c>
      <c r="C3" s="26">
        <f>'FS-Data'!D13</f>
        <v>45504</v>
      </c>
      <c r="D3" s="26">
        <f>'FS-Data'!E13</f>
        <v>45504</v>
      </c>
      <c r="E3" s="26">
        <f>'FS-Data'!F13</f>
        <v>0</v>
      </c>
      <c r="F3" s="26">
        <f>'FS-Data'!G13</f>
        <v>0</v>
      </c>
      <c r="G3" s="26">
        <f>'FS-Data'!H13</f>
        <v>0</v>
      </c>
    </row>
    <row r="4" spans="2:7" x14ac:dyDescent="0.25">
      <c r="B4" s="107"/>
      <c r="C4" s="108"/>
      <c r="D4" s="108"/>
      <c r="E4" s="108"/>
      <c r="F4" s="108"/>
      <c r="G4" s="108"/>
    </row>
    <row r="5" spans="2:7" x14ac:dyDescent="0.25">
      <c r="B5" s="109" t="s">
        <v>167</v>
      </c>
      <c r="C5" s="108"/>
      <c r="D5" s="108"/>
      <c r="E5" s="108"/>
      <c r="F5" s="108"/>
      <c r="G5" s="108"/>
    </row>
    <row r="6" spans="2:7" x14ac:dyDescent="0.25">
      <c r="B6" s="6" t="s">
        <v>168</v>
      </c>
      <c r="C6" s="194">
        <f>D6/7*12</f>
        <v>130718.22857142858</v>
      </c>
      <c r="D6" s="194">
        <v>76252.3</v>
      </c>
      <c r="E6" s="194"/>
      <c r="F6" s="194"/>
      <c r="G6" s="195"/>
    </row>
    <row r="7" spans="2:7" x14ac:dyDescent="0.25">
      <c r="B7" s="6" t="s">
        <v>169</v>
      </c>
      <c r="C7" s="9">
        <f>'FS-IS'!C44</f>
        <v>130718.21142857149</v>
      </c>
      <c r="D7" s="9">
        <f>'FS-IS'!D44</f>
        <v>76252.290000000037</v>
      </c>
      <c r="E7" s="9">
        <f>'FS-IS'!E44</f>
        <v>0</v>
      </c>
      <c r="F7" s="9">
        <f>'FS-IS'!F44</f>
        <v>0</v>
      </c>
      <c r="G7" s="9">
        <f>'FS-IS'!G44</f>
        <v>0</v>
      </c>
    </row>
    <row r="8" spans="2:7" x14ac:dyDescent="0.25">
      <c r="B8" s="110" t="s">
        <v>170</v>
      </c>
      <c r="C8" s="111">
        <f>C6-C7</f>
        <v>1.7142857090220787E-2</v>
      </c>
      <c r="D8" s="111">
        <f>D6-D7</f>
        <v>9.9999999656574801E-3</v>
      </c>
      <c r="E8" s="111">
        <f>E6-E7</f>
        <v>0</v>
      </c>
      <c r="F8" s="111">
        <f>F6-F7</f>
        <v>0</v>
      </c>
      <c r="G8" s="111">
        <f>G6-G7</f>
        <v>0</v>
      </c>
    </row>
    <row r="9" spans="2:7" x14ac:dyDescent="0.25">
      <c r="B9" s="6"/>
      <c r="C9" s="6"/>
      <c r="D9" s="6"/>
      <c r="E9" s="6"/>
      <c r="F9" s="6"/>
      <c r="G9" s="6"/>
    </row>
    <row r="10" spans="2:7" x14ac:dyDescent="0.25">
      <c r="B10" s="14" t="s">
        <v>171</v>
      </c>
      <c r="C10" s="6"/>
      <c r="D10" s="6"/>
      <c r="E10" s="6"/>
      <c r="F10" s="6"/>
      <c r="G10" s="6"/>
    </row>
    <row r="11" spans="2:7" x14ac:dyDescent="0.25">
      <c r="B11" s="6" t="s">
        <v>172</v>
      </c>
      <c r="C11" s="9">
        <f>SUM('FS-Data'!D40:D55)</f>
        <v>186782.43</v>
      </c>
      <c r="D11" s="9">
        <f>SUM('FS-Data'!E40:E55)</f>
        <v>186782.43</v>
      </c>
      <c r="E11" s="9">
        <f>SUM('FS-Data'!F40:F55)</f>
        <v>0</v>
      </c>
      <c r="F11" s="9">
        <f>SUM('FS-Data'!G40:G55)</f>
        <v>0</v>
      </c>
      <c r="G11" s="9">
        <f>SUM('FS-Data'!H40:H55)</f>
        <v>0</v>
      </c>
    </row>
    <row r="12" spans="2:7" x14ac:dyDescent="0.25">
      <c r="B12" s="6" t="s">
        <v>173</v>
      </c>
      <c r="C12" s="9">
        <f>'FS-BS'!C28</f>
        <v>186782.43</v>
      </c>
      <c r="D12" s="9">
        <f>'FS-BS'!D28</f>
        <v>186782.43</v>
      </c>
      <c r="E12" s="9">
        <f>'FS-BS'!E28</f>
        <v>0</v>
      </c>
      <c r="F12" s="9">
        <f>'FS-BS'!F28</f>
        <v>0</v>
      </c>
      <c r="G12" s="9">
        <f>'FS-BS'!G28</f>
        <v>0</v>
      </c>
    </row>
    <row r="13" spans="2:7" x14ac:dyDescent="0.25">
      <c r="B13" s="110" t="s">
        <v>170</v>
      </c>
      <c r="C13" s="111">
        <f>C11-C12</f>
        <v>0</v>
      </c>
      <c r="D13" s="111">
        <f>D11-D12</f>
        <v>0</v>
      </c>
      <c r="E13" s="111">
        <f>E11-E12</f>
        <v>0</v>
      </c>
      <c r="F13" s="111">
        <f>F11-F12</f>
        <v>0</v>
      </c>
      <c r="G13" s="111">
        <f>G11-G12</f>
        <v>0</v>
      </c>
    </row>
    <row r="14" spans="2:7" x14ac:dyDescent="0.25">
      <c r="B14" s="37"/>
      <c r="C14" s="11"/>
      <c r="D14" s="11"/>
      <c r="E14" s="11"/>
      <c r="F14" s="11"/>
      <c r="G14" s="11"/>
    </row>
    <row r="15" spans="2:7" x14ac:dyDescent="0.25">
      <c r="B15" s="14" t="s">
        <v>174</v>
      </c>
      <c r="C15" s="6"/>
      <c r="D15" s="6"/>
      <c r="E15" s="6"/>
      <c r="F15" s="6"/>
      <c r="G15" s="6"/>
    </row>
    <row r="16" spans="2:7" x14ac:dyDescent="0.25">
      <c r="B16" s="6" t="s">
        <v>172</v>
      </c>
      <c r="C16" s="9">
        <f>SUM('FS-Data'!D56:D63)</f>
        <v>186782.43</v>
      </c>
      <c r="D16" s="9">
        <f>SUM('FS-Data'!E57:E63)</f>
        <v>186782.43</v>
      </c>
      <c r="E16" s="9">
        <f>SUM('FS-Data'!F57:F63)</f>
        <v>0</v>
      </c>
      <c r="F16" s="9">
        <f>SUM('FS-Data'!G56:G63)</f>
        <v>0</v>
      </c>
      <c r="G16" s="9">
        <f>SUM('FS-Data'!H56:H63)</f>
        <v>0</v>
      </c>
    </row>
    <row r="17" spans="2:9" x14ac:dyDescent="0.25">
      <c r="B17" s="6" t="s">
        <v>173</v>
      </c>
      <c r="C17" s="9">
        <f>'FS-BS'!C51</f>
        <v>186782.43</v>
      </c>
      <c r="D17" s="9">
        <f>'FS-BS'!D51</f>
        <v>186782.43</v>
      </c>
      <c r="E17" s="9">
        <f>'FS-BS'!E51</f>
        <v>0</v>
      </c>
      <c r="F17" s="9">
        <f>'FS-BS'!F51</f>
        <v>0</v>
      </c>
      <c r="G17" s="9">
        <f>'FS-BS'!G51</f>
        <v>0</v>
      </c>
    </row>
    <row r="18" spans="2:9" x14ac:dyDescent="0.25">
      <c r="B18" s="110" t="s">
        <v>170</v>
      </c>
      <c r="C18" s="111">
        <f>C16-C17</f>
        <v>0</v>
      </c>
      <c r="D18" s="111">
        <f>D16-D17</f>
        <v>0</v>
      </c>
      <c r="E18" s="111">
        <f>E16-E17</f>
        <v>0</v>
      </c>
      <c r="F18" s="111">
        <f>F16-F17</f>
        <v>0</v>
      </c>
      <c r="G18" s="111">
        <f>G16-G17</f>
        <v>0</v>
      </c>
    </row>
    <row r="19" spans="2:9" x14ac:dyDescent="0.25">
      <c r="B19" s="37"/>
      <c r="C19" s="11"/>
      <c r="D19" s="11"/>
      <c r="E19" s="11"/>
      <c r="F19" s="11"/>
      <c r="G19" s="11"/>
    </row>
    <row r="20" spans="2:9" x14ac:dyDescent="0.25">
      <c r="B20" s="14" t="s">
        <v>175</v>
      </c>
      <c r="C20" s="232"/>
      <c r="D20" s="232"/>
      <c r="E20" s="232"/>
      <c r="F20" s="232"/>
      <c r="G20" s="232"/>
      <c r="H20" s="233"/>
      <c r="I20" s="233"/>
    </row>
    <row r="21" spans="2:9" x14ac:dyDescent="0.25">
      <c r="B21" s="6" t="s">
        <v>172</v>
      </c>
      <c r="C21" s="234">
        <f>C11-C16</f>
        <v>0</v>
      </c>
      <c r="D21" s="234">
        <f>D11-D16</f>
        <v>0</v>
      </c>
      <c r="E21" s="234">
        <f>E11-E16</f>
        <v>0</v>
      </c>
      <c r="F21" s="234">
        <f>F11-F16</f>
        <v>0</v>
      </c>
      <c r="G21" s="234">
        <f>G11-G16</f>
        <v>0</v>
      </c>
      <c r="H21" s="233"/>
      <c r="I21" s="233"/>
    </row>
    <row r="22" spans="2:9" x14ac:dyDescent="0.25">
      <c r="B22" s="6" t="s">
        <v>173</v>
      </c>
      <c r="C22" s="234">
        <f>'FS-BS'!C28-'FS-BS'!C51</f>
        <v>0</v>
      </c>
      <c r="D22" s="234">
        <f>'FS-BS'!D28-'FS-BS'!D51</f>
        <v>0</v>
      </c>
      <c r="E22" s="234">
        <f>'FS-BS'!E28-'FS-BS'!E51</f>
        <v>0</v>
      </c>
      <c r="F22" s="234">
        <f>'FS-BS'!F28-'FS-BS'!F51</f>
        <v>0</v>
      </c>
      <c r="G22" s="234">
        <f>'FS-BS'!G28-'FS-BS'!G51</f>
        <v>0</v>
      </c>
      <c r="H22" s="233"/>
      <c r="I22" s="233"/>
    </row>
    <row r="23" spans="2:9" x14ac:dyDescent="0.25">
      <c r="B23" s="110" t="s">
        <v>170</v>
      </c>
      <c r="C23" s="235">
        <f>C21-C22</f>
        <v>0</v>
      </c>
      <c r="D23" s="235">
        <f>D21-D22</f>
        <v>0</v>
      </c>
      <c r="E23" s="235">
        <f>E21-E22</f>
        <v>0</v>
      </c>
      <c r="F23" s="235">
        <f>F21-F22</f>
        <v>0</v>
      </c>
      <c r="G23" s="235">
        <f>G21-G22</f>
        <v>0</v>
      </c>
      <c r="H23" s="233"/>
      <c r="I23" s="233"/>
    </row>
    <row r="24" spans="2:9" x14ac:dyDescent="0.25">
      <c r="B24" s="6"/>
      <c r="C24" s="6"/>
      <c r="D24" s="6"/>
      <c r="E24" s="6"/>
      <c r="F24" s="6"/>
      <c r="G24" s="6"/>
    </row>
    <row r="25" spans="2:9" x14ac:dyDescent="0.25">
      <c r="B25" s="14" t="s">
        <v>176</v>
      </c>
      <c r="C25" s="6"/>
      <c r="D25" s="6"/>
      <c r="E25" s="6"/>
      <c r="F25" s="6"/>
      <c r="G25" s="6"/>
    </row>
    <row r="26" spans="2:9" x14ac:dyDescent="0.25">
      <c r="B26" s="6" t="s">
        <v>173</v>
      </c>
      <c r="C26" s="9">
        <f>IF('FS-Data'!D$16="Yes",'FS-BS'!C4,'FS-CF'!C38)</f>
        <v>94076.75</v>
      </c>
      <c r="D26" s="9">
        <f>IF('FS-Data'!E$16="Yes",'FS-BS'!D4,'FS-CF'!D38)</f>
        <v>0</v>
      </c>
      <c r="E26" s="9">
        <f>IF('FS-Data'!F$16="Yes",'FS-BS'!E4,'FS-CF'!E38)</f>
        <v>0</v>
      </c>
      <c r="F26" s="9">
        <f>IF('FS-Data'!G$16="Yes",'FS-BS'!F4,'FS-CF'!F38)</f>
        <v>0</v>
      </c>
      <c r="G26" s="9">
        <f>IF('FS-Data'!H$16="Yes",'FS-BS'!G4,'FS-CF'!G38)</f>
        <v>0</v>
      </c>
    </row>
    <row r="27" spans="2:9" x14ac:dyDescent="0.25">
      <c r="B27" s="6" t="s">
        <v>177</v>
      </c>
      <c r="C27" s="9">
        <f>'FS-CF'!C38</f>
        <v>94076.75</v>
      </c>
      <c r="D27" s="9">
        <f>'FS-CF'!D38</f>
        <v>0</v>
      </c>
      <c r="E27" s="9">
        <f>'FS-CF'!E38</f>
        <v>0</v>
      </c>
      <c r="F27" s="9">
        <f>'FS-CF'!F38</f>
        <v>0</v>
      </c>
      <c r="G27" s="9">
        <f>'FS-CF'!G38</f>
        <v>0</v>
      </c>
    </row>
    <row r="28" spans="2:9" x14ac:dyDescent="0.25">
      <c r="B28" s="110" t="s">
        <v>170</v>
      </c>
      <c r="C28" s="111">
        <f>C26-C27</f>
        <v>0</v>
      </c>
      <c r="D28" s="111">
        <f>D26-D27</f>
        <v>0</v>
      </c>
      <c r="E28" s="111">
        <f>E26-E27</f>
        <v>0</v>
      </c>
      <c r="F28" s="111">
        <f>F26-F27</f>
        <v>0</v>
      </c>
      <c r="G28" s="111">
        <f>G26-G27</f>
        <v>0</v>
      </c>
    </row>
    <row r="29" spans="2:9" x14ac:dyDescent="0.25">
      <c r="C29" s="4"/>
    </row>
    <row r="32" spans="2:9" x14ac:dyDescent="0.25">
      <c r="B32" s="1"/>
      <c r="C32" s="2"/>
      <c r="D32" s="2"/>
    </row>
    <row r="33" spans="3:4" x14ac:dyDescent="0.25">
      <c r="C33" s="7"/>
      <c r="D33" s="7"/>
    </row>
    <row r="34" spans="3:4" x14ac:dyDescent="0.25">
      <c r="C34" s="7"/>
      <c r="D34" s="7"/>
    </row>
    <row r="35" spans="3:4" x14ac:dyDescent="0.25">
      <c r="C35" s="7"/>
      <c r="D35" s="7"/>
    </row>
    <row r="36" spans="3:4" x14ac:dyDescent="0.25">
      <c r="C36" s="7"/>
      <c r="D36" s="7"/>
    </row>
    <row r="37" spans="3:4" x14ac:dyDescent="0.25">
      <c r="C37" s="7"/>
      <c r="D37" s="7"/>
    </row>
    <row r="38" spans="3:4" x14ac:dyDescent="0.25">
      <c r="C38" s="7"/>
      <c r="D38" s="7"/>
    </row>
    <row r="39" spans="3:4" x14ac:dyDescent="0.25">
      <c r="C39" s="4"/>
      <c r="D39" s="4"/>
    </row>
    <row r="40" spans="3:4" x14ac:dyDescent="0.25">
      <c r="C40" s="4"/>
      <c r="D40" s="4"/>
    </row>
  </sheetData>
  <conditionalFormatting sqref="C8:G8">
    <cfRule type="cellIs" dxfId="11" priority="12" operator="notEqual">
      <formula>0</formula>
    </cfRule>
  </conditionalFormatting>
  <conditionalFormatting sqref="C13:G14">
    <cfRule type="cellIs" dxfId="10" priority="2" operator="notEqual">
      <formula>0</formula>
    </cfRule>
  </conditionalFormatting>
  <conditionalFormatting sqref="C18:G19">
    <cfRule type="cellIs" dxfId="9" priority="1" operator="notEqual">
      <formula>0</formula>
    </cfRule>
  </conditionalFormatting>
  <conditionalFormatting sqref="C23:G23">
    <cfRule type="cellIs" dxfId="8" priority="8" operator="notEqual">
      <formula>0</formula>
    </cfRule>
  </conditionalFormatting>
  <conditionalFormatting sqref="C28:G28">
    <cfRule type="cellIs" dxfId="7" priority="7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5562-4EE3-4927-8067-EEED401724D1}">
  <sheetPr>
    <tabColor theme="4" tint="0.59999389629810485"/>
  </sheetPr>
  <dimension ref="B1:H29"/>
  <sheetViews>
    <sheetView showGridLines="0" zoomScale="90" zoomScaleNormal="90" workbookViewId="0"/>
  </sheetViews>
  <sheetFormatPr baseColWidth="10" defaultColWidth="9.140625" defaultRowHeight="15" x14ac:dyDescent="0.25"/>
  <cols>
    <col min="1" max="1" width="7.7109375" style="28" customWidth="1"/>
    <col min="2" max="2" width="31.85546875" style="28" bestFit="1" customWidth="1"/>
    <col min="3" max="3" width="9.85546875" style="28" bestFit="1" customWidth="1"/>
    <col min="4" max="4" width="12.7109375" style="28" bestFit="1" customWidth="1"/>
    <col min="5" max="5" width="10" style="28" bestFit="1" customWidth="1"/>
    <col min="6" max="8" width="10.28515625" style="28" bestFit="1" customWidth="1"/>
    <col min="9" max="16384" width="9.140625" style="28"/>
  </cols>
  <sheetData>
    <row r="1" spans="2:8" ht="15.75" x14ac:dyDescent="0.25">
      <c r="B1" s="66" t="s">
        <v>178</v>
      </c>
    </row>
    <row r="3" spans="2:8" s="27" customFormat="1" ht="15.75" x14ac:dyDescent="0.25">
      <c r="B3" s="117" t="s">
        <v>126</v>
      </c>
      <c r="C3" s="124" t="s">
        <v>179</v>
      </c>
      <c r="D3" s="118">
        <f>'FS-BS'!C3</f>
        <v>45504</v>
      </c>
      <c r="E3" s="118">
        <f>'FS-BS'!D3</f>
        <v>45504</v>
      </c>
      <c r="F3" s="118">
        <f>'FS-BS'!E3</f>
        <v>0</v>
      </c>
      <c r="G3" s="118">
        <f>'FS-BS'!F3</f>
        <v>0</v>
      </c>
      <c r="H3" s="118">
        <f>'FS-BS'!G3</f>
        <v>0</v>
      </c>
    </row>
    <row r="4" spans="2:8" x14ac:dyDescent="0.25">
      <c r="B4" s="17" t="str">
        <f>Ratios!B7</f>
        <v>Quick Ratio</v>
      </c>
      <c r="C4" s="125" t="s">
        <v>180</v>
      </c>
      <c r="D4" s="18" t="str">
        <f>IF(SUMIF(Ratios!$B:$B,Covenants!$B4,Ratios!D:D)&gt;0.3,"PASS","FAIL")</f>
        <v>PASS</v>
      </c>
      <c r="E4" s="18" t="str">
        <f>IF(SUMIF(Ratios!$B:$B,Covenants!$B4,Ratios!E:E)&gt;0.3,"PASS","FAIL")</f>
        <v>PASS</v>
      </c>
      <c r="F4" s="18" t="str">
        <f>IF(SUMIF(Ratios!$B:$B,Covenants!$B4,Ratios!F:F)&gt;0.3,"PASS","FAIL")</f>
        <v>FAIL</v>
      </c>
      <c r="G4" s="18" t="str">
        <f>IF(SUMIF(Ratios!$B:$B,Covenants!$B4,Ratios!G:G)&gt;0.3,"PASS","FAIL")</f>
        <v>FAIL</v>
      </c>
      <c r="H4" s="18" t="str">
        <f>IF(SUMIF(Ratios!$B:$B,Covenants!$B4,Ratios!H:H)&gt;0.3,"PASS","FAIL")</f>
        <v>FAIL</v>
      </c>
    </row>
    <row r="5" spans="2:8" x14ac:dyDescent="0.25">
      <c r="B5" s="17" t="str">
        <f>Ratios!B8</f>
        <v>Current Ratio</v>
      </c>
      <c r="C5" s="125" t="s">
        <v>181</v>
      </c>
      <c r="D5" s="18" t="str">
        <f>IF(SUMIF(Ratios!$B:$B,Covenants!$B5,Ratios!D:D)&gt;0.5,"PASS","FAIL")</f>
        <v>PASS</v>
      </c>
      <c r="E5" s="18" t="str">
        <f>IF(SUMIF(Ratios!$B:$B,Covenants!$B5,Ratios!E:E)&gt;0.5,"PASS","FAIL")</f>
        <v>PASS</v>
      </c>
      <c r="F5" s="18" t="str">
        <f>IF(SUMIF(Ratios!$B:$B,Covenants!$B5,Ratios!F:F)&gt;0.5,"PASS","FAIL")</f>
        <v>FAIL</v>
      </c>
      <c r="G5" s="18" t="str">
        <f>IF(SUMIF(Ratios!$B:$B,Covenants!$B5,Ratios!G:G)&gt;0.5,"PASS","FAIL")</f>
        <v>FAIL</v>
      </c>
      <c r="H5" s="18" t="str">
        <f>IF(SUMIF(Ratios!$B:$B,Covenants!$B5,Ratios!H:H)&gt;0.5,"PASS","FAIL")</f>
        <v>FAIL</v>
      </c>
    </row>
    <row r="6" spans="2:8" x14ac:dyDescent="0.25">
      <c r="B6" s="17" t="s">
        <v>182</v>
      </c>
      <c r="C6" s="125" t="s">
        <v>183</v>
      </c>
      <c r="D6" s="18" t="str">
        <f>IF(SUMIF(Ratios!$B:$B,Covenants!$B6,Ratios!D:D)&lt;3,"PASS","FAIL")</f>
        <v>PASS</v>
      </c>
      <c r="E6" s="18" t="str">
        <f>IF(SUMIF(Ratios!$B:$B,Covenants!$B6,Ratios!E:E)&lt;3,"PASS","FAIL")</f>
        <v>PASS</v>
      </c>
      <c r="F6" s="18" t="str">
        <f>IF(SUMIF(Ratios!$B:$B,Covenants!$B6,Ratios!F:F)&lt;3,"PASS","FAIL")</f>
        <v>PASS</v>
      </c>
      <c r="G6" s="18" t="str">
        <f>IF(SUMIF(Ratios!$B:$B,Covenants!$B6,Ratios!G:G)&lt;3,"PASS","FAIL")</f>
        <v>PASS</v>
      </c>
      <c r="H6" s="18" t="str">
        <f>IF(SUMIF(Ratios!$B:$B,Covenants!$B6,Ratios!H:H)&lt;3,"PASS","FAIL")</f>
        <v>PASS</v>
      </c>
    </row>
    <row r="7" spans="2:8" x14ac:dyDescent="0.25">
      <c r="B7" s="17" t="s">
        <v>184</v>
      </c>
      <c r="C7" s="125" t="s">
        <v>185</v>
      </c>
      <c r="D7" s="18" t="str">
        <f>IF(SUMIF(Ratios!$B:$B,Covenants!$B7,Ratios!D:D)&lt;0.95,"PASS","FAIL")</f>
        <v>PASS</v>
      </c>
      <c r="E7" s="18" t="str">
        <f>IF(SUMIF(Ratios!$B:$B,Covenants!$B7,Ratios!E:E)&lt;0.95,"PASS","FAIL")</f>
        <v>PASS</v>
      </c>
      <c r="F7" s="18" t="str">
        <f>IF(SUMIF(Ratios!$B:$B,Covenants!$B7,Ratios!F:F)&lt;0.95,"PASS","FAIL")</f>
        <v>PASS</v>
      </c>
      <c r="G7" s="18" t="str">
        <f>IF(SUMIF(Ratios!$B:$B,Covenants!$B7,Ratios!G:G)&lt;0.95,"PASS","FAIL")</f>
        <v>PASS</v>
      </c>
      <c r="H7" s="18" t="str">
        <f>IF(SUMIF(Ratios!$B:$B,Covenants!$B7,Ratios!H:H)&lt;0.95,"PASS","FAIL")</f>
        <v>PASS</v>
      </c>
    </row>
    <row r="8" spans="2:8" x14ac:dyDescent="0.25">
      <c r="B8" s="17" t="str">
        <f>Ratios!B20</f>
        <v>Leverage Ratio</v>
      </c>
      <c r="C8" s="125" t="s">
        <v>186</v>
      </c>
      <c r="D8" s="18" t="str">
        <f>IF(SUMIF(Ratios!$B:$B,Covenants!$B8,Ratios!D:D)&lt;5,"PASS","FAIL")</f>
        <v>PASS</v>
      </c>
      <c r="E8" s="18" t="str">
        <f>IF(SUMIF(Ratios!$B:$B,Covenants!$B8,Ratios!E:E)&lt;5,"PASS","FAIL")</f>
        <v>PASS</v>
      </c>
      <c r="F8" s="18" t="str">
        <f>IF(SUMIF(Ratios!$B:$B,Covenants!$B8,Ratios!F:F)&lt;5,"PASS","FAIL")</f>
        <v>PASS</v>
      </c>
      <c r="G8" s="18" t="str">
        <f>IF(SUMIF(Ratios!$B:$B,Covenants!$B8,Ratios!G:G)&lt;5,"PASS","FAIL")</f>
        <v>PASS</v>
      </c>
      <c r="H8" s="18" t="str">
        <f>IF(SUMIF(Ratios!$B:$B,Covenants!$B8,Ratios!H:H)&lt;5,"PASS","FAIL")</f>
        <v>PASS</v>
      </c>
    </row>
    <row r="10" spans="2:8" hidden="1" x14ac:dyDescent="0.25"/>
    <row r="11" spans="2:8" hidden="1" x14ac:dyDescent="0.25"/>
    <row r="12" spans="2:8" hidden="1" x14ac:dyDescent="0.25"/>
    <row r="13" spans="2:8" ht="15" hidden="1" customHeight="1" x14ac:dyDescent="0.25"/>
    <row r="14" spans="2:8" hidden="1" x14ac:dyDescent="0.25"/>
    <row r="15" spans="2:8" hidden="1" x14ac:dyDescent="0.25"/>
    <row r="16" spans="2:8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066A-285B-4B07-BA45-FCA45B43B894}">
  <sheetPr>
    <tabColor theme="4" tint="0.59999389629810485"/>
  </sheetPr>
  <dimension ref="B1:H79"/>
  <sheetViews>
    <sheetView showGridLines="0" zoomScaleNormal="100" workbookViewId="0">
      <selection activeCell="B16" sqref="B16"/>
    </sheetView>
  </sheetViews>
  <sheetFormatPr baseColWidth="10" defaultColWidth="9.140625" defaultRowHeight="15" x14ac:dyDescent="0.25"/>
  <cols>
    <col min="1" max="1" width="4" style="28" customWidth="1"/>
    <col min="2" max="2" width="26.28515625" style="28" customWidth="1"/>
    <col min="3" max="3" width="31.42578125" style="28" customWidth="1"/>
    <col min="4" max="5" width="12.7109375" style="188" customWidth="1"/>
    <col min="6" max="7" width="11.42578125" style="188" bestFit="1" customWidth="1"/>
    <col min="8" max="8" width="10.28515625" style="188" bestFit="1" customWidth="1"/>
    <col min="9" max="16384" width="9.140625" style="28"/>
  </cols>
  <sheetData>
    <row r="1" spans="2:8" ht="15.75" x14ac:dyDescent="0.25">
      <c r="B1" s="66" t="s">
        <v>187</v>
      </c>
      <c r="D1" s="28"/>
      <c r="E1" s="28"/>
      <c r="F1" s="28"/>
      <c r="G1" s="28"/>
      <c r="H1" s="28"/>
    </row>
    <row r="2" spans="2:8" ht="15.75" x14ac:dyDescent="0.25">
      <c r="B2" s="66"/>
      <c r="D2" s="28"/>
      <c r="E2" s="28"/>
      <c r="F2" s="28"/>
      <c r="G2" s="28"/>
      <c r="H2" s="28"/>
    </row>
    <row r="3" spans="2:8" s="105" customFormat="1" x14ac:dyDescent="0.25">
      <c r="B3" s="192" t="s">
        <v>126</v>
      </c>
      <c r="C3" s="193"/>
      <c r="D3" s="189">
        <f>'FS-BS'!C3</f>
        <v>45504</v>
      </c>
      <c r="E3" s="118">
        <f>'FS-BS'!D3</f>
        <v>45504</v>
      </c>
      <c r="F3" s="118">
        <f>'FS-BS'!E3</f>
        <v>0</v>
      </c>
      <c r="G3" s="118">
        <f>'FS-BS'!F3</f>
        <v>0</v>
      </c>
      <c r="H3" s="118">
        <f>'FS-BS'!G3</f>
        <v>0</v>
      </c>
    </row>
    <row r="4" spans="2:8" x14ac:dyDescent="0.25">
      <c r="B4" s="190" t="s">
        <v>188</v>
      </c>
      <c r="C4" s="191"/>
      <c r="D4" s="115"/>
      <c r="E4" s="116"/>
      <c r="F4" s="116"/>
      <c r="G4" s="116"/>
      <c r="H4" s="116"/>
    </row>
    <row r="5" spans="2:8" x14ac:dyDescent="0.25">
      <c r="B5" s="113" t="s">
        <v>189</v>
      </c>
      <c r="C5" s="113" t="s">
        <v>190</v>
      </c>
      <c r="D5" s="164">
        <f>IFERROR('FS-BS'!C13-'FS-BS'!C39,"NA")</f>
        <v>98644.47</v>
      </c>
      <c r="E5" s="164">
        <f>IFERROR('FS-BS'!D13-'FS-BS'!D39,"NA")</f>
        <v>98644.47</v>
      </c>
      <c r="F5" s="164">
        <f>IFERROR('FS-BS'!E13-'FS-BS'!E39,"NA")</f>
        <v>0</v>
      </c>
      <c r="G5" s="164">
        <f>IFERROR('FS-BS'!F13-'FS-BS'!F39,"NA")</f>
        <v>0</v>
      </c>
      <c r="H5" s="164">
        <f>IFERROR('FS-BS'!G13-'FS-BS'!G39,"NA")</f>
        <v>0</v>
      </c>
    </row>
    <row r="6" spans="2:8" ht="30" x14ac:dyDescent="0.25">
      <c r="B6" s="29" t="s">
        <v>191</v>
      </c>
      <c r="C6" s="29" t="s">
        <v>192</v>
      </c>
      <c r="D6" s="165">
        <f>IFERROR(D5-E5,"NA")</f>
        <v>0</v>
      </c>
      <c r="E6" s="165">
        <f>IFERROR(E5-F5,"NA")</f>
        <v>98644.47</v>
      </c>
      <c r="F6" s="165">
        <f>IFERROR(F5-G5,"NA")</f>
        <v>0</v>
      </c>
      <c r="G6" s="165">
        <f>IFERROR(G5-H5,"NA")</f>
        <v>0</v>
      </c>
      <c r="H6" s="165" t="str">
        <f>IFERROR(H5-#REF!,"NA")</f>
        <v>NA</v>
      </c>
    </row>
    <row r="7" spans="2:8" ht="45" x14ac:dyDescent="0.25">
      <c r="B7" s="29" t="s">
        <v>193</v>
      </c>
      <c r="C7" s="29" t="s">
        <v>194</v>
      </c>
      <c r="D7" s="163">
        <f>IFERROR(('FS-BS'!C4+'FS-BS'!C10+'FS-BS'!C5)/'FS-BS'!C39,"NA")</f>
        <v>2.48037335838483</v>
      </c>
      <c r="E7" s="163">
        <f>IFERROR(('FS-BS'!D4+'FS-BS'!D10+'FS-BS'!D5)/'FS-BS'!D39,"NA")</f>
        <v>2.48037335838483</v>
      </c>
      <c r="F7" s="163" t="str">
        <f>IFERROR(('FS-BS'!E4+'FS-BS'!E10+'FS-BS'!E5)/'FS-BS'!E39,"NA")</f>
        <v>NA</v>
      </c>
      <c r="G7" s="163" t="str">
        <f>IFERROR(('FS-BS'!F4+'FS-BS'!F10+'FS-BS'!F5)/'FS-BS'!F39,"NA")</f>
        <v>NA</v>
      </c>
      <c r="H7" s="163" t="str">
        <f>IFERROR(('FS-BS'!G4+'FS-BS'!G10+'FS-BS'!G5)/'FS-BS'!G39,"NA")</f>
        <v>NA</v>
      </c>
    </row>
    <row r="8" spans="2:8" x14ac:dyDescent="0.25">
      <c r="B8" s="29" t="s">
        <v>195</v>
      </c>
      <c r="C8" s="29" t="s">
        <v>196</v>
      </c>
      <c r="D8" s="163">
        <f>IFERROR('FS-BS'!C13/'FS-BS'!C39,"NA")</f>
        <v>2.7458493710342311</v>
      </c>
      <c r="E8" s="163">
        <f>IFERROR('FS-BS'!D13/'FS-BS'!D39,"NA")</f>
        <v>2.7458493710342311</v>
      </c>
      <c r="F8" s="163" t="str">
        <f>IFERROR('FS-BS'!E13/'FS-BS'!E39,"NA")</f>
        <v>NA</v>
      </c>
      <c r="G8" s="163" t="str">
        <f>IFERROR('FS-BS'!F13/'FS-BS'!F39,"NA")</f>
        <v>NA</v>
      </c>
      <c r="H8" s="163" t="str">
        <f>IFERROR('FS-BS'!G13/'FS-BS'!G39,"NA")</f>
        <v>NA</v>
      </c>
    </row>
    <row r="9" spans="2:8" x14ac:dyDescent="0.25">
      <c r="B9" s="112" t="s">
        <v>197</v>
      </c>
      <c r="C9" s="112" t="s">
        <v>197</v>
      </c>
      <c r="D9" s="166">
        <f>IFERROR('FS-IS'!C7/Ratios!D5,"NA")</f>
        <v>5.3035405112637628</v>
      </c>
      <c r="E9" s="166">
        <f>IFERROR('FS-IS'!D7/Ratios!E5,"NA")</f>
        <v>3.0937319649038617</v>
      </c>
      <c r="F9" s="166" t="str">
        <f>IFERROR('FS-IS'!E7/Ratios!F5,"NA")</f>
        <v>NA</v>
      </c>
      <c r="G9" s="166" t="str">
        <f>IFERROR('FS-IS'!F7/Ratios!G5,"NA")</f>
        <v>NA</v>
      </c>
      <c r="H9" s="166" t="str">
        <f>IFERROR('FS-IS'!G7/Ratios!H5,"NA")</f>
        <v>NA</v>
      </c>
    </row>
    <row r="10" spans="2:8" x14ac:dyDescent="0.25">
      <c r="B10" s="29" t="s">
        <v>198</v>
      </c>
      <c r="C10" s="29"/>
      <c r="D10" s="163">
        <f>IFERROR('FS-CF'!C38/(('FS-IS'!C30+'FS-IS'!C21)/'FS-Data'!D14),"NA")</f>
        <v>8.6362947263616565</v>
      </c>
      <c r="E10" s="163" t="str">
        <f>IFERROR('FS-CF'!D38/(('FS-IS'!D30+'FS-IS'!D21)/'FS-Data'!E14),"NA")</f>
        <v>NA</v>
      </c>
      <c r="F10" s="163" t="str">
        <f>IFERROR('FS-CF'!E38/(('FS-IS'!E30+'FS-IS'!E21)/'FS-Data'!F14),"NA")</f>
        <v>NA</v>
      </c>
      <c r="G10" s="163" t="str">
        <f>IFERROR('FS-CF'!F38/(('FS-IS'!F30+'FS-IS'!F21)/'FS-Data'!G14),"NA")</f>
        <v>NA</v>
      </c>
      <c r="H10" s="163" t="str">
        <f>IFERROR('FS-CF'!G38/(('FS-IS'!G30+'FS-IS'!G21)/'FS-Data'!H14),"NA")</f>
        <v>NA</v>
      </c>
    </row>
    <row r="11" spans="2:8" x14ac:dyDescent="0.25">
      <c r="B11" s="119" t="s">
        <v>199</v>
      </c>
      <c r="C11" s="115"/>
      <c r="D11" s="167"/>
      <c r="E11" s="168"/>
      <c r="F11" s="168"/>
      <c r="G11" s="168"/>
      <c r="H11" s="168"/>
    </row>
    <row r="12" spans="2:8" x14ac:dyDescent="0.25">
      <c r="B12" s="120" t="s">
        <v>200</v>
      </c>
      <c r="C12" s="121" t="s">
        <v>200</v>
      </c>
      <c r="D12" s="164">
        <f>IFERROR('FS-BS'!C45,"NA")</f>
        <v>56502.28</v>
      </c>
      <c r="E12" s="164">
        <f>IFERROR('FS-BS'!D45,"NA")</f>
        <v>56502.28</v>
      </c>
      <c r="F12" s="164">
        <f>IFERROR('FS-BS'!E45,"NA")</f>
        <v>0</v>
      </c>
      <c r="G12" s="164">
        <f>IFERROR('FS-BS'!F45,"NA")</f>
        <v>0</v>
      </c>
      <c r="H12" s="164">
        <f>IFERROR('FS-BS'!G45,"NA")</f>
        <v>0</v>
      </c>
    </row>
    <row r="13" spans="2:8" x14ac:dyDescent="0.25">
      <c r="B13" s="29" t="s">
        <v>201</v>
      </c>
      <c r="C13" s="29" t="s">
        <v>202</v>
      </c>
      <c r="D13" s="165">
        <f>IFERROR('FS-BS'!C28-'FS-BS'!C45,"NA")</f>
        <v>130280.15</v>
      </c>
      <c r="E13" s="165">
        <f>IFERROR('FS-BS'!D28-'FS-BS'!D45,"NA")</f>
        <v>130280.15</v>
      </c>
      <c r="F13" s="165">
        <f>IFERROR('FS-BS'!E28-'FS-BS'!E45,"NA")</f>
        <v>0</v>
      </c>
      <c r="G13" s="165">
        <f>IFERROR('FS-BS'!F28-'FS-BS'!F45,"NA")</f>
        <v>0</v>
      </c>
      <c r="H13" s="165">
        <f>IFERROR('FS-BS'!G28-'FS-BS'!G45,"NA")</f>
        <v>0</v>
      </c>
    </row>
    <row r="14" spans="2:8" ht="30" x14ac:dyDescent="0.25">
      <c r="B14" s="29" t="s">
        <v>203</v>
      </c>
      <c r="C14" s="29" t="s">
        <v>204</v>
      </c>
      <c r="D14" s="165">
        <f>IFERROR('FS-BS'!C28-'FS-BS'!C45-'FS-BS'!C21,"NA")</f>
        <v>130280.15</v>
      </c>
      <c r="E14" s="165">
        <f>IFERROR('FS-BS'!D28-'FS-BS'!D45-'FS-BS'!D21,"NA")</f>
        <v>130280.15</v>
      </c>
      <c r="F14" s="165">
        <f>IFERROR('FS-BS'!E28-'FS-BS'!E45-'FS-BS'!E21,"NA")</f>
        <v>0</v>
      </c>
      <c r="G14" s="165">
        <f>IFERROR('FS-BS'!F28-'FS-BS'!F45-'FS-BS'!F21,"NA")</f>
        <v>0</v>
      </c>
      <c r="H14" s="165">
        <f>IFERROR('FS-BS'!G28-'FS-BS'!G45-'FS-BS'!G21,"NA")</f>
        <v>0</v>
      </c>
    </row>
    <row r="15" spans="2:8" x14ac:dyDescent="0.25">
      <c r="B15" s="29" t="s">
        <v>182</v>
      </c>
      <c r="C15" s="29" t="s">
        <v>205</v>
      </c>
      <c r="D15" s="163">
        <f>IFERROR('FS-BS'!C45/'FS-BS'!C50,"NA")</f>
        <v>0.43369830323345498</v>
      </c>
      <c r="E15" s="163">
        <f>IFERROR('FS-BS'!D45/'FS-BS'!D50,"NA")</f>
        <v>0.43369830323345498</v>
      </c>
      <c r="F15" s="163" t="str">
        <f>IFERROR('FS-BS'!E45/'FS-BS'!E50,"NA")</f>
        <v>NA</v>
      </c>
      <c r="G15" s="163" t="str">
        <f>IFERROR('FS-BS'!F45/'FS-BS'!F50,"NA")</f>
        <v>NA</v>
      </c>
      <c r="H15" s="163" t="str">
        <f>IFERROR('FS-BS'!G45/'FS-BS'!G50,"NA")</f>
        <v>NA</v>
      </c>
    </row>
    <row r="16" spans="2:8" x14ac:dyDescent="0.25">
      <c r="B16" s="29" t="s">
        <v>206</v>
      </c>
      <c r="C16" s="29" t="s">
        <v>206</v>
      </c>
      <c r="D16" s="163">
        <f>IFERROR(D12/D14,"NA")</f>
        <v>0.43369830323345498</v>
      </c>
      <c r="E16" s="163">
        <f>IFERROR(E12/E14,"NA")</f>
        <v>0.43369830323345498</v>
      </c>
      <c r="F16" s="163" t="str">
        <f>IFERROR(F12/F14,"NA")</f>
        <v>NA</v>
      </c>
      <c r="G16" s="163" t="str">
        <f>IFERROR(G12/G14,"NA")</f>
        <v>NA</v>
      </c>
      <c r="H16" s="163" t="str">
        <f>IFERROR(H12/H14,"NA")</f>
        <v>NA</v>
      </c>
    </row>
    <row r="17" spans="2:8" ht="14.25" customHeight="1" x14ac:dyDescent="0.25">
      <c r="B17" s="29" t="s">
        <v>207</v>
      </c>
      <c r="C17" s="29" t="s">
        <v>207</v>
      </c>
      <c r="D17" s="163">
        <f>IFERROR(('FS-BS'!C32+'FS-BS'!C33+'FS-BS'!C40)/D14,"NA")</f>
        <v>4.5229914150390529E-2</v>
      </c>
      <c r="E17" s="163">
        <f>IFERROR(('FS-BS'!D32+'FS-BS'!D33+'FS-BS'!D40)/E14,"NA")</f>
        <v>4.5229914150390529E-2</v>
      </c>
      <c r="F17" s="163" t="str">
        <f>IFERROR(('FS-BS'!E32+'FS-BS'!E33+'FS-BS'!E40)/F14,"NA")</f>
        <v>NA</v>
      </c>
      <c r="G17" s="163" t="str">
        <f>IFERROR(('FS-BS'!F32+'FS-BS'!F33+'FS-BS'!F40)/G14,"NA")</f>
        <v>NA</v>
      </c>
      <c r="H17" s="163" t="str">
        <f>IFERROR(('FS-BS'!G32+'FS-BS'!G33+'FS-BS'!G40)/H14,"NA")</f>
        <v>NA</v>
      </c>
    </row>
    <row r="18" spans="2:8" x14ac:dyDescent="0.25">
      <c r="B18" s="29" t="s">
        <v>208</v>
      </c>
      <c r="C18" s="29" t="s">
        <v>208</v>
      </c>
      <c r="D18" s="163">
        <f>IFERROR('FS-BS'!C40/'FS-BS'!C18,"NA")</f>
        <v>0</v>
      </c>
      <c r="E18" s="163">
        <f>IFERROR('FS-BS'!D40/'FS-BS'!D18,"NA")</f>
        <v>0</v>
      </c>
      <c r="F18" s="163" t="str">
        <f>IFERROR('FS-BS'!E40/'FS-BS'!E18,"NA")</f>
        <v>NA</v>
      </c>
      <c r="G18" s="163" t="str">
        <f>IFERROR('FS-BS'!F40/'FS-BS'!F18,"NA")</f>
        <v>NA</v>
      </c>
      <c r="H18" s="163" t="str">
        <f>IFERROR('FS-BS'!G40/'FS-BS'!G18,"NA")</f>
        <v>NA</v>
      </c>
    </row>
    <row r="19" spans="2:8" x14ac:dyDescent="0.25">
      <c r="B19" s="29" t="s">
        <v>184</v>
      </c>
      <c r="C19" s="29" t="s">
        <v>209</v>
      </c>
      <c r="D19" s="163">
        <f>IFERROR('FS-BS'!C45/'FS-BS'!C28,"NA")</f>
        <v>0.30250318512292618</v>
      </c>
      <c r="E19" s="163">
        <f>IFERROR('FS-BS'!D45/'FS-BS'!D28,"NA")</f>
        <v>0.30250318512292618</v>
      </c>
      <c r="F19" s="163" t="str">
        <f>IFERROR('FS-BS'!E45/'FS-BS'!E28,"NA")</f>
        <v>NA</v>
      </c>
      <c r="G19" s="163" t="str">
        <f>IFERROR('FS-BS'!F45/'FS-BS'!F28,"NA")</f>
        <v>NA</v>
      </c>
      <c r="H19" s="163" t="str">
        <f>IFERROR('FS-BS'!G45/'FS-BS'!G28,"NA")</f>
        <v>NA</v>
      </c>
    </row>
    <row r="20" spans="2:8" x14ac:dyDescent="0.25">
      <c r="B20" s="29" t="s">
        <v>210</v>
      </c>
      <c r="C20" s="29" t="s">
        <v>211</v>
      </c>
      <c r="D20" s="170">
        <f>IFERROR('FS-BS'!C45/Ratios!D31,"NA")</f>
        <v>0.43224489826250878</v>
      </c>
      <c r="E20" s="170">
        <f>IFERROR('FS-BS'!D45/Ratios!E31,"NA")</f>
        <v>0.74099125416430078</v>
      </c>
      <c r="F20" s="170" t="str">
        <f>IFERROR('FS-BS'!E45/Ratios!F31,"NA")</f>
        <v>NA</v>
      </c>
      <c r="G20" s="170" t="str">
        <f>IFERROR('FS-BS'!F45/Ratios!G31,"NA")</f>
        <v>NA</v>
      </c>
      <c r="H20" s="170" t="str">
        <f>IFERROR('FS-BS'!G45/Ratios!H31,"NA")</f>
        <v>NA</v>
      </c>
    </row>
    <row r="21" spans="2:8" x14ac:dyDescent="0.25">
      <c r="B21" s="29" t="s">
        <v>212</v>
      </c>
      <c r="C21" s="29" t="s">
        <v>213</v>
      </c>
      <c r="D21" s="170">
        <f>IFERROR('FS-BS'!C45/'FS-BS'!C50,"NA")</f>
        <v>0.43369830323345498</v>
      </c>
      <c r="E21" s="170">
        <f>IFERROR('FS-BS'!D45/'FS-BS'!D50,"NA")</f>
        <v>0.43369830323345498</v>
      </c>
      <c r="F21" s="170" t="str">
        <f>IFERROR('FS-BS'!E45/'FS-BS'!E50,"NA")</f>
        <v>NA</v>
      </c>
      <c r="G21" s="170" t="str">
        <f>IFERROR('FS-BS'!F45/'FS-BS'!F50,"NA")</f>
        <v>NA</v>
      </c>
      <c r="H21" s="170" t="str">
        <f>IFERROR('FS-BS'!G45/'FS-BS'!G50,"NA")</f>
        <v>NA</v>
      </c>
    </row>
    <row r="22" spans="2:8" x14ac:dyDescent="0.25">
      <c r="B22" s="29" t="s">
        <v>214</v>
      </c>
      <c r="C22" s="29" t="s">
        <v>215</v>
      </c>
      <c r="D22" s="163">
        <f>IFERROR(D12/'FS-BS'!C46,"NA")</f>
        <v>0.43369830323345498</v>
      </c>
      <c r="E22" s="163">
        <f>IFERROR(E12/'FS-BS'!D46,"NA")</f>
        <v>0.43369830323345498</v>
      </c>
      <c r="F22" s="163" t="str">
        <f>IFERROR(F12/'FS-BS'!E46,"NA")</f>
        <v>NA</v>
      </c>
      <c r="G22" s="163" t="str">
        <f>IFERROR(G12/'FS-BS'!F46,"NA")</f>
        <v>NA</v>
      </c>
      <c r="H22" s="163" t="str">
        <f>IFERROR(H12/'FS-BS'!G46,"NA")</f>
        <v>NA</v>
      </c>
    </row>
    <row r="23" spans="2:8" x14ac:dyDescent="0.25">
      <c r="B23" s="29" t="s">
        <v>216</v>
      </c>
      <c r="C23" s="29" t="s">
        <v>217</v>
      </c>
      <c r="D23" s="163">
        <f>IFERROR('FS-BS'!C50/'FS-BS'!C28,"NA")</f>
        <v>0.69749681487707382</v>
      </c>
      <c r="E23" s="163">
        <f>IFERROR('FS-BS'!D50/'FS-BS'!D28,"NA")</f>
        <v>0.69749681487707382</v>
      </c>
      <c r="F23" s="163" t="str">
        <f>IFERROR('FS-BS'!E50/'FS-BS'!E28,"NA")</f>
        <v>NA</v>
      </c>
      <c r="G23" s="163" t="str">
        <f>IFERROR('FS-BS'!F50/'FS-BS'!F28,"NA")</f>
        <v>NA</v>
      </c>
      <c r="H23" s="163" t="str">
        <f>IFERROR('FS-BS'!G50/'FS-BS'!G28,"NA")</f>
        <v>NA</v>
      </c>
    </row>
    <row r="24" spans="2:8" x14ac:dyDescent="0.25">
      <c r="B24" s="201" t="s">
        <v>218</v>
      </c>
      <c r="C24" s="29" t="s">
        <v>219</v>
      </c>
      <c r="D24" s="169">
        <f>IFERROR('FS-BS'!C48/'FS-BS'!C28,"NA")</f>
        <v>0</v>
      </c>
      <c r="E24" s="169">
        <f>IFERROR('FS-BS'!D48/'FS-BS'!D28,"NA")</f>
        <v>0</v>
      </c>
      <c r="F24" s="169" t="str">
        <f>IFERROR('FS-BS'!E48/'FS-BS'!E28,"NA")</f>
        <v>NA</v>
      </c>
      <c r="G24" s="169" t="str">
        <f>IFERROR('FS-BS'!F48/'FS-BS'!F28,"NA")</f>
        <v>NA</v>
      </c>
      <c r="H24" s="169" t="str">
        <f>IFERROR('FS-BS'!G48/'FS-BS'!G28,"NA")</f>
        <v>NA</v>
      </c>
    </row>
    <row r="25" spans="2:8" x14ac:dyDescent="0.25">
      <c r="B25" s="114" t="s">
        <v>220</v>
      </c>
      <c r="C25" s="115"/>
      <c r="D25" s="167"/>
      <c r="E25" s="168"/>
      <c r="F25" s="168"/>
      <c r="G25" s="168"/>
      <c r="H25" s="168"/>
    </row>
    <row r="26" spans="2:8" x14ac:dyDescent="0.25">
      <c r="B26" s="113" t="s">
        <v>221</v>
      </c>
      <c r="C26" s="113" t="s">
        <v>222</v>
      </c>
      <c r="D26" s="171" t="str">
        <f>IFERROR(D31/'FS-IS'!C33,"NA")</f>
        <v>NA</v>
      </c>
      <c r="E26" s="171" t="str">
        <f>IFERROR(E31/'FS-IS'!D33,"NA")</f>
        <v>NA</v>
      </c>
      <c r="F26" s="171" t="str">
        <f>IFERROR(F31/'FS-IS'!E33,"NA")</f>
        <v>NA</v>
      </c>
      <c r="G26" s="171" t="str">
        <f>IFERROR(G31/'FS-IS'!F33,"NA")</f>
        <v>NA</v>
      </c>
      <c r="H26" s="171" t="str">
        <f>IFERROR(H31/'FS-IS'!G33,"NA")</f>
        <v>NA</v>
      </c>
    </row>
    <row r="27" spans="2:8" s="33" customFormat="1" ht="30" x14ac:dyDescent="0.25">
      <c r="B27" s="32" t="s">
        <v>223</v>
      </c>
      <c r="C27" s="32" t="s">
        <v>223</v>
      </c>
      <c r="D27" s="163" t="str">
        <f>IFERROR(('FS-IS'!C44+'FS-IS'!C21)/'FS-BS'!C33,"NA")</f>
        <v>NA</v>
      </c>
      <c r="E27" s="163" t="str">
        <f>IFERROR(('FS-IS'!D44+'FS-IS'!D21)/'FS-BS'!D33,"NA")</f>
        <v>NA</v>
      </c>
      <c r="F27" s="163" t="str">
        <f>IFERROR(('FS-IS'!E44+'FS-IS'!E21)/'FS-BS'!E33,"NA")</f>
        <v>NA</v>
      </c>
      <c r="G27" s="163" t="str">
        <f>IFERROR(('FS-IS'!F44+'FS-IS'!F21)/'FS-BS'!F33,"NA")</f>
        <v>NA</v>
      </c>
      <c r="H27" s="163" t="str">
        <f>IFERROR(('FS-IS'!G44+'FS-IS'!G21)/'FS-BS'!G33,"NA")</f>
        <v>NA</v>
      </c>
    </row>
    <row r="28" spans="2:8" s="33" customFormat="1" ht="45" x14ac:dyDescent="0.25">
      <c r="B28" s="32" t="s">
        <v>224</v>
      </c>
      <c r="C28" s="32" t="s">
        <v>225</v>
      </c>
      <c r="D28" s="163" t="str">
        <f>IFERROR(('FS-IS'!C44+'FS-IS'!C21)/'FS-BS'!D33,"NA")</f>
        <v>NA</v>
      </c>
      <c r="E28" s="163" t="str">
        <f>IFERROR(('FS-IS'!D44+'FS-IS'!D21)/'FS-BS'!E33,"NA")</f>
        <v>NA</v>
      </c>
      <c r="F28" s="163" t="str">
        <f>IFERROR(('FS-IS'!E44+'FS-IS'!E21)/'FS-BS'!F33,"NA")</f>
        <v>NA</v>
      </c>
      <c r="G28" s="163" t="str">
        <f>IFERROR(('FS-IS'!F44+'FS-IS'!F21)/'FS-BS'!G33,"NA")</f>
        <v>NA</v>
      </c>
      <c r="H28" s="163" t="str">
        <f>IFERROR(('FS-IS'!G44+'FS-IS'!G21)/'FS-BS'!H33,"NA")</f>
        <v>NA</v>
      </c>
    </row>
    <row r="29" spans="2:8" x14ac:dyDescent="0.25">
      <c r="B29" s="29" t="s">
        <v>226</v>
      </c>
      <c r="C29" s="29" t="s">
        <v>226</v>
      </c>
      <c r="D29" s="163" t="str">
        <f>IFERROR(D31/'FS-IS'!C33+'FS-BS'!C33,"NA")</f>
        <v>NA</v>
      </c>
      <c r="E29" s="163" t="str">
        <f>IFERROR(E31/'FS-IS'!D33+'FS-BS'!D33,"NA")</f>
        <v>NA</v>
      </c>
      <c r="F29" s="163" t="str">
        <f>IFERROR(F31/'FS-IS'!E33+'FS-BS'!E33,"NA")</f>
        <v>NA</v>
      </c>
      <c r="G29" s="163" t="str">
        <f>IFERROR(G31/'FS-IS'!F33+'FS-BS'!F33,"NA")</f>
        <v>NA</v>
      </c>
      <c r="H29" s="163" t="str">
        <f>IFERROR(H31/'FS-IS'!G33+'FS-BS'!G33,"NA")</f>
        <v>NA</v>
      </c>
    </row>
    <row r="30" spans="2:8" s="33" customFormat="1" ht="30" x14ac:dyDescent="0.25">
      <c r="B30" s="32" t="s">
        <v>227</v>
      </c>
      <c r="C30" s="32" t="s">
        <v>228</v>
      </c>
      <c r="D30" s="172" t="str">
        <f>IFERROR(D31/'FS-IS'!C33+'FS-BS'!D33,"NA")</f>
        <v>NA</v>
      </c>
      <c r="E30" s="172" t="str">
        <f>IFERROR(E31/'FS-IS'!D33+'FS-BS'!E33,"NA")</f>
        <v>NA</v>
      </c>
      <c r="F30" s="172" t="str">
        <f>IFERROR(F31/'FS-IS'!E33+'FS-BS'!F33,"NA")</f>
        <v>NA</v>
      </c>
      <c r="G30" s="172" t="str">
        <f>IFERROR(G31/'FS-IS'!F33+'FS-BS'!G33,"NA")</f>
        <v>NA</v>
      </c>
      <c r="H30" s="172" t="str">
        <f>IFERROR(H31/'FS-IS'!G33+'FS-BS'!H33,"NA")</f>
        <v>NA</v>
      </c>
    </row>
    <row r="31" spans="2:8" x14ac:dyDescent="0.25">
      <c r="B31" s="29" t="s">
        <v>229</v>
      </c>
      <c r="C31" s="29" t="s">
        <v>229</v>
      </c>
      <c r="D31" s="165">
        <f>IFERROR('FS-IS'!C30+'FS-IS'!C21,"NA")</f>
        <v>130718.21142857149</v>
      </c>
      <c r="E31" s="165">
        <f>IFERROR('FS-IS'!D30+'FS-IS'!D21,"NA")</f>
        <v>76252.290000000037</v>
      </c>
      <c r="F31" s="165">
        <f>IFERROR('FS-IS'!E30+'FS-IS'!E21,"NA")</f>
        <v>0</v>
      </c>
      <c r="G31" s="165">
        <f>IFERROR('FS-IS'!F30+'FS-IS'!F21,"NA")</f>
        <v>0</v>
      </c>
      <c r="H31" s="165">
        <f>IFERROR('FS-IS'!G30+'FS-IS'!G21,"NA")</f>
        <v>0</v>
      </c>
    </row>
    <row r="32" spans="2:8" x14ac:dyDescent="0.25">
      <c r="B32" s="29" t="s">
        <v>230</v>
      </c>
      <c r="C32" s="29" t="s">
        <v>231</v>
      </c>
      <c r="D32" s="165">
        <f>IFERROR(D31-'FS-IS'!C43,"NA")</f>
        <v>130718.21142857149</v>
      </c>
      <c r="E32" s="165">
        <f>IFERROR(E31-'FS-IS'!D43,"NA")</f>
        <v>76252.290000000037</v>
      </c>
      <c r="F32" s="165">
        <f>IFERROR(F31-'FS-IS'!E43,"NA")</f>
        <v>0</v>
      </c>
      <c r="G32" s="165">
        <f>IFERROR(G31-'FS-IS'!F43,"NA")</f>
        <v>0</v>
      </c>
      <c r="H32" s="165">
        <f>IFERROR(H31-'FS-IS'!G43,"NA")</f>
        <v>0</v>
      </c>
    </row>
    <row r="33" spans="2:8" s="31" customFormat="1" ht="30" x14ac:dyDescent="0.25">
      <c r="B33" s="30" t="s">
        <v>232</v>
      </c>
      <c r="C33" s="30" t="s">
        <v>233</v>
      </c>
      <c r="D33" s="163" t="str">
        <f>IFERROR(('FS-IS'!C30+'FS-IS'!C25)/('FS-IS'!C25+'FS-IS'!C33),"NA")</f>
        <v>NA</v>
      </c>
      <c r="E33" s="163" t="str">
        <f>IFERROR(('FS-IS'!D30+'FS-IS'!D25)/('FS-IS'!D25+'FS-IS'!D33),"NA")</f>
        <v>NA</v>
      </c>
      <c r="F33" s="163" t="str">
        <f>IFERROR(('FS-IS'!E30+'FS-IS'!E25)/('FS-IS'!E25+'FS-IS'!E33),"NA")</f>
        <v>NA</v>
      </c>
      <c r="G33" s="163" t="str">
        <f>IFERROR(('FS-IS'!F30+'FS-IS'!F25)/('FS-IS'!F25+'FS-IS'!F33),"NA")</f>
        <v>NA</v>
      </c>
      <c r="H33" s="163" t="str">
        <f>IFERROR(('FS-IS'!G30+'FS-IS'!G25)/('FS-IS'!G25+'FS-IS'!G33),"NA")</f>
        <v>NA</v>
      </c>
    </row>
    <row r="34" spans="2:8" s="33" customFormat="1" ht="30" x14ac:dyDescent="0.25">
      <c r="B34" s="32" t="s">
        <v>234</v>
      </c>
      <c r="C34" s="32" t="s">
        <v>234</v>
      </c>
      <c r="D34" s="169" t="str">
        <f>IFERROR((('FS-IS'!C44+('FS-IS'!C21+'FS-IS'!C37)-('FS-IS'!C37+'FS-IS'!C32))+'FS-IS'!C33)/'FS-IS'!C33,"NA")</f>
        <v>NA</v>
      </c>
      <c r="E34" s="169" t="str">
        <f>IFERROR((('FS-IS'!D44+('FS-IS'!D21+'FS-IS'!D37)-('FS-IS'!D37+'FS-IS'!D32))+'FS-IS'!D33)/'FS-IS'!D33,"NA")</f>
        <v>NA</v>
      </c>
      <c r="F34" s="169" t="str">
        <f>IFERROR((('FS-IS'!E44+('FS-IS'!E21+'FS-IS'!E37)-('FS-IS'!E37+'FS-IS'!E32))+'FS-IS'!E33)/'FS-IS'!E33,"NA")</f>
        <v>NA</v>
      </c>
      <c r="G34" s="169" t="str">
        <f>IFERROR((('FS-IS'!F44+('FS-IS'!F21+'FS-IS'!F37)-('FS-IS'!F37+'FS-IS'!F32))+'FS-IS'!F33)/'FS-IS'!F33,"NA")</f>
        <v>NA</v>
      </c>
      <c r="H34" s="169" t="str">
        <f>IFERROR((('FS-IS'!G44+('FS-IS'!G21+'FS-IS'!G37)-('FS-IS'!G37+'FS-IS'!G32))+'FS-IS'!G33)/'FS-IS'!G33,"NA")</f>
        <v>NA</v>
      </c>
    </row>
    <row r="35" spans="2:8" x14ac:dyDescent="0.25">
      <c r="B35" s="29" t="s">
        <v>235</v>
      </c>
      <c r="C35" s="29" t="s">
        <v>236</v>
      </c>
      <c r="D35" s="163">
        <f>IFERROR('FS-IS'!C30/'FS-BS'!C45,"NA")</f>
        <v>2.3135033033812351</v>
      </c>
      <c r="E35" s="163">
        <f>IFERROR('FS-IS'!D30/'FS-BS'!D45,"NA")</f>
        <v>1.3495435936390539</v>
      </c>
      <c r="F35" s="163" t="str">
        <f>IFERROR('FS-IS'!E30/'FS-BS'!E45,"NA")</f>
        <v>NA</v>
      </c>
      <c r="G35" s="163" t="str">
        <f>IFERROR('FS-IS'!F30/'FS-BS'!F45,"NA")</f>
        <v>NA</v>
      </c>
      <c r="H35" s="163" t="str">
        <f>IFERROR('FS-IS'!G30/'FS-BS'!G45,"NA")</f>
        <v>NA</v>
      </c>
    </row>
    <row r="36" spans="2:8" s="33" customFormat="1" x14ac:dyDescent="0.25">
      <c r="B36" s="122" t="s">
        <v>237</v>
      </c>
      <c r="C36" s="122" t="s">
        <v>237</v>
      </c>
      <c r="D36" s="173">
        <f>IFERROR(D12/D31,"NA")</f>
        <v>0.43224489826250878</v>
      </c>
      <c r="E36" s="173">
        <f>IFERROR(E12/E31,"NA")</f>
        <v>0.74099125416430078</v>
      </c>
      <c r="F36" s="173" t="str">
        <f>IFERROR(F12/F31,"NA")</f>
        <v>NA</v>
      </c>
      <c r="G36" s="173" t="str">
        <f>IFERROR(G12/G31,"NA")</f>
        <v>NA</v>
      </c>
      <c r="H36" s="173" t="str">
        <f>IFERROR(H12/H31,"NA")</f>
        <v>NA</v>
      </c>
    </row>
    <row r="37" spans="2:8" x14ac:dyDescent="0.25">
      <c r="B37" s="114" t="s">
        <v>238</v>
      </c>
      <c r="C37" s="115"/>
      <c r="D37" s="167"/>
      <c r="E37" s="168"/>
      <c r="F37" s="168"/>
      <c r="G37" s="168"/>
      <c r="H37" s="168"/>
    </row>
    <row r="38" spans="2:8" x14ac:dyDescent="0.25">
      <c r="B38" s="113" t="s">
        <v>239</v>
      </c>
      <c r="C38" s="113" t="s">
        <v>240</v>
      </c>
      <c r="D38" s="174">
        <f>IFERROR('FS-IS'!C44/'FS-BS'!C28,"NA")</f>
        <v>0.699842118065235</v>
      </c>
      <c r="E38" s="174">
        <f>IFERROR('FS-IS'!D44/'FS-BS'!D28,"NA")</f>
        <v>0.40824123553805375</v>
      </c>
      <c r="F38" s="174" t="str">
        <f>IFERROR('FS-IS'!E44/'FS-BS'!E28,"NA")</f>
        <v>NA</v>
      </c>
      <c r="G38" s="174" t="str">
        <f>IFERROR('FS-IS'!F44/'FS-BS'!F28,"NA")</f>
        <v>NA</v>
      </c>
      <c r="H38" s="174" t="str">
        <f>IFERROR('FS-IS'!G44/'FS-BS'!G28,"NA")</f>
        <v>NA</v>
      </c>
    </row>
    <row r="39" spans="2:8" x14ac:dyDescent="0.25">
      <c r="B39" s="29" t="s">
        <v>241</v>
      </c>
      <c r="C39" s="29" t="s">
        <v>242</v>
      </c>
      <c r="D39" s="175">
        <f>IFERROR('FS-IS'!C44/'FS-BS'!C50,"NA")</f>
        <v>1.0033624572014348</v>
      </c>
      <c r="E39" s="175">
        <f>IFERROR('FS-IS'!D44/'FS-BS'!D50,"NA")</f>
        <v>0.58529476670083691</v>
      </c>
      <c r="F39" s="175" t="str">
        <f>IFERROR('FS-IS'!E44/'FS-BS'!E50,"NA")</f>
        <v>NA</v>
      </c>
      <c r="G39" s="175" t="str">
        <f>IFERROR('FS-IS'!F44/'FS-BS'!F50,"NA")</f>
        <v>NA</v>
      </c>
      <c r="H39" s="175" t="str">
        <f>IFERROR('FS-IS'!G44/'FS-BS'!G50,"NA")</f>
        <v>NA</v>
      </c>
    </row>
    <row r="40" spans="2:8" x14ac:dyDescent="0.25">
      <c r="B40" s="29" t="s">
        <v>243</v>
      </c>
      <c r="C40" s="29" t="s">
        <v>244</v>
      </c>
      <c r="D40" s="175">
        <f>IFERROR('FS-IS'!C9/'FS-IS'!C7,"NA")</f>
        <v>0.48694711031587806</v>
      </c>
      <c r="E40" s="175">
        <f>IFERROR('FS-IS'!D9/'FS-IS'!D7,"NA")</f>
        <v>0.48694711031587806</v>
      </c>
      <c r="F40" s="175" t="str">
        <f>IFERROR('FS-IS'!E9/'FS-IS'!E7,"NA")</f>
        <v>NA</v>
      </c>
      <c r="G40" s="175" t="str">
        <f>IFERROR('FS-IS'!F9/'FS-IS'!F7,"NA")</f>
        <v>NA</v>
      </c>
      <c r="H40" s="175" t="str">
        <f>IFERROR('FS-IS'!G9/'FS-IS'!G7,"NA")</f>
        <v>NA</v>
      </c>
    </row>
    <row r="41" spans="2:8" x14ac:dyDescent="0.25">
      <c r="B41" s="29" t="s">
        <v>245</v>
      </c>
      <c r="C41" s="29" t="s">
        <v>246</v>
      </c>
      <c r="D41" s="176">
        <f>IFERROR(('FS-IS'!C9+'FS-IS'!C21)/'FS-IS'!C7,"NA")</f>
        <v>0.48694711031587806</v>
      </c>
      <c r="E41" s="176">
        <f>IFERROR(('FS-IS'!D9+'FS-IS'!D21)/'FS-IS'!D7,"NA")</f>
        <v>0.48694711031587806</v>
      </c>
      <c r="F41" s="176" t="str">
        <f>IFERROR(('FS-IS'!E9+'FS-IS'!E21)/'FS-IS'!E7,"NA")</f>
        <v>NA</v>
      </c>
      <c r="G41" s="176" t="str">
        <f>IFERROR(('FS-IS'!F9+'FS-IS'!F21)/'FS-IS'!F7,"NA")</f>
        <v>NA</v>
      </c>
      <c r="H41" s="176" t="str">
        <f>IFERROR(('FS-IS'!G9+'FS-IS'!G21)/'FS-IS'!G7,"NA")</f>
        <v>NA</v>
      </c>
    </row>
    <row r="42" spans="2:8" x14ac:dyDescent="0.25">
      <c r="B42" s="29" t="s">
        <v>247</v>
      </c>
      <c r="C42" s="29" t="s">
        <v>248</v>
      </c>
      <c r="D42" s="175">
        <f>IFERROR('FS-IS'!C29/'FS-IS'!C7,"NA")</f>
        <v>0.23708669208012134</v>
      </c>
      <c r="E42" s="177">
        <f>IFERROR('FS-IS'!D29/'FS-IS'!D7,"")</f>
        <v>0.23708669208012134</v>
      </c>
      <c r="F42" s="177" t="str">
        <f>IFERROR('FS-IS'!E29/'FS-IS'!E7,"")</f>
        <v/>
      </c>
      <c r="G42" s="177" t="str">
        <f>IFERROR('FS-IS'!F29/'FS-IS'!F7,"")</f>
        <v/>
      </c>
      <c r="H42" s="177" t="str">
        <f>IFERROR('FS-IS'!G29/'FS-IS'!G7,"")</f>
        <v/>
      </c>
    </row>
    <row r="43" spans="2:8" ht="30" x14ac:dyDescent="0.25">
      <c r="B43" s="29" t="s">
        <v>249</v>
      </c>
      <c r="C43" s="29" t="s">
        <v>250</v>
      </c>
      <c r="D43" s="175">
        <f>IFERROR(('FS-IS'!C29-'FS-IS'!C21)/'FS-IS'!C7,"NA")</f>
        <v>0.23708669208012134</v>
      </c>
      <c r="E43" s="175">
        <f>IFERROR(('FS-IS'!D29-'FS-IS'!D21)/'FS-IS'!D7,"NA")</f>
        <v>0.23708669208012134</v>
      </c>
      <c r="F43" s="175" t="str">
        <f>IFERROR(('FS-IS'!E29-'FS-IS'!E21)/'FS-IS'!E7,"NA")</f>
        <v>NA</v>
      </c>
      <c r="G43" s="175" t="str">
        <f>IFERROR(('FS-IS'!F29-'FS-IS'!F21)/'FS-IS'!F7,"NA")</f>
        <v>NA</v>
      </c>
      <c r="H43" s="175" t="str">
        <f>IFERROR(('FS-IS'!G29-'FS-IS'!G21)/'FS-IS'!G7,"NA")</f>
        <v>NA</v>
      </c>
    </row>
    <row r="44" spans="2:8" x14ac:dyDescent="0.25">
      <c r="B44" s="29" t="s">
        <v>251</v>
      </c>
      <c r="C44" s="29" t="s">
        <v>252</v>
      </c>
      <c r="D44" s="175">
        <f>IFERROR('FS-IS'!C30/'FS-IS'!C7,"NA")</f>
        <v>0.24986041823575672</v>
      </c>
      <c r="E44" s="175">
        <f>IFERROR('FS-IS'!D30/'FS-IS'!D7,"NA")</f>
        <v>0.24986041823575669</v>
      </c>
      <c r="F44" s="175" t="str">
        <f>IFERROR('FS-IS'!E30/'FS-IS'!E7,"NA")</f>
        <v>NA</v>
      </c>
      <c r="G44" s="175" t="str">
        <f>IFERROR('FS-IS'!F30/'FS-IS'!F7,"NA")</f>
        <v>NA</v>
      </c>
      <c r="H44" s="175" t="str">
        <f>IFERROR('FS-IS'!G30/'FS-IS'!G7,"NA")</f>
        <v>NA</v>
      </c>
    </row>
    <row r="45" spans="2:8" ht="30" x14ac:dyDescent="0.25">
      <c r="B45" s="29" t="s">
        <v>253</v>
      </c>
      <c r="C45" s="29" t="s">
        <v>254</v>
      </c>
      <c r="D45" s="175">
        <f>IFERROR(('FS-IS'!C30+'FS-IS'!C21)/'FS-IS'!C7,"NA")</f>
        <v>0.24986041823575672</v>
      </c>
      <c r="E45" s="175">
        <f>IFERROR(('FS-IS'!D30+'FS-IS'!D21)/'FS-IS'!D7,"NA")</f>
        <v>0.24986041823575669</v>
      </c>
      <c r="F45" s="175" t="str">
        <f>IFERROR(('FS-IS'!E30+'FS-IS'!E21)/'FS-IS'!E7,"NA")</f>
        <v>NA</v>
      </c>
      <c r="G45" s="175" t="str">
        <f>IFERROR(('FS-IS'!F30+'FS-IS'!F21)/'FS-IS'!F7,"NA")</f>
        <v>NA</v>
      </c>
      <c r="H45" s="175" t="str">
        <f>IFERROR(('FS-IS'!G30+'FS-IS'!G21)/'FS-IS'!G7,"NA")</f>
        <v>NA</v>
      </c>
    </row>
    <row r="46" spans="2:8" x14ac:dyDescent="0.25">
      <c r="B46" s="29" t="s">
        <v>255</v>
      </c>
      <c r="C46" s="29" t="s">
        <v>256</v>
      </c>
      <c r="D46" s="175">
        <f>IFERROR('FS-IS'!C44/'FS-IS'!C7,"NA")</f>
        <v>0.24986041823575672</v>
      </c>
      <c r="E46" s="175">
        <f>IFERROR('FS-IS'!D44/'FS-IS'!D7,"NA")</f>
        <v>0.24986041823575669</v>
      </c>
      <c r="F46" s="175" t="str">
        <f>IFERROR('FS-IS'!E44/'FS-IS'!E7,"NA")</f>
        <v>NA</v>
      </c>
      <c r="G46" s="175" t="str">
        <f>IFERROR('FS-IS'!F44/'FS-IS'!F7,"NA")</f>
        <v>NA</v>
      </c>
      <c r="H46" s="175" t="str">
        <f>IFERROR('FS-IS'!G44/'FS-IS'!G7,"NA")</f>
        <v>NA</v>
      </c>
    </row>
    <row r="47" spans="2:8" x14ac:dyDescent="0.25">
      <c r="B47" s="29" t="s">
        <v>257</v>
      </c>
      <c r="C47" s="29" t="s">
        <v>258</v>
      </c>
      <c r="D47" s="175">
        <f>IFERROR('FS-BS'!C50/'FS-IS'!C7,"NA")</f>
        <v>0.24902308875764009</v>
      </c>
      <c r="E47" s="175">
        <f>IFERROR('FS-BS'!D50/'FS-IS'!D7,"NA")</f>
        <v>0.42689672358452579</v>
      </c>
      <c r="F47" s="175" t="str">
        <f>IFERROR('FS-BS'!E50/'FS-IS'!E7,"NA")</f>
        <v>NA</v>
      </c>
      <c r="G47" s="175" t="str">
        <f>IFERROR('FS-BS'!F50/'FS-IS'!F7,"NA")</f>
        <v>NA</v>
      </c>
      <c r="H47" s="175" t="str">
        <f>IFERROR('FS-BS'!G50/'FS-IS'!G7,"NA")</f>
        <v>NA</v>
      </c>
    </row>
    <row r="48" spans="2:8" x14ac:dyDescent="0.25">
      <c r="B48" s="29" t="s">
        <v>259</v>
      </c>
      <c r="C48" s="29" t="s">
        <v>260</v>
      </c>
      <c r="D48" s="175">
        <f>IFERROR('FS-IS'!C43/('FS-IS'!C30-'FS-IS'!C35),"NA")</f>
        <v>0</v>
      </c>
      <c r="E48" s="175">
        <f>IFERROR('FS-IS'!D43/('FS-IS'!D30-'FS-IS'!D35),"NA")</f>
        <v>0</v>
      </c>
      <c r="F48" s="175" t="str">
        <f>IFERROR('FS-IS'!E43/('FS-IS'!E30-'FS-IS'!E35),"NA")</f>
        <v>NA</v>
      </c>
      <c r="G48" s="175" t="str">
        <f>IFERROR('FS-IS'!F43/('FS-IS'!F30-'FS-IS'!F35),"NA")</f>
        <v>NA</v>
      </c>
      <c r="H48" s="175" t="str">
        <f>IFERROR('FS-IS'!G43/('FS-IS'!G30-'FS-IS'!G35),"NA")</f>
        <v>NA</v>
      </c>
    </row>
    <row r="49" spans="2:8" x14ac:dyDescent="0.25">
      <c r="B49" s="112" t="s">
        <v>261</v>
      </c>
      <c r="C49" s="112" t="s">
        <v>262</v>
      </c>
      <c r="D49" s="178">
        <f>IFERROR(('FS-IS'!C30+'FS-IS'!C21)/'FS-IS'!C7,"NA")</f>
        <v>0.24986041823575672</v>
      </c>
      <c r="E49" s="178">
        <f>IFERROR(('FS-IS'!D30+'FS-IS'!D21)/'FS-IS'!D7,"NA")</f>
        <v>0.24986041823575669</v>
      </c>
      <c r="F49" s="178" t="str">
        <f>IFERROR(('FS-IS'!E30+'FS-IS'!E21)/'FS-IS'!E7,"NA")</f>
        <v>NA</v>
      </c>
      <c r="G49" s="178" t="str">
        <f>IFERROR(('FS-IS'!F30+'FS-IS'!F21)/'FS-IS'!F7,"NA")</f>
        <v>NA</v>
      </c>
      <c r="H49" s="178" t="str">
        <f>IFERROR(('FS-IS'!G30+'FS-IS'!G21)/'FS-IS'!G7,"NA")</f>
        <v>NA</v>
      </c>
    </row>
    <row r="50" spans="2:8" x14ac:dyDescent="0.25">
      <c r="B50" s="114" t="s">
        <v>263</v>
      </c>
      <c r="C50" s="115"/>
      <c r="D50" s="167"/>
      <c r="E50" s="179"/>
      <c r="F50" s="179"/>
      <c r="G50" s="179"/>
      <c r="H50" s="179"/>
    </row>
    <row r="51" spans="2:8" ht="30" x14ac:dyDescent="0.25">
      <c r="B51" s="113" t="s">
        <v>264</v>
      </c>
      <c r="C51" s="113" t="s">
        <v>265</v>
      </c>
      <c r="D51" s="180">
        <f>IFERROR(('FS-BS'!C7/'FS-IS'!C7)*365,"NA")</f>
        <v>32.141966371381478</v>
      </c>
      <c r="E51" s="180">
        <f>IFERROR(('FS-BS'!D7/'FS-IS'!D7)*365,"NA")</f>
        <v>55.100513779511104</v>
      </c>
      <c r="F51" s="180" t="str">
        <f>IFERROR(('FS-BS'!E7/'FS-IS'!E7)*365,"NA")</f>
        <v>NA</v>
      </c>
      <c r="G51" s="180" t="str">
        <f>IFERROR(('FS-BS'!F7/'FS-IS'!F7)*365,"NA")</f>
        <v>NA</v>
      </c>
      <c r="H51" s="180" t="str">
        <f>IFERROR(('FS-BS'!G7/'FS-IS'!G7)*365,"NA")</f>
        <v>NA</v>
      </c>
    </row>
    <row r="52" spans="2:8" ht="30" x14ac:dyDescent="0.25">
      <c r="B52" s="29" t="s">
        <v>266</v>
      </c>
      <c r="C52" s="29" t="s">
        <v>267</v>
      </c>
      <c r="D52" s="163">
        <f>IFERROR('FS-BS'!C31/('FS-IS'!C8-'FS-IS'!C22)*365,"NA")</f>
        <v>68.821799913671938</v>
      </c>
      <c r="E52" s="163">
        <f>IFERROR('FS-BS'!D31/('FS-IS'!D8-'FS-IS'!D22)*365,"NA")</f>
        <v>117.98022842343759</v>
      </c>
      <c r="F52" s="163" t="str">
        <f>IFERROR('FS-BS'!E31/('FS-IS'!E8-'FS-IS'!E22)*365,"NA")</f>
        <v>NA</v>
      </c>
      <c r="G52" s="163" t="str">
        <f>IFERROR('FS-BS'!F31/('FS-IS'!F8-'FS-IS'!F22)*365,"NA")</f>
        <v>NA</v>
      </c>
      <c r="H52" s="163" t="str">
        <f>IFERROR('FS-BS'!G31/('FS-IS'!G8-'FS-IS'!G22)*365,"NA")</f>
        <v>NA</v>
      </c>
    </row>
    <row r="53" spans="2:8" ht="30" x14ac:dyDescent="0.25">
      <c r="B53" s="29" t="s">
        <v>268</v>
      </c>
      <c r="C53" s="29" t="s">
        <v>269</v>
      </c>
      <c r="D53" s="163">
        <f>IFERROR(('FS-BS'!C31/'FS-IS'!C8)*365,"NA")</f>
        <v>68.821799913671938</v>
      </c>
      <c r="E53" s="163">
        <f>IFERROR(('FS-BS'!D31/'FS-IS'!D8)*365,"NA")</f>
        <v>117.98022842343759</v>
      </c>
      <c r="F53" s="163" t="str">
        <f>IFERROR(('FS-BS'!E31/'FS-IS'!E8)*365,"NA")</f>
        <v>NA</v>
      </c>
      <c r="G53" s="163" t="str">
        <f>IFERROR(('FS-BS'!F31/'FS-IS'!F8)*365,"NA")</f>
        <v>NA</v>
      </c>
      <c r="H53" s="163" t="str">
        <f>IFERROR(('FS-BS'!G31/'FS-IS'!G8)*365,"NA")</f>
        <v>NA</v>
      </c>
    </row>
    <row r="54" spans="2:8" x14ac:dyDescent="0.25">
      <c r="B54" s="29" t="s">
        <v>270</v>
      </c>
      <c r="C54" s="29" t="s">
        <v>270</v>
      </c>
      <c r="D54" s="163">
        <f>IFERROR('FS-IS'!C7/'FS-BS'!C28,"NA")</f>
        <v>2.8009323085535556</v>
      </c>
      <c r="E54" s="163">
        <f>IFERROR('FS-IS'!D7/'FS-BS'!D28,"NA")</f>
        <v>1.6338771799895744</v>
      </c>
      <c r="F54" s="163" t="str">
        <f>IFERROR('FS-IS'!E7/'FS-BS'!E28,"NA")</f>
        <v>NA</v>
      </c>
      <c r="G54" s="163" t="str">
        <f>IFERROR('FS-IS'!F7/'FS-BS'!F28,"NA")</f>
        <v>NA</v>
      </c>
      <c r="H54" s="163" t="str">
        <f>IFERROR('FS-IS'!G7/'FS-BS'!G28,"NA")</f>
        <v>NA</v>
      </c>
    </row>
    <row r="55" spans="2:8" x14ac:dyDescent="0.25">
      <c r="B55" s="29" t="s">
        <v>271</v>
      </c>
      <c r="C55" s="29" t="s">
        <v>271</v>
      </c>
      <c r="D55" s="163">
        <f>IFERROR(('FS-IS'!C7/'FS-BS'!C50),"NA")</f>
        <v>4.0156918982449969</v>
      </c>
      <c r="E55" s="163">
        <f>IFERROR(('FS-IS'!D7/'FS-BS'!D50),"NA")</f>
        <v>2.3424869406429152</v>
      </c>
      <c r="F55" s="163" t="str">
        <f>IFERROR(('FS-IS'!E7/'FS-BS'!E50),"NA")</f>
        <v>NA</v>
      </c>
      <c r="G55" s="163" t="str">
        <f>IFERROR(('FS-IS'!F7/'FS-BS'!F50),"NA")</f>
        <v>NA</v>
      </c>
      <c r="H55" s="163" t="str">
        <f>IFERROR(('FS-IS'!G7/'FS-BS'!G50),"NA")</f>
        <v>NA</v>
      </c>
    </row>
    <row r="56" spans="2:8" x14ac:dyDescent="0.25">
      <c r="B56" s="29" t="s">
        <v>272</v>
      </c>
      <c r="C56" s="29" t="s">
        <v>272</v>
      </c>
      <c r="D56" s="181">
        <f>IFERROR(('FS-IS'!C7/'FS-BS'!C18),"NA")</f>
        <v>16.53718026156362</v>
      </c>
      <c r="E56" s="181">
        <f>IFERROR(('FS-IS'!D7/'FS-BS'!D18),"NA")</f>
        <v>9.6466884859121134</v>
      </c>
      <c r="F56" s="181" t="str">
        <f>IFERROR(('FS-IS'!E7/'FS-BS'!E18),"NA")</f>
        <v>NA</v>
      </c>
      <c r="G56" s="181" t="str">
        <f>IFERROR(('FS-IS'!F7/'FS-BS'!F18),"NA")</f>
        <v>NA</v>
      </c>
      <c r="H56" s="181" t="str">
        <f>IFERROR(('FS-IS'!G7/'FS-BS'!G18),"NA")</f>
        <v>NA</v>
      </c>
    </row>
    <row r="57" spans="2:8" ht="30" x14ac:dyDescent="0.25">
      <c r="B57" s="29" t="s">
        <v>273</v>
      </c>
      <c r="C57" s="29" t="s">
        <v>273</v>
      </c>
      <c r="D57" s="182">
        <f>IFERROR(('FS-IS'!C40/'FS-BS'!C18),"NA")</f>
        <v>4.1319867765943874</v>
      </c>
      <c r="E57" s="182">
        <f>IFERROR(('FS-IS'!D40/'FS-BS'!D18),"NA")</f>
        <v>2.4103256196800591</v>
      </c>
      <c r="F57" s="182" t="str">
        <f>IFERROR(('FS-IS'!E40/'FS-BS'!E18),"NA")</f>
        <v>NA</v>
      </c>
      <c r="G57" s="182" t="str">
        <f>IFERROR(('FS-IS'!F40/'FS-BS'!F18),"NA")</f>
        <v>NA</v>
      </c>
      <c r="H57" s="182" t="str">
        <f>IFERROR(('FS-IS'!G40/'FS-BS'!G18),"NA")</f>
        <v>NA</v>
      </c>
    </row>
    <row r="58" spans="2:8" ht="30" x14ac:dyDescent="0.25">
      <c r="B58" s="29" t="s">
        <v>274</v>
      </c>
      <c r="C58" s="29" t="s">
        <v>275</v>
      </c>
      <c r="D58" s="163" t="str">
        <f>IFERROR(('FS-BS'!C18+'FS-BS'!D18+'FS-IS'!C21)/'FS-IS'!C21,"NA")</f>
        <v>NA</v>
      </c>
      <c r="E58" s="163" t="str">
        <f>IFERROR(('FS-BS'!D18+'FS-BS'!E18+'FS-IS'!D21)/'FS-IS'!D21,"NA")</f>
        <v>NA</v>
      </c>
      <c r="F58" s="163" t="str">
        <f>IFERROR(('FS-BS'!E18+'FS-BS'!F18+'FS-IS'!E21)/'FS-IS'!E21,"NA")</f>
        <v>NA</v>
      </c>
      <c r="G58" s="163" t="str">
        <f>IFERROR(('FS-BS'!F18+'FS-BS'!G18+'FS-IS'!F21)/'FS-IS'!F21,"NA")</f>
        <v>NA</v>
      </c>
      <c r="H58" s="163" t="str">
        <f>IFERROR(('FS-BS'!G18+'FS-BS'!H18+'FS-IS'!G21)/'FS-IS'!G21,"NA")</f>
        <v>NA</v>
      </c>
    </row>
    <row r="59" spans="2:8" x14ac:dyDescent="0.25">
      <c r="B59" s="29" t="s">
        <v>276</v>
      </c>
      <c r="C59" s="29" t="s">
        <v>277</v>
      </c>
      <c r="D59" s="163">
        <f>IFERROR(('FS-BS'!C4/'FS-IS'!C7),"NA")</f>
        <v>0.17982235102799865</v>
      </c>
      <c r="E59" s="163">
        <f>IFERROR(('FS-BS'!D4/'FS-IS'!D7),"NA")</f>
        <v>0.30826688747656905</v>
      </c>
      <c r="F59" s="163" t="str">
        <f>IFERROR(('FS-BS'!E4/'FS-IS'!E7),"NA")</f>
        <v>NA</v>
      </c>
      <c r="G59" s="163" t="str">
        <f>IFERROR(('FS-BS'!F4/'FS-IS'!F7),"NA")</f>
        <v>NA</v>
      </c>
      <c r="H59" s="163" t="str">
        <f>IFERROR(('FS-BS'!G4/'FS-IS'!G7),"NA")</f>
        <v>NA</v>
      </c>
    </row>
    <row r="60" spans="2:8" x14ac:dyDescent="0.25">
      <c r="B60" s="29" t="s">
        <v>278</v>
      </c>
      <c r="C60" s="29" t="s">
        <v>279</v>
      </c>
      <c r="D60" s="183">
        <f>IFERROR('FS-IS'!C7,"NA")</f>
        <v>523164.94285714289</v>
      </c>
      <c r="E60" s="183">
        <f>IFERROR('FS-IS'!D7,"NA")</f>
        <v>305179.55000000005</v>
      </c>
      <c r="F60" s="183">
        <f>IFERROR('FS-IS'!E7,"NA")</f>
        <v>0</v>
      </c>
      <c r="G60" s="183">
        <f>IFERROR('FS-IS'!F7,"NA")</f>
        <v>0</v>
      </c>
      <c r="H60" s="183">
        <f>IFERROR(('FS-IS'!G7),"NA")</f>
        <v>0</v>
      </c>
    </row>
    <row r="61" spans="2:8" ht="30" x14ac:dyDescent="0.25">
      <c r="B61" s="29" t="s">
        <v>280</v>
      </c>
      <c r="C61" s="29" t="s">
        <v>281</v>
      </c>
      <c r="D61" s="184">
        <f>IFERROR('FS-IS'!C8/'FS-IS'!C7,"NA")</f>
        <v>0.51305288968412188</v>
      </c>
      <c r="E61" s="184">
        <f>IFERROR('FS-IS'!D8/'FS-IS'!D7,"NA")</f>
        <v>0.51305288968412199</v>
      </c>
      <c r="F61" s="184" t="str">
        <f>IFERROR('FS-IS'!E8/'FS-IS'!E7,"NA")</f>
        <v>NA</v>
      </c>
      <c r="G61" s="184" t="str">
        <f>IFERROR('FS-IS'!F8/'FS-IS'!F7,"NA")</f>
        <v>NA</v>
      </c>
      <c r="H61" s="184" t="str">
        <f>IFERROR('FS-IS'!G8/'FS-IS'!G7,"NA")</f>
        <v>NA</v>
      </c>
    </row>
    <row r="62" spans="2:8" ht="30" x14ac:dyDescent="0.25">
      <c r="B62" s="29" t="s">
        <v>282</v>
      </c>
      <c r="C62" s="29" t="s">
        <v>283</v>
      </c>
      <c r="D62" s="163">
        <f>IFERROR('FS-IS'!C8/'FS-BS'!C8,"NA")</f>
        <v>17.894085714285712</v>
      </c>
      <c r="E62" s="163">
        <f>IFERROR('FS-IS'!D8/'FS-BS'!D8,"NA")</f>
        <v>10.438216666666667</v>
      </c>
      <c r="F62" s="163" t="str">
        <f>IFERROR('FS-IS'!E8/'FS-BS'!E8,"NA")</f>
        <v>NA</v>
      </c>
      <c r="G62" s="163" t="str">
        <f>IFERROR('FS-IS'!F8/'FS-BS'!F8,"NA")</f>
        <v>NA</v>
      </c>
      <c r="H62" s="163" t="str">
        <f>IFERROR('FS-IS'!G8/'FS-BS'!G8,"NA")</f>
        <v>NA</v>
      </c>
    </row>
    <row r="63" spans="2:8" ht="30" x14ac:dyDescent="0.25">
      <c r="B63" s="29" t="s">
        <v>284</v>
      </c>
      <c r="C63" s="29" t="s">
        <v>285</v>
      </c>
      <c r="D63" s="163">
        <f>IFERROR('FS-IS'!C7/'FS-BS'!C7,"NA")</f>
        <v>11.355870259542932</v>
      </c>
      <c r="E63" s="163">
        <f>IFERROR('FS-IS'!D7/'FS-BS'!D7,"NA")</f>
        <v>6.6242576514000442</v>
      </c>
      <c r="F63" s="163" t="str">
        <f>IFERROR('FS-IS'!E7/'FS-BS'!E7,"NA")</f>
        <v>NA</v>
      </c>
      <c r="G63" s="163" t="str">
        <f>IFERROR('FS-IS'!F7/'FS-BS'!F7,"NA")</f>
        <v>NA</v>
      </c>
      <c r="H63" s="163" t="str">
        <f>IFERROR('FS-IS'!G7/'FS-BS'!G7,"NA")</f>
        <v>NA</v>
      </c>
    </row>
    <row r="64" spans="2:8" x14ac:dyDescent="0.25">
      <c r="B64" s="29" t="s">
        <v>286</v>
      </c>
      <c r="C64" s="29" t="s">
        <v>287</v>
      </c>
      <c r="D64" s="163">
        <f>IFERROR('FS-IS'!C8/'FS-BS'!C31,"NA")</f>
        <v>5.3035520788158017</v>
      </c>
      <c r="E64" s="163">
        <f>IFERROR('FS-IS'!D8/'FS-BS'!D31,"NA")</f>
        <v>3.0937387126425517</v>
      </c>
      <c r="F64" s="163" t="str">
        <f>IFERROR('FS-IS'!E8/'FS-BS'!E31,"NA")</f>
        <v>NA</v>
      </c>
      <c r="G64" s="163" t="str">
        <f>IFERROR('FS-IS'!F8/'FS-BS'!F31,"NA")</f>
        <v>NA</v>
      </c>
      <c r="H64" s="163" t="str">
        <f>IFERROR('FS-IS'!G8/'FS-BS'!G31,"NA")</f>
        <v>NA</v>
      </c>
    </row>
    <row r="65" spans="2:8" ht="30" x14ac:dyDescent="0.25">
      <c r="B65" s="29" t="s">
        <v>288</v>
      </c>
      <c r="C65" s="29" t="s">
        <v>289</v>
      </c>
      <c r="D65" s="163">
        <f>IFERROR((D68/'FS-IS'!C8)*365,"NA")</f>
        <v>20.397801029230731</v>
      </c>
      <c r="E65" s="163">
        <f>IFERROR((E68/'FS-IS'!D8)*365,"NA")</f>
        <v>17.483829453626338</v>
      </c>
      <c r="F65" s="163" t="str">
        <f>IFERROR((F68/'FS-IS'!E8)*365,"NA")</f>
        <v>NA</v>
      </c>
      <c r="G65" s="163" t="str">
        <f>IFERROR((G68/'FS-IS'!F8)*365,"NA")</f>
        <v>NA</v>
      </c>
      <c r="H65" s="163" t="str">
        <f>IFERROR((H68/'FS-IS'!G8)*365,"NA")</f>
        <v>NA</v>
      </c>
    </row>
    <row r="66" spans="2:8" ht="45" x14ac:dyDescent="0.25">
      <c r="B66" s="30" t="s">
        <v>290</v>
      </c>
      <c r="C66" s="30" t="s">
        <v>291</v>
      </c>
      <c r="D66" s="163">
        <f>IFERROR(D65+D63-D64,"NA")</f>
        <v>26.450119209957862</v>
      </c>
      <c r="E66" s="163">
        <f>IFERROR(E65+E63-E64,"NA")</f>
        <v>21.01434839238383</v>
      </c>
      <c r="F66" s="163" t="str">
        <f>IFERROR(F65+F63-F64,"NA")</f>
        <v>NA</v>
      </c>
      <c r="G66" s="163" t="str">
        <f>IFERROR(G65+G63-G64,"NA")</f>
        <v>NA</v>
      </c>
      <c r="H66" s="163" t="str">
        <f>IFERROR(H65+H63-H64,"NA")</f>
        <v>NA</v>
      </c>
    </row>
    <row r="67" spans="2:8" x14ac:dyDescent="0.25">
      <c r="B67" s="29" t="s">
        <v>292</v>
      </c>
      <c r="C67" s="29" t="s">
        <v>272</v>
      </c>
      <c r="D67" s="185">
        <f>IFERROR('FS-IS'!C7/'FS-BS'!C18,"NA")</f>
        <v>16.53718026156362</v>
      </c>
      <c r="E67" s="185">
        <f>IFERROR('FS-IS'!D7/'FS-BS'!D18,"NA")</f>
        <v>9.6466884859121134</v>
      </c>
      <c r="F67" s="185" t="str">
        <f>IFERROR('FS-IS'!E7/'FS-BS'!E18,"NA")</f>
        <v>NA</v>
      </c>
      <c r="G67" s="185" t="str">
        <f>IFERROR('FS-IS'!F7/'FS-BS'!F18,"NA")</f>
        <v>NA</v>
      </c>
      <c r="H67" s="185" t="str">
        <f>IFERROR('FS-IS'!G7/'FS-BS'!G18,"NA")</f>
        <v>NA</v>
      </c>
    </row>
    <row r="68" spans="2:8" ht="30" x14ac:dyDescent="0.25">
      <c r="B68" s="112" t="s">
        <v>293</v>
      </c>
      <c r="C68" s="112" t="s">
        <v>294</v>
      </c>
      <c r="D68" s="219">
        <f>IFERROR(('FS-BS'!D8+'FS-BS'!C8)/2,"NA")</f>
        <v>15000</v>
      </c>
      <c r="E68" s="219">
        <f>IFERROR(('FS-BS'!E8+'FS-BS'!D8)/2,"NA")</f>
        <v>7500</v>
      </c>
      <c r="F68" s="219">
        <f>IFERROR(('FS-BS'!F8+'FS-BS'!E8)/2,"NA")</f>
        <v>0</v>
      </c>
      <c r="G68" s="219">
        <f>IFERROR(('FS-BS'!G8+'FS-BS'!F8)/2,"NA")</f>
        <v>0</v>
      </c>
      <c r="H68" s="219">
        <f>IFERROR(('FS-BS'!H8+'FS-BS'!G8)/2,"NA")</f>
        <v>0</v>
      </c>
    </row>
    <row r="69" spans="2:8" x14ac:dyDescent="0.25">
      <c r="B69" s="114" t="s">
        <v>295</v>
      </c>
      <c r="C69" s="115"/>
      <c r="D69" s="167"/>
      <c r="E69" s="168"/>
      <c r="F69" s="168"/>
      <c r="G69" s="168"/>
      <c r="H69" s="168"/>
    </row>
    <row r="70" spans="2:8" ht="30" x14ac:dyDescent="0.25">
      <c r="B70" s="113" t="s">
        <v>296</v>
      </c>
      <c r="C70" s="113" t="s">
        <v>297</v>
      </c>
      <c r="D70" s="186">
        <f>IFERROR(('FS-BS'!C28-'FS-BS'!D28)/('FS-BS'!D28),"NA")</f>
        <v>0</v>
      </c>
      <c r="E70" s="186" t="str">
        <f>IFERROR(('FS-BS'!D28-'FS-BS'!E28)/('FS-BS'!E28),"NA")</f>
        <v>NA</v>
      </c>
      <c r="F70" s="186" t="str">
        <f>IFERROR(('FS-BS'!E28-'FS-BS'!F28)/('FS-BS'!F28),"NA")</f>
        <v>NA</v>
      </c>
      <c r="G70" s="186" t="str">
        <f>IFERROR(('FS-BS'!F28-'FS-BS'!G28)/('FS-BS'!G28),"NA")</f>
        <v>NA</v>
      </c>
      <c r="H70" s="186" t="str">
        <f>IFERROR(('FS-BS'!G28-'FS-BS'!H28)/('FS-BS'!H28),"NA")</f>
        <v>NA</v>
      </c>
    </row>
    <row r="71" spans="2:8" ht="30" x14ac:dyDescent="0.25">
      <c r="B71" s="29" t="s">
        <v>298</v>
      </c>
      <c r="C71" s="29" t="s">
        <v>299</v>
      </c>
      <c r="D71" s="176">
        <f>IFERROR(('FS-BS'!C45-'FS-BS'!D45)/('FS-BS'!D45),"NA")</f>
        <v>0</v>
      </c>
      <c r="E71" s="176" t="str">
        <f>IFERROR(('FS-BS'!D45-'FS-BS'!E45)/('FS-BS'!E45),"NA")</f>
        <v>NA</v>
      </c>
      <c r="F71" s="176" t="str">
        <f>IFERROR(('FS-BS'!E45-'FS-BS'!F45)/('FS-BS'!F45),"NA")</f>
        <v>NA</v>
      </c>
      <c r="G71" s="176" t="str">
        <f>IFERROR(('FS-BS'!F45-'FS-BS'!G45)/('FS-BS'!G45),"NA")</f>
        <v>NA</v>
      </c>
      <c r="H71" s="176" t="str">
        <f>IFERROR(('FS-BS'!G45-'FS-BS'!H45)/('FS-BS'!H45),"NA")</f>
        <v>NA</v>
      </c>
    </row>
    <row r="72" spans="2:8" ht="30" x14ac:dyDescent="0.25">
      <c r="B72" s="29" t="s">
        <v>300</v>
      </c>
      <c r="C72" s="29" t="s">
        <v>301</v>
      </c>
      <c r="D72" s="176">
        <f>IFERROR(('FS-BS'!C50-'FS-BS'!D50)/('FS-BS'!D50),"NA")</f>
        <v>0</v>
      </c>
      <c r="E72" s="176" t="str">
        <f>IFERROR(('FS-BS'!D50-'FS-BS'!E50)/('FS-BS'!E50),"NA")</f>
        <v>NA</v>
      </c>
      <c r="F72" s="176" t="str">
        <f>IFERROR(('FS-BS'!E50-'FS-BS'!F50)/('FS-BS'!F50),"NA")</f>
        <v>NA</v>
      </c>
      <c r="G72" s="176" t="str">
        <f>IFERROR(('FS-BS'!F50-'FS-BS'!G50)/('FS-BS'!G50),"NA")</f>
        <v>NA</v>
      </c>
      <c r="H72" s="176" t="str">
        <f>IFERROR(('FS-BS'!G50-'FS-BS'!H50)/('FS-BS'!H50),"NA")</f>
        <v>NA</v>
      </c>
    </row>
    <row r="73" spans="2:8" ht="30" x14ac:dyDescent="0.25">
      <c r="B73" s="29" t="s">
        <v>302</v>
      </c>
      <c r="C73" s="29" t="s">
        <v>303</v>
      </c>
      <c r="D73" s="176">
        <f>IFERROR(('FS-IS'!C7-'FS-IS'!D7)/('FS-IS'!D7),"NA")</f>
        <v>0.71428571428571408</v>
      </c>
      <c r="E73" s="176" t="str">
        <f>IFERROR(('FS-IS'!D7-'FS-IS'!E7)/('FS-IS'!E7),"NA")</f>
        <v>NA</v>
      </c>
      <c r="F73" s="176" t="str">
        <f>IFERROR(('FS-IS'!E7-'FS-IS'!F7)/('FS-IS'!F7),"NA")</f>
        <v>NA</v>
      </c>
      <c r="G73" s="176" t="str">
        <f>IFERROR(('FS-IS'!F7-'FS-IS'!G7)/('FS-IS'!G7),"NA")</f>
        <v>NA</v>
      </c>
      <c r="H73" s="176" t="str">
        <f>IFERROR(('FS-IS'!G7-'FS-IS'!H7)/('FS-IS'!H7),"NA")</f>
        <v>NA</v>
      </c>
    </row>
    <row r="74" spans="2:8" ht="30" x14ac:dyDescent="0.25">
      <c r="B74" s="29" t="s">
        <v>304</v>
      </c>
      <c r="C74" s="29" t="s">
        <v>305</v>
      </c>
      <c r="D74" s="176">
        <f>IFERROR(('FS-IS'!C30-'FS-IS'!D30)/('FS-IS'!D30),"NA")</f>
        <v>0.7142857142857143</v>
      </c>
      <c r="E74" s="176" t="str">
        <f>IFERROR(('FS-IS'!D30-'FS-IS'!E30)/('FS-IS'!E30),"NA")</f>
        <v>NA</v>
      </c>
      <c r="F74" s="176" t="str">
        <f>IFERROR(('FS-IS'!E30-'FS-IS'!F30)/('FS-IS'!F30),"NA")</f>
        <v>NA</v>
      </c>
      <c r="G74" s="176" t="str">
        <f>IFERROR(('FS-IS'!F30-'FS-IS'!G30)/('FS-IS'!G30),"NA")</f>
        <v>NA</v>
      </c>
      <c r="H74" s="176" t="str">
        <f>IFERROR(('FS-IS'!G30-'FS-IS'!H30)/('FS-IS'!H30),"NA")</f>
        <v>NA</v>
      </c>
    </row>
    <row r="75" spans="2:8" ht="30" x14ac:dyDescent="0.25">
      <c r="B75" s="112" t="s">
        <v>306</v>
      </c>
      <c r="C75" s="112" t="s">
        <v>307</v>
      </c>
      <c r="D75" s="187">
        <f>IFERROR(('FS-IS'!C44-'FS-IS'!D44)/('FS-IS'!D44),"NA")</f>
        <v>0.7142857142857143</v>
      </c>
      <c r="E75" s="187" t="str">
        <f>IFERROR(('FS-IS'!D44-'FS-IS'!E44)/('FS-IS'!E44),"NA")</f>
        <v>NA</v>
      </c>
      <c r="F75" s="187" t="str">
        <f>IFERROR(('FS-IS'!E44-'FS-IS'!F44)/('FS-IS'!F44),"NA")</f>
        <v>NA</v>
      </c>
      <c r="G75" s="187" t="str">
        <f>IFERROR(('FS-IS'!F44-'FS-IS'!G44)/('FS-IS'!G44),"NA")</f>
        <v>NA</v>
      </c>
      <c r="H75" s="187" t="str">
        <f>IFERROR(('FS-IS'!G44-'FS-IS'!H44)/('FS-IS'!H44),"NA")</f>
        <v>NA</v>
      </c>
    </row>
    <row r="76" spans="2:8" x14ac:dyDescent="0.25">
      <c r="B76" s="29" t="s">
        <v>308</v>
      </c>
      <c r="C76" s="29" t="s">
        <v>309</v>
      </c>
      <c r="D76" s="176"/>
      <c r="E76" s="176"/>
      <c r="F76" s="176"/>
      <c r="G76" s="176"/>
      <c r="H76" s="176"/>
    </row>
    <row r="77" spans="2:8" x14ac:dyDescent="0.25">
      <c r="B77" s="114" t="s">
        <v>78</v>
      </c>
      <c r="C77" s="115"/>
      <c r="D77" s="167"/>
      <c r="E77" s="168"/>
      <c r="F77" s="168"/>
      <c r="G77" s="168"/>
      <c r="H77" s="168"/>
    </row>
    <row r="78" spans="2:8" x14ac:dyDescent="0.25">
      <c r="B78" s="123" t="s">
        <v>310</v>
      </c>
      <c r="C78" s="123" t="s">
        <v>310</v>
      </c>
      <c r="D78" s="180" t="str">
        <f>IFERROR(('FS-CF'!C21/'FS-CF'!C18),"NA")</f>
        <v>NA</v>
      </c>
      <c r="E78" s="180" t="str">
        <f>IFERROR(('FS-CF'!D21/'FS-CF'!D18),"NA")</f>
        <v>NA</v>
      </c>
      <c r="F78" s="180" t="str">
        <f>IFERROR(('FS-CF'!E21/'FS-CF'!E18),"NA")</f>
        <v>NA</v>
      </c>
      <c r="G78" s="180" t="str">
        <f>IFERROR(('FS-CF'!F21/'FS-CF'!F18),"NA")</f>
        <v>NA</v>
      </c>
      <c r="H78" s="180" t="str">
        <f>IFERROR(('FS-CF'!G21/'FS-CF'!G18),"NA")</f>
        <v>NA</v>
      </c>
    </row>
    <row r="79" spans="2:8" ht="30" x14ac:dyDescent="0.25">
      <c r="B79" s="30" t="s">
        <v>311</v>
      </c>
      <c r="C79" s="30" t="s">
        <v>311</v>
      </c>
      <c r="D79" s="163">
        <f>IFERROR(('FS-CF'!C18/'FS-IS'!D40),"NA")</f>
        <v>0</v>
      </c>
      <c r="E79" s="163" t="str">
        <f>IFERROR(('FS-CF'!D18/'FS-IS'!E40),"NA")</f>
        <v>NA</v>
      </c>
      <c r="F79" s="163" t="str">
        <f>IFERROR(('FS-CF'!E18/'FS-IS'!F40),"NA")</f>
        <v>NA</v>
      </c>
      <c r="G79" s="163" t="str">
        <f>IFERROR(('FS-CF'!F18/'FS-IS'!G40),"NA")</f>
        <v>NA</v>
      </c>
      <c r="H79" s="163" t="str">
        <f>IFERROR(('FS-CF'!G18/'FS-IS'!H40),"NA")</f>
        <v>NA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D803-68E8-F543-8AF2-14C07222CA2F}">
  <sheetPr>
    <tabColor theme="7" tint="0.39997558519241921"/>
  </sheetPr>
  <dimension ref="A1:M46"/>
  <sheetViews>
    <sheetView showGridLines="0" tabSelected="1" topLeftCell="B1" zoomScale="80" zoomScaleNormal="80" workbookViewId="0">
      <selection activeCell="G15" sqref="G15"/>
    </sheetView>
  </sheetViews>
  <sheetFormatPr baseColWidth="10" defaultColWidth="8.85546875" defaultRowHeight="15" x14ac:dyDescent="0.25"/>
  <cols>
    <col min="1" max="1" width="61.140625" style="249" hidden="1" customWidth="1"/>
    <col min="2" max="2" width="7.85546875" customWidth="1"/>
    <col min="3" max="3" width="62" customWidth="1"/>
    <col min="4" max="4" width="16.42578125" customWidth="1"/>
    <col min="5" max="5" width="32.28515625" customWidth="1"/>
    <col min="6" max="6" width="12.42578125" customWidth="1"/>
    <col min="7" max="7" width="26.140625" customWidth="1"/>
    <col min="8" max="8" width="13.42578125" bestFit="1" customWidth="1"/>
  </cols>
  <sheetData>
    <row r="1" spans="1:13" x14ac:dyDescent="0.25">
      <c r="B1" s="207" t="s">
        <v>312</v>
      </c>
      <c r="L1" s="230"/>
    </row>
    <row r="3" spans="1:13" x14ac:dyDescent="0.25">
      <c r="B3" s="205" t="s">
        <v>313</v>
      </c>
      <c r="C3" s="205" t="s">
        <v>314</v>
      </c>
      <c r="D3" s="205" t="s">
        <v>315</v>
      </c>
      <c r="E3" s="212" t="s">
        <v>316</v>
      </c>
      <c r="F3" s="205" t="s">
        <v>317</v>
      </c>
    </row>
    <row r="4" spans="1:13" x14ac:dyDescent="0.25">
      <c r="B4" s="206">
        <v>1</v>
      </c>
      <c r="C4" s="6" t="s">
        <v>318</v>
      </c>
      <c r="D4" s="6" t="s">
        <v>471</v>
      </c>
      <c r="E4" s="244">
        <f>VLOOKUP(G4,'DATA-BRUTO'!$A:$C,3,0)</f>
        <v>959646.58</v>
      </c>
      <c r="F4" s="8" t="str">
        <f>IF(E4&gt;=200000,"Pass","Fail")</f>
        <v>Pass</v>
      </c>
      <c r="G4" s="264" t="s">
        <v>484</v>
      </c>
      <c r="H4" s="264"/>
      <c r="I4" s="264"/>
      <c r="L4" s="239">
        <v>1</v>
      </c>
      <c r="M4" s="239" t="s">
        <v>437</v>
      </c>
    </row>
    <row r="5" spans="1:13" x14ac:dyDescent="0.25">
      <c r="B5" s="206">
        <v>2</v>
      </c>
      <c r="C5" s="6" t="s">
        <v>319</v>
      </c>
      <c r="D5" s="6" t="s">
        <v>320</v>
      </c>
      <c r="E5" s="245" t="s">
        <v>474</v>
      </c>
      <c r="F5" s="8"/>
      <c r="G5" s="264"/>
      <c r="H5" s="264"/>
      <c r="I5" s="264"/>
      <c r="L5" s="239">
        <v>2</v>
      </c>
      <c r="M5" s="239" t="s">
        <v>438</v>
      </c>
    </row>
    <row r="6" spans="1:13" x14ac:dyDescent="0.25">
      <c r="A6" s="249" t="s">
        <v>448</v>
      </c>
      <c r="B6" s="206">
        <v>3</v>
      </c>
      <c r="C6" s="6" t="s">
        <v>321</v>
      </c>
      <c r="D6" s="6" t="s">
        <v>472</v>
      </c>
      <c r="E6" s="246">
        <f>VLOOKUP(G6,'DATA-BRUTO'!$A:$C,3,0)/VLOOKUP(H6,'DATA-BRUTO'!$A:$C,3,0)</f>
        <v>4.7120482476917909</v>
      </c>
      <c r="F6" s="8" t="str">
        <f>IF(E6&gt;=6,"Pass","Fail")</f>
        <v>Fail</v>
      </c>
      <c r="G6" s="264" t="s">
        <v>480</v>
      </c>
      <c r="H6" s="265" t="s">
        <v>482</v>
      </c>
      <c r="I6" s="264"/>
      <c r="L6" s="239">
        <v>3</v>
      </c>
      <c r="M6" s="239" t="s">
        <v>439</v>
      </c>
    </row>
    <row r="7" spans="1:13" x14ac:dyDescent="0.25">
      <c r="A7" s="249" t="s">
        <v>449</v>
      </c>
      <c r="B7" s="206">
        <v>4</v>
      </c>
      <c r="C7" s="6" t="s">
        <v>322</v>
      </c>
      <c r="D7" s="6" t="s">
        <v>323</v>
      </c>
      <c r="E7" s="254">
        <f>VLOOKUP(G7,'DATA-BRUTO'!$A:$C,3,0)-VLOOKUP(H7,'DATA-BRUTO'!$A:$C,3,0)</f>
        <v>922209.73</v>
      </c>
      <c r="F7" s="8" t="str">
        <f>IF(E7&gt;=0,"Pass","Fail")</f>
        <v>Pass</v>
      </c>
      <c r="G7" s="266" t="s">
        <v>483</v>
      </c>
      <c r="H7" s="264" t="s">
        <v>481</v>
      </c>
      <c r="I7" s="264"/>
      <c r="L7" s="239">
        <v>4</v>
      </c>
      <c r="M7" s="239" t="s">
        <v>440</v>
      </c>
    </row>
    <row r="8" spans="1:13" x14ac:dyDescent="0.25">
      <c r="A8" s="249" t="s">
        <v>450</v>
      </c>
      <c r="B8" s="206">
        <v>5</v>
      </c>
      <c r="C8" s="6" t="s">
        <v>324</v>
      </c>
      <c r="D8" s="6" t="s">
        <v>325</v>
      </c>
      <c r="E8" s="248">
        <f>VLOOKUP(G8,'DATA-BRUTO'!$A:$C,3,0)/VLOOKUP(H8,'DATA-BRUTO'!$A:$C,3,0)</f>
        <v>3.3289276141639561E-2</v>
      </c>
      <c r="F8" s="8" t="str">
        <f>IF(E8&gt;=-0.05,"Pass","Fail")</f>
        <v>Pass</v>
      </c>
      <c r="G8" s="266" t="s">
        <v>477</v>
      </c>
      <c r="H8" s="264" t="s">
        <v>484</v>
      </c>
      <c r="I8" s="264"/>
      <c r="L8" s="239">
        <v>5</v>
      </c>
      <c r="M8" s="239" t="s">
        <v>441</v>
      </c>
    </row>
    <row r="9" spans="1:13" x14ac:dyDescent="0.25">
      <c r="A9" s="249" t="s">
        <v>451</v>
      </c>
      <c r="B9" s="206">
        <v>6</v>
      </c>
      <c r="C9" s="6" t="s">
        <v>326</v>
      </c>
      <c r="D9" s="6" t="s">
        <v>327</v>
      </c>
      <c r="E9" s="248">
        <f>VLOOKUP(G9,'DATA-BRUTO'!$A:$C,3,0)/VLOOKUP(H9,'DATA-BRUTO'!$A:$C,3,0)</f>
        <v>0.25808835790359402</v>
      </c>
      <c r="F9" s="8" t="str">
        <f>IF(E9&lt;=0.6,"Pass","Fail")</f>
        <v>Pass</v>
      </c>
      <c r="G9" s="264" t="s">
        <v>482</v>
      </c>
      <c r="H9" s="267" t="s">
        <v>484</v>
      </c>
      <c r="I9" s="264" t="s">
        <v>435</v>
      </c>
      <c r="L9" s="239">
        <v>6</v>
      </c>
      <c r="M9" s="239" t="s">
        <v>442</v>
      </c>
    </row>
    <row r="10" spans="1:13" x14ac:dyDescent="0.25">
      <c r="A10" s="249" t="s">
        <v>452</v>
      </c>
      <c r="B10" s="206">
        <v>7</v>
      </c>
      <c r="C10" s="6" t="s">
        <v>243</v>
      </c>
      <c r="D10" s="6" t="s">
        <v>328</v>
      </c>
      <c r="E10" s="247">
        <f>VLOOKUP(G10,'DATA-BRUTO'!$A:$C,3,0)/VLOOKUP(H10,'DATA-BRUTO'!$A:$C,3,0)</f>
        <v>8.9539744934015203E-2</v>
      </c>
      <c r="F10" s="8" t="str">
        <f>IF(E10&gt;0.1,"Pass","Fail")</f>
        <v>Fail</v>
      </c>
      <c r="G10" s="266" t="s">
        <v>478</v>
      </c>
      <c r="H10" s="264" t="s">
        <v>484</v>
      </c>
      <c r="I10" s="266"/>
      <c r="J10" s="51"/>
      <c r="L10" s="239">
        <v>7</v>
      </c>
      <c r="M10" s="239" t="s">
        <v>443</v>
      </c>
    </row>
    <row r="11" spans="1:13" x14ac:dyDescent="0.25">
      <c r="B11" s="206">
        <v>8</v>
      </c>
      <c r="C11" s="6" t="s">
        <v>329</v>
      </c>
      <c r="D11" s="6" t="s">
        <v>473</v>
      </c>
      <c r="E11" s="255">
        <v>15</v>
      </c>
      <c r="F11" s="8" t="str">
        <f>IF(E11&gt;=3,"Pass","Fail")</f>
        <v>Pass</v>
      </c>
      <c r="G11" s="264"/>
      <c r="H11" s="266"/>
      <c r="I11" s="264"/>
      <c r="L11" s="239">
        <v>8</v>
      </c>
      <c r="M11" s="239" t="s">
        <v>444</v>
      </c>
    </row>
    <row r="12" spans="1:13" x14ac:dyDescent="0.25">
      <c r="B12" s="206">
        <v>9</v>
      </c>
      <c r="C12" s="6" t="s">
        <v>330</v>
      </c>
      <c r="D12" s="6"/>
      <c r="E12" s="270" t="s">
        <v>323</v>
      </c>
      <c r="F12" s="8"/>
      <c r="G12" s="264"/>
      <c r="H12" s="266"/>
      <c r="I12" s="264"/>
      <c r="L12" s="243">
        <v>9</v>
      </c>
      <c r="M12" s="239" t="s">
        <v>445</v>
      </c>
    </row>
    <row r="13" spans="1:13" x14ac:dyDescent="0.25">
      <c r="B13" s="206">
        <v>10</v>
      </c>
      <c r="C13" s="6" t="s">
        <v>331</v>
      </c>
      <c r="D13" s="6"/>
      <c r="E13" s="256" t="s">
        <v>485</v>
      </c>
      <c r="F13" s="8" t="str">
        <f>IF(E13="Aprobado Crédito","Pass","Fail")</f>
        <v>Pass</v>
      </c>
      <c r="G13" s="262"/>
      <c r="H13" s="263"/>
      <c r="L13" s="239">
        <v>10</v>
      </c>
      <c r="M13" s="239" t="s">
        <v>446</v>
      </c>
    </row>
    <row r="16" spans="1:13" x14ac:dyDescent="0.25">
      <c r="B16" s="207" t="s">
        <v>332</v>
      </c>
    </row>
    <row r="18" spans="1:13" x14ac:dyDescent="0.25">
      <c r="A18" s="250" t="s">
        <v>453</v>
      </c>
      <c r="B18" s="209" t="s">
        <v>333</v>
      </c>
      <c r="C18" s="214" t="s">
        <v>334</v>
      </c>
      <c r="D18" s="257">
        <f>VLOOKUP(G4,'DATA-BRUTO'!$A:$C,3,0)</f>
        <v>959646.58</v>
      </c>
      <c r="E18" s="242" t="e">
        <f>D18-E20</f>
        <v>#REF!</v>
      </c>
      <c r="F18" s="239" t="e">
        <f>E18/D18</f>
        <v>#REF!</v>
      </c>
      <c r="G18" s="239"/>
      <c r="H18" s="239"/>
      <c r="I18" s="239"/>
      <c r="J18" s="239"/>
      <c r="K18" s="239"/>
      <c r="L18" s="239"/>
      <c r="M18" s="239"/>
    </row>
    <row r="19" spans="1:13" x14ac:dyDescent="0.25">
      <c r="D19" s="239" t="s">
        <v>429</v>
      </c>
      <c r="E19" s="239"/>
      <c r="F19" s="239"/>
      <c r="G19" s="239"/>
      <c r="H19" s="239"/>
      <c r="I19" s="239"/>
      <c r="J19" s="239"/>
      <c r="K19" s="239"/>
      <c r="L19" s="243" t="s">
        <v>434</v>
      </c>
      <c r="M19" s="239"/>
    </row>
    <row r="20" spans="1:13" x14ac:dyDescent="0.25">
      <c r="A20" s="250" t="s">
        <v>454</v>
      </c>
      <c r="B20" s="208" t="s">
        <v>335</v>
      </c>
      <c r="C20" s="213" t="s">
        <v>336</v>
      </c>
      <c r="D20" s="241">
        <f>E8</f>
        <v>3.3289276141639561E-2</v>
      </c>
      <c r="E20" s="242" t="e">
        <f>'DATA-BRUTO'!#REF!</f>
        <v>#REF!</v>
      </c>
      <c r="F20" s="239"/>
      <c r="G20" s="239" t="e" cm="1">
        <f t="array" ref="G20">costo + ga=ingreso - (costo+gasto)</f>
        <v>#NAME?</v>
      </c>
      <c r="H20" s="239" t="s">
        <v>433</v>
      </c>
      <c r="I20" s="253">
        <v>3.5000000000000003E-2</v>
      </c>
      <c r="J20" s="239"/>
      <c r="K20" s="239"/>
      <c r="L20" s="243" t="s">
        <v>436</v>
      </c>
      <c r="M20" s="239"/>
    </row>
    <row r="21" spans="1:13" x14ac:dyDescent="0.25">
      <c r="A21" s="250"/>
      <c r="B21" s="208" t="s">
        <v>455</v>
      </c>
      <c r="C21" s="213" t="s">
        <v>456</v>
      </c>
      <c r="D21" s="241">
        <f>VLOOKUP(E21,'DATA-BRUTO'!$A:$C,3,0)/Decisioning!D18</f>
        <v>0.11667865267648847</v>
      </c>
      <c r="E21" s="242" t="s">
        <v>404</v>
      </c>
      <c r="F21" s="239"/>
      <c r="G21" s="239"/>
      <c r="H21" s="239"/>
      <c r="I21" s="253"/>
      <c r="J21" s="239"/>
      <c r="K21" s="239"/>
      <c r="L21" s="243"/>
      <c r="M21" s="239"/>
    </row>
    <row r="22" spans="1:13" s="1" customFormat="1" x14ac:dyDescent="0.25">
      <c r="A22" s="251"/>
      <c r="B22" s="220" t="s">
        <v>313</v>
      </c>
      <c r="C22" s="228" t="s">
        <v>315</v>
      </c>
      <c r="D22" s="220" t="s">
        <v>337</v>
      </c>
      <c r="E22" s="220" t="s">
        <v>338</v>
      </c>
      <c r="F22" s="220" t="s">
        <v>339</v>
      </c>
      <c r="G22" s="220" t="s">
        <v>340</v>
      </c>
    </row>
    <row r="23" spans="1:13" x14ac:dyDescent="0.25">
      <c r="B23" s="8">
        <v>1</v>
      </c>
      <c r="C23" s="6" t="s">
        <v>341</v>
      </c>
      <c r="D23" s="216">
        <v>-0.05</v>
      </c>
      <c r="E23" s="216">
        <v>0</v>
      </c>
      <c r="F23" s="216">
        <f>IF($D$20&lt;=E23,IF($D$21&gt;=25%,10%,IF($D$21&lt;=1%,1.5%,D21)),0)</f>
        <v>0</v>
      </c>
      <c r="G23" s="9">
        <f t="shared" ref="G23:G24" si="0">$D$18*F23</f>
        <v>0</v>
      </c>
    </row>
    <row r="24" spans="1:13" x14ac:dyDescent="0.25">
      <c r="B24" s="8">
        <v>2</v>
      </c>
      <c r="C24" s="6" t="s">
        <v>342</v>
      </c>
      <c r="D24" s="216">
        <v>1E-4</v>
      </c>
      <c r="E24" s="216">
        <v>2.5000000000000001E-2</v>
      </c>
      <c r="F24" s="216">
        <f>IF($D$20&lt;=E24,IF($D$21&gt;=25%,10%,IF($D$21&lt;=1%,2.5%,D21)),0)</f>
        <v>0</v>
      </c>
      <c r="G24" s="9">
        <f t="shared" si="0"/>
        <v>0</v>
      </c>
    </row>
    <row r="25" spans="1:13" x14ac:dyDescent="0.25">
      <c r="B25" s="8">
        <v>3</v>
      </c>
      <c r="C25" s="6" t="s">
        <v>343</v>
      </c>
      <c r="D25" s="216">
        <v>2.5100000000000001E-2</v>
      </c>
      <c r="E25" s="216"/>
      <c r="F25" s="216">
        <f>IF($D$20&gt;E24,IF($D$21&gt;=25%,10%,IF($D$21&lt;=1%,3.5%,D21)),0)</f>
        <v>0.11667865267648847</v>
      </c>
      <c r="G25" s="9">
        <f>$D$18*F25</f>
        <v>111970.27</v>
      </c>
    </row>
    <row r="26" spans="1:13" x14ac:dyDescent="0.25">
      <c r="D26" s="222" t="s">
        <v>344</v>
      </c>
      <c r="E26" s="223"/>
      <c r="F26" s="223"/>
      <c r="G26" s="224">
        <f>SUM(G23:G25)</f>
        <v>111970.27</v>
      </c>
    </row>
    <row r="28" spans="1:13" x14ac:dyDescent="0.25">
      <c r="B28" s="208" t="s">
        <v>345</v>
      </c>
      <c r="C28" s="210" t="s">
        <v>346</v>
      </c>
      <c r="D28" s="221">
        <f>E10</f>
        <v>8.9539744934015203E-2</v>
      </c>
      <c r="E28" s="217"/>
    </row>
    <row r="29" spans="1:13" s="1" customFormat="1" x14ac:dyDescent="0.25">
      <c r="A29" s="251"/>
      <c r="B29" s="220" t="s">
        <v>313</v>
      </c>
      <c r="C29" s="228" t="s">
        <v>347</v>
      </c>
      <c r="D29" s="220" t="s">
        <v>337</v>
      </c>
      <c r="E29" s="220" t="s">
        <v>338</v>
      </c>
      <c r="F29" s="220" t="s">
        <v>348</v>
      </c>
      <c r="G29" s="220" t="s">
        <v>340</v>
      </c>
    </row>
    <row r="30" spans="1:13" x14ac:dyDescent="0.25">
      <c r="B30" s="8">
        <v>1</v>
      </c>
      <c r="C30" s="6" t="s">
        <v>349</v>
      </c>
      <c r="D30" s="215">
        <v>0</v>
      </c>
      <c r="E30" s="215">
        <v>0.1</v>
      </c>
      <c r="F30" s="215">
        <v>0.35</v>
      </c>
      <c r="G30" s="9">
        <f>IF(AND($D$28&gt;=D30,$D$28&lt;=D31),$G$26*F30,0)</f>
        <v>39189.594499999999</v>
      </c>
    </row>
    <row r="31" spans="1:13" x14ac:dyDescent="0.25">
      <c r="B31" s="8">
        <v>2</v>
      </c>
      <c r="C31" s="6" t="s">
        <v>350</v>
      </c>
      <c r="D31" s="215">
        <v>0.11</v>
      </c>
      <c r="E31" s="215">
        <v>0.3</v>
      </c>
      <c r="F31" s="215">
        <v>0.5</v>
      </c>
      <c r="G31" s="9">
        <f>IF(AND($D$28&gt;=D31,$D$28&lt;=D32),$G$26*F31,0)</f>
        <v>0</v>
      </c>
    </row>
    <row r="32" spans="1:13" x14ac:dyDescent="0.25">
      <c r="B32" s="8">
        <v>3</v>
      </c>
      <c r="C32" s="6" t="s">
        <v>351</v>
      </c>
      <c r="D32" s="215">
        <v>0.31</v>
      </c>
      <c r="E32" s="215">
        <v>0.5</v>
      </c>
      <c r="F32" s="215">
        <v>1</v>
      </c>
      <c r="G32" s="9">
        <f>IF(AND($D$28&gt;=D32,$D$28&lt;=D33),$G$26*F32,0)</f>
        <v>0</v>
      </c>
    </row>
    <row r="33" spans="1:7" x14ac:dyDescent="0.25">
      <c r="B33" s="8">
        <v>4</v>
      </c>
      <c r="C33" s="6" t="s">
        <v>352</v>
      </c>
      <c r="D33" s="215">
        <v>0.51</v>
      </c>
      <c r="E33" s="215">
        <v>0.6</v>
      </c>
      <c r="F33" s="215">
        <v>1.1000000000000001</v>
      </c>
      <c r="G33" s="9">
        <f>IF(AND($D$28&gt;=D33,$D$28&lt;=D34),$G$26*F33,0)</f>
        <v>0</v>
      </c>
    </row>
    <row r="34" spans="1:7" x14ac:dyDescent="0.25">
      <c r="B34" s="8">
        <v>5</v>
      </c>
      <c r="C34" s="6" t="s">
        <v>353</v>
      </c>
      <c r="D34" s="215">
        <v>0.61</v>
      </c>
      <c r="E34" s="215">
        <v>1</v>
      </c>
      <c r="F34" s="215">
        <v>1.25</v>
      </c>
      <c r="G34" s="9">
        <f>IF(AND($D$28&gt;=D34,$D$28&lt;=E34),$G$26*F34,0)</f>
        <v>0</v>
      </c>
    </row>
    <row r="35" spans="1:7" s="1" customFormat="1" x14ac:dyDescent="0.25">
      <c r="A35" s="251"/>
      <c r="D35" s="225" t="s">
        <v>354</v>
      </c>
      <c r="E35" s="226"/>
      <c r="F35" s="226"/>
      <c r="G35" s="227">
        <f>SUM(G30:G34)</f>
        <v>39189.594499999999</v>
      </c>
    </row>
    <row r="37" spans="1:7" x14ac:dyDescent="0.25">
      <c r="B37" s="208" t="s">
        <v>355</v>
      </c>
      <c r="C37" s="208" t="s">
        <v>356</v>
      </c>
      <c r="D37" s="221">
        <f>E9</f>
        <v>0.25808835790359402</v>
      </c>
    </row>
    <row r="38" spans="1:7" s="211" customFormat="1" x14ac:dyDescent="0.25">
      <c r="A38" s="252"/>
      <c r="B38" s="220" t="s">
        <v>313</v>
      </c>
      <c r="C38" s="228" t="s">
        <v>357</v>
      </c>
      <c r="D38" s="220" t="s">
        <v>337</v>
      </c>
      <c r="E38" s="220" t="s">
        <v>338</v>
      </c>
      <c r="F38" s="220" t="s">
        <v>348</v>
      </c>
      <c r="G38" s="220" t="s">
        <v>340</v>
      </c>
    </row>
    <row r="39" spans="1:7" x14ac:dyDescent="0.25">
      <c r="B39" s="8">
        <v>1</v>
      </c>
      <c r="C39" s="6" t="s">
        <v>349</v>
      </c>
      <c r="D39" s="215">
        <v>0</v>
      </c>
      <c r="E39" s="215">
        <v>0.1</v>
      </c>
      <c r="F39" s="215">
        <v>1.5</v>
      </c>
      <c r="G39" s="159">
        <f>IF(AND($D$37&gt;=D39,$D$37&lt;=E39),$G$35*F39,0)</f>
        <v>0</v>
      </c>
    </row>
    <row r="40" spans="1:7" x14ac:dyDescent="0.25">
      <c r="B40" s="8">
        <v>2</v>
      </c>
      <c r="C40" s="6" t="s">
        <v>358</v>
      </c>
      <c r="D40" s="215">
        <v>0.11</v>
      </c>
      <c r="E40" s="215">
        <v>0.25</v>
      </c>
      <c r="F40" s="215">
        <v>1.25</v>
      </c>
      <c r="G40" s="159">
        <f>IF(AND($D$37&gt;=E39,$D$37&lt;=E40),$G$35*F40,0)</f>
        <v>0</v>
      </c>
    </row>
    <row r="41" spans="1:7" x14ac:dyDescent="0.25">
      <c r="B41" s="8">
        <v>3</v>
      </c>
      <c r="C41" s="6" t="s">
        <v>359</v>
      </c>
      <c r="D41" s="215">
        <v>0.26</v>
      </c>
      <c r="E41" s="215">
        <v>0.45</v>
      </c>
      <c r="F41" s="215">
        <v>0.85</v>
      </c>
      <c r="G41" s="159">
        <f>IF(AND($D$37&gt;=E40,$D$37&lt;=E41),$G$35*F41,0)</f>
        <v>33311.155325</v>
      </c>
    </row>
    <row r="42" spans="1:7" x14ac:dyDescent="0.25">
      <c r="B42" s="8">
        <v>4</v>
      </c>
      <c r="C42" s="6" t="s">
        <v>360</v>
      </c>
      <c r="D42" s="215">
        <v>0.46</v>
      </c>
      <c r="E42" s="215">
        <v>0.59</v>
      </c>
      <c r="F42" s="215">
        <v>0.5</v>
      </c>
      <c r="G42" s="159">
        <f>IF(AND($D$37&gt;=E41,$D$37&lt;=E42),$G$35*F42,0)</f>
        <v>0</v>
      </c>
    </row>
    <row r="43" spans="1:7" x14ac:dyDescent="0.25">
      <c r="B43" s="8">
        <v>5</v>
      </c>
      <c r="C43" s="6" t="s">
        <v>361</v>
      </c>
      <c r="D43" s="215">
        <v>0.6</v>
      </c>
      <c r="E43" s="215">
        <v>1</v>
      </c>
      <c r="F43" s="215">
        <v>0</v>
      </c>
      <c r="G43" s="159">
        <f>IF(AND($D$37&gt;=E42,$D$37&lt;=E43),$G$35*F43,0)</f>
        <v>0</v>
      </c>
    </row>
    <row r="44" spans="1:7" x14ac:dyDescent="0.25">
      <c r="D44" s="225" t="s">
        <v>362</v>
      </c>
      <c r="E44" s="226"/>
      <c r="F44" s="226"/>
      <c r="G44" s="227">
        <f>SUM(G39:G43)</f>
        <v>33311.155325</v>
      </c>
    </row>
    <row r="46" spans="1:7" x14ac:dyDescent="0.25">
      <c r="E46" s="283" t="s">
        <v>363</v>
      </c>
      <c r="F46" s="284"/>
      <c r="G46" s="227">
        <f>G44</f>
        <v>33311.155325</v>
      </c>
    </row>
  </sheetData>
  <mergeCells count="1">
    <mergeCell ref="E46:F46"/>
  </mergeCells>
  <pageMargins left="0.7" right="0.7" top="0.75" bottom="0.75" header="0.3" footer="0.3"/>
  <pageSetup scale="7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7813367C-3083-4545-84F2-1BE512D06510}">
            <xm:f>NOT(ISERROR(SEARCH("Pass",F4)))</xm:f>
            <xm:f>"Pass"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5" operator="containsText" id="{B680E626-BFF3-499F-8342-E92A7FB6554D}">
            <xm:f>NOT(ISERROR(SEARCH("Fail",F4)))</xm:f>
            <xm:f>"Fail"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id="{07853031-4BBD-4624-9C1A-E9B9C31FF76E}">
            <xm:f>NOT(ISERROR(SEARCH("pass",F4)))</xm:f>
            <xm:f>"pass"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F4:F12</xm:sqref>
        </x14:conditionalFormatting>
        <x14:conditionalFormatting xmlns:xm="http://schemas.microsoft.com/office/excel/2006/main">
          <x14:cfRule type="containsText" priority="1" operator="containsText" id="{3702831A-E480-485A-B850-58C8E9A954BF}">
            <xm:f>NOT(ISERROR(SEARCH("Pass",F13)))</xm:f>
            <xm:f>"Pass"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2" operator="containsText" id="{47B12F3A-7680-45AB-AD6D-BA03ECF99FB1}">
            <xm:f>NOT(ISERROR(SEARCH("Fail",F13)))</xm:f>
            <xm:f>"Fail"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" operator="containsText" id="{C9047744-285B-4B88-B31B-852982E87D0A}">
            <xm:f>NOT(ISERROR(SEARCH("pass",F13)))</xm:f>
            <xm:f>"pass"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F13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C87D-18A7-48AD-9120-07F9A6124448}">
  <dimension ref="A1"/>
  <sheetViews>
    <sheetView workbookViewId="0">
      <selection activeCell="E1" sqref="E1"/>
    </sheetView>
  </sheetViews>
  <sheetFormatPr baseColWidth="10" defaultRowHeight="15" x14ac:dyDescent="0.25"/>
  <sheetData>
    <row r="1" spans="1:1" ht="409.5" x14ac:dyDescent="0.25">
      <c r="A1" s="258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AD07-D03B-42DB-BFDF-8D7328A0E5F8}">
  <dimension ref="A1:E1"/>
  <sheetViews>
    <sheetView workbookViewId="0">
      <selection activeCell="G1" sqref="G1"/>
    </sheetView>
  </sheetViews>
  <sheetFormatPr baseColWidth="10" defaultRowHeight="15" x14ac:dyDescent="0.25"/>
  <sheetData>
    <row r="1" spans="1:5" ht="409.5" x14ac:dyDescent="0.25">
      <c r="A1" s="258" t="s">
        <v>475</v>
      </c>
      <c r="E1" s="258" t="s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7399-17FA-4C2C-A7BE-CC7DBCBBEA56}">
  <dimension ref="A1:N2"/>
  <sheetViews>
    <sheetView zoomScale="85" zoomScaleNormal="85" workbookViewId="0">
      <selection activeCell="G2" sqref="G2"/>
    </sheetView>
  </sheetViews>
  <sheetFormatPr baseColWidth="10" defaultRowHeight="15" x14ac:dyDescent="0.25"/>
  <cols>
    <col min="1" max="1" width="23.28515625" style="249" customWidth="1"/>
    <col min="2" max="2" width="19.140625" customWidth="1"/>
    <col min="3" max="3" width="24.85546875" customWidth="1"/>
    <col min="4" max="4" width="19.7109375" customWidth="1"/>
    <col min="5" max="5" width="25.5703125" customWidth="1"/>
    <col min="6" max="6" width="17.28515625" customWidth="1"/>
    <col min="7" max="7" width="22.85546875" customWidth="1"/>
    <col min="8" max="8" width="17.42578125" customWidth="1"/>
    <col min="9" max="9" width="16" customWidth="1"/>
    <col min="10" max="10" width="12.28515625" customWidth="1"/>
    <col min="11" max="11" width="18.7109375" customWidth="1"/>
    <col min="12" max="12" width="17.5703125" style="249" customWidth="1"/>
    <col min="13" max="13" width="17.140625" customWidth="1"/>
    <col min="14" max="14" width="24.5703125" customWidth="1"/>
  </cols>
  <sheetData>
    <row r="1" spans="1:14" x14ac:dyDescent="0.25">
      <c r="A1" s="249" t="s">
        <v>457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s="249" t="s">
        <v>468</v>
      </c>
      <c r="M1" t="s">
        <v>469</v>
      </c>
      <c r="N1" t="s">
        <v>470</v>
      </c>
    </row>
    <row r="2" spans="1:14" x14ac:dyDescent="0.25">
      <c r="A2" s="249" t="s">
        <v>500</v>
      </c>
      <c r="B2" t="s">
        <v>501</v>
      </c>
      <c r="C2" s="4">
        <v>5000</v>
      </c>
      <c r="D2" s="4">
        <v>4850.8900000000003</v>
      </c>
      <c r="E2">
        <v>15</v>
      </c>
      <c r="F2" t="s">
        <v>355</v>
      </c>
      <c r="G2" t="s">
        <v>323</v>
      </c>
      <c r="H2">
        <v>3</v>
      </c>
      <c r="I2">
        <v>149.11000000000001</v>
      </c>
      <c r="J2" t="s">
        <v>333</v>
      </c>
      <c r="K2" t="s">
        <v>499</v>
      </c>
      <c r="L2" s="249" t="s">
        <v>502</v>
      </c>
      <c r="M2" t="s">
        <v>503</v>
      </c>
      <c r="N2" t="s">
        <v>503</v>
      </c>
    </row>
  </sheetData>
  <phoneticPr fontId="26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B3FE-9A21-4C35-8883-D7474FA82697}">
  <dimension ref="A1:B10"/>
  <sheetViews>
    <sheetView workbookViewId="0">
      <selection activeCell="B10" sqref="A1:B10"/>
    </sheetView>
  </sheetViews>
  <sheetFormatPr baseColWidth="10" defaultRowHeight="15" x14ac:dyDescent="0.25"/>
  <sheetData>
    <row r="1" spans="1:2" x14ac:dyDescent="0.25">
      <c r="A1">
        <v>1</v>
      </c>
      <c r="B1" t="s">
        <v>437</v>
      </c>
    </row>
    <row r="2" spans="1:2" x14ac:dyDescent="0.25">
      <c r="A2">
        <v>2</v>
      </c>
      <c r="B2" t="s">
        <v>438</v>
      </c>
    </row>
    <row r="3" spans="1:2" x14ac:dyDescent="0.25">
      <c r="A3">
        <v>3</v>
      </c>
      <c r="B3" t="s">
        <v>439</v>
      </c>
    </row>
    <row r="4" spans="1:2" x14ac:dyDescent="0.25">
      <c r="A4">
        <v>4</v>
      </c>
      <c r="B4" t="s">
        <v>440</v>
      </c>
    </row>
    <row r="5" spans="1:2" x14ac:dyDescent="0.25">
      <c r="A5">
        <v>5</v>
      </c>
      <c r="B5" t="s">
        <v>441</v>
      </c>
    </row>
    <row r="6" spans="1:2" x14ac:dyDescent="0.25">
      <c r="A6">
        <v>6</v>
      </c>
      <c r="B6" t="s">
        <v>442</v>
      </c>
    </row>
    <row r="7" spans="1:2" x14ac:dyDescent="0.25">
      <c r="A7">
        <v>7</v>
      </c>
      <c r="B7" t="s">
        <v>443</v>
      </c>
    </row>
    <row r="8" spans="1:2" x14ac:dyDescent="0.25">
      <c r="A8">
        <v>8</v>
      </c>
      <c r="B8" t="s">
        <v>444</v>
      </c>
    </row>
    <row r="9" spans="1:2" x14ac:dyDescent="0.25">
      <c r="A9">
        <v>9</v>
      </c>
      <c r="B9" t="s">
        <v>445</v>
      </c>
    </row>
    <row r="10" spans="1:2" x14ac:dyDescent="0.25">
      <c r="A10">
        <v>10</v>
      </c>
      <c r="B10" t="s">
        <v>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4BDBA7328D84782374F214761D741" ma:contentTypeVersion="10" ma:contentTypeDescription="Create a new document." ma:contentTypeScope="" ma:versionID="7cec0fbd21e714b0eba5b20f4c0ed715">
  <xsd:schema xmlns:xsd="http://www.w3.org/2001/XMLSchema" xmlns:xs="http://www.w3.org/2001/XMLSchema" xmlns:p="http://schemas.microsoft.com/office/2006/metadata/properties" xmlns:ns2="9b02237a-ffe2-45d0-92e4-d8b909629092" xmlns:ns3="e870c82b-a169-4bed-a499-e3fbddf567ab" targetNamespace="http://schemas.microsoft.com/office/2006/metadata/properties" ma:root="true" ma:fieldsID="4c3acc52329bf025f395d5e163f6d8d3" ns2:_="" ns3:_="">
    <xsd:import namespace="9b02237a-ffe2-45d0-92e4-d8b909629092"/>
    <xsd:import namespace="e870c82b-a169-4bed-a499-e3fbddf567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2237a-ffe2-45d0-92e4-d8b909629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435ae38-19c9-45e0-9709-31332d70c6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0c82b-a169-4bed-a499-e3fbddf567a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21a2e6-e127-42f4-9528-bbcb54327db5}" ma:internalName="TaxCatchAll" ma:showField="CatchAllData" ma:web="e870c82b-a169-4bed-a499-e3fbddf567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02237a-ffe2-45d0-92e4-d8b909629092">
      <Terms xmlns="http://schemas.microsoft.com/office/infopath/2007/PartnerControls"/>
    </lcf76f155ced4ddcb4097134ff3c332f>
    <TaxCatchAll xmlns="e870c82b-a169-4bed-a499-e3fbddf567ab" xsi:nil="true"/>
  </documentManagement>
</p:properties>
</file>

<file path=customXml/itemProps1.xml><?xml version="1.0" encoding="utf-8"?>
<ds:datastoreItem xmlns:ds="http://schemas.openxmlformats.org/officeDocument/2006/customXml" ds:itemID="{F0874DC4-D84C-4445-A562-794EE151B1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B7C779-9241-469F-9233-572253204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2237a-ffe2-45d0-92e4-d8b909629092"/>
    <ds:schemaRef ds:uri="e870c82b-a169-4bed-a499-e3fbddf567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325248-2707-444C-9011-9F95FCC3AB2D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870c82b-a169-4bed-a499-e3fbddf567ab"/>
    <ds:schemaRef ds:uri="http://purl.org/dc/terms/"/>
    <ds:schemaRef ds:uri="http://schemas.openxmlformats.org/package/2006/metadata/core-properties"/>
    <ds:schemaRef ds:uri="9b02237a-ffe2-45d0-92e4-d8b90962909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FS-Data</vt:lpstr>
      <vt:lpstr>DATA-BRUTO</vt:lpstr>
      <vt:lpstr>Hoja2</vt:lpstr>
      <vt:lpstr>Data Labels</vt:lpstr>
      <vt:lpstr>FS-IS</vt:lpstr>
      <vt:lpstr>FS-BS</vt:lpstr>
      <vt:lpstr>FS-CF</vt:lpstr>
      <vt:lpstr>FS-Control</vt:lpstr>
      <vt:lpstr>Covenants</vt:lpstr>
      <vt:lpstr>Ratios</vt:lpstr>
      <vt:lpstr>Decisioning</vt:lpstr>
      <vt:lpstr>qry2</vt:lpstr>
      <vt:lpstr>QRY</vt:lpstr>
      <vt:lpstr>CREDITO</vt:lpstr>
      <vt:lpstr>Hoja1</vt:lpstr>
      <vt:lpstr>'FS-Data'!Área_de_impresión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 Chamedia</dc:creator>
  <cp:keywords/>
  <dc:description/>
  <cp:lastModifiedBy>Michelle Solis</cp:lastModifiedBy>
  <cp:revision/>
  <dcterms:created xsi:type="dcterms:W3CDTF">2020-08-18T13:18:10Z</dcterms:created>
  <dcterms:modified xsi:type="dcterms:W3CDTF">2025-04-22T19:52:26Z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0x010100DB74BDBA7328D84782374F214761D741</vt:lpwstr>
  </property>
  <property fmtid="{D5CDD505-2E9C-101B-9397-08002B2CF9AE}" pid="3" name="MediaServiceImageTags">
    <vt:lpwstr/>
  </property>
</Properties>
</file>