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<sst xmlns="http://schemas.openxmlformats.org/spreadsheetml/2006/main" count="428" uniqueCount="133">
  <si>
    <t xml:space="preserve">LastName</t>
  </si>
  <si>
    <t xml:space="preserve">Gender</t>
  </si>
  <si>
    <t xml:space="preserve">Age</t>
  </si>
  <si>
    <t xml:space="preserve">Location</t>
  </si>
  <si>
    <t xml:space="preserve">Height</t>
  </si>
  <si>
    <t xml:space="preserve">Weight</t>
  </si>
  <si>
    <t xml:space="preserve">Smoker</t>
  </si>
  <si>
    <t xml:space="preserve">Systolic</t>
  </si>
  <si>
    <t xml:space="preserve">Diastolic</t>
  </si>
  <si>
    <t xml:space="preserve">SelfAssessedHealthStatus</t>
  </si>
  <si>
    <t xml:space="preserve">Smith</t>
  </si>
  <si>
    <t xml:space="preserve">Male</t>
  </si>
  <si>
    <t xml:space="preserve">County General Hospital</t>
  </si>
  <si>
    <t xml:space="preserve">Excellent</t>
  </si>
  <si>
    <t xml:space="preserve">Johnson</t>
  </si>
  <si>
    <t xml:space="preserve">VA Hospital</t>
  </si>
  <si>
    <t xml:space="preserve">Fair</t>
  </si>
  <si>
    <t xml:space="preserve">Williams</t>
  </si>
  <si>
    <t xml:space="preserve">Female</t>
  </si>
  <si>
    <t xml:space="preserve">St. Mary's Medical Center</t>
  </si>
  <si>
    <t xml:space="preserve">Good</t>
  </si>
  <si>
    <t xml:space="preserve">Jones</t>
  </si>
  <si>
    <t xml:space="preserve">Brown</t>
  </si>
  <si>
    <t xml:space="preserve">Average</t>
  </si>
  <si>
    <t xml:space="preserve">Davis</t>
  </si>
  <si>
    <t xml:space="preserve">Standard Deviation</t>
  </si>
  <si>
    <t xml:space="preserve">Miller</t>
  </si>
  <si>
    <t xml:space="preserve">Median</t>
  </si>
  <si>
    <t xml:space="preserve">Wilson</t>
  </si>
  <si>
    <t xml:space="preserve">Mode</t>
  </si>
  <si>
    <t xml:space="preserve">Moore</t>
  </si>
  <si>
    <t xml:space="preserve">Taylor</t>
  </si>
  <si>
    <t xml:space="preserve">Anderson</t>
  </si>
  <si>
    <t xml:space="preserve">Thomas</t>
  </si>
  <si>
    <t xml:space="preserve">Poor</t>
  </si>
  <si>
    <t xml:space="preserve">Jackson</t>
  </si>
  <si>
    <t xml:space="preserve">White</t>
  </si>
  <si>
    <t xml:space="preserve">Harris</t>
  </si>
  <si>
    <t xml:space="preserve">Martin</t>
  </si>
  <si>
    <t xml:space="preserve">Thompson</t>
  </si>
  <si>
    <t xml:space="preserve">Correlation </t>
  </si>
  <si>
    <t xml:space="preserve">Garcia</t>
  </si>
  <si>
    <t xml:space="preserve">R^2</t>
  </si>
  <si>
    <t xml:space="preserve">Martinez</t>
  </si>
  <si>
    <t xml:space="preserve">R</t>
  </si>
  <si>
    <t xml:space="preserve">Robinson</t>
  </si>
  <si>
    <t xml:space="preserve">Clark</t>
  </si>
  <si>
    <t xml:space="preserve">Rodriguez</t>
  </si>
  <si>
    <t xml:space="preserve">Lewis</t>
  </si>
  <si>
    <t xml:space="preserve">Lee</t>
  </si>
  <si>
    <t xml:space="preserve">Data → Stats → Regression</t>
  </si>
  <si>
    <t xml:space="preserve">Walker</t>
  </si>
  <si>
    <t xml:space="preserve">Regression</t>
  </si>
  <si>
    <t xml:space="preserve">Hall</t>
  </si>
  <si>
    <t xml:space="preserve">Allen</t>
  </si>
  <si>
    <t xml:space="preserve">Regression Model</t>
  </si>
  <si>
    <t xml:space="preserve">Linear</t>
  </si>
  <si>
    <t xml:space="preserve">Young</t>
  </si>
  <si>
    <t xml:space="preserve">Hernandez</t>
  </si>
  <si>
    <t xml:space="preserve">Standard Error</t>
  </si>
  <si>
    <t xml:space="preserve">King</t>
  </si>
  <si>
    <t xml:space="preserve">Wright</t>
  </si>
  <si>
    <t xml:space="preserve">Slope</t>
  </si>
  <si>
    <t xml:space="preserve">Lopez</t>
  </si>
  <si>
    <t xml:space="preserve">Intercept</t>
  </si>
  <si>
    <t xml:space="preserve">Hill</t>
  </si>
  <si>
    <t xml:space="preserve">Scott</t>
  </si>
  <si>
    <t xml:space="preserve">Green</t>
  </si>
  <si>
    <t xml:space="preserve">Adams</t>
  </si>
  <si>
    <t xml:space="preserve">Baker</t>
  </si>
  <si>
    <t xml:space="preserve">Gonzalez</t>
  </si>
  <si>
    <t xml:space="preserve">Nelson</t>
  </si>
  <si>
    <t xml:space="preserve">Carter</t>
  </si>
  <si>
    <t xml:space="preserve">Mitchell</t>
  </si>
  <si>
    <t xml:space="preserve">Perez</t>
  </si>
  <si>
    <t xml:space="preserve">Roberts</t>
  </si>
  <si>
    <t xml:space="preserve">Turner</t>
  </si>
  <si>
    <t xml:space="preserve">Phillips</t>
  </si>
  <si>
    <t xml:space="preserve">Campbell</t>
  </si>
  <si>
    <t xml:space="preserve">Parker</t>
  </si>
  <si>
    <t xml:space="preserve">Evans</t>
  </si>
  <si>
    <t xml:space="preserve">Edwards</t>
  </si>
  <si>
    <t xml:space="preserve">Collins</t>
  </si>
  <si>
    <t xml:space="preserve">Stewart</t>
  </si>
  <si>
    <t xml:space="preserve">Sanchez</t>
  </si>
  <si>
    <t xml:space="preserve">Morris</t>
  </si>
  <si>
    <t xml:space="preserve">Rogers</t>
  </si>
  <si>
    <t xml:space="preserve">Reed</t>
  </si>
  <si>
    <t xml:space="preserve">Cook</t>
  </si>
  <si>
    <t xml:space="preserve">Morgan</t>
  </si>
  <si>
    <t xml:space="preserve">Bell</t>
  </si>
  <si>
    <t xml:space="preserve">Murphy</t>
  </si>
  <si>
    <t xml:space="preserve">Bailey</t>
  </si>
  <si>
    <t xml:space="preserve">Rivera</t>
  </si>
  <si>
    <t xml:space="preserve">Cooper</t>
  </si>
  <si>
    <t xml:space="preserve">Richardson</t>
  </si>
  <si>
    <t xml:space="preserve">Cox</t>
  </si>
  <si>
    <t xml:space="preserve">Howard</t>
  </si>
  <si>
    <t xml:space="preserve">Ward</t>
  </si>
  <si>
    <t xml:space="preserve">Torres</t>
  </si>
  <si>
    <t xml:space="preserve">Peterson</t>
  </si>
  <si>
    <t xml:space="preserve">Gray</t>
  </si>
  <si>
    <t xml:space="preserve">Ramirez</t>
  </si>
  <si>
    <t xml:space="preserve">James</t>
  </si>
  <si>
    <t xml:space="preserve">Watson</t>
  </si>
  <si>
    <t xml:space="preserve">Brooks</t>
  </si>
  <si>
    <t xml:space="preserve">Kelly</t>
  </si>
  <si>
    <t xml:space="preserve">Sanders</t>
  </si>
  <si>
    <t xml:space="preserve">Price</t>
  </si>
  <si>
    <t xml:space="preserve">Bennett</t>
  </si>
  <si>
    <t xml:space="preserve">Wood</t>
  </si>
  <si>
    <t xml:space="preserve">Barnes</t>
  </si>
  <si>
    <t xml:space="preserve">Ross</t>
  </si>
  <si>
    <t xml:space="preserve">Henderson</t>
  </si>
  <si>
    <t xml:space="preserve">Coleman</t>
  </si>
  <si>
    <t xml:space="preserve">Jenkins</t>
  </si>
  <si>
    <t xml:space="preserve">Perry</t>
  </si>
  <si>
    <t xml:space="preserve">Powell</t>
  </si>
  <si>
    <t xml:space="preserve">Long</t>
  </si>
  <si>
    <t xml:space="preserve">Patterson</t>
  </si>
  <si>
    <t xml:space="preserve">Hughes</t>
  </si>
  <si>
    <t xml:space="preserve">Flores</t>
  </si>
  <si>
    <t xml:space="preserve">Washington</t>
  </si>
  <si>
    <t xml:space="preserve">Butler</t>
  </si>
  <si>
    <t xml:space="preserve">Simmons</t>
  </si>
  <si>
    <t xml:space="preserve">Foster</t>
  </si>
  <si>
    <t xml:space="preserve">Gonzales</t>
  </si>
  <si>
    <t xml:space="preserve">Bryant</t>
  </si>
  <si>
    <t xml:space="preserve">Alexander</t>
  </si>
  <si>
    <t xml:space="preserve">Russell</t>
  </si>
  <si>
    <t xml:space="preserve">Griffin</t>
  </si>
  <si>
    <t xml:space="preserve">Diaz</t>
  </si>
  <si>
    <t xml:space="preserve">Hayes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</si>
</sst>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7.41"/>
    <col collapsed="false" customWidth="true" hidden="false" outlineLevel="0" max="3" min="3" style="0" width="4.76"/>
    <col collapsed="false" customWidth="true" hidden="false" outlineLevel="0" max="4" min="4" style="0" width="22.41"/>
    <col collapsed="false" customWidth="true" hidden="false" outlineLevel="0" max="5" min="5" style="0" width="6.71"/>
    <col collapsed="false" customWidth="true" hidden="false" outlineLevel="0" max="6" min="6" style="0" width="7.13"/>
    <col collapsed="false" customWidth="true" hidden="false" outlineLevel="0" max="7" min="7" style="0" width="7.82"/>
    <col collapsed="false" customWidth="true" hidden="false" outlineLevel="0" max="8" min="8" style="0" width="8.1"/>
    <col collapsed="false" customWidth="true" hidden="false" outlineLevel="0" max="9" min="9" style="0" width="8.52"/>
    <col collapsed="false" customWidth="true" hidden="false" outlineLevel="0" max="10" min="10" style="0" width="23.24"/>
    <col collapsed="false" customWidth="false" hidden="false" outlineLevel="0" max="11" min="11" style="0" width="11.52"/>
    <col collapsed="false" customWidth="true" hidden="false" outlineLevel="0" max="12" min="12" style="0" width="18.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38</v>
      </c>
      <c r="D2" s="0" t="s">
        <v>12</v>
      </c>
      <c r="E2" s="0" t="n">
        <v>71</v>
      </c>
      <c r="F2" s="0" t="n">
        <v>176</v>
      </c>
      <c r="G2" s="0" t="n">
        <v>1</v>
      </c>
      <c r="H2" s="0" t="n">
        <v>124</v>
      </c>
      <c r="I2" s="0" t="n">
        <v>93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n">
        <v>43</v>
      </c>
      <c r="D3" s="0" t="s">
        <v>15</v>
      </c>
      <c r="E3" s="0" t="n">
        <v>69</v>
      </c>
      <c r="F3" s="0" t="n">
        <v>163</v>
      </c>
      <c r="G3" s="0" t="n">
        <v>0</v>
      </c>
      <c r="H3" s="0" t="n">
        <v>109</v>
      </c>
      <c r="I3" s="0" t="n">
        <v>77</v>
      </c>
      <c r="J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38</v>
      </c>
      <c r="D4" s="0" t="s">
        <v>19</v>
      </c>
      <c r="E4" s="0" t="n">
        <v>64</v>
      </c>
      <c r="F4" s="0" t="n">
        <v>131</v>
      </c>
      <c r="G4" s="0" t="n">
        <v>0</v>
      </c>
      <c r="H4" s="0" t="n">
        <v>125</v>
      </c>
      <c r="I4" s="0" t="n">
        <v>83</v>
      </c>
      <c r="J4" s="0" t="s">
        <v>20</v>
      </c>
      <c r="L4" s="1"/>
      <c r="M4" s="2"/>
      <c r="N4" s="3"/>
    </row>
    <row r="5" customFormat="false" ht="12.8" hidden="false" customHeight="false" outlineLevel="0" collapsed="false">
      <c r="A5" s="0" t="s">
        <v>21</v>
      </c>
      <c r="B5" s="0" t="s">
        <v>18</v>
      </c>
      <c r="C5" s="0" t="n">
        <v>40</v>
      </c>
      <c r="D5" s="0" t="s">
        <v>15</v>
      </c>
      <c r="E5" s="0" t="n">
        <v>67</v>
      </c>
      <c r="F5" s="0" t="n">
        <v>133</v>
      </c>
      <c r="G5" s="0" t="n">
        <v>0</v>
      </c>
      <c r="H5" s="0" t="n">
        <v>117</v>
      </c>
      <c r="I5" s="0" t="n">
        <v>75</v>
      </c>
      <c r="J5" s="0" t="s">
        <v>16</v>
      </c>
      <c r="L5" s="4"/>
      <c r="M5" s="5" t="s">
        <v>2</v>
      </c>
      <c r="N5" s="6"/>
    </row>
    <row r="6" customFormat="false" ht="12.8" hidden="false" customHeight="false" outlineLevel="0" collapsed="false">
      <c r="A6" s="0" t="s">
        <v>22</v>
      </c>
      <c r="B6" s="0" t="s">
        <v>18</v>
      </c>
      <c r="C6" s="0" t="n">
        <v>49</v>
      </c>
      <c r="D6" s="0" t="s">
        <v>12</v>
      </c>
      <c r="E6" s="0" t="n">
        <v>64</v>
      </c>
      <c r="F6" s="0" t="n">
        <v>119</v>
      </c>
      <c r="G6" s="0" t="n">
        <v>0</v>
      </c>
      <c r="H6" s="0" t="n">
        <v>122</v>
      </c>
      <c r="I6" s="0" t="n">
        <v>80</v>
      </c>
      <c r="J6" s="0" t="s">
        <v>20</v>
      </c>
      <c r="L6" s="4" t="s">
        <v>23</v>
      </c>
      <c r="M6" s="7" t="n">
        <f aca="false">AVERAGE(C2:C101)</f>
        <v>38.28</v>
      </c>
      <c r="N6" s="6"/>
    </row>
    <row r="7" customFormat="false" ht="12.8" hidden="false" customHeight="false" outlineLevel="0" collapsed="false">
      <c r="A7" s="0" t="s">
        <v>24</v>
      </c>
      <c r="B7" s="0" t="s">
        <v>18</v>
      </c>
      <c r="C7" s="0" t="n">
        <v>46</v>
      </c>
      <c r="D7" s="0" t="s">
        <v>19</v>
      </c>
      <c r="E7" s="0" t="n">
        <v>68</v>
      </c>
      <c r="F7" s="0" t="n">
        <v>142</v>
      </c>
      <c r="G7" s="0" t="n">
        <v>0</v>
      </c>
      <c r="H7" s="0" t="n">
        <v>121</v>
      </c>
      <c r="I7" s="0" t="n">
        <v>70</v>
      </c>
      <c r="J7" s="0" t="s">
        <v>20</v>
      </c>
      <c r="L7" s="4" t="s">
        <v>25</v>
      </c>
      <c r="M7" s="7" t="n">
        <f aca="false">STDEV(C2:C101)</f>
        <v>7.2154155959461</v>
      </c>
      <c r="N7" s="6"/>
    </row>
    <row r="8" customFormat="false" ht="12.8" hidden="false" customHeight="false" outlineLevel="0" collapsed="false">
      <c r="A8" s="0" t="s">
        <v>26</v>
      </c>
      <c r="B8" s="0" t="s">
        <v>18</v>
      </c>
      <c r="C8" s="0" t="n">
        <v>33</v>
      </c>
      <c r="D8" s="0" t="s">
        <v>15</v>
      </c>
      <c r="E8" s="0" t="n">
        <v>64</v>
      </c>
      <c r="F8" s="0" t="n">
        <v>142</v>
      </c>
      <c r="G8" s="0" t="n">
        <v>1</v>
      </c>
      <c r="H8" s="0" t="n">
        <v>130</v>
      </c>
      <c r="I8" s="0" t="n">
        <v>88</v>
      </c>
      <c r="J8" s="0" t="s">
        <v>20</v>
      </c>
      <c r="L8" s="4" t="s">
        <v>27</v>
      </c>
      <c r="M8" s="7" t="n">
        <f aca="false">MEDIAN(C2:C101)</f>
        <v>39</v>
      </c>
      <c r="N8" s="6"/>
    </row>
    <row r="9" customFormat="false" ht="12.8" hidden="false" customHeight="false" outlineLevel="0" collapsed="false">
      <c r="A9" s="0" t="s">
        <v>28</v>
      </c>
      <c r="B9" s="0" t="s">
        <v>11</v>
      </c>
      <c r="C9" s="0" t="n">
        <v>40</v>
      </c>
      <c r="D9" s="0" t="s">
        <v>15</v>
      </c>
      <c r="E9" s="0" t="n">
        <v>68</v>
      </c>
      <c r="F9" s="0" t="n">
        <v>180</v>
      </c>
      <c r="G9" s="0" t="n">
        <v>0</v>
      </c>
      <c r="H9" s="0" t="n">
        <v>115</v>
      </c>
      <c r="I9" s="0" t="n">
        <v>82</v>
      </c>
      <c r="J9" s="0" t="s">
        <v>20</v>
      </c>
      <c r="L9" s="4" t="s">
        <v>29</v>
      </c>
      <c r="M9" s="7" t="n">
        <f aca="false">MODE(C2:C101)</f>
        <v>39</v>
      </c>
      <c r="N9" s="6"/>
    </row>
    <row r="10" customFormat="false" ht="12.8" hidden="false" customHeight="false" outlineLevel="0" collapsed="false">
      <c r="A10" s="0" t="s">
        <v>30</v>
      </c>
      <c r="B10" s="0" t="s">
        <v>11</v>
      </c>
      <c r="C10" s="0" t="n">
        <v>28</v>
      </c>
      <c r="D10" s="0" t="s">
        <v>19</v>
      </c>
      <c r="E10" s="0" t="n">
        <v>68</v>
      </c>
      <c r="F10" s="0" t="n">
        <v>183</v>
      </c>
      <c r="G10" s="0" t="n">
        <v>0</v>
      </c>
      <c r="H10" s="0" t="n">
        <v>115</v>
      </c>
      <c r="I10" s="0" t="n">
        <v>78</v>
      </c>
      <c r="J10" s="0" t="s">
        <v>13</v>
      </c>
      <c r="L10" s="4"/>
      <c r="M10" s="7"/>
      <c r="N10" s="6"/>
    </row>
    <row r="11" customFormat="false" ht="12.8" hidden="false" customHeight="false" outlineLevel="0" collapsed="false">
      <c r="A11" s="0" t="s">
        <v>31</v>
      </c>
      <c r="B11" s="0" t="s">
        <v>18</v>
      </c>
      <c r="C11" s="0" t="n">
        <v>31</v>
      </c>
      <c r="D11" s="0" t="s">
        <v>12</v>
      </c>
      <c r="E11" s="0" t="n">
        <v>66</v>
      </c>
      <c r="F11" s="0" t="n">
        <v>132</v>
      </c>
      <c r="G11" s="0" t="n">
        <v>0</v>
      </c>
      <c r="H11" s="0" t="n">
        <v>118</v>
      </c>
      <c r="I11" s="0" t="n">
        <v>86</v>
      </c>
      <c r="J11" s="0" t="s">
        <v>13</v>
      </c>
      <c r="L11" s="4"/>
      <c r="M11" s="7"/>
      <c r="N11" s="6"/>
    </row>
    <row r="12" customFormat="false" ht="12.8" hidden="false" customHeight="false" outlineLevel="0" collapsed="false">
      <c r="A12" s="0" t="s">
        <v>32</v>
      </c>
      <c r="B12" s="0" t="s">
        <v>18</v>
      </c>
      <c r="C12" s="0" t="n">
        <v>45</v>
      </c>
      <c r="D12" s="0" t="s">
        <v>12</v>
      </c>
      <c r="E12" s="0" t="n">
        <v>68</v>
      </c>
      <c r="F12" s="0" t="n">
        <v>128</v>
      </c>
      <c r="G12" s="0" t="n">
        <v>0</v>
      </c>
      <c r="H12" s="0" t="n">
        <v>114</v>
      </c>
      <c r="I12" s="0" t="n">
        <v>77</v>
      </c>
      <c r="J12" s="0" t="s">
        <v>13</v>
      </c>
      <c r="L12" s="4"/>
      <c r="M12" s="7"/>
      <c r="N12" s="6"/>
    </row>
    <row r="13" customFormat="false" ht="12.8" hidden="false" customHeight="false" outlineLevel="0" collapsed="false">
      <c r="A13" s="0" t="s">
        <v>33</v>
      </c>
      <c r="B13" s="0" t="s">
        <v>18</v>
      </c>
      <c r="C13" s="0" t="n">
        <v>42</v>
      </c>
      <c r="D13" s="0" t="s">
        <v>19</v>
      </c>
      <c r="E13" s="0" t="n">
        <v>66</v>
      </c>
      <c r="F13" s="0" t="n">
        <v>137</v>
      </c>
      <c r="G13" s="0" t="n">
        <v>0</v>
      </c>
      <c r="H13" s="0" t="n">
        <v>115</v>
      </c>
      <c r="I13" s="0" t="n">
        <v>68</v>
      </c>
      <c r="J13" s="0" t="s">
        <v>34</v>
      </c>
      <c r="L13" s="4"/>
      <c r="M13" s="7"/>
      <c r="N13" s="6"/>
    </row>
    <row r="14" customFormat="false" ht="12.8" hidden="false" customHeight="false" outlineLevel="0" collapsed="false">
      <c r="A14" s="0" t="s">
        <v>35</v>
      </c>
      <c r="B14" s="0" t="s">
        <v>11</v>
      </c>
      <c r="C14" s="0" t="n">
        <v>25</v>
      </c>
      <c r="D14" s="0" t="s">
        <v>15</v>
      </c>
      <c r="E14" s="0" t="n">
        <v>71</v>
      </c>
      <c r="F14" s="0" t="n">
        <v>174</v>
      </c>
      <c r="G14" s="0" t="n">
        <v>0</v>
      </c>
      <c r="H14" s="0" t="n">
        <v>127</v>
      </c>
      <c r="I14" s="0" t="n">
        <v>74</v>
      </c>
      <c r="J14" s="0" t="s">
        <v>34</v>
      </c>
      <c r="L14" s="4"/>
      <c r="M14" s="7"/>
      <c r="N14" s="6"/>
    </row>
    <row r="15" customFormat="false" ht="12.8" hidden="false" customHeight="false" outlineLevel="0" collapsed="false">
      <c r="A15" s="0" t="s">
        <v>36</v>
      </c>
      <c r="B15" s="0" t="s">
        <v>11</v>
      </c>
      <c r="C15" s="0" t="n">
        <v>39</v>
      </c>
      <c r="D15" s="0" t="s">
        <v>15</v>
      </c>
      <c r="E15" s="0" t="n">
        <v>72</v>
      </c>
      <c r="F15" s="0" t="n">
        <v>202</v>
      </c>
      <c r="G15" s="0" t="n">
        <v>1</v>
      </c>
      <c r="H15" s="0" t="n">
        <v>130</v>
      </c>
      <c r="I15" s="0" t="n">
        <v>95</v>
      </c>
      <c r="J15" s="0" t="s">
        <v>13</v>
      </c>
      <c r="L15" s="4"/>
      <c r="M15" s="7"/>
      <c r="N15" s="6"/>
    </row>
    <row r="16" customFormat="false" ht="12.8" hidden="false" customHeight="false" outlineLevel="0" collapsed="false">
      <c r="A16" s="0" t="s">
        <v>37</v>
      </c>
      <c r="B16" s="0" t="s">
        <v>18</v>
      </c>
      <c r="C16" s="0" t="n">
        <v>36</v>
      </c>
      <c r="D16" s="0" t="s">
        <v>19</v>
      </c>
      <c r="E16" s="0" t="n">
        <v>65</v>
      </c>
      <c r="F16" s="0" t="n">
        <v>129</v>
      </c>
      <c r="G16" s="0" t="n">
        <v>0</v>
      </c>
      <c r="H16" s="0" t="n">
        <v>114</v>
      </c>
      <c r="I16" s="0" t="n">
        <v>79</v>
      </c>
      <c r="J16" s="0" t="s">
        <v>20</v>
      </c>
      <c r="L16" s="4"/>
      <c r="M16" s="7"/>
      <c r="N16" s="6"/>
    </row>
    <row r="17" customFormat="false" ht="12.8" hidden="false" customHeight="false" outlineLevel="0" collapsed="false">
      <c r="A17" s="0" t="s">
        <v>38</v>
      </c>
      <c r="B17" s="0" t="s">
        <v>11</v>
      </c>
      <c r="C17" s="0" t="n">
        <v>48</v>
      </c>
      <c r="D17" s="0" t="s">
        <v>15</v>
      </c>
      <c r="E17" s="0" t="n">
        <v>71</v>
      </c>
      <c r="F17" s="0" t="n">
        <v>181</v>
      </c>
      <c r="G17" s="0" t="n">
        <v>1</v>
      </c>
      <c r="H17" s="0" t="n">
        <v>130</v>
      </c>
      <c r="I17" s="0" t="n">
        <v>92</v>
      </c>
      <c r="J17" s="0" t="s">
        <v>20</v>
      </c>
      <c r="L17" s="4"/>
      <c r="M17" s="7" t="s">
        <v>2</v>
      </c>
      <c r="N17" s="6" t="s">
        <v>5</v>
      </c>
    </row>
    <row r="18" customFormat="false" ht="12.8" hidden="false" customHeight="false" outlineLevel="0" collapsed="false">
      <c r="A18" s="0" t="s">
        <v>39</v>
      </c>
      <c r="B18" s="0" t="s">
        <v>11</v>
      </c>
      <c r="C18" s="0" t="n">
        <v>32</v>
      </c>
      <c r="D18" s="0" t="s">
        <v>19</v>
      </c>
      <c r="E18" s="0" t="n">
        <v>69</v>
      </c>
      <c r="F18" s="0" t="n">
        <v>191</v>
      </c>
      <c r="G18" s="0" t="n">
        <v>1</v>
      </c>
      <c r="H18" s="0" t="n">
        <v>124</v>
      </c>
      <c r="I18" s="0" t="n">
        <v>95</v>
      </c>
      <c r="J18" s="0" t="s">
        <v>13</v>
      </c>
      <c r="L18" s="4" t="s">
        <v>40</v>
      </c>
      <c r="M18" s="6" t="n">
        <f aca="false">CORREL(C2:C101,F2:F101)</f>
        <v>0.0913561460935226</v>
      </c>
      <c r="N18" s="6"/>
    </row>
    <row r="19" customFormat="false" ht="12.8" hidden="false" customHeight="false" outlineLevel="0" collapsed="false">
      <c r="A19" s="0" t="s">
        <v>41</v>
      </c>
      <c r="B19" s="0" t="s">
        <v>18</v>
      </c>
      <c r="C19" s="0" t="n">
        <v>27</v>
      </c>
      <c r="D19" s="0" t="s">
        <v>15</v>
      </c>
      <c r="E19" s="0" t="n">
        <v>69</v>
      </c>
      <c r="F19" s="0" t="n">
        <v>131</v>
      </c>
      <c r="G19" s="0" t="n">
        <v>1</v>
      </c>
      <c r="H19" s="0" t="n">
        <v>123</v>
      </c>
      <c r="I19" s="0" t="n">
        <v>79</v>
      </c>
      <c r="J19" s="0" t="s">
        <v>16</v>
      </c>
      <c r="L19" s="4" t="s">
        <v>42</v>
      </c>
      <c r="M19" s="6" t="n">
        <f aca="false">RSQ(F2:F101,C2:C101)</f>
        <v>0.00834594542906105</v>
      </c>
      <c r="N19" s="6"/>
    </row>
    <row r="20" customFormat="false" ht="12.8" hidden="false" customHeight="false" outlineLevel="0" collapsed="false">
      <c r="A20" s="0" t="s">
        <v>43</v>
      </c>
      <c r="B20" s="0" t="s">
        <v>11</v>
      </c>
      <c r="C20" s="0" t="n">
        <v>37</v>
      </c>
      <c r="D20" s="0" t="s">
        <v>12</v>
      </c>
      <c r="E20" s="0" t="n">
        <v>70</v>
      </c>
      <c r="F20" s="0" t="n">
        <v>179</v>
      </c>
      <c r="G20" s="0" t="n">
        <v>0</v>
      </c>
      <c r="H20" s="0" t="n">
        <v>119</v>
      </c>
      <c r="I20" s="0" t="n">
        <v>77</v>
      </c>
      <c r="J20" s="0" t="s">
        <v>20</v>
      </c>
      <c r="L20" s="4" t="s">
        <v>44</v>
      </c>
      <c r="M20" s="6" t="n">
        <f aca="false">SQRT(M19)</f>
        <v>0.0913561460935226</v>
      </c>
      <c r="N20" s="6"/>
    </row>
    <row r="21" customFormat="false" ht="12.8" hidden="false" customHeight="false" outlineLevel="0" collapsed="false">
      <c r="A21" s="0" t="s">
        <v>45</v>
      </c>
      <c r="B21" s="0" t="s">
        <v>11</v>
      </c>
      <c r="C21" s="0" t="n">
        <v>50</v>
      </c>
      <c r="D21" s="0" t="s">
        <v>12</v>
      </c>
      <c r="E21" s="0" t="n">
        <v>68</v>
      </c>
      <c r="F21" s="0" t="n">
        <v>172</v>
      </c>
      <c r="G21" s="0" t="n">
        <v>0</v>
      </c>
      <c r="H21" s="0" t="n">
        <v>125</v>
      </c>
      <c r="I21" s="0" t="n">
        <v>76</v>
      </c>
      <c r="J21" s="0" t="s">
        <v>20</v>
      </c>
      <c r="L21" s="4"/>
      <c r="M21" s="7"/>
      <c r="N21" s="6"/>
    </row>
    <row r="22" customFormat="false" ht="12.8" hidden="false" customHeight="false" outlineLevel="0" collapsed="false">
      <c r="A22" s="0" t="s">
        <v>46</v>
      </c>
      <c r="B22" s="0" t="s">
        <v>18</v>
      </c>
      <c r="C22" s="0" t="n">
        <v>48</v>
      </c>
      <c r="D22" s="0" t="s">
        <v>15</v>
      </c>
      <c r="E22" s="0" t="n">
        <v>65</v>
      </c>
      <c r="F22" s="0" t="n">
        <v>133</v>
      </c>
      <c r="G22" s="0" t="n">
        <v>0</v>
      </c>
      <c r="H22" s="0" t="n">
        <v>121</v>
      </c>
      <c r="I22" s="0" t="n">
        <v>75</v>
      </c>
      <c r="J22" s="0" t="s">
        <v>13</v>
      </c>
      <c r="L22" s="4"/>
      <c r="M22" s="7"/>
      <c r="N22" s="6"/>
    </row>
    <row r="23" customFormat="false" ht="12.8" hidden="false" customHeight="false" outlineLevel="0" collapsed="false">
      <c r="A23" s="0" t="s">
        <v>47</v>
      </c>
      <c r="B23" s="0" t="s">
        <v>18</v>
      </c>
      <c r="C23" s="0" t="n">
        <v>39</v>
      </c>
      <c r="D23" s="0" t="s">
        <v>15</v>
      </c>
      <c r="E23" s="0" t="n">
        <v>64</v>
      </c>
      <c r="F23" s="0" t="n">
        <v>117</v>
      </c>
      <c r="G23" s="0" t="n">
        <v>0</v>
      </c>
      <c r="H23" s="0" t="n">
        <v>123</v>
      </c>
      <c r="I23" s="0" t="n">
        <v>79</v>
      </c>
      <c r="J23" s="0" t="s">
        <v>16</v>
      </c>
      <c r="L23" s="4"/>
      <c r="M23" s="7"/>
      <c r="N23" s="6"/>
    </row>
    <row r="24" customFormat="false" ht="12.8" hidden="false" customHeight="false" outlineLevel="0" collapsed="false">
      <c r="A24" s="0" t="s">
        <v>48</v>
      </c>
      <c r="B24" s="0" t="s">
        <v>18</v>
      </c>
      <c r="C24" s="0" t="n">
        <v>41</v>
      </c>
      <c r="D24" s="0" t="s">
        <v>15</v>
      </c>
      <c r="E24" s="0" t="n">
        <v>62</v>
      </c>
      <c r="F24" s="0" t="n">
        <v>137</v>
      </c>
      <c r="G24" s="0" t="n">
        <v>0</v>
      </c>
      <c r="H24" s="0" t="n">
        <v>114</v>
      </c>
      <c r="I24" s="0" t="n">
        <v>88</v>
      </c>
      <c r="J24" s="0" t="s">
        <v>16</v>
      </c>
      <c r="L24" s="4"/>
      <c r="M24" s="7"/>
      <c r="N24" s="6"/>
    </row>
    <row r="25" customFormat="false" ht="12.8" hidden="false" customHeight="false" outlineLevel="0" collapsed="false">
      <c r="A25" s="0" t="s">
        <v>49</v>
      </c>
      <c r="B25" s="0" t="s">
        <v>18</v>
      </c>
      <c r="C25" s="0" t="n">
        <v>44</v>
      </c>
      <c r="D25" s="0" t="s">
        <v>12</v>
      </c>
      <c r="E25" s="0" t="n">
        <v>66</v>
      </c>
      <c r="F25" s="0" t="n">
        <v>146</v>
      </c>
      <c r="G25" s="0" t="n">
        <v>1</v>
      </c>
      <c r="H25" s="0" t="n">
        <v>128</v>
      </c>
      <c r="I25" s="0" t="n">
        <v>90</v>
      </c>
      <c r="J25" s="0" t="s">
        <v>16</v>
      </c>
      <c r="L25" s="8" t="s">
        <v>50</v>
      </c>
      <c r="M25" s="9"/>
      <c r="N25" s="10"/>
    </row>
    <row r="26" customFormat="false" ht="12.8" hidden="false" customHeight="false" outlineLevel="0" collapsed="false">
      <c r="A26" s="0" t="s">
        <v>51</v>
      </c>
      <c r="B26" s="0" t="s">
        <v>18</v>
      </c>
      <c r="C26" s="0" t="n">
        <v>28</v>
      </c>
      <c r="D26" s="0" t="s">
        <v>12</v>
      </c>
      <c r="E26" s="0" t="n">
        <v>65</v>
      </c>
      <c r="F26" s="0" t="n">
        <v>123</v>
      </c>
      <c r="G26" s="0" t="n">
        <v>1</v>
      </c>
      <c r="H26" s="0" t="n">
        <v>129</v>
      </c>
      <c r="I26" s="0" t="n">
        <v>96</v>
      </c>
      <c r="J26" s="0" t="s">
        <v>20</v>
      </c>
      <c r="L26" s="8"/>
      <c r="M26" s="11" t="s">
        <v>52</v>
      </c>
      <c r="N26" s="10"/>
    </row>
    <row r="27" customFormat="false" ht="12.8" hidden="false" customHeight="false" outlineLevel="0" collapsed="false">
      <c r="A27" s="0" t="s">
        <v>53</v>
      </c>
      <c r="B27" s="0" t="s">
        <v>11</v>
      </c>
      <c r="C27" s="0" t="n">
        <v>25</v>
      </c>
      <c r="D27" s="0" t="s">
        <v>15</v>
      </c>
      <c r="E27" s="0" t="n">
        <v>70</v>
      </c>
      <c r="F27" s="0" t="n">
        <v>189</v>
      </c>
      <c r="G27" s="0" t="n">
        <v>0</v>
      </c>
      <c r="H27" s="0" t="n">
        <v>114</v>
      </c>
      <c r="I27" s="0" t="n">
        <v>77</v>
      </c>
      <c r="J27" s="0" t="s">
        <v>34</v>
      </c>
      <c r="L27" s="8"/>
      <c r="M27" s="9"/>
      <c r="N27" s="10"/>
    </row>
    <row r="28" customFormat="false" ht="12.8" hidden="false" customHeight="false" outlineLevel="0" collapsed="false">
      <c r="A28" s="0" t="s">
        <v>54</v>
      </c>
      <c r="B28" s="0" t="s">
        <v>18</v>
      </c>
      <c r="C28" s="0" t="n">
        <v>39</v>
      </c>
      <c r="D28" s="0" t="s">
        <v>15</v>
      </c>
      <c r="E28" s="0" t="n">
        <v>63</v>
      </c>
      <c r="F28" s="0" t="n">
        <v>143</v>
      </c>
      <c r="G28" s="0" t="n">
        <v>0</v>
      </c>
      <c r="H28" s="0" t="n">
        <v>113</v>
      </c>
      <c r="I28" s="0" t="n">
        <v>80</v>
      </c>
      <c r="J28" s="0" t="s">
        <v>13</v>
      </c>
      <c r="L28" s="8"/>
      <c r="M28" s="9" t="s">
        <v>55</v>
      </c>
      <c r="N28" s="10" t="s">
        <v>56</v>
      </c>
    </row>
    <row r="29" customFormat="false" ht="12.8" hidden="false" customHeight="false" outlineLevel="0" collapsed="false">
      <c r="A29" s="0" t="s">
        <v>57</v>
      </c>
      <c r="B29" s="0" t="s">
        <v>18</v>
      </c>
      <c r="C29" s="0" t="n">
        <v>25</v>
      </c>
      <c r="D29" s="0" t="s">
        <v>12</v>
      </c>
      <c r="E29" s="0" t="n">
        <v>63</v>
      </c>
      <c r="F29" s="0" t="n">
        <v>114</v>
      </c>
      <c r="G29" s="0" t="n">
        <v>0</v>
      </c>
      <c r="H29" s="0" t="n">
        <v>125</v>
      </c>
      <c r="I29" s="0" t="n">
        <v>76</v>
      </c>
      <c r="J29" s="0" t="s">
        <v>20</v>
      </c>
      <c r="L29" s="8"/>
      <c r="M29" s="9" t="s">
        <v>42</v>
      </c>
      <c r="N29" s="10" t="n">
        <f aca="false" t="array" ref="N29:N29">RSQ($F$2:$F$101 , $C$2:$C$101)</f>
        <v>0.00834594542906105</v>
      </c>
    </row>
    <row r="30" customFormat="false" ht="12.8" hidden="false" customHeight="false" outlineLevel="0" collapsed="false">
      <c r="A30" s="0" t="s">
        <v>58</v>
      </c>
      <c r="B30" s="0" t="s">
        <v>11</v>
      </c>
      <c r="C30" s="0" t="n">
        <v>36</v>
      </c>
      <c r="D30" s="0" t="s">
        <v>12</v>
      </c>
      <c r="E30" s="0" t="n">
        <v>68</v>
      </c>
      <c r="F30" s="0" t="n">
        <v>166</v>
      </c>
      <c r="G30" s="0" t="n">
        <v>0</v>
      </c>
      <c r="H30" s="0" t="n">
        <v>120</v>
      </c>
      <c r="I30" s="0" t="n">
        <v>83</v>
      </c>
      <c r="J30" s="0" t="s">
        <v>34</v>
      </c>
      <c r="L30" s="8"/>
      <c r="M30" s="9" t="s">
        <v>59</v>
      </c>
      <c r="N30" s="10" t="n">
        <f aca="false" t="array" ref="N30:N30">STEYX($F$2:$F$101 , $C$2:$C$101)</f>
        <v>26.5949655943237</v>
      </c>
    </row>
    <row r="31" customFormat="false" ht="12.8" hidden="false" customHeight="false" outlineLevel="0" collapsed="false">
      <c r="A31" s="0" t="s">
        <v>60</v>
      </c>
      <c r="B31" s="0" t="s">
        <v>11</v>
      </c>
      <c r="C31" s="0" t="n">
        <v>30</v>
      </c>
      <c r="D31" s="0" t="s">
        <v>12</v>
      </c>
      <c r="E31" s="0" t="n">
        <v>67</v>
      </c>
      <c r="F31" s="0" t="n">
        <v>186</v>
      </c>
      <c r="G31" s="0" t="n">
        <v>1</v>
      </c>
      <c r="H31" s="0" t="n">
        <v>127</v>
      </c>
      <c r="I31" s="0" t="n">
        <v>89</v>
      </c>
      <c r="J31" s="0" t="s">
        <v>13</v>
      </c>
      <c r="L31" s="8"/>
      <c r="M31" s="9"/>
      <c r="N31" s="10"/>
    </row>
    <row r="32" customFormat="false" ht="12.8" hidden="false" customHeight="false" outlineLevel="0" collapsed="false">
      <c r="A32" s="0" t="s">
        <v>61</v>
      </c>
      <c r="B32" s="0" t="s">
        <v>18</v>
      </c>
      <c r="C32" s="0" t="n">
        <v>45</v>
      </c>
      <c r="D32" s="0" t="s">
        <v>15</v>
      </c>
      <c r="E32" s="0" t="n">
        <v>70</v>
      </c>
      <c r="F32" s="0" t="n">
        <v>126</v>
      </c>
      <c r="G32" s="0" t="n">
        <v>1</v>
      </c>
      <c r="H32" s="0" t="n">
        <v>134</v>
      </c>
      <c r="I32" s="0" t="n">
        <v>92</v>
      </c>
      <c r="J32" s="0" t="s">
        <v>13</v>
      </c>
      <c r="L32" s="8"/>
      <c r="M32" s="9" t="s">
        <v>62</v>
      </c>
      <c r="N32" s="10" t="n">
        <f aca="false" t="array" ref="N32:N32">SLOPE($F$2:$F$101 , $C$2:$C$101)</f>
        <v>0.336427274279417</v>
      </c>
    </row>
    <row r="33" customFormat="false" ht="12.8" hidden="false" customHeight="false" outlineLevel="0" collapsed="false">
      <c r="A33" s="0" t="s">
        <v>63</v>
      </c>
      <c r="B33" s="0" t="s">
        <v>18</v>
      </c>
      <c r="C33" s="0" t="n">
        <v>40</v>
      </c>
      <c r="D33" s="0" t="s">
        <v>15</v>
      </c>
      <c r="E33" s="0" t="n">
        <v>66</v>
      </c>
      <c r="F33" s="0" t="n">
        <v>137</v>
      </c>
      <c r="G33" s="0" t="n">
        <v>0</v>
      </c>
      <c r="H33" s="0" t="n">
        <v>121</v>
      </c>
      <c r="I33" s="0" t="n">
        <v>83</v>
      </c>
      <c r="J33" s="0" t="s">
        <v>34</v>
      </c>
      <c r="L33" s="8"/>
      <c r="M33" s="9" t="s">
        <v>64</v>
      </c>
      <c r="N33" s="10" t="n">
        <f aca="false" t="array" ref="N33:N33">INTERCEPT($F$2:$F$101 , $C$2:$C$101)</f>
        <v>141.121563940584</v>
      </c>
    </row>
    <row r="34" customFormat="false" ht="12.8" hidden="false" customHeight="false" outlineLevel="0" collapsed="false">
      <c r="A34" s="0" t="s">
        <v>65</v>
      </c>
      <c r="B34" s="0" t="s">
        <v>18</v>
      </c>
      <c r="C34" s="0" t="n">
        <v>25</v>
      </c>
      <c r="D34" s="0" t="s">
        <v>19</v>
      </c>
      <c r="E34" s="0" t="n">
        <v>64</v>
      </c>
      <c r="F34" s="0" t="n">
        <v>138</v>
      </c>
      <c r="G34" s="0" t="n">
        <v>0</v>
      </c>
      <c r="H34" s="0" t="n">
        <v>115</v>
      </c>
      <c r="I34" s="0" t="n">
        <v>80</v>
      </c>
      <c r="J34" s="0" t="s">
        <v>13</v>
      </c>
      <c r="L34" s="8"/>
      <c r="M34" s="9"/>
      <c r="N34" s="10"/>
    </row>
    <row r="35" customFormat="false" ht="12.8" hidden="false" customHeight="false" outlineLevel="0" collapsed="false">
      <c r="A35" s="0" t="s">
        <v>66</v>
      </c>
      <c r="B35" s="0" t="s">
        <v>11</v>
      </c>
      <c r="C35" s="0" t="n">
        <v>47</v>
      </c>
      <c r="D35" s="0" t="s">
        <v>19</v>
      </c>
      <c r="E35" s="0" t="n">
        <v>70</v>
      </c>
      <c r="F35" s="0" t="n">
        <v>187</v>
      </c>
      <c r="G35" s="0" t="n">
        <v>0</v>
      </c>
      <c r="H35" s="0" t="n">
        <v>127</v>
      </c>
      <c r="I35" s="0" t="n">
        <v>84</v>
      </c>
      <c r="J35" s="0" t="s">
        <v>13</v>
      </c>
      <c r="L35" s="8"/>
      <c r="M35" s="9" t="n">
        <f aca="false">INDEX($C$2:$C$101, 1, 1)</f>
        <v>38</v>
      </c>
      <c r="N35" s="10" t="n">
        <f aca="false">$N$32 * $M$35 + $N$33</f>
        <v>153.905800363202</v>
      </c>
    </row>
    <row r="36" customFormat="false" ht="12.8" hidden="false" customHeight="false" outlineLevel="0" collapsed="false">
      <c r="A36" s="0" t="s">
        <v>67</v>
      </c>
      <c r="B36" s="0" t="s">
        <v>11</v>
      </c>
      <c r="C36" s="0" t="n">
        <v>44</v>
      </c>
      <c r="D36" s="0" t="s">
        <v>12</v>
      </c>
      <c r="E36" s="0" t="n">
        <v>71</v>
      </c>
      <c r="F36" s="0" t="n">
        <v>193</v>
      </c>
      <c r="G36" s="0" t="n">
        <v>0</v>
      </c>
      <c r="H36" s="0" t="n">
        <v>121</v>
      </c>
      <c r="I36" s="0" t="n">
        <v>92</v>
      </c>
      <c r="J36" s="0" t="s">
        <v>20</v>
      </c>
      <c r="L36" s="8"/>
      <c r="M36" s="9" t="n">
        <f aca="false">INDEX($C$2:$C$101, 2, 1)</f>
        <v>43</v>
      </c>
      <c r="N36" s="10" t="n">
        <f aca="false">$N$32 * $M$36 + $N$33</f>
        <v>155.587936734599</v>
      </c>
    </row>
    <row r="37" customFormat="false" ht="12.8" hidden="false" customHeight="false" outlineLevel="0" collapsed="false">
      <c r="A37" s="0" t="s">
        <v>68</v>
      </c>
      <c r="B37" s="0" t="s">
        <v>18</v>
      </c>
      <c r="C37" s="0" t="n">
        <v>48</v>
      </c>
      <c r="D37" s="0" t="s">
        <v>15</v>
      </c>
      <c r="E37" s="0" t="n">
        <v>66</v>
      </c>
      <c r="F37" s="0" t="n">
        <v>137</v>
      </c>
      <c r="G37" s="0" t="n">
        <v>0</v>
      </c>
      <c r="H37" s="0" t="n">
        <v>127</v>
      </c>
      <c r="I37" s="0" t="n">
        <v>83</v>
      </c>
      <c r="J37" s="0" t="s">
        <v>13</v>
      </c>
      <c r="L37" s="8"/>
      <c r="M37" s="9" t="n">
        <f aca="false">INDEX($C$2:$C$101, 3, 1)</f>
        <v>38</v>
      </c>
      <c r="N37" s="10" t="n">
        <f aca="false">$N$32 * $M$37 + $N$33</f>
        <v>153.905800363202</v>
      </c>
    </row>
    <row r="38" customFormat="false" ht="12.8" hidden="false" customHeight="false" outlineLevel="0" collapsed="false">
      <c r="A38" s="0" t="s">
        <v>69</v>
      </c>
      <c r="B38" s="0" t="s">
        <v>11</v>
      </c>
      <c r="C38" s="0" t="n">
        <v>44</v>
      </c>
      <c r="D38" s="0" t="s">
        <v>15</v>
      </c>
      <c r="E38" s="0" t="n">
        <v>71</v>
      </c>
      <c r="F38" s="0" t="n">
        <v>192</v>
      </c>
      <c r="G38" s="0" t="n">
        <v>1</v>
      </c>
      <c r="H38" s="0" t="n">
        <v>136</v>
      </c>
      <c r="I38" s="0" t="n">
        <v>90</v>
      </c>
      <c r="J38" s="0" t="s">
        <v>20</v>
      </c>
      <c r="L38" s="8"/>
      <c r="M38" s="9" t="n">
        <f aca="false">INDEX($C$2:$C$101, 4, 1)</f>
        <v>40</v>
      </c>
      <c r="N38" s="10" t="n">
        <f aca="false">$N$32 * $M$38 + $N$33</f>
        <v>154.578654911761</v>
      </c>
    </row>
    <row r="39" customFormat="false" ht="12.8" hidden="false" customHeight="false" outlineLevel="0" collapsed="false">
      <c r="A39" s="0" t="s">
        <v>70</v>
      </c>
      <c r="B39" s="0" t="s">
        <v>18</v>
      </c>
      <c r="C39" s="0" t="n">
        <v>35</v>
      </c>
      <c r="D39" s="0" t="s">
        <v>19</v>
      </c>
      <c r="E39" s="0" t="n">
        <v>66</v>
      </c>
      <c r="F39" s="0" t="n">
        <v>118</v>
      </c>
      <c r="G39" s="0" t="n">
        <v>0</v>
      </c>
      <c r="H39" s="0" t="n">
        <v>117</v>
      </c>
      <c r="I39" s="0" t="n">
        <v>85</v>
      </c>
      <c r="J39" s="0" t="s">
        <v>16</v>
      </c>
      <c r="L39" s="8"/>
      <c r="M39" s="9" t="n">
        <f aca="false">INDEX($C$2:$C$101, 5, 1)</f>
        <v>49</v>
      </c>
      <c r="N39" s="10" t="n">
        <f aca="false">$N$32 * $M$39 + $N$33</f>
        <v>157.606500380275</v>
      </c>
    </row>
    <row r="40" customFormat="false" ht="12.8" hidden="false" customHeight="false" outlineLevel="0" collapsed="false">
      <c r="A40" s="0" t="s">
        <v>71</v>
      </c>
      <c r="B40" s="0" t="s">
        <v>11</v>
      </c>
      <c r="C40" s="0" t="n">
        <v>33</v>
      </c>
      <c r="D40" s="0" t="s">
        <v>19</v>
      </c>
      <c r="E40" s="0" t="n">
        <v>66</v>
      </c>
      <c r="F40" s="0" t="n">
        <v>180</v>
      </c>
      <c r="G40" s="0" t="n">
        <v>1</v>
      </c>
      <c r="H40" s="0" t="n">
        <v>124</v>
      </c>
      <c r="I40" s="0" t="n">
        <v>90</v>
      </c>
      <c r="J40" s="0" t="s">
        <v>20</v>
      </c>
      <c r="L40" s="8"/>
      <c r="M40" s="9" t="n">
        <f aca="false">INDEX($C$2:$C$101, 6, 1)</f>
        <v>46</v>
      </c>
      <c r="N40" s="10" t="n">
        <f aca="false">$N$32 * $M$40 + $N$33</f>
        <v>156.597218557437</v>
      </c>
    </row>
    <row r="41" customFormat="false" ht="12.8" hidden="false" customHeight="false" outlineLevel="0" collapsed="false">
      <c r="A41" s="0" t="s">
        <v>72</v>
      </c>
      <c r="B41" s="0" t="s">
        <v>18</v>
      </c>
      <c r="C41" s="0" t="n">
        <v>38</v>
      </c>
      <c r="D41" s="0" t="s">
        <v>19</v>
      </c>
      <c r="E41" s="0" t="n">
        <v>63</v>
      </c>
      <c r="F41" s="0" t="n">
        <v>128</v>
      </c>
      <c r="G41" s="0" t="n">
        <v>0</v>
      </c>
      <c r="H41" s="0" t="n">
        <v>120</v>
      </c>
      <c r="I41" s="0" t="n">
        <v>74</v>
      </c>
      <c r="J41" s="0" t="s">
        <v>20</v>
      </c>
      <c r="L41" s="8"/>
      <c r="M41" s="9" t="n">
        <f aca="false">INDEX($C$2:$C$101, 7, 1)</f>
        <v>33</v>
      </c>
      <c r="N41" s="10" t="n">
        <f aca="false">$N$32 * $M$41 + $N$33</f>
        <v>152.223663991805</v>
      </c>
    </row>
    <row r="42" customFormat="false" ht="12.8" hidden="false" customHeight="false" outlineLevel="0" collapsed="false">
      <c r="A42" s="0" t="s">
        <v>73</v>
      </c>
      <c r="B42" s="0" t="s">
        <v>11</v>
      </c>
      <c r="C42" s="0" t="n">
        <v>39</v>
      </c>
      <c r="D42" s="0" t="s">
        <v>12</v>
      </c>
      <c r="E42" s="0" t="n">
        <v>71</v>
      </c>
      <c r="F42" s="0" t="n">
        <v>164</v>
      </c>
      <c r="G42" s="0" t="n">
        <v>1</v>
      </c>
      <c r="H42" s="0" t="n">
        <v>128</v>
      </c>
      <c r="I42" s="0" t="n">
        <v>92</v>
      </c>
      <c r="J42" s="0" t="s">
        <v>16</v>
      </c>
      <c r="L42" s="8"/>
      <c r="M42" s="9" t="n">
        <f aca="false">INDEX($C$2:$C$101, 8, 1)</f>
        <v>40</v>
      </c>
      <c r="N42" s="10" t="n">
        <f aca="false">$N$32 * $M$42 + $N$33</f>
        <v>154.578654911761</v>
      </c>
    </row>
    <row r="43" customFormat="false" ht="12.8" hidden="false" customHeight="false" outlineLevel="0" collapsed="false">
      <c r="A43" s="0" t="s">
        <v>74</v>
      </c>
      <c r="B43" s="0" t="s">
        <v>11</v>
      </c>
      <c r="C43" s="0" t="n">
        <v>44</v>
      </c>
      <c r="D43" s="0" t="s">
        <v>15</v>
      </c>
      <c r="E43" s="0" t="n">
        <v>69</v>
      </c>
      <c r="F43" s="0" t="n">
        <v>183</v>
      </c>
      <c r="G43" s="0" t="n">
        <v>0</v>
      </c>
      <c r="H43" s="0" t="n">
        <v>116</v>
      </c>
      <c r="I43" s="0" t="n">
        <v>80</v>
      </c>
      <c r="J43" s="0" t="s">
        <v>13</v>
      </c>
      <c r="L43" s="8"/>
      <c r="M43" s="9" t="n">
        <f aca="false">INDEX($C$2:$C$101, 9, 1)</f>
        <v>28</v>
      </c>
      <c r="N43" s="10" t="n">
        <f aca="false">$N$32 * $M$43 + $N$33</f>
        <v>150.541527620408</v>
      </c>
    </row>
    <row r="44" customFormat="false" ht="12.8" hidden="false" customHeight="false" outlineLevel="0" collapsed="false">
      <c r="A44" s="0" t="s">
        <v>75</v>
      </c>
      <c r="B44" s="0" t="s">
        <v>11</v>
      </c>
      <c r="C44" s="0" t="n">
        <v>44</v>
      </c>
      <c r="D44" s="0" t="s">
        <v>15</v>
      </c>
      <c r="E44" s="0" t="n">
        <v>70</v>
      </c>
      <c r="F44" s="0" t="n">
        <v>169</v>
      </c>
      <c r="G44" s="0" t="n">
        <v>1</v>
      </c>
      <c r="H44" s="0" t="n">
        <v>132</v>
      </c>
      <c r="I44" s="0" t="n">
        <v>89</v>
      </c>
      <c r="J44" s="0" t="s">
        <v>20</v>
      </c>
      <c r="L44" s="8"/>
      <c r="M44" s="9" t="n">
        <f aca="false">INDEX($C$2:$C$101, 10, 1)</f>
        <v>31</v>
      </c>
      <c r="N44" s="10" t="n">
        <f aca="false">$N$32 * $M$44 + $N$33</f>
        <v>151.550809443246</v>
      </c>
    </row>
    <row r="45" customFormat="false" ht="12.8" hidden="false" customHeight="false" outlineLevel="0" collapsed="false">
      <c r="A45" s="0" t="s">
        <v>76</v>
      </c>
      <c r="B45" s="0" t="s">
        <v>11</v>
      </c>
      <c r="C45" s="0" t="n">
        <v>37</v>
      </c>
      <c r="D45" s="0" t="s">
        <v>15</v>
      </c>
      <c r="E45" s="0" t="n">
        <v>70</v>
      </c>
      <c r="F45" s="0" t="n">
        <v>194</v>
      </c>
      <c r="G45" s="0" t="n">
        <v>1</v>
      </c>
      <c r="H45" s="0" t="n">
        <v>137</v>
      </c>
      <c r="I45" s="0" t="n">
        <v>96</v>
      </c>
      <c r="J45" s="0" t="s">
        <v>13</v>
      </c>
      <c r="L45" s="8"/>
      <c r="M45" s="9" t="n">
        <f aca="false">INDEX($C$2:$C$101, 11, 1)</f>
        <v>45</v>
      </c>
      <c r="N45" s="10" t="n">
        <f aca="false">$N$32 * $M$45 + $N$33</f>
        <v>156.260791283158</v>
      </c>
    </row>
    <row r="46" customFormat="false" ht="12.8" hidden="false" customHeight="false" outlineLevel="0" collapsed="false">
      <c r="A46" s="0" t="s">
        <v>77</v>
      </c>
      <c r="B46" s="0" t="s">
        <v>11</v>
      </c>
      <c r="C46" s="0" t="n">
        <v>45</v>
      </c>
      <c r="D46" s="0" t="s">
        <v>15</v>
      </c>
      <c r="E46" s="0" t="n">
        <v>67</v>
      </c>
      <c r="F46" s="0" t="n">
        <v>172</v>
      </c>
      <c r="G46" s="0" t="n">
        <v>0</v>
      </c>
      <c r="H46" s="0" t="n">
        <v>117</v>
      </c>
      <c r="I46" s="0" t="n">
        <v>89</v>
      </c>
      <c r="J46" s="0" t="s">
        <v>20</v>
      </c>
      <c r="L46" s="8"/>
      <c r="M46" s="9" t="n">
        <f aca="false">INDEX($C$2:$C$101, 12, 1)</f>
        <v>42</v>
      </c>
      <c r="N46" s="10" t="n">
        <f aca="false">$N$32 * $M$46 + $N$33</f>
        <v>155.251509460319</v>
      </c>
    </row>
    <row r="47" customFormat="false" ht="12.8" hidden="false" customHeight="false" outlineLevel="0" collapsed="false">
      <c r="A47" s="0" t="s">
        <v>78</v>
      </c>
      <c r="B47" s="0" t="s">
        <v>18</v>
      </c>
      <c r="C47" s="0" t="n">
        <v>37</v>
      </c>
      <c r="D47" s="0" t="s">
        <v>12</v>
      </c>
      <c r="E47" s="0" t="n">
        <v>65</v>
      </c>
      <c r="F47" s="0" t="n">
        <v>135</v>
      </c>
      <c r="G47" s="0" t="n">
        <v>0</v>
      </c>
      <c r="H47" s="0" t="n">
        <v>116</v>
      </c>
      <c r="I47" s="0" t="n">
        <v>77</v>
      </c>
      <c r="J47" s="0" t="s">
        <v>16</v>
      </c>
      <c r="L47" s="8"/>
      <c r="M47" s="9" t="n">
        <f aca="false">INDEX($C$2:$C$101, 13, 1)</f>
        <v>25</v>
      </c>
      <c r="N47" s="10" t="n">
        <f aca="false">$N$32 * $M$47 + $N$33</f>
        <v>149.532245797569</v>
      </c>
    </row>
    <row r="48" customFormat="false" ht="12.8" hidden="false" customHeight="false" outlineLevel="0" collapsed="false">
      <c r="A48" s="0" t="s">
        <v>79</v>
      </c>
      <c r="B48" s="0" t="s">
        <v>11</v>
      </c>
      <c r="C48" s="0" t="n">
        <v>30</v>
      </c>
      <c r="D48" s="0" t="s">
        <v>15</v>
      </c>
      <c r="E48" s="0" t="n">
        <v>68</v>
      </c>
      <c r="F48" s="0" t="n">
        <v>182</v>
      </c>
      <c r="G48" s="0" t="n">
        <v>0</v>
      </c>
      <c r="H48" s="0" t="n">
        <v>119</v>
      </c>
      <c r="I48" s="0" t="n">
        <v>81</v>
      </c>
      <c r="J48" s="0" t="s">
        <v>34</v>
      </c>
      <c r="L48" s="8"/>
      <c r="M48" s="9" t="n">
        <f aca="false">INDEX($C$2:$C$101, 14, 1)</f>
        <v>39</v>
      </c>
      <c r="N48" s="10" t="n">
        <f aca="false">$N$32 * $M$48 + $N$33</f>
        <v>154.242227637481</v>
      </c>
    </row>
    <row r="49" customFormat="false" ht="12.8" hidden="false" customHeight="false" outlineLevel="0" collapsed="false">
      <c r="A49" s="0" t="s">
        <v>80</v>
      </c>
      <c r="B49" s="0" t="s">
        <v>18</v>
      </c>
      <c r="C49" s="0" t="n">
        <v>39</v>
      </c>
      <c r="D49" s="0" t="s">
        <v>12</v>
      </c>
      <c r="E49" s="0" t="n">
        <v>62</v>
      </c>
      <c r="F49" s="0" t="n">
        <v>121</v>
      </c>
      <c r="G49" s="0" t="n">
        <v>0</v>
      </c>
      <c r="H49" s="0" t="n">
        <v>123</v>
      </c>
      <c r="I49" s="0" t="n">
        <v>76</v>
      </c>
      <c r="J49" s="0" t="s">
        <v>20</v>
      </c>
      <c r="L49" s="8"/>
      <c r="M49" s="9" t="n">
        <f aca="false">INDEX($C$2:$C$101, 15, 1)</f>
        <v>36</v>
      </c>
      <c r="N49" s="10" t="n">
        <f aca="false">$N$32 * $M$49 + $N$33</f>
        <v>153.232945814643</v>
      </c>
    </row>
    <row r="50" customFormat="false" ht="12.8" hidden="false" customHeight="false" outlineLevel="0" collapsed="false">
      <c r="A50" s="0" t="s">
        <v>81</v>
      </c>
      <c r="B50" s="0" t="s">
        <v>11</v>
      </c>
      <c r="C50" s="0" t="n">
        <v>42</v>
      </c>
      <c r="D50" s="0" t="s">
        <v>12</v>
      </c>
      <c r="E50" s="0" t="n">
        <v>70</v>
      </c>
      <c r="F50" s="0" t="n">
        <v>158</v>
      </c>
      <c r="G50" s="0" t="n">
        <v>0</v>
      </c>
      <c r="H50" s="0" t="n">
        <v>116</v>
      </c>
      <c r="I50" s="0" t="n">
        <v>83</v>
      </c>
      <c r="J50" s="0" t="s">
        <v>13</v>
      </c>
      <c r="L50" s="8"/>
      <c r="M50" s="9" t="n">
        <f aca="false">INDEX($C$2:$C$101, 16, 1)</f>
        <v>48</v>
      </c>
      <c r="N50" s="10" t="n">
        <f aca="false">$N$32 * $M$50 + $N$33</f>
        <v>157.270073105996</v>
      </c>
    </row>
    <row r="51" customFormat="false" ht="12.8" hidden="false" customHeight="false" outlineLevel="0" collapsed="false">
      <c r="A51" s="0" t="s">
        <v>82</v>
      </c>
      <c r="B51" s="0" t="s">
        <v>11</v>
      </c>
      <c r="C51" s="0" t="n">
        <v>42</v>
      </c>
      <c r="D51" s="0" t="s">
        <v>12</v>
      </c>
      <c r="E51" s="0" t="n">
        <v>67</v>
      </c>
      <c r="F51" s="0" t="n">
        <v>179</v>
      </c>
      <c r="G51" s="0" t="n">
        <v>1</v>
      </c>
      <c r="H51" s="0" t="n">
        <v>124</v>
      </c>
      <c r="I51" s="0" t="n">
        <v>78</v>
      </c>
      <c r="J51" s="0" t="s">
        <v>20</v>
      </c>
      <c r="L51" s="8"/>
      <c r="M51" s="9" t="n">
        <f aca="false">INDEX($C$2:$C$101, 17, 1)</f>
        <v>32</v>
      </c>
      <c r="N51" s="10" t="n">
        <f aca="false">$N$32 * $M$51 + $N$33</f>
        <v>151.887236717525</v>
      </c>
    </row>
    <row r="52" customFormat="false" ht="12.8" hidden="false" customHeight="false" outlineLevel="0" collapsed="false">
      <c r="A52" s="0" t="s">
        <v>83</v>
      </c>
      <c r="B52" s="0" t="s">
        <v>11</v>
      </c>
      <c r="C52" s="0" t="n">
        <v>49</v>
      </c>
      <c r="D52" s="0" t="s">
        <v>12</v>
      </c>
      <c r="E52" s="0" t="n">
        <v>68</v>
      </c>
      <c r="F52" s="0" t="n">
        <v>170</v>
      </c>
      <c r="G52" s="0" t="n">
        <v>1</v>
      </c>
      <c r="H52" s="0" t="n">
        <v>129</v>
      </c>
      <c r="I52" s="0" t="n">
        <v>95</v>
      </c>
      <c r="J52" s="0" t="s">
        <v>34</v>
      </c>
      <c r="L52" s="8"/>
      <c r="M52" s="9" t="n">
        <f aca="false">INDEX($C$2:$C$101, 18, 1)</f>
        <v>27</v>
      </c>
      <c r="N52" s="10" t="n">
        <f aca="false">$N$32 * $M$52 + $N$33</f>
        <v>150.205100346128</v>
      </c>
    </row>
    <row r="53" customFormat="false" ht="12.8" hidden="false" customHeight="false" outlineLevel="0" collapsed="false">
      <c r="A53" s="0" t="s">
        <v>84</v>
      </c>
      <c r="B53" s="0" t="s">
        <v>18</v>
      </c>
      <c r="C53" s="0" t="n">
        <v>44</v>
      </c>
      <c r="D53" s="0" t="s">
        <v>19</v>
      </c>
      <c r="E53" s="0" t="n">
        <v>62</v>
      </c>
      <c r="F53" s="0" t="n">
        <v>136</v>
      </c>
      <c r="G53" s="0" t="n">
        <v>1</v>
      </c>
      <c r="H53" s="0" t="n">
        <v>130</v>
      </c>
      <c r="I53" s="0" t="n">
        <v>91</v>
      </c>
      <c r="J53" s="0" t="s">
        <v>20</v>
      </c>
      <c r="L53" s="8"/>
      <c r="M53" s="9" t="n">
        <f aca="false">INDEX($C$2:$C$101, 19, 1)</f>
        <v>37</v>
      </c>
      <c r="N53" s="10" t="n">
        <f aca="false">$N$32 * $M$53 + $N$33</f>
        <v>153.569373088922</v>
      </c>
    </row>
    <row r="54" customFormat="false" ht="12.8" hidden="false" customHeight="false" outlineLevel="0" collapsed="false">
      <c r="A54" s="0" t="s">
        <v>85</v>
      </c>
      <c r="B54" s="0" t="s">
        <v>18</v>
      </c>
      <c r="C54" s="0" t="n">
        <v>43</v>
      </c>
      <c r="D54" s="0" t="s">
        <v>12</v>
      </c>
      <c r="E54" s="0" t="n">
        <v>64</v>
      </c>
      <c r="F54" s="0" t="n">
        <v>135</v>
      </c>
      <c r="G54" s="0" t="n">
        <v>1</v>
      </c>
      <c r="H54" s="0" t="n">
        <v>132</v>
      </c>
      <c r="I54" s="0" t="n">
        <v>91</v>
      </c>
      <c r="J54" s="0" t="s">
        <v>34</v>
      </c>
      <c r="L54" s="8"/>
      <c r="M54" s="9" t="n">
        <f aca="false">INDEX($C$2:$C$101, 20, 1)</f>
        <v>50</v>
      </c>
      <c r="N54" s="10" t="n">
        <f aca="false">$N$32 * $M$54 + $N$33</f>
        <v>157.942927654555</v>
      </c>
    </row>
    <row r="55" customFormat="false" ht="12.8" hidden="false" customHeight="false" outlineLevel="0" collapsed="false">
      <c r="A55" s="0" t="s">
        <v>86</v>
      </c>
      <c r="B55" s="0" t="s">
        <v>18</v>
      </c>
      <c r="C55" s="0" t="n">
        <v>47</v>
      </c>
      <c r="D55" s="0" t="s">
        <v>15</v>
      </c>
      <c r="E55" s="0" t="n">
        <v>66</v>
      </c>
      <c r="F55" s="0" t="n">
        <v>147</v>
      </c>
      <c r="G55" s="0" t="n">
        <v>0</v>
      </c>
      <c r="H55" s="0" t="n">
        <v>117</v>
      </c>
      <c r="I55" s="0" t="n">
        <v>86</v>
      </c>
      <c r="J55" s="0" t="s">
        <v>13</v>
      </c>
      <c r="L55" s="8"/>
      <c r="M55" s="9" t="n">
        <f aca="false">INDEX($C$2:$C$101, 21, 1)</f>
        <v>48</v>
      </c>
      <c r="N55" s="10" t="n">
        <f aca="false">$N$32 * $M$55 + $N$33</f>
        <v>157.270073105996</v>
      </c>
    </row>
    <row r="56" customFormat="false" ht="12.8" hidden="false" customHeight="false" outlineLevel="0" collapsed="false">
      <c r="A56" s="0" t="s">
        <v>87</v>
      </c>
      <c r="B56" s="0" t="s">
        <v>11</v>
      </c>
      <c r="C56" s="0" t="n">
        <v>50</v>
      </c>
      <c r="D56" s="0" t="s">
        <v>15</v>
      </c>
      <c r="E56" s="0" t="n">
        <v>72</v>
      </c>
      <c r="F56" s="0" t="n">
        <v>186</v>
      </c>
      <c r="G56" s="0" t="n">
        <v>1</v>
      </c>
      <c r="H56" s="0" t="n">
        <v>129</v>
      </c>
      <c r="I56" s="0" t="n">
        <v>89</v>
      </c>
      <c r="J56" s="0" t="s">
        <v>13</v>
      </c>
      <c r="L56" s="8"/>
      <c r="M56" s="9" t="n">
        <f aca="false">INDEX($C$2:$C$101, 22, 1)</f>
        <v>39</v>
      </c>
      <c r="N56" s="10" t="n">
        <f aca="false">$N$32 * $M$56 + $N$33</f>
        <v>154.242227637481</v>
      </c>
    </row>
    <row r="57" customFormat="false" ht="12.8" hidden="false" customHeight="false" outlineLevel="0" collapsed="false">
      <c r="A57" s="0" t="s">
        <v>88</v>
      </c>
      <c r="B57" s="0" t="s">
        <v>18</v>
      </c>
      <c r="C57" s="0" t="n">
        <v>38</v>
      </c>
      <c r="D57" s="0" t="s">
        <v>15</v>
      </c>
      <c r="E57" s="0" t="n">
        <v>63</v>
      </c>
      <c r="F57" s="0" t="n">
        <v>124</v>
      </c>
      <c r="G57" s="0" t="n">
        <v>0</v>
      </c>
      <c r="H57" s="0" t="n">
        <v>118</v>
      </c>
      <c r="I57" s="0" t="n">
        <v>79</v>
      </c>
      <c r="J57" s="0" t="s">
        <v>13</v>
      </c>
      <c r="L57" s="8"/>
      <c r="M57" s="9" t="n">
        <f aca="false">INDEX($C$2:$C$101, 23, 1)</f>
        <v>41</v>
      </c>
      <c r="N57" s="10" t="n">
        <f aca="false">$N$32 * $M$57 + $N$33</f>
        <v>154.91508218604</v>
      </c>
    </row>
    <row r="58" customFormat="false" ht="12.8" hidden="false" customHeight="false" outlineLevel="0" collapsed="false">
      <c r="A58" s="0" t="s">
        <v>89</v>
      </c>
      <c r="B58" s="0" t="s">
        <v>18</v>
      </c>
      <c r="C58" s="0" t="n">
        <v>41</v>
      </c>
      <c r="D58" s="0" t="s">
        <v>19</v>
      </c>
      <c r="E58" s="0" t="n">
        <v>66</v>
      </c>
      <c r="F58" s="0" t="n">
        <v>134</v>
      </c>
      <c r="G58" s="0" t="n">
        <v>0</v>
      </c>
      <c r="H58" s="0" t="n">
        <v>120</v>
      </c>
      <c r="I58" s="0" t="n">
        <v>74</v>
      </c>
      <c r="J58" s="0" t="s">
        <v>20</v>
      </c>
      <c r="L58" s="8"/>
      <c r="M58" s="9" t="n">
        <f aca="false">INDEX($C$2:$C$101, 24, 1)</f>
        <v>44</v>
      </c>
      <c r="N58" s="10" t="n">
        <f aca="false">$N$32 * $M$58 + $N$33</f>
        <v>155.924364008878</v>
      </c>
    </row>
    <row r="59" customFormat="false" ht="12.8" hidden="false" customHeight="false" outlineLevel="0" collapsed="false">
      <c r="A59" s="0" t="s">
        <v>90</v>
      </c>
      <c r="B59" s="0" t="s">
        <v>11</v>
      </c>
      <c r="C59" s="0" t="n">
        <v>45</v>
      </c>
      <c r="D59" s="0" t="s">
        <v>19</v>
      </c>
      <c r="E59" s="0" t="n">
        <v>70</v>
      </c>
      <c r="F59" s="0" t="n">
        <v>170</v>
      </c>
      <c r="G59" s="0" t="n">
        <v>1</v>
      </c>
      <c r="H59" s="0" t="n">
        <v>138</v>
      </c>
      <c r="I59" s="0" t="n">
        <v>82</v>
      </c>
      <c r="J59" s="0" t="s">
        <v>20</v>
      </c>
      <c r="L59" s="8"/>
      <c r="M59" s="9" t="n">
        <f aca="false">INDEX($C$2:$C$101, 25, 1)</f>
        <v>28</v>
      </c>
      <c r="N59" s="10" t="n">
        <f aca="false">$N$32 * $M$59 + $N$33</f>
        <v>150.541527620408</v>
      </c>
    </row>
    <row r="60" customFormat="false" ht="12.8" hidden="false" customHeight="false" outlineLevel="0" collapsed="false">
      <c r="A60" s="0" t="s">
        <v>91</v>
      </c>
      <c r="B60" s="0" t="s">
        <v>11</v>
      </c>
      <c r="C60" s="0" t="n">
        <v>36</v>
      </c>
      <c r="D60" s="0" t="s">
        <v>15</v>
      </c>
      <c r="E60" s="0" t="n">
        <v>71</v>
      </c>
      <c r="F60" s="0" t="n">
        <v>180</v>
      </c>
      <c r="G60" s="0" t="n">
        <v>0</v>
      </c>
      <c r="H60" s="0" t="n">
        <v>117</v>
      </c>
      <c r="I60" s="0" t="n">
        <v>76</v>
      </c>
      <c r="J60" s="0" t="s">
        <v>20</v>
      </c>
      <c r="L60" s="8"/>
      <c r="M60" s="9" t="n">
        <f aca="false">INDEX($C$2:$C$101, 26, 1)</f>
        <v>25</v>
      </c>
      <c r="N60" s="10" t="n">
        <f aca="false">$N$32 * $M$60 + $N$33</f>
        <v>149.532245797569</v>
      </c>
    </row>
    <row r="61" customFormat="false" ht="12.8" hidden="false" customHeight="false" outlineLevel="0" collapsed="false">
      <c r="A61" s="0" t="s">
        <v>92</v>
      </c>
      <c r="B61" s="0" t="s">
        <v>18</v>
      </c>
      <c r="C61" s="0" t="n">
        <v>38</v>
      </c>
      <c r="D61" s="0" t="s">
        <v>19</v>
      </c>
      <c r="E61" s="0" t="n">
        <v>68</v>
      </c>
      <c r="F61" s="0" t="n">
        <v>130</v>
      </c>
      <c r="G61" s="0" t="n">
        <v>0</v>
      </c>
      <c r="H61" s="0" t="n">
        <v>113</v>
      </c>
      <c r="I61" s="0" t="n">
        <v>81</v>
      </c>
      <c r="J61" s="0" t="s">
        <v>20</v>
      </c>
      <c r="L61" s="8"/>
      <c r="M61" s="9" t="n">
        <f aca="false">INDEX($C$2:$C$101, 27, 1)</f>
        <v>39</v>
      </c>
      <c r="N61" s="10" t="n">
        <f aca="false">$N$32 * $M$61 + $N$33</f>
        <v>154.242227637481</v>
      </c>
    </row>
    <row r="62" customFormat="false" ht="12.8" hidden="false" customHeight="false" outlineLevel="0" collapsed="false">
      <c r="A62" s="0" t="s">
        <v>93</v>
      </c>
      <c r="B62" s="0" t="s">
        <v>18</v>
      </c>
      <c r="C62" s="0" t="n">
        <v>29</v>
      </c>
      <c r="D62" s="0" t="s">
        <v>12</v>
      </c>
      <c r="E62" s="0" t="n">
        <v>63</v>
      </c>
      <c r="F62" s="0" t="n">
        <v>130</v>
      </c>
      <c r="G62" s="0" t="n">
        <v>0</v>
      </c>
      <c r="H62" s="0" t="n">
        <v>122</v>
      </c>
      <c r="I62" s="0" t="n">
        <v>77</v>
      </c>
      <c r="J62" s="0" t="s">
        <v>13</v>
      </c>
      <c r="L62" s="8"/>
      <c r="M62" s="9" t="n">
        <f aca="false">INDEX($C$2:$C$101, 28, 1)</f>
        <v>25</v>
      </c>
      <c r="N62" s="10" t="n">
        <f aca="false">$N$32 * $M$62 + $N$33</f>
        <v>149.532245797569</v>
      </c>
    </row>
    <row r="63" customFormat="false" ht="12.8" hidden="false" customHeight="false" outlineLevel="0" collapsed="false">
      <c r="A63" s="0" t="s">
        <v>94</v>
      </c>
      <c r="B63" s="0" t="s">
        <v>18</v>
      </c>
      <c r="C63" s="0" t="n">
        <v>28</v>
      </c>
      <c r="D63" s="0" t="s">
        <v>15</v>
      </c>
      <c r="E63" s="0" t="n">
        <v>65</v>
      </c>
      <c r="F63" s="0" t="n">
        <v>127</v>
      </c>
      <c r="G63" s="0" t="n">
        <v>0</v>
      </c>
      <c r="H63" s="0" t="n">
        <v>115</v>
      </c>
      <c r="I63" s="0" t="n">
        <v>73</v>
      </c>
      <c r="J63" s="0" t="s">
        <v>20</v>
      </c>
      <c r="L63" s="8"/>
      <c r="M63" s="9" t="n">
        <f aca="false">INDEX($C$2:$C$101, 29, 1)</f>
        <v>36</v>
      </c>
      <c r="N63" s="10" t="n">
        <f aca="false">$N$32 * $M$63 + $N$33</f>
        <v>153.232945814643</v>
      </c>
    </row>
    <row r="64" customFormat="false" ht="12.8" hidden="false" customHeight="false" outlineLevel="0" collapsed="false">
      <c r="A64" s="0" t="s">
        <v>95</v>
      </c>
      <c r="B64" s="0" t="s">
        <v>18</v>
      </c>
      <c r="C64" s="0" t="n">
        <v>30</v>
      </c>
      <c r="D64" s="0" t="s">
        <v>12</v>
      </c>
      <c r="E64" s="0" t="n">
        <v>67</v>
      </c>
      <c r="F64" s="0" t="n">
        <v>141</v>
      </c>
      <c r="G64" s="0" t="n">
        <v>0</v>
      </c>
      <c r="H64" s="0" t="n">
        <v>120</v>
      </c>
      <c r="I64" s="0" t="n">
        <v>85</v>
      </c>
      <c r="J64" s="0" t="s">
        <v>13</v>
      </c>
      <c r="L64" s="8"/>
      <c r="M64" s="9" t="n">
        <f aca="false">INDEX($C$2:$C$101, 30, 1)</f>
        <v>30</v>
      </c>
      <c r="N64" s="10" t="n">
        <f aca="false">$N$32 * $M$64 + $N$33</f>
        <v>151.214382168966</v>
      </c>
    </row>
    <row r="65" customFormat="false" ht="12.8" hidden="false" customHeight="false" outlineLevel="0" collapsed="false">
      <c r="A65" s="0" t="s">
        <v>96</v>
      </c>
      <c r="B65" s="0" t="s">
        <v>18</v>
      </c>
      <c r="C65" s="0" t="n">
        <v>28</v>
      </c>
      <c r="D65" s="0" t="s">
        <v>12</v>
      </c>
      <c r="E65" s="0" t="n">
        <v>66</v>
      </c>
      <c r="F65" s="0" t="n">
        <v>111</v>
      </c>
      <c r="G65" s="0" t="n">
        <v>0</v>
      </c>
      <c r="H65" s="0" t="n">
        <v>117</v>
      </c>
      <c r="I65" s="0" t="n">
        <v>76</v>
      </c>
      <c r="J65" s="0" t="s">
        <v>20</v>
      </c>
      <c r="L65" s="8"/>
      <c r="M65" s="9" t="n">
        <f aca="false">INDEX($C$2:$C$101, 31, 1)</f>
        <v>45</v>
      </c>
      <c r="N65" s="10" t="n">
        <f aca="false">$N$32 * $M$65 + $N$33</f>
        <v>156.260791283158</v>
      </c>
    </row>
    <row r="66" customFormat="false" ht="12.8" hidden="false" customHeight="false" outlineLevel="0" collapsed="false">
      <c r="A66" s="0" t="s">
        <v>97</v>
      </c>
      <c r="B66" s="0" t="s">
        <v>18</v>
      </c>
      <c r="C66" s="0" t="n">
        <v>29</v>
      </c>
      <c r="D66" s="0" t="s">
        <v>15</v>
      </c>
      <c r="E66" s="0" t="n">
        <v>68</v>
      </c>
      <c r="F66" s="0" t="n">
        <v>134</v>
      </c>
      <c r="G66" s="0" t="n">
        <v>0</v>
      </c>
      <c r="H66" s="0" t="n">
        <v>123</v>
      </c>
      <c r="I66" s="0" t="n">
        <v>80</v>
      </c>
      <c r="J66" s="0" t="s">
        <v>13</v>
      </c>
      <c r="L66" s="8"/>
      <c r="M66" s="9" t="n">
        <f aca="false">INDEX($C$2:$C$101, 32, 1)</f>
        <v>40</v>
      </c>
      <c r="N66" s="10" t="n">
        <f aca="false">$N$32 * $M$66 + $N$33</f>
        <v>154.578654911761</v>
      </c>
    </row>
    <row r="67" customFormat="false" ht="12.8" hidden="false" customHeight="false" outlineLevel="0" collapsed="false">
      <c r="A67" s="0" t="s">
        <v>98</v>
      </c>
      <c r="B67" s="0" t="s">
        <v>11</v>
      </c>
      <c r="C67" s="0" t="n">
        <v>36</v>
      </c>
      <c r="D67" s="0" t="s">
        <v>19</v>
      </c>
      <c r="E67" s="0" t="n">
        <v>71</v>
      </c>
      <c r="F67" s="0" t="n">
        <v>189</v>
      </c>
      <c r="G67" s="0" t="n">
        <v>0</v>
      </c>
      <c r="H67" s="0" t="n">
        <v>123</v>
      </c>
      <c r="I67" s="0" t="n">
        <v>80</v>
      </c>
      <c r="J67" s="0" t="s">
        <v>20</v>
      </c>
      <c r="L67" s="8"/>
      <c r="M67" s="9" t="n">
        <f aca="false">INDEX($C$2:$C$101, 33, 1)</f>
        <v>25</v>
      </c>
      <c r="N67" s="10" t="n">
        <f aca="false">$N$32 * $M$67 + $N$33</f>
        <v>149.532245797569</v>
      </c>
    </row>
    <row r="68" customFormat="false" ht="12.8" hidden="false" customHeight="false" outlineLevel="0" collapsed="false">
      <c r="A68" s="0" t="s">
        <v>99</v>
      </c>
      <c r="B68" s="0" t="s">
        <v>18</v>
      </c>
      <c r="C68" s="0" t="n">
        <v>45</v>
      </c>
      <c r="D68" s="0" t="s">
        <v>12</v>
      </c>
      <c r="E68" s="0" t="n">
        <v>70</v>
      </c>
      <c r="F68" s="0" t="n">
        <v>137</v>
      </c>
      <c r="G68" s="0" t="n">
        <v>0</v>
      </c>
      <c r="H68" s="0" t="n">
        <v>119</v>
      </c>
      <c r="I68" s="0" t="n">
        <v>79</v>
      </c>
      <c r="J68" s="0" t="s">
        <v>13</v>
      </c>
      <c r="L68" s="8"/>
      <c r="M68" s="9" t="n">
        <f aca="false">INDEX($C$2:$C$101, 34, 1)</f>
        <v>47</v>
      </c>
      <c r="N68" s="10" t="n">
        <f aca="false">$N$32 * $M$68 + $N$33</f>
        <v>156.933645831717</v>
      </c>
    </row>
    <row r="69" customFormat="false" ht="12.8" hidden="false" customHeight="false" outlineLevel="0" collapsed="false">
      <c r="A69" s="0" t="s">
        <v>100</v>
      </c>
      <c r="B69" s="0" t="s">
        <v>18</v>
      </c>
      <c r="C69" s="0" t="n">
        <v>32</v>
      </c>
      <c r="D69" s="0" t="s">
        <v>12</v>
      </c>
      <c r="E69" s="0" t="n">
        <v>60</v>
      </c>
      <c r="F69" s="0" t="n">
        <v>136</v>
      </c>
      <c r="G69" s="0" t="n">
        <v>0</v>
      </c>
      <c r="H69" s="0" t="n">
        <v>110</v>
      </c>
      <c r="I69" s="0" t="n">
        <v>82</v>
      </c>
      <c r="J69" s="0" t="s">
        <v>13</v>
      </c>
      <c r="L69" s="8"/>
      <c r="M69" s="9" t="n">
        <f aca="false">INDEX($C$2:$C$101, 35, 1)</f>
        <v>44</v>
      </c>
      <c r="N69" s="10" t="n">
        <f aca="false">$N$32 * $M$69 + $N$33</f>
        <v>155.924364008878</v>
      </c>
    </row>
    <row r="70" customFormat="false" ht="12.8" hidden="false" customHeight="false" outlineLevel="0" collapsed="false">
      <c r="A70" s="0" t="s">
        <v>101</v>
      </c>
      <c r="B70" s="0" t="s">
        <v>18</v>
      </c>
      <c r="C70" s="0" t="n">
        <v>31</v>
      </c>
      <c r="D70" s="0" t="s">
        <v>15</v>
      </c>
      <c r="E70" s="0" t="n">
        <v>64</v>
      </c>
      <c r="F70" s="0" t="n">
        <v>130</v>
      </c>
      <c r="G70" s="0" t="n">
        <v>0</v>
      </c>
      <c r="H70" s="0" t="n">
        <v>121</v>
      </c>
      <c r="I70" s="0" t="n">
        <v>79</v>
      </c>
      <c r="J70" s="0" t="s">
        <v>13</v>
      </c>
      <c r="L70" s="8"/>
      <c r="M70" s="9" t="n">
        <f aca="false">INDEX($C$2:$C$101, 36, 1)</f>
        <v>48</v>
      </c>
      <c r="N70" s="10" t="n">
        <f aca="false">$N$32 * $M$70 + $N$33</f>
        <v>157.270073105996</v>
      </c>
    </row>
    <row r="71" customFormat="false" ht="12.8" hidden="false" customHeight="false" outlineLevel="0" collapsed="false">
      <c r="A71" s="0" t="s">
        <v>102</v>
      </c>
      <c r="B71" s="0" t="s">
        <v>18</v>
      </c>
      <c r="C71" s="0" t="n">
        <v>48</v>
      </c>
      <c r="D71" s="0" t="s">
        <v>12</v>
      </c>
      <c r="E71" s="0" t="n">
        <v>64</v>
      </c>
      <c r="F71" s="0" t="n">
        <v>137</v>
      </c>
      <c r="G71" s="0" t="n">
        <v>1</v>
      </c>
      <c r="H71" s="0" t="n">
        <v>138</v>
      </c>
      <c r="I71" s="0" t="n">
        <v>82</v>
      </c>
      <c r="J71" s="0" t="s">
        <v>13</v>
      </c>
      <c r="L71" s="8"/>
      <c r="M71" s="9" t="n">
        <f aca="false">INDEX($C$2:$C$101, 37, 1)</f>
        <v>44</v>
      </c>
      <c r="N71" s="10" t="n">
        <f aca="false">$N$32 * $M$71 + $N$33</f>
        <v>155.924364008878</v>
      </c>
    </row>
    <row r="72" customFormat="false" ht="12.8" hidden="false" customHeight="false" outlineLevel="0" collapsed="false">
      <c r="A72" s="0" t="s">
        <v>103</v>
      </c>
      <c r="B72" s="0" t="s">
        <v>11</v>
      </c>
      <c r="C72" s="0" t="n">
        <v>25</v>
      </c>
      <c r="D72" s="0" t="s">
        <v>12</v>
      </c>
      <c r="E72" s="0" t="n">
        <v>66</v>
      </c>
      <c r="F72" s="0" t="n">
        <v>186</v>
      </c>
      <c r="G72" s="0" t="n">
        <v>0</v>
      </c>
      <c r="H72" s="0" t="n">
        <v>125</v>
      </c>
      <c r="I72" s="0" t="n">
        <v>75</v>
      </c>
      <c r="J72" s="0" t="s">
        <v>20</v>
      </c>
      <c r="L72" s="8"/>
      <c r="M72" s="9" t="n">
        <f aca="false">INDEX($C$2:$C$101, 38, 1)</f>
        <v>35</v>
      </c>
      <c r="N72" s="10" t="n">
        <f aca="false">$N$32 * $M$72 + $N$33</f>
        <v>152.896518540364</v>
      </c>
    </row>
    <row r="73" customFormat="false" ht="12.8" hidden="false" customHeight="false" outlineLevel="0" collapsed="false">
      <c r="A73" s="0" t="s">
        <v>104</v>
      </c>
      <c r="B73" s="0" t="s">
        <v>18</v>
      </c>
      <c r="C73" s="0" t="n">
        <v>40</v>
      </c>
      <c r="D73" s="0" t="s">
        <v>15</v>
      </c>
      <c r="E73" s="0" t="n">
        <v>64</v>
      </c>
      <c r="F73" s="0" t="n">
        <v>127</v>
      </c>
      <c r="G73" s="0" t="n">
        <v>1</v>
      </c>
      <c r="H73" s="0" t="n">
        <v>122</v>
      </c>
      <c r="I73" s="0" t="n">
        <v>91</v>
      </c>
      <c r="J73" s="0" t="s">
        <v>16</v>
      </c>
      <c r="L73" s="8"/>
      <c r="M73" s="9" t="n">
        <f aca="false">INDEX($C$2:$C$101, 39, 1)</f>
        <v>33</v>
      </c>
      <c r="N73" s="10" t="n">
        <f aca="false">$N$32 * $M$73 + $N$33</f>
        <v>152.223663991805</v>
      </c>
    </row>
    <row r="74" customFormat="false" ht="12.8" hidden="false" customHeight="false" outlineLevel="0" collapsed="false">
      <c r="A74" s="0" t="s">
        <v>105</v>
      </c>
      <c r="B74" s="0" t="s">
        <v>11</v>
      </c>
      <c r="C74" s="0" t="n">
        <v>39</v>
      </c>
      <c r="D74" s="0" t="s">
        <v>19</v>
      </c>
      <c r="E74" s="0" t="n">
        <v>72</v>
      </c>
      <c r="F74" s="0" t="n">
        <v>176</v>
      </c>
      <c r="G74" s="0" t="n">
        <v>0</v>
      </c>
      <c r="H74" s="0" t="n">
        <v>120</v>
      </c>
      <c r="I74" s="0" t="n">
        <v>74</v>
      </c>
      <c r="J74" s="0" t="s">
        <v>13</v>
      </c>
      <c r="L74" s="8"/>
      <c r="M74" s="9" t="n">
        <f aca="false">INDEX($C$2:$C$101, 40, 1)</f>
        <v>38</v>
      </c>
      <c r="N74" s="10" t="n">
        <f aca="false">$N$32 * $M$74 + $N$33</f>
        <v>153.905800363202</v>
      </c>
    </row>
    <row r="75" customFormat="false" ht="12.8" hidden="false" customHeight="false" outlineLevel="0" collapsed="false">
      <c r="A75" s="0" t="s">
        <v>106</v>
      </c>
      <c r="B75" s="0" t="s">
        <v>18</v>
      </c>
      <c r="C75" s="0" t="n">
        <v>41</v>
      </c>
      <c r="D75" s="0" t="s">
        <v>19</v>
      </c>
      <c r="E75" s="0" t="n">
        <v>65</v>
      </c>
      <c r="F75" s="0" t="n">
        <v>127</v>
      </c>
      <c r="G75" s="0" t="n">
        <v>0</v>
      </c>
      <c r="H75" s="0" t="n">
        <v>117</v>
      </c>
      <c r="I75" s="0" t="n">
        <v>78</v>
      </c>
      <c r="J75" s="0" t="s">
        <v>34</v>
      </c>
      <c r="L75" s="8"/>
      <c r="M75" s="9" t="n">
        <f aca="false">INDEX($C$2:$C$101, 41, 1)</f>
        <v>39</v>
      </c>
      <c r="N75" s="10" t="n">
        <f aca="false">$N$32 * $M$75 + $N$33</f>
        <v>154.242227637481</v>
      </c>
    </row>
    <row r="76" customFormat="false" ht="12.8" hidden="false" customHeight="false" outlineLevel="0" collapsed="false">
      <c r="A76" s="0" t="s">
        <v>107</v>
      </c>
      <c r="B76" s="0" t="s">
        <v>18</v>
      </c>
      <c r="C76" s="0" t="n">
        <v>33</v>
      </c>
      <c r="D76" s="0" t="s">
        <v>19</v>
      </c>
      <c r="E76" s="0" t="n">
        <v>67</v>
      </c>
      <c r="F76" s="0" t="n">
        <v>115</v>
      </c>
      <c r="G76" s="0" t="n">
        <v>1</v>
      </c>
      <c r="H76" s="0" t="n">
        <v>125</v>
      </c>
      <c r="I76" s="0" t="n">
        <v>85</v>
      </c>
      <c r="J76" s="0" t="s">
        <v>13</v>
      </c>
      <c r="L76" s="8"/>
      <c r="M76" s="9" t="n">
        <f aca="false">INDEX($C$2:$C$101, 42, 1)</f>
        <v>44</v>
      </c>
      <c r="N76" s="10" t="n">
        <f aca="false">$N$32 * $M$76 + $N$33</f>
        <v>155.924364008878</v>
      </c>
    </row>
    <row r="77" customFormat="false" ht="12.8" hidden="false" customHeight="false" outlineLevel="0" collapsed="false">
      <c r="A77" s="0" t="s">
        <v>108</v>
      </c>
      <c r="B77" s="0" t="s">
        <v>11</v>
      </c>
      <c r="C77" s="0" t="n">
        <v>31</v>
      </c>
      <c r="D77" s="0" t="s">
        <v>15</v>
      </c>
      <c r="E77" s="0" t="n">
        <v>72</v>
      </c>
      <c r="F77" s="0" t="n">
        <v>178</v>
      </c>
      <c r="G77" s="0" t="n">
        <v>1</v>
      </c>
      <c r="H77" s="0" t="n">
        <v>124</v>
      </c>
      <c r="I77" s="0" t="n">
        <v>84</v>
      </c>
      <c r="J77" s="0" t="s">
        <v>16</v>
      </c>
      <c r="L77" s="8"/>
      <c r="M77" s="9" t="n">
        <f aca="false">INDEX($C$2:$C$101, 43, 1)</f>
        <v>44</v>
      </c>
      <c r="N77" s="10" t="n">
        <f aca="false">$N$32 * $M$77 + $N$33</f>
        <v>155.924364008878</v>
      </c>
    </row>
    <row r="78" customFormat="false" ht="12.8" hidden="false" customHeight="false" outlineLevel="0" collapsed="false">
      <c r="A78" s="0" t="s">
        <v>109</v>
      </c>
      <c r="B78" s="0" t="s">
        <v>18</v>
      </c>
      <c r="C78" s="0" t="n">
        <v>35</v>
      </c>
      <c r="D78" s="0" t="s">
        <v>12</v>
      </c>
      <c r="E78" s="0" t="n">
        <v>64</v>
      </c>
      <c r="F78" s="0" t="n">
        <v>131</v>
      </c>
      <c r="G78" s="0" t="n">
        <v>0</v>
      </c>
      <c r="H78" s="0" t="n">
        <v>121</v>
      </c>
      <c r="I78" s="0" t="n">
        <v>75</v>
      </c>
      <c r="J78" s="0" t="s">
        <v>16</v>
      </c>
      <c r="L78" s="8"/>
      <c r="M78" s="9" t="n">
        <f aca="false">INDEX($C$2:$C$101, 44, 1)</f>
        <v>37</v>
      </c>
      <c r="N78" s="10" t="n">
        <f aca="false">$N$32 * $M$78 + $N$33</f>
        <v>153.569373088922</v>
      </c>
    </row>
    <row r="79" customFormat="false" ht="12.8" hidden="false" customHeight="false" outlineLevel="0" collapsed="false">
      <c r="A79" s="0" t="s">
        <v>110</v>
      </c>
      <c r="B79" s="0" t="s">
        <v>11</v>
      </c>
      <c r="C79" s="0" t="n">
        <v>32</v>
      </c>
      <c r="D79" s="0" t="s">
        <v>19</v>
      </c>
      <c r="E79" s="0" t="n">
        <v>68</v>
      </c>
      <c r="F79" s="0" t="n">
        <v>183</v>
      </c>
      <c r="G79" s="0" t="n">
        <v>0</v>
      </c>
      <c r="H79" s="0" t="n">
        <v>118</v>
      </c>
      <c r="I79" s="0" t="n">
        <v>78</v>
      </c>
      <c r="J79" s="0" t="s">
        <v>34</v>
      </c>
      <c r="L79" s="8"/>
      <c r="M79" s="9" t="n">
        <f aca="false">INDEX($C$2:$C$101, 45, 1)</f>
        <v>45</v>
      </c>
      <c r="N79" s="10" t="n">
        <f aca="false">$N$32 * $M$79 + $N$33</f>
        <v>156.260791283158</v>
      </c>
    </row>
    <row r="80" customFormat="false" ht="12.8" hidden="false" customHeight="false" outlineLevel="0" collapsed="false">
      <c r="A80" s="0" t="s">
        <v>111</v>
      </c>
      <c r="B80" s="0" t="s">
        <v>11</v>
      </c>
      <c r="C80" s="0" t="n">
        <v>42</v>
      </c>
      <c r="D80" s="0" t="s">
        <v>12</v>
      </c>
      <c r="E80" s="0" t="n">
        <v>66</v>
      </c>
      <c r="F80" s="0" t="n">
        <v>194</v>
      </c>
      <c r="G80" s="0" t="n">
        <v>0</v>
      </c>
      <c r="H80" s="0" t="n">
        <v>120</v>
      </c>
      <c r="I80" s="0" t="n">
        <v>81</v>
      </c>
      <c r="J80" s="0" t="s">
        <v>13</v>
      </c>
      <c r="L80" s="8"/>
      <c r="M80" s="9" t="n">
        <f aca="false">INDEX($C$2:$C$101, 46, 1)</f>
        <v>37</v>
      </c>
      <c r="N80" s="10" t="n">
        <f aca="false">$N$32 * $M$80 + $N$33</f>
        <v>153.569373088922</v>
      </c>
    </row>
    <row r="81" customFormat="false" ht="12.8" hidden="false" customHeight="false" outlineLevel="0" collapsed="false">
      <c r="A81" s="0" t="s">
        <v>112</v>
      </c>
      <c r="B81" s="0" t="s">
        <v>18</v>
      </c>
      <c r="C81" s="0" t="n">
        <v>48</v>
      </c>
      <c r="D81" s="0" t="s">
        <v>15</v>
      </c>
      <c r="E81" s="0" t="n">
        <v>64</v>
      </c>
      <c r="F81" s="0" t="n">
        <v>126</v>
      </c>
      <c r="G81" s="0" t="n">
        <v>0</v>
      </c>
      <c r="H81" s="0" t="n">
        <v>118</v>
      </c>
      <c r="I81" s="0" t="n">
        <v>79</v>
      </c>
      <c r="J81" s="0" t="s">
        <v>20</v>
      </c>
      <c r="L81" s="8"/>
      <c r="M81" s="9" t="n">
        <f aca="false">INDEX($C$2:$C$101, 47, 1)</f>
        <v>30</v>
      </c>
      <c r="N81" s="10" t="n">
        <f aca="false">$N$32 * $M$81 + $N$33</f>
        <v>151.214382168966</v>
      </c>
    </row>
    <row r="82" customFormat="false" ht="12.8" hidden="false" customHeight="false" outlineLevel="0" collapsed="false">
      <c r="A82" s="0" t="s">
        <v>113</v>
      </c>
      <c r="B82" s="0" t="s">
        <v>11</v>
      </c>
      <c r="C82" s="0" t="n">
        <v>34</v>
      </c>
      <c r="D82" s="0" t="s">
        <v>19</v>
      </c>
      <c r="E82" s="0" t="n">
        <v>68</v>
      </c>
      <c r="F82" s="0" t="n">
        <v>186</v>
      </c>
      <c r="G82" s="0" t="n">
        <v>0</v>
      </c>
      <c r="H82" s="0" t="n">
        <v>118</v>
      </c>
      <c r="I82" s="0" t="n">
        <v>85</v>
      </c>
      <c r="J82" s="0" t="s">
        <v>20</v>
      </c>
      <c r="L82" s="8"/>
      <c r="M82" s="9" t="n">
        <f aca="false">INDEX($C$2:$C$101, 48, 1)</f>
        <v>39</v>
      </c>
      <c r="N82" s="10" t="n">
        <f aca="false">$N$32 * $M$82 + $N$33</f>
        <v>154.242227637481</v>
      </c>
    </row>
    <row r="83" customFormat="false" ht="12.8" hidden="false" customHeight="false" outlineLevel="0" collapsed="false">
      <c r="A83" s="0" t="s">
        <v>114</v>
      </c>
      <c r="B83" s="0" t="s">
        <v>11</v>
      </c>
      <c r="C83" s="0" t="n">
        <v>39</v>
      </c>
      <c r="D83" s="0" t="s">
        <v>15</v>
      </c>
      <c r="E83" s="0" t="n">
        <v>69</v>
      </c>
      <c r="F83" s="0" t="n">
        <v>188</v>
      </c>
      <c r="G83" s="0" t="n">
        <v>0</v>
      </c>
      <c r="H83" s="0" t="n">
        <v>122</v>
      </c>
      <c r="I83" s="0" t="n">
        <v>79</v>
      </c>
      <c r="J83" s="0" t="s">
        <v>13</v>
      </c>
      <c r="L83" s="8"/>
      <c r="M83" s="9" t="n">
        <f aca="false">INDEX($C$2:$C$101, 49, 1)</f>
        <v>42</v>
      </c>
      <c r="N83" s="10" t="n">
        <f aca="false">$N$32 * $M$83 + $N$33</f>
        <v>155.251509460319</v>
      </c>
    </row>
    <row r="84" customFormat="false" ht="12.8" hidden="false" customHeight="false" outlineLevel="0" collapsed="false">
      <c r="A84" s="0" t="s">
        <v>115</v>
      </c>
      <c r="B84" s="0" t="s">
        <v>11</v>
      </c>
      <c r="C84" s="0" t="n">
        <v>28</v>
      </c>
      <c r="D84" s="0" t="s">
        <v>12</v>
      </c>
      <c r="E84" s="0" t="n">
        <v>69</v>
      </c>
      <c r="F84" s="0" t="n">
        <v>189</v>
      </c>
      <c r="G84" s="0" t="n">
        <v>1</v>
      </c>
      <c r="H84" s="0" t="n">
        <v>134</v>
      </c>
      <c r="I84" s="0" t="n">
        <v>82</v>
      </c>
      <c r="J84" s="0" t="s">
        <v>20</v>
      </c>
      <c r="L84" s="8"/>
      <c r="M84" s="9" t="n">
        <f aca="false">INDEX($C$2:$C$101, 50, 1)</f>
        <v>42</v>
      </c>
      <c r="N84" s="10" t="n">
        <f aca="false">$N$32 * $M$84 + $N$33</f>
        <v>155.251509460319</v>
      </c>
    </row>
    <row r="85" customFormat="false" ht="12.8" hidden="false" customHeight="false" outlineLevel="0" collapsed="false">
      <c r="A85" s="0" t="s">
        <v>116</v>
      </c>
      <c r="B85" s="0" t="s">
        <v>18</v>
      </c>
      <c r="C85" s="0" t="n">
        <v>29</v>
      </c>
      <c r="D85" s="0" t="s">
        <v>19</v>
      </c>
      <c r="E85" s="0" t="n">
        <v>64</v>
      </c>
      <c r="F85" s="0" t="n">
        <v>120</v>
      </c>
      <c r="G85" s="0" t="n">
        <v>0</v>
      </c>
      <c r="H85" s="0" t="n">
        <v>131</v>
      </c>
      <c r="I85" s="0" t="n">
        <v>80</v>
      </c>
      <c r="J85" s="0" t="s">
        <v>20</v>
      </c>
      <c r="L85" s="8"/>
      <c r="M85" s="9" t="n">
        <f aca="false">INDEX($C$2:$C$101, 51, 1)</f>
        <v>49</v>
      </c>
      <c r="N85" s="10" t="n">
        <f aca="false">$N$32 * $M$85 + $N$33</f>
        <v>157.606500380275</v>
      </c>
    </row>
    <row r="86" customFormat="false" ht="12.8" hidden="false" customHeight="false" outlineLevel="0" collapsed="false">
      <c r="A86" s="0" t="s">
        <v>117</v>
      </c>
      <c r="B86" s="0" t="s">
        <v>18</v>
      </c>
      <c r="C86" s="0" t="n">
        <v>32</v>
      </c>
      <c r="D86" s="0" t="s">
        <v>15</v>
      </c>
      <c r="E86" s="0" t="n">
        <v>63</v>
      </c>
      <c r="F86" s="0" t="n">
        <v>132</v>
      </c>
      <c r="G86" s="0" t="n">
        <v>0</v>
      </c>
      <c r="H86" s="0" t="n">
        <v>113</v>
      </c>
      <c r="I86" s="0" t="n">
        <v>80</v>
      </c>
      <c r="J86" s="0" t="s">
        <v>13</v>
      </c>
      <c r="L86" s="8"/>
      <c r="M86" s="9" t="n">
        <f aca="false">INDEX($C$2:$C$101, 52, 1)</f>
        <v>44</v>
      </c>
      <c r="N86" s="10" t="n">
        <f aca="false">$N$32 * $M$86 + $N$33</f>
        <v>155.924364008878</v>
      </c>
    </row>
    <row r="87" customFormat="false" ht="12.8" hidden="false" customHeight="false" outlineLevel="0" collapsed="false">
      <c r="A87" s="0" t="s">
        <v>118</v>
      </c>
      <c r="B87" s="0" t="s">
        <v>11</v>
      </c>
      <c r="C87" s="0" t="n">
        <v>39</v>
      </c>
      <c r="D87" s="0" t="s">
        <v>12</v>
      </c>
      <c r="E87" s="0" t="n">
        <v>68</v>
      </c>
      <c r="F87" s="0" t="n">
        <v>182</v>
      </c>
      <c r="G87" s="0" t="n">
        <v>1</v>
      </c>
      <c r="H87" s="0" t="n">
        <v>125</v>
      </c>
      <c r="I87" s="0" t="n">
        <v>92</v>
      </c>
      <c r="J87" s="0" t="s">
        <v>20</v>
      </c>
      <c r="L87" s="8"/>
      <c r="M87" s="9" t="n">
        <f aca="false">INDEX($C$2:$C$101, 53, 1)</f>
        <v>43</v>
      </c>
      <c r="N87" s="10" t="n">
        <f aca="false">$N$32 * $M$87 + $N$33</f>
        <v>155.587936734599</v>
      </c>
    </row>
    <row r="88" customFormat="false" ht="12.8" hidden="false" customHeight="false" outlineLevel="0" collapsed="false">
      <c r="A88" s="0" t="s">
        <v>119</v>
      </c>
      <c r="B88" s="0" t="s">
        <v>18</v>
      </c>
      <c r="C88" s="0" t="n">
        <v>37</v>
      </c>
      <c r="D88" s="0" t="s">
        <v>12</v>
      </c>
      <c r="E88" s="0" t="n">
        <v>65</v>
      </c>
      <c r="F88" s="0" t="n">
        <v>120</v>
      </c>
      <c r="G88" s="0" t="n">
        <v>1</v>
      </c>
      <c r="H88" s="0" t="n">
        <v>135</v>
      </c>
      <c r="I88" s="0" t="n">
        <v>92</v>
      </c>
      <c r="J88" s="0" t="s">
        <v>34</v>
      </c>
      <c r="L88" s="8"/>
      <c r="M88" s="9" t="n">
        <f aca="false">INDEX($C$2:$C$101, 54, 1)</f>
        <v>47</v>
      </c>
      <c r="N88" s="10" t="n">
        <f aca="false">$N$32 * $M$88 + $N$33</f>
        <v>156.933645831717</v>
      </c>
    </row>
    <row r="89" customFormat="false" ht="12.8" hidden="false" customHeight="false" outlineLevel="0" collapsed="false">
      <c r="A89" s="0" t="s">
        <v>120</v>
      </c>
      <c r="B89" s="0" t="s">
        <v>18</v>
      </c>
      <c r="C89" s="0" t="n">
        <v>49</v>
      </c>
      <c r="D89" s="0" t="s">
        <v>12</v>
      </c>
      <c r="E89" s="0" t="n">
        <v>63</v>
      </c>
      <c r="F89" s="0" t="n">
        <v>123</v>
      </c>
      <c r="G89" s="0" t="n">
        <v>1</v>
      </c>
      <c r="H89" s="0" t="n">
        <v>128</v>
      </c>
      <c r="I89" s="0" t="n">
        <v>96</v>
      </c>
      <c r="J89" s="0" t="s">
        <v>20</v>
      </c>
      <c r="L89" s="8"/>
      <c r="M89" s="9" t="n">
        <f aca="false">INDEX($C$2:$C$101, 55, 1)</f>
        <v>50</v>
      </c>
      <c r="N89" s="10" t="n">
        <f aca="false">$N$32 * $M$89 + $N$33</f>
        <v>157.942927654555</v>
      </c>
    </row>
    <row r="90" customFormat="false" ht="12.8" hidden="false" customHeight="false" outlineLevel="0" collapsed="false">
      <c r="A90" s="0" t="s">
        <v>121</v>
      </c>
      <c r="B90" s="0" t="s">
        <v>18</v>
      </c>
      <c r="C90" s="0" t="n">
        <v>31</v>
      </c>
      <c r="D90" s="0" t="s">
        <v>15</v>
      </c>
      <c r="E90" s="0" t="n">
        <v>66</v>
      </c>
      <c r="F90" s="0" t="n">
        <v>141</v>
      </c>
      <c r="G90" s="0" t="n">
        <v>1</v>
      </c>
      <c r="H90" s="0" t="n">
        <v>123</v>
      </c>
      <c r="I90" s="0" t="n">
        <v>87</v>
      </c>
      <c r="J90" s="0" t="s">
        <v>20</v>
      </c>
      <c r="L90" s="8"/>
      <c r="M90" s="9" t="n">
        <f aca="false">INDEX($C$2:$C$101, 56, 1)</f>
        <v>38</v>
      </c>
      <c r="N90" s="10" t="n">
        <f aca="false">$N$32 * $M$90 + $N$33</f>
        <v>153.905800363202</v>
      </c>
    </row>
    <row r="91" customFormat="false" ht="12.8" hidden="false" customHeight="false" outlineLevel="0" collapsed="false">
      <c r="A91" s="0" t="s">
        <v>122</v>
      </c>
      <c r="B91" s="0" t="s">
        <v>18</v>
      </c>
      <c r="C91" s="0" t="n">
        <v>37</v>
      </c>
      <c r="D91" s="0" t="s">
        <v>19</v>
      </c>
      <c r="E91" s="0" t="n">
        <v>65</v>
      </c>
      <c r="F91" s="0" t="n">
        <v>129</v>
      </c>
      <c r="G91" s="0" t="n">
        <v>0</v>
      </c>
      <c r="H91" s="0" t="n">
        <v>122</v>
      </c>
      <c r="I91" s="0" t="n">
        <v>81</v>
      </c>
      <c r="J91" s="0" t="s">
        <v>20</v>
      </c>
      <c r="L91" s="8"/>
      <c r="M91" s="9" t="n">
        <f aca="false">INDEX($C$2:$C$101, 57, 1)</f>
        <v>41</v>
      </c>
      <c r="N91" s="10" t="n">
        <f aca="false">$N$32 * $M$91 + $N$33</f>
        <v>154.91508218604</v>
      </c>
    </row>
    <row r="92" customFormat="false" ht="12.8" hidden="false" customHeight="false" outlineLevel="0" collapsed="false">
      <c r="A92" s="0" t="s">
        <v>123</v>
      </c>
      <c r="B92" s="0" t="s">
        <v>11</v>
      </c>
      <c r="C92" s="0" t="n">
        <v>38</v>
      </c>
      <c r="D92" s="0" t="s">
        <v>12</v>
      </c>
      <c r="E92" s="0" t="n">
        <v>68</v>
      </c>
      <c r="F92" s="0" t="n">
        <v>184</v>
      </c>
      <c r="G92" s="0" t="n">
        <v>1</v>
      </c>
      <c r="H92" s="0" t="n">
        <v>138</v>
      </c>
      <c r="I92" s="0" t="n">
        <v>90</v>
      </c>
      <c r="J92" s="0" t="s">
        <v>13</v>
      </c>
      <c r="L92" s="8"/>
      <c r="M92" s="9" t="n">
        <f aca="false">INDEX($C$2:$C$101, 58, 1)</f>
        <v>45</v>
      </c>
      <c r="N92" s="10" t="n">
        <f aca="false">$N$32 * $M$92 + $N$33</f>
        <v>156.260791283158</v>
      </c>
    </row>
    <row r="93" customFormat="false" ht="12.8" hidden="false" customHeight="false" outlineLevel="0" collapsed="false">
      <c r="A93" s="0" t="s">
        <v>124</v>
      </c>
      <c r="B93" s="0" t="s">
        <v>11</v>
      </c>
      <c r="C93" s="0" t="n">
        <v>45</v>
      </c>
      <c r="D93" s="0" t="s">
        <v>15</v>
      </c>
      <c r="E93" s="0" t="n">
        <v>71</v>
      </c>
      <c r="F93" s="0" t="n">
        <v>181</v>
      </c>
      <c r="G93" s="0" t="n">
        <v>0</v>
      </c>
      <c r="H93" s="0" t="n">
        <v>124</v>
      </c>
      <c r="I93" s="0" t="n">
        <v>77</v>
      </c>
      <c r="J93" s="0" t="s">
        <v>13</v>
      </c>
      <c r="L93" s="8"/>
      <c r="M93" s="9" t="n">
        <f aca="false">INDEX($C$2:$C$101, 59, 1)</f>
        <v>36</v>
      </c>
      <c r="N93" s="10" t="n">
        <f aca="false">$N$32 * $M$93 + $N$33</f>
        <v>153.232945814643</v>
      </c>
    </row>
    <row r="94" customFormat="false" ht="12.8" hidden="false" customHeight="false" outlineLevel="0" collapsed="false">
      <c r="A94" s="0" t="s">
        <v>125</v>
      </c>
      <c r="B94" s="0" t="s">
        <v>18</v>
      </c>
      <c r="C94" s="0" t="n">
        <v>30</v>
      </c>
      <c r="D94" s="0" t="s">
        <v>19</v>
      </c>
      <c r="E94" s="0" t="n">
        <v>70</v>
      </c>
      <c r="F94" s="0" t="n">
        <v>124</v>
      </c>
      <c r="G94" s="0" t="n">
        <v>0</v>
      </c>
      <c r="H94" s="0" t="n">
        <v>130</v>
      </c>
      <c r="I94" s="0" t="n">
        <v>91</v>
      </c>
      <c r="J94" s="0" t="s">
        <v>16</v>
      </c>
      <c r="L94" s="8"/>
      <c r="M94" s="9" t="n">
        <f aca="false">INDEX($C$2:$C$101, 60, 1)</f>
        <v>38</v>
      </c>
      <c r="N94" s="10" t="n">
        <f aca="false">$N$32 * $M$94 + $N$33</f>
        <v>153.905800363202</v>
      </c>
    </row>
    <row r="95" customFormat="false" ht="12.8" hidden="false" customHeight="false" outlineLevel="0" collapsed="false">
      <c r="A95" s="0" t="s">
        <v>126</v>
      </c>
      <c r="B95" s="0" t="s">
        <v>11</v>
      </c>
      <c r="C95" s="0" t="n">
        <v>48</v>
      </c>
      <c r="D95" s="0" t="s">
        <v>12</v>
      </c>
      <c r="E95" s="0" t="n">
        <v>71</v>
      </c>
      <c r="F95" s="0" t="n">
        <v>174</v>
      </c>
      <c r="G95" s="0" t="n">
        <v>0</v>
      </c>
      <c r="H95" s="0" t="n">
        <v>123</v>
      </c>
      <c r="I95" s="0" t="n">
        <v>79</v>
      </c>
      <c r="J95" s="0" t="s">
        <v>20</v>
      </c>
      <c r="L95" s="8"/>
      <c r="M95" s="9" t="n">
        <f aca="false">INDEX($C$2:$C$101, 61, 1)</f>
        <v>29</v>
      </c>
      <c r="N95" s="10" t="n">
        <f aca="false">$N$32 * $M$95 + $N$33</f>
        <v>150.877954894687</v>
      </c>
    </row>
    <row r="96" customFormat="false" ht="12.8" hidden="false" customHeight="false" outlineLevel="0" collapsed="false">
      <c r="A96" s="0" t="s">
        <v>127</v>
      </c>
      <c r="B96" s="0" t="s">
        <v>18</v>
      </c>
      <c r="C96" s="0" t="n">
        <v>48</v>
      </c>
      <c r="D96" s="0" t="s">
        <v>12</v>
      </c>
      <c r="E96" s="0" t="n">
        <v>66</v>
      </c>
      <c r="F96" s="0" t="n">
        <v>134</v>
      </c>
      <c r="G96" s="0" t="n">
        <v>0</v>
      </c>
      <c r="H96" s="0" t="n">
        <v>129</v>
      </c>
      <c r="I96" s="0" t="n">
        <v>73</v>
      </c>
      <c r="J96" s="0" t="s">
        <v>13</v>
      </c>
      <c r="L96" s="8"/>
      <c r="M96" s="9" t="n">
        <f aca="false">INDEX($C$2:$C$101, 62, 1)</f>
        <v>28</v>
      </c>
      <c r="N96" s="10" t="n">
        <f aca="false">$N$32 * $M$96 + $N$33</f>
        <v>150.541527620408</v>
      </c>
    </row>
    <row r="97" customFormat="false" ht="12.8" hidden="false" customHeight="false" outlineLevel="0" collapsed="false">
      <c r="A97" s="0" t="s">
        <v>128</v>
      </c>
      <c r="B97" s="0" t="s">
        <v>11</v>
      </c>
      <c r="C97" s="0" t="n">
        <v>25</v>
      </c>
      <c r="D97" s="0" t="s">
        <v>12</v>
      </c>
      <c r="E97" s="0" t="n">
        <v>69</v>
      </c>
      <c r="F97" s="0" t="n">
        <v>171</v>
      </c>
      <c r="G97" s="0" t="n">
        <v>1</v>
      </c>
      <c r="H97" s="0" t="n">
        <v>128</v>
      </c>
      <c r="I97" s="0" t="n">
        <v>99</v>
      </c>
      <c r="J97" s="0" t="s">
        <v>20</v>
      </c>
      <c r="L97" s="8"/>
      <c r="M97" s="9" t="n">
        <f aca="false">INDEX($C$2:$C$101, 63, 1)</f>
        <v>30</v>
      </c>
      <c r="N97" s="10" t="n">
        <f aca="false">$N$32 * $M$97 + $N$33</f>
        <v>151.214382168966</v>
      </c>
    </row>
    <row r="98" customFormat="false" ht="12.8" hidden="false" customHeight="false" outlineLevel="0" collapsed="false">
      <c r="A98" s="0" t="s">
        <v>129</v>
      </c>
      <c r="B98" s="0" t="s">
        <v>11</v>
      </c>
      <c r="C98" s="0" t="n">
        <v>44</v>
      </c>
      <c r="D98" s="0" t="s">
        <v>15</v>
      </c>
      <c r="E98" s="0" t="n">
        <v>69</v>
      </c>
      <c r="F98" s="0" t="n">
        <v>188</v>
      </c>
      <c r="G98" s="0" t="n">
        <v>1</v>
      </c>
      <c r="H98" s="0" t="n">
        <v>124</v>
      </c>
      <c r="I98" s="0" t="n">
        <v>92</v>
      </c>
      <c r="J98" s="0" t="s">
        <v>20</v>
      </c>
      <c r="L98" s="8"/>
      <c r="M98" s="9" t="n">
        <f aca="false">INDEX($C$2:$C$101, 64, 1)</f>
        <v>28</v>
      </c>
      <c r="N98" s="10" t="n">
        <f aca="false">$N$32 * $M$98 + $N$33</f>
        <v>150.541527620408</v>
      </c>
    </row>
    <row r="99" customFormat="false" ht="12.8" hidden="false" customHeight="false" outlineLevel="0" collapsed="false">
      <c r="A99" s="0" t="s">
        <v>130</v>
      </c>
      <c r="B99" s="0" t="s">
        <v>11</v>
      </c>
      <c r="C99" s="0" t="n">
        <v>49</v>
      </c>
      <c r="D99" s="0" t="s">
        <v>12</v>
      </c>
      <c r="E99" s="0" t="n">
        <v>70</v>
      </c>
      <c r="F99" s="0" t="n">
        <v>186</v>
      </c>
      <c r="G99" s="0" t="n">
        <v>0</v>
      </c>
      <c r="H99" s="0" t="n">
        <v>119</v>
      </c>
      <c r="I99" s="0" t="n">
        <v>74</v>
      </c>
      <c r="J99" s="0" t="s">
        <v>16</v>
      </c>
      <c r="L99" s="8"/>
      <c r="M99" s="9" t="n">
        <f aca="false">INDEX($C$2:$C$101, 65, 1)</f>
        <v>29</v>
      </c>
      <c r="N99" s="10" t="n">
        <f aca="false">$N$32 * $M$99 + $N$33</f>
        <v>150.877954894687</v>
      </c>
    </row>
    <row r="100" customFormat="false" ht="12.8" hidden="false" customHeight="false" outlineLevel="0" collapsed="false">
      <c r="A100" s="0" t="s">
        <v>131</v>
      </c>
      <c r="B100" s="0" t="s">
        <v>11</v>
      </c>
      <c r="C100" s="0" t="n">
        <v>45</v>
      </c>
      <c r="D100" s="0" t="s">
        <v>12</v>
      </c>
      <c r="E100" s="0" t="n">
        <v>68</v>
      </c>
      <c r="F100" s="0" t="n">
        <v>172</v>
      </c>
      <c r="G100" s="0" t="n">
        <v>1</v>
      </c>
      <c r="H100" s="0" t="n">
        <v>136</v>
      </c>
      <c r="I100" s="0" t="n">
        <v>93</v>
      </c>
      <c r="J100" s="0" t="s">
        <v>20</v>
      </c>
      <c r="L100" s="8"/>
      <c r="M100" s="9" t="n">
        <f aca="false">INDEX($C$2:$C$101, 66, 1)</f>
        <v>36</v>
      </c>
      <c r="N100" s="10" t="n">
        <f aca="false">$N$32 * $M$100 + $N$33</f>
        <v>153.232945814643</v>
      </c>
    </row>
    <row r="101" customFormat="false" ht="12.8" hidden="false" customHeight="false" outlineLevel="0" collapsed="false">
      <c r="A101" s="0" t="s">
        <v>132</v>
      </c>
      <c r="B101" s="0" t="s">
        <v>11</v>
      </c>
      <c r="C101" s="0" t="n">
        <v>48</v>
      </c>
      <c r="D101" s="0" t="s">
        <v>12</v>
      </c>
      <c r="E101" s="0" t="n">
        <v>66</v>
      </c>
      <c r="F101" s="0" t="n">
        <v>177</v>
      </c>
      <c r="G101" s="0" t="n">
        <v>0</v>
      </c>
      <c r="H101" s="0" t="n">
        <v>114</v>
      </c>
      <c r="I101" s="0" t="n">
        <v>86</v>
      </c>
      <c r="J101" s="0" t="s">
        <v>16</v>
      </c>
      <c r="L101" s="8"/>
      <c r="M101" s="9" t="n">
        <f aca="false">INDEX($C$2:$C$101, 67, 1)</f>
        <v>45</v>
      </c>
      <c r="N101" s="10" t="n">
        <f aca="false">$N$32 * $M$101 + $N$33</f>
        <v>156.260791283158</v>
      </c>
    </row>
    <row r="102" customFormat="false" ht="12.8" hidden="false" customHeight="false" outlineLevel="0" collapsed="false">
      <c r="L102" s="8"/>
      <c r="M102" s="9" t="n">
        <f aca="false">INDEX($C$2:$C$101, 68, 1)</f>
        <v>32</v>
      </c>
      <c r="N102" s="10" t="n">
        <f aca="false">$N$32 * $M$102 + $N$33</f>
        <v>151.887236717525</v>
      </c>
    </row>
    <row r="103" customFormat="false" ht="12.8" hidden="false" customHeight="false" outlineLevel="0" collapsed="false">
      <c r="L103" s="8"/>
      <c r="M103" s="9" t="n">
        <f aca="false">INDEX($C$2:$C$101, 69, 1)</f>
        <v>31</v>
      </c>
      <c r="N103" s="10" t="n">
        <f aca="false">$N$32 * $M$103 + $N$33</f>
        <v>151.550809443246</v>
      </c>
    </row>
    <row r="104" customFormat="false" ht="12.8" hidden="false" customHeight="false" outlineLevel="0" collapsed="false">
      <c r="L104" s="8"/>
      <c r="M104" s="9" t="n">
        <f aca="false">INDEX($C$2:$C$101, 70, 1)</f>
        <v>48</v>
      </c>
      <c r="N104" s="10" t="n">
        <f aca="false">$N$32 * $M$104 + $N$33</f>
        <v>157.270073105996</v>
      </c>
    </row>
    <row r="105" customFormat="false" ht="12.8" hidden="false" customHeight="false" outlineLevel="0" collapsed="false">
      <c r="L105" s="8"/>
      <c r="M105" s="9" t="n">
        <f aca="false">INDEX($C$2:$C$101, 71, 1)</f>
        <v>25</v>
      </c>
      <c r="N105" s="10" t="n">
        <f aca="false">$N$32 * $M$105 + $N$33</f>
        <v>149.532245797569</v>
      </c>
    </row>
    <row r="106" customFormat="false" ht="12.8" hidden="false" customHeight="false" outlineLevel="0" collapsed="false">
      <c r="L106" s="8"/>
      <c r="M106" s="9" t="n">
        <f aca="false">INDEX($C$2:$C$101, 72, 1)</f>
        <v>40</v>
      </c>
      <c r="N106" s="10" t="n">
        <f aca="false">$N$32 * $M$106 + $N$33</f>
        <v>154.578654911761</v>
      </c>
    </row>
    <row r="107" customFormat="false" ht="12.8" hidden="false" customHeight="false" outlineLevel="0" collapsed="false">
      <c r="L107" s="8"/>
      <c r="M107" s="9" t="n">
        <f aca="false">INDEX($C$2:$C$101, 73, 1)</f>
        <v>39</v>
      </c>
      <c r="N107" s="10" t="n">
        <f aca="false">$N$32 * $M$107 + $N$33</f>
        <v>154.242227637481</v>
      </c>
    </row>
    <row r="108" customFormat="false" ht="12.8" hidden="false" customHeight="false" outlineLevel="0" collapsed="false">
      <c r="L108" s="8"/>
      <c r="M108" s="9" t="n">
        <f aca="false">INDEX($C$2:$C$101, 74, 1)</f>
        <v>41</v>
      </c>
      <c r="N108" s="10" t="n">
        <f aca="false">$N$32 * $M$108 + $N$33</f>
        <v>154.91508218604</v>
      </c>
    </row>
    <row r="109" customFormat="false" ht="12.8" hidden="false" customHeight="false" outlineLevel="0" collapsed="false">
      <c r="L109" s="8"/>
      <c r="M109" s="9" t="n">
        <f aca="false">INDEX($C$2:$C$101, 75, 1)</f>
        <v>33</v>
      </c>
      <c r="N109" s="10" t="n">
        <f aca="false">$N$32 * $M$109 + $N$33</f>
        <v>152.223663991805</v>
      </c>
    </row>
    <row r="110" customFormat="false" ht="12.8" hidden="false" customHeight="false" outlineLevel="0" collapsed="false">
      <c r="L110" s="8"/>
      <c r="M110" s="9" t="n">
        <f aca="false">INDEX($C$2:$C$101, 76, 1)</f>
        <v>31</v>
      </c>
      <c r="N110" s="10" t="n">
        <f aca="false">$N$32 * $M$110 + $N$33</f>
        <v>151.550809443246</v>
      </c>
    </row>
    <row r="111" customFormat="false" ht="12.8" hidden="false" customHeight="false" outlineLevel="0" collapsed="false">
      <c r="L111" s="8"/>
      <c r="M111" s="9" t="n">
        <f aca="false">INDEX($C$2:$C$101, 77, 1)</f>
        <v>35</v>
      </c>
      <c r="N111" s="10" t="n">
        <f aca="false">$N$32 * $M$111 + $N$33</f>
        <v>152.896518540364</v>
      </c>
    </row>
    <row r="112" customFormat="false" ht="12.8" hidden="false" customHeight="false" outlineLevel="0" collapsed="false">
      <c r="L112" s="8"/>
      <c r="M112" s="9" t="n">
        <f aca="false">INDEX($C$2:$C$101, 78, 1)</f>
        <v>32</v>
      </c>
      <c r="N112" s="10" t="n">
        <f aca="false">$N$32 * $M$112 + $N$33</f>
        <v>151.887236717525</v>
      </c>
    </row>
    <row r="113" customFormat="false" ht="12.8" hidden="false" customHeight="false" outlineLevel="0" collapsed="false">
      <c r="L113" s="8"/>
      <c r="M113" s="9" t="n">
        <f aca="false">INDEX($C$2:$C$101, 79, 1)</f>
        <v>42</v>
      </c>
      <c r="N113" s="10" t="n">
        <f aca="false">$N$32 * $M$113 + $N$33</f>
        <v>155.251509460319</v>
      </c>
    </row>
    <row r="114" customFormat="false" ht="12.8" hidden="false" customHeight="false" outlineLevel="0" collapsed="false">
      <c r="L114" s="8"/>
      <c r="M114" s="9" t="n">
        <f aca="false">INDEX($C$2:$C$101, 80, 1)</f>
        <v>48</v>
      </c>
      <c r="N114" s="10" t="n">
        <f aca="false">$N$32 * $M$114 + $N$33</f>
        <v>157.270073105996</v>
      </c>
    </row>
    <row r="115" customFormat="false" ht="12.8" hidden="false" customHeight="false" outlineLevel="0" collapsed="false">
      <c r="L115" s="8"/>
      <c r="M115" s="9" t="n">
        <f aca="false">INDEX($C$2:$C$101, 81, 1)</f>
        <v>34</v>
      </c>
      <c r="N115" s="10" t="n">
        <f aca="false">$N$32 * $M$115 + $N$33</f>
        <v>152.560091266084</v>
      </c>
    </row>
    <row r="116" customFormat="false" ht="12.8" hidden="false" customHeight="false" outlineLevel="0" collapsed="false">
      <c r="L116" s="8"/>
      <c r="M116" s="9" t="n">
        <f aca="false">INDEX($C$2:$C$101, 82, 1)</f>
        <v>39</v>
      </c>
      <c r="N116" s="10" t="n">
        <f aca="false">$N$32 * $M$116 + $N$33</f>
        <v>154.242227637481</v>
      </c>
    </row>
    <row r="117" customFormat="false" ht="12.8" hidden="false" customHeight="false" outlineLevel="0" collapsed="false">
      <c r="L117" s="8"/>
      <c r="M117" s="9" t="n">
        <f aca="false">INDEX($C$2:$C$101, 83, 1)</f>
        <v>28</v>
      </c>
      <c r="N117" s="10" t="n">
        <f aca="false">$N$32 * $M$117 + $N$33</f>
        <v>150.541527620408</v>
      </c>
    </row>
    <row r="118" customFormat="false" ht="12.8" hidden="false" customHeight="false" outlineLevel="0" collapsed="false">
      <c r="L118" s="8"/>
      <c r="M118" s="9" t="n">
        <f aca="false">INDEX($C$2:$C$101, 84, 1)</f>
        <v>29</v>
      </c>
      <c r="N118" s="10" t="n">
        <f aca="false">$N$32 * $M$118 + $N$33</f>
        <v>150.877954894687</v>
      </c>
    </row>
    <row r="119" customFormat="false" ht="12.8" hidden="false" customHeight="false" outlineLevel="0" collapsed="false">
      <c r="L119" s="8"/>
      <c r="M119" s="9" t="n">
        <f aca="false">INDEX($C$2:$C$101, 85, 1)</f>
        <v>32</v>
      </c>
      <c r="N119" s="10" t="n">
        <f aca="false">$N$32 * $M$119 + $N$33</f>
        <v>151.887236717525</v>
      </c>
    </row>
    <row r="120" customFormat="false" ht="12.8" hidden="false" customHeight="false" outlineLevel="0" collapsed="false">
      <c r="L120" s="8"/>
      <c r="M120" s="9" t="n">
        <f aca="false">INDEX($C$2:$C$101, 86, 1)</f>
        <v>39</v>
      </c>
      <c r="N120" s="10" t="n">
        <f aca="false">$N$32 * $M$120 + $N$33</f>
        <v>154.242227637481</v>
      </c>
    </row>
    <row r="121" customFormat="false" ht="12.8" hidden="false" customHeight="false" outlineLevel="0" collapsed="false">
      <c r="L121" s="8"/>
      <c r="M121" s="9" t="n">
        <f aca="false">INDEX($C$2:$C$101, 87, 1)</f>
        <v>37</v>
      </c>
      <c r="N121" s="10" t="n">
        <f aca="false">$N$32 * $M$121 + $N$33</f>
        <v>153.569373088922</v>
      </c>
    </row>
    <row r="122" customFormat="false" ht="12.8" hidden="false" customHeight="false" outlineLevel="0" collapsed="false">
      <c r="L122" s="8"/>
      <c r="M122" s="9" t="n">
        <f aca="false">INDEX($C$2:$C$101, 88, 1)</f>
        <v>49</v>
      </c>
      <c r="N122" s="10" t="n">
        <f aca="false">$N$32 * $M$122 + $N$33</f>
        <v>157.606500380275</v>
      </c>
    </row>
    <row r="123" customFormat="false" ht="12.8" hidden="false" customHeight="false" outlineLevel="0" collapsed="false">
      <c r="L123" s="8"/>
      <c r="M123" s="9" t="n">
        <f aca="false">INDEX($C$2:$C$101, 89, 1)</f>
        <v>31</v>
      </c>
      <c r="N123" s="10" t="n">
        <f aca="false">$N$32 * $M$123 + $N$33</f>
        <v>151.550809443246</v>
      </c>
    </row>
    <row r="124" customFormat="false" ht="12.8" hidden="false" customHeight="false" outlineLevel="0" collapsed="false">
      <c r="L124" s="8"/>
      <c r="M124" s="9" t="n">
        <f aca="false">INDEX($C$2:$C$101, 90, 1)</f>
        <v>37</v>
      </c>
      <c r="N124" s="10" t="n">
        <f aca="false">$N$32 * $M$124 + $N$33</f>
        <v>153.569373088922</v>
      </c>
    </row>
    <row r="125" customFormat="false" ht="12.8" hidden="false" customHeight="false" outlineLevel="0" collapsed="false">
      <c r="L125" s="8"/>
      <c r="M125" s="9" t="n">
        <f aca="false">INDEX($C$2:$C$101, 91, 1)</f>
        <v>38</v>
      </c>
      <c r="N125" s="10" t="n">
        <f aca="false">$N$32 * $M$125 + $N$33</f>
        <v>153.905800363202</v>
      </c>
    </row>
    <row r="126" customFormat="false" ht="12.8" hidden="false" customHeight="false" outlineLevel="0" collapsed="false">
      <c r="L126" s="8"/>
      <c r="M126" s="9" t="n">
        <f aca="false">INDEX($C$2:$C$101, 92, 1)</f>
        <v>45</v>
      </c>
      <c r="N126" s="10" t="n">
        <f aca="false">$N$32 * $M$126 + $N$33</f>
        <v>156.260791283158</v>
      </c>
    </row>
    <row r="127" customFormat="false" ht="12.8" hidden="false" customHeight="false" outlineLevel="0" collapsed="false">
      <c r="L127" s="8"/>
      <c r="M127" s="9" t="n">
        <f aca="false">INDEX($C$2:$C$101, 93, 1)</f>
        <v>30</v>
      </c>
      <c r="N127" s="10" t="n">
        <f aca="false">$N$32 * $M$127 + $N$33</f>
        <v>151.214382168966</v>
      </c>
    </row>
    <row r="128" customFormat="false" ht="12.8" hidden="false" customHeight="false" outlineLevel="0" collapsed="false">
      <c r="L128" s="8"/>
      <c r="M128" s="9" t="n">
        <f aca="false">INDEX($C$2:$C$101, 94, 1)</f>
        <v>48</v>
      </c>
      <c r="N128" s="10" t="n">
        <f aca="false">$N$32 * $M$128 + $N$33</f>
        <v>157.270073105996</v>
      </c>
    </row>
    <row r="129" customFormat="false" ht="12.8" hidden="false" customHeight="false" outlineLevel="0" collapsed="false">
      <c r="L129" s="8"/>
      <c r="M129" s="9" t="n">
        <f aca="false">INDEX($C$2:$C$101, 95, 1)</f>
        <v>48</v>
      </c>
      <c r="N129" s="10" t="n">
        <f aca="false">$N$32 * $M$129 + $N$33</f>
        <v>157.270073105996</v>
      </c>
    </row>
    <row r="130" customFormat="false" ht="12.8" hidden="false" customHeight="false" outlineLevel="0" collapsed="false">
      <c r="L130" s="8"/>
      <c r="M130" s="9" t="n">
        <f aca="false">INDEX($C$2:$C$101, 96, 1)</f>
        <v>25</v>
      </c>
      <c r="N130" s="10" t="n">
        <f aca="false">$N$32 * $M$130 + $N$33</f>
        <v>149.532245797569</v>
      </c>
    </row>
    <row r="131" customFormat="false" ht="12.8" hidden="false" customHeight="false" outlineLevel="0" collapsed="false">
      <c r="L131" s="8"/>
      <c r="M131" s="9" t="n">
        <f aca="false">INDEX($C$2:$C$101, 97, 1)</f>
        <v>44</v>
      </c>
      <c r="N131" s="10" t="n">
        <f aca="false">$N$32 * $M$131 + $N$33</f>
        <v>155.924364008878</v>
      </c>
    </row>
    <row r="132" customFormat="false" ht="12.8" hidden="false" customHeight="false" outlineLevel="0" collapsed="false">
      <c r="L132" s="8"/>
      <c r="M132" s="9" t="n">
        <f aca="false">INDEX($C$2:$C$101, 98, 1)</f>
        <v>49</v>
      </c>
      <c r="N132" s="10" t="n">
        <f aca="false">$N$32 * $M$132 + $N$33</f>
        <v>157.606500380275</v>
      </c>
    </row>
    <row r="133" customFormat="false" ht="12.8" hidden="false" customHeight="false" outlineLevel="0" collapsed="false">
      <c r="L133" s="8"/>
      <c r="M133" s="9" t="n">
        <f aca="false">INDEX($C$2:$C$101, 99, 1)</f>
        <v>45</v>
      </c>
      <c r="N133" s="10" t="n">
        <f aca="false">$N$32 * $M$133 + $N$33</f>
        <v>156.260791283158</v>
      </c>
    </row>
    <row r="134" customFormat="false" ht="12.8" hidden="false" customHeight="false" outlineLevel="0" collapsed="false">
      <c r="L134" s="8"/>
      <c r="M134" s="9" t="n">
        <f aca="false">INDEX($C$2:$C$101, 100, 1)</f>
        <v>48</v>
      </c>
      <c r="N134" s="10" t="n">
        <f aca="false">$N$32 * $M$134 + $N$33</f>
        <v>157.270073105996</v>
      </c>
    </row>
    <row r="135" customFormat="false" ht="12.8" hidden="false" customHeight="false" outlineLevel="0" collapsed="false">
      <c r="L135" s="12"/>
      <c r="M135" s="13"/>
      <c r="N135" s="14"/>
    </row>
  </sheetData>
  <mergeCells count="3">
    <mergeCell ref="M18:N18"/>
    <mergeCell ref="M19:N19"/>
    <mergeCell ref="M20:N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2020-08-23T20:51:09Z</dcterms:modified>
  <cp:revision>2</cp:revision>
  <dc:subject/>
  <dc:title/>
</cp:coreProperties>
</file>